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cdiem.NETID\Desktop\"/>
    </mc:Choice>
  </mc:AlternateContent>
  <bookViews>
    <workbookView xWindow="0" yWindow="0" windowWidth="20490" windowHeight="7755" tabRatio="756" firstSheet="1" activeTab="1"/>
  </bookViews>
  <sheets>
    <sheet name="TuitRev" sheetId="35" state="hidden" r:id="rId1"/>
    <sheet name="Reference" sheetId="150" r:id="rId2"/>
    <sheet name="Summary" sheetId="149" r:id="rId3"/>
    <sheet name="Autumn15Diff" sheetId="156" r:id="rId4"/>
    <sheet name="FY16ProjRevToCollAut15" sheetId="154" r:id="rId5"/>
    <sheet name="FY16ProjRevAut15" sheetId="151" r:id="rId6"/>
    <sheet name="FY16ProjRev0Aut15" sheetId="152" r:id="rId7"/>
    <sheet name="FY16ProjMjrsActDegs" sheetId="153" r:id="rId8"/>
    <sheet name="FY16EffectReduction" sheetId="138" r:id="rId9"/>
    <sheet name="FY16ProjRevToColl" sheetId="127" r:id="rId10"/>
    <sheet name="FY16ProjRev" sheetId="126" r:id="rId11"/>
    <sheet name="FY16Incremental" sheetId="145" r:id="rId12"/>
    <sheet name="FY16ProjRevToColl0" sheetId="137" r:id="rId13"/>
    <sheet name="FY16ProjRev0" sheetId="136" r:id="rId14"/>
    <sheet name="FY16ProjSCH" sheetId="128" r:id="rId15"/>
    <sheet name="FY16ProjMjrs" sheetId="129" r:id="rId16"/>
    <sheet name="FY15MappingChg" sheetId="148" r:id="rId17"/>
    <sheet name="FY15RevToColl" sheetId="121" r:id="rId18"/>
    <sheet name="FY15Revenue" sheetId="123" r:id="rId19"/>
    <sheet name="FY15SCH" sheetId="120" r:id="rId20"/>
    <sheet name="FY15Majors" sheetId="122" r:id="rId21"/>
    <sheet name="FY15TrueUp" sheetId="147" r:id="rId22"/>
    <sheet name="FY15RevToCollwoMapChg" sheetId="142" r:id="rId23"/>
    <sheet name="FY15SCHwoMapChg" sheetId="143" r:id="rId24"/>
    <sheet name="FY15MajorswoMapChg" sheetId="144" r:id="rId25"/>
    <sheet name="FY14_15_3%" sheetId="115" r:id="rId26"/>
    <sheet name="FY15Incremental" sheetId="113" r:id="rId27"/>
    <sheet name="FY15ProjRevToColl" sheetId="112" r:id="rId28"/>
    <sheet name="FY15ProjRev" sheetId="97" r:id="rId29"/>
    <sheet name="FY15ProjSCH" sheetId="98" r:id="rId30"/>
    <sheet name="FY15ProjMajors" sheetId="99" r:id="rId31"/>
    <sheet name="FY14TrueUp" sheetId="111" r:id="rId32"/>
    <sheet name="FY14RevToColl" sheetId="102" r:id="rId33"/>
    <sheet name="FY14Revenue" sheetId="95" r:id="rId34"/>
    <sheet name="FY14Majors" sheetId="101" r:id="rId35"/>
    <sheet name="FY14SCH" sheetId="100" r:id="rId36"/>
    <sheet name="FY14ProjRevToColl" sheetId="110" r:id="rId37"/>
    <sheet name="FY14ProjRevenueToCollege" sheetId="103" state="hidden" r:id="rId38"/>
    <sheet name="FY14ProjRev" sheetId="81" r:id="rId39"/>
    <sheet name="FY14ProjSCH" sheetId="104" r:id="rId40"/>
    <sheet name="FY14ProjMajors" sheetId="105" r:id="rId41"/>
    <sheet name="FY13TrueUp" sheetId="79" r:id="rId42"/>
    <sheet name="FY13RevToColl" sheetId="48" r:id="rId43"/>
    <sheet name="FY13Revenue" sheetId="76" r:id="rId44"/>
    <sheet name="FY13SCH" sheetId="75" r:id="rId45"/>
    <sheet name="FY13Majors" sheetId="74" r:id="rId46"/>
    <sheet name="FY13ProjRevToColl" sheetId="77" r:id="rId47"/>
    <sheet name="FY13ProjRev" sheetId="49" r:id="rId48"/>
    <sheet name="FY13ProjSCH" sheetId="50" r:id="rId49"/>
    <sheet name="FY13ProjMajors" sheetId="51" r:id="rId50"/>
    <sheet name="FY12TrueUp" sheetId="69" r:id="rId51"/>
    <sheet name="FY12RevToColl" sheetId="52" r:id="rId52"/>
    <sheet name="FY12Revenue" sheetId="53" r:id="rId53"/>
    <sheet name="FY12Majors" sheetId="54" r:id="rId54"/>
    <sheet name="FY12SCH" sheetId="55" r:id="rId55"/>
    <sheet name="FY12ProjRevToColl" sheetId="56" r:id="rId56"/>
    <sheet name="FY12ProjRev" sheetId="57" r:id="rId57"/>
    <sheet name="FY12ProjMajors" sheetId="58" r:id="rId58"/>
    <sheet name="FY12ProjSCH" sheetId="59" r:id="rId59"/>
  </sheets>
  <externalReferences>
    <externalReference r:id="rId60"/>
  </externalReferences>
  <definedNames>
    <definedName name="GPpcntDeg">TuitRev!$K$8</definedName>
    <definedName name="GPpcntMjr" localSheetId="46">[1]TuitRev!$K$6</definedName>
    <definedName name="GPpcntMjr">TuitRev!$K$6</definedName>
    <definedName name="GPpcntSCH" localSheetId="46">[1]TuitRev!$K$4</definedName>
    <definedName name="GPpcntSCH">TuitRev!$K$4</definedName>
    <definedName name="PcntIncr">TuitRev!$I$1</definedName>
    <definedName name="_xlnm.Print_Area" localSheetId="53">FY12Majors!$A$1:$Q$40</definedName>
    <definedName name="_xlnm.Print_Area" localSheetId="57">FY12ProjMajors!$A$1:$Q$40</definedName>
    <definedName name="_xlnm.Print_Area" localSheetId="56">FY12ProjRev!$A$1:$E$22</definedName>
    <definedName name="_xlnm.Print_Area" localSheetId="55">FY12ProjRevToColl!$A$1:$R$58</definedName>
    <definedName name="_xlnm.Print_Area" localSheetId="52">FY12Revenue!$A$1:$D$22</definedName>
    <definedName name="_xlnm.Print_Area" localSheetId="51">FY12RevToColl!$A$1:$R$58</definedName>
    <definedName name="_xlnm.Print_Area" localSheetId="54">FY12SCH!$A$1:$Q$40</definedName>
    <definedName name="_xlnm.Print_Area" localSheetId="45">FY13Majors!$A$1:$U$40</definedName>
    <definedName name="_xlnm.Print_Area" localSheetId="49">FY13ProjMajors!$A$1:$V$40</definedName>
    <definedName name="_xlnm.Print_Area" localSheetId="47">FY13ProjRev!$A$1:$D$27</definedName>
    <definedName name="_xlnm.Print_Area" localSheetId="46">FY13ProjRevToColl!$A$1:$W$58</definedName>
    <definedName name="_xlnm.Print_Area" localSheetId="48">FY13ProjSCH!$A$1:$V$40</definedName>
    <definedName name="_xlnm.Print_Area" localSheetId="43">FY13Revenue!$A$1:$F$27</definedName>
    <definedName name="_xlnm.Print_Area" localSheetId="42">FY13RevToColl!$A$1:$W$58</definedName>
    <definedName name="_xlnm.Print_Area" localSheetId="44">FY13SCH!$A$1:$V$40</definedName>
    <definedName name="_xlnm.Print_Area" localSheetId="41">FY13TrueUp!$A$1:$W$58</definedName>
    <definedName name="_xlnm.Print_Area" localSheetId="34">FY14Majors!$B$1:$S$47</definedName>
    <definedName name="_xlnm.Print_Area" localSheetId="40">FY14ProjMajors!$C$2:$X$41</definedName>
    <definedName name="_xlnm.Print_Area" localSheetId="38">FY14ProjRev!$C$1:$K$33</definedName>
    <definedName name="_xlnm.Print_Area" localSheetId="37">FY14ProjRevenueToCollege!$C$2:$X$59</definedName>
    <definedName name="_xlnm.Print_Area" localSheetId="36">FY14ProjRevToColl!$C$1:$X$48</definedName>
    <definedName name="_xlnm.Print_Area" localSheetId="39">FY14ProjSCH!$C$1:$X$1</definedName>
    <definedName name="_xlnm.Print_Area" localSheetId="33">FY14Revenue!$A$2:$I$33</definedName>
    <definedName name="_xlnm.Print_Area" localSheetId="32">FY14RevToColl!$B$1:$T$74</definedName>
    <definedName name="_xlnm.Print_Area" localSheetId="35">FY14SCH!$B$1:$T$47</definedName>
    <definedName name="_xlnm.Print_Area" localSheetId="20">FY15Majors!$B$1:$S$47</definedName>
    <definedName name="_xlnm.Print_Area" localSheetId="24">FY15MajorswoMapChg!$B$1:$S$47</definedName>
    <definedName name="_xlnm.Print_Area" localSheetId="16">FY15MappingChg!$B$1:$T$74</definedName>
    <definedName name="_xlnm.Print_Area" localSheetId="30">FY15ProjMajors!$B$1:$S$47</definedName>
    <definedName name="_xlnm.Print_Area" localSheetId="28">FY15ProjRev!$B$1:$J$28</definedName>
    <definedName name="_xlnm.Print_Area" localSheetId="27">FY15ProjRevToColl!$B$1:$T$74</definedName>
    <definedName name="_xlnm.Print_Area" localSheetId="29">FY15ProjSCH!$B$1:$T$47</definedName>
    <definedName name="_xlnm.Print_Area" localSheetId="18">FY15Revenue!$B$1:$H$28</definedName>
    <definedName name="_xlnm.Print_Area" localSheetId="17">FY15RevToColl!$B$1:$T$74</definedName>
    <definedName name="_xlnm.Print_Area" localSheetId="22">FY15RevToCollwoMapChg!$B$1:$T$74</definedName>
    <definedName name="_xlnm.Print_Area" localSheetId="19">FY15SCH!$B$1:$T$47</definedName>
    <definedName name="_xlnm.Print_Area" localSheetId="23">FY15SCHwoMapChg!$B$1:$T$47</definedName>
    <definedName name="_xlnm.Print_Area" localSheetId="21">FY15TrueUp!$B$1:$T$74</definedName>
    <definedName name="_xlnm.Print_Area" localSheetId="11">FY16Incremental!$B$1:$T$74</definedName>
    <definedName name="_xlnm.Print_Area" localSheetId="15">FY16ProjMjrs!$B$1:$S$47</definedName>
    <definedName name="_xlnm.Print_Area" localSheetId="7">FY16ProjMjrsActDegs!$B$1:$S$47</definedName>
    <definedName name="_xlnm.Print_Area" localSheetId="10">FY16ProjRev!$B$1:$I$28</definedName>
    <definedName name="_xlnm.Print_Area" localSheetId="13">FY16ProjRev0!$B$1:$I$28</definedName>
    <definedName name="_xlnm.Print_Area" localSheetId="9">FY16ProjRevToColl!$B$1:$T$74</definedName>
    <definedName name="_xlnm.Print_Area" localSheetId="12">FY16ProjRevToColl0!$B$1:$T$74</definedName>
    <definedName name="_xlnm.Print_Area" localSheetId="14">FY16ProjSCH!$B$1:$T$47</definedName>
    <definedName name="_xlnm.Print_Titles" localSheetId="32">FY14RevToColl!$1:$3</definedName>
    <definedName name="_xlnm.Print_Titles" localSheetId="16">FY15MappingChg!$1:$3</definedName>
    <definedName name="_xlnm.Print_Titles" localSheetId="27">FY15ProjRevToColl!$1:$3</definedName>
    <definedName name="_xlnm.Print_Titles" localSheetId="17">FY15RevToColl!$1:$3</definedName>
    <definedName name="_xlnm.Print_Titles" localSheetId="22">FY15RevToCollwoMapChg!$1:$3</definedName>
    <definedName name="_xlnm.Print_Titles" localSheetId="21">FY15TrueUp!$1:$3</definedName>
    <definedName name="_xlnm.Print_Titles" localSheetId="11">FY16Incremental!$1:$3</definedName>
    <definedName name="_xlnm.Print_Titles" localSheetId="9">FY16ProjRevToColl!$1:$3</definedName>
    <definedName name="_xlnm.Print_Titles" localSheetId="12">FY16ProjRevToColl0!$1:$3</definedName>
    <definedName name="UGpcntDeg" localSheetId="46">[1]TuitRev!$I$8</definedName>
    <definedName name="UGpcntDeg">TuitRev!$I$8</definedName>
    <definedName name="UGpcntMjr">TuitRev!$I$6</definedName>
    <definedName name="UGpcntSCH" localSheetId="46">[1]TuitRev!$I$4</definedName>
    <definedName name="UGpcntSCH">TuitRev!$I$4</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4" i="151" l="1"/>
  <c r="H4" i="151"/>
  <c r="G5" i="151"/>
  <c r="H5" i="151"/>
  <c r="G6" i="151"/>
  <c r="H6" i="151"/>
  <c r="G7" i="151"/>
  <c r="H7" i="151"/>
  <c r="G8" i="151"/>
  <c r="H8" i="151"/>
  <c r="G9" i="151"/>
  <c r="H9" i="151"/>
  <c r="G10" i="151"/>
  <c r="H10" i="151"/>
  <c r="G11" i="151"/>
  <c r="H11" i="151"/>
  <c r="G12" i="151"/>
  <c r="H12" i="151"/>
  <c r="G13" i="151"/>
  <c r="H13" i="151"/>
  <c r="G14" i="151"/>
  <c r="H14" i="151"/>
  <c r="G15" i="151"/>
  <c r="H15" i="151"/>
  <c r="G16" i="151"/>
  <c r="H16" i="151"/>
  <c r="G17" i="151"/>
  <c r="H17" i="151"/>
  <c r="G18" i="151"/>
  <c r="H18" i="151"/>
  <c r="G19" i="151"/>
  <c r="H19" i="151"/>
  <c r="G20" i="151"/>
  <c r="H20" i="151"/>
  <c r="G21" i="151"/>
  <c r="H21" i="151"/>
  <c r="G22" i="151"/>
  <c r="H22" i="151"/>
  <c r="G23" i="151"/>
  <c r="H23" i="151"/>
  <c r="H24" i="151"/>
  <c r="I4" i="151"/>
  <c r="I5" i="151"/>
  <c r="I6" i="151"/>
  <c r="I7" i="151"/>
  <c r="I8" i="151"/>
  <c r="I9" i="151"/>
  <c r="I10" i="151"/>
  <c r="I11" i="151"/>
  <c r="I12" i="151"/>
  <c r="I13" i="151"/>
  <c r="I14" i="151"/>
  <c r="I15" i="151"/>
  <c r="I16" i="151"/>
  <c r="I17" i="151"/>
  <c r="I18" i="151"/>
  <c r="I19" i="151"/>
  <c r="I20" i="151"/>
  <c r="I21" i="151"/>
  <c r="I22" i="151"/>
  <c r="I23" i="151"/>
  <c r="I24" i="151"/>
  <c r="J24" i="151"/>
  <c r="D4" i="126"/>
  <c r="G4" i="126"/>
  <c r="H4" i="126"/>
  <c r="G5" i="126"/>
  <c r="H5" i="126"/>
  <c r="G6" i="126"/>
  <c r="H6" i="126"/>
  <c r="G7" i="126"/>
  <c r="H7" i="126"/>
  <c r="G8" i="126"/>
  <c r="H8" i="126"/>
  <c r="G9" i="126"/>
  <c r="H9" i="126"/>
  <c r="G10" i="126"/>
  <c r="H10" i="126"/>
  <c r="G11" i="126"/>
  <c r="H11" i="126"/>
  <c r="G12" i="126"/>
  <c r="H12" i="126"/>
  <c r="G13" i="126"/>
  <c r="H13" i="126"/>
  <c r="G14" i="126"/>
  <c r="H14" i="126"/>
  <c r="G15" i="126"/>
  <c r="H15" i="126"/>
  <c r="G16" i="126"/>
  <c r="H16" i="126"/>
  <c r="G17" i="126"/>
  <c r="H17" i="126"/>
  <c r="G18" i="126"/>
  <c r="H18" i="126"/>
  <c r="G19" i="126"/>
  <c r="H19" i="126"/>
  <c r="G20" i="126"/>
  <c r="H20" i="126"/>
  <c r="G21" i="126"/>
  <c r="H21" i="126"/>
  <c r="G22" i="126"/>
  <c r="H22" i="126"/>
  <c r="G23" i="126"/>
  <c r="H23" i="126"/>
  <c r="G24" i="126"/>
  <c r="H24" i="126"/>
  <c r="H25" i="126"/>
  <c r="I4" i="126"/>
  <c r="I5" i="126"/>
  <c r="I6" i="126"/>
  <c r="I7" i="126"/>
  <c r="I8" i="126"/>
  <c r="I9" i="126"/>
  <c r="I10" i="126"/>
  <c r="I11" i="126"/>
  <c r="I12" i="126"/>
  <c r="I13" i="126"/>
  <c r="I14" i="126"/>
  <c r="I15" i="126"/>
  <c r="I16" i="126"/>
  <c r="I17" i="126"/>
  <c r="I18" i="126"/>
  <c r="I19" i="126"/>
  <c r="I20" i="126"/>
  <c r="I21" i="126"/>
  <c r="I22" i="126"/>
  <c r="I23" i="126"/>
  <c r="I24" i="126"/>
  <c r="I25" i="126"/>
  <c r="J25" i="126"/>
  <c r="K24" i="151"/>
  <c r="AB24" i="149"/>
  <c r="AB25" i="149"/>
  <c r="G25" i="151"/>
  <c r="H25" i="151"/>
  <c r="G26" i="126"/>
  <c r="H26" i="126"/>
  <c r="K25" i="151"/>
  <c r="AB22" i="149"/>
  <c r="G26" i="151"/>
  <c r="H26" i="151"/>
  <c r="G27" i="126"/>
  <c r="H27" i="126"/>
  <c r="K26" i="151"/>
  <c r="AB23" i="149"/>
  <c r="AB26" i="149"/>
  <c r="K23" i="151"/>
  <c r="K27" i="151"/>
  <c r="H27" i="151"/>
  <c r="H28" i="126"/>
  <c r="H32" i="151"/>
  <c r="T32" i="128"/>
  <c r="C9" i="128"/>
  <c r="C35" i="127"/>
  <c r="C35" i="156"/>
  <c r="T32" i="129"/>
  <c r="C9" i="129"/>
  <c r="C59" i="127"/>
  <c r="C59" i="156"/>
  <c r="C11" i="156"/>
  <c r="D9" i="128"/>
  <c r="D35" i="127"/>
  <c r="D35" i="156"/>
  <c r="D9" i="129"/>
  <c r="D59" i="127"/>
  <c r="D59" i="156"/>
  <c r="D11" i="156"/>
  <c r="E9" i="128"/>
  <c r="E35" i="127"/>
  <c r="E35" i="156"/>
  <c r="E9" i="129"/>
  <c r="E59" i="127"/>
  <c r="E59" i="156"/>
  <c r="E11" i="156"/>
  <c r="F9" i="128"/>
  <c r="F35" i="127"/>
  <c r="F35" i="156"/>
  <c r="F9" i="129"/>
  <c r="F59" i="127"/>
  <c r="F59" i="156"/>
  <c r="F11" i="156"/>
  <c r="G9" i="128"/>
  <c r="G35" i="127"/>
  <c r="G35" i="156"/>
  <c r="G9" i="129"/>
  <c r="G59" i="127"/>
  <c r="G59" i="156"/>
  <c r="G11" i="156"/>
  <c r="H9" i="128"/>
  <c r="H35" i="127"/>
  <c r="H35" i="156"/>
  <c r="H9" i="129"/>
  <c r="H59" i="127"/>
  <c r="H59" i="156"/>
  <c r="H11" i="156"/>
  <c r="I9" i="128"/>
  <c r="I35" i="127"/>
  <c r="I35" i="156"/>
  <c r="I9" i="129"/>
  <c r="I59" i="127"/>
  <c r="I59" i="156"/>
  <c r="I11" i="156"/>
  <c r="J9" i="128"/>
  <c r="J35" i="127"/>
  <c r="J35" i="156"/>
  <c r="J9" i="129"/>
  <c r="J59" i="127"/>
  <c r="J59" i="156"/>
  <c r="J11" i="156"/>
  <c r="K9" i="128"/>
  <c r="K35" i="127"/>
  <c r="K35" i="156"/>
  <c r="K9" i="129"/>
  <c r="K59" i="127"/>
  <c r="K59" i="156"/>
  <c r="K11" i="156"/>
  <c r="L9" i="128"/>
  <c r="L35" i="127"/>
  <c r="L35" i="156"/>
  <c r="L9" i="129"/>
  <c r="L59" i="127"/>
  <c r="L59" i="156"/>
  <c r="L11" i="156"/>
  <c r="M9" i="128"/>
  <c r="M35" i="127"/>
  <c r="M35" i="156"/>
  <c r="M9" i="129"/>
  <c r="M59" i="127"/>
  <c r="M59" i="156"/>
  <c r="M11" i="156"/>
  <c r="N9" i="128"/>
  <c r="N35" i="127"/>
  <c r="N35" i="156"/>
  <c r="N9" i="129"/>
  <c r="N59" i="127"/>
  <c r="N59" i="156"/>
  <c r="N11" i="156"/>
  <c r="O9" i="128"/>
  <c r="O35" i="127"/>
  <c r="O35" i="156"/>
  <c r="O9" i="129"/>
  <c r="O59" i="127"/>
  <c r="O59" i="156"/>
  <c r="O11" i="156"/>
  <c r="P9" i="128"/>
  <c r="P35" i="127"/>
  <c r="P35" i="156"/>
  <c r="P9" i="129"/>
  <c r="P59" i="127"/>
  <c r="P59" i="156"/>
  <c r="P11" i="156"/>
  <c r="Q9" i="128"/>
  <c r="Q35" i="127"/>
  <c r="Q35" i="156"/>
  <c r="Q9" i="129"/>
  <c r="Q59" i="127"/>
  <c r="Q59" i="156"/>
  <c r="Q11" i="156"/>
  <c r="R9" i="128"/>
  <c r="R35" i="127"/>
  <c r="R35" i="156"/>
  <c r="R9" i="129"/>
  <c r="R59" i="127"/>
  <c r="R59" i="156"/>
  <c r="R11" i="156"/>
  <c r="S9" i="128"/>
  <c r="S35" i="127"/>
  <c r="S35" i="156"/>
  <c r="S9" i="129"/>
  <c r="S59" i="127"/>
  <c r="S59" i="156"/>
  <c r="S11" i="156"/>
  <c r="T11" i="156"/>
  <c r="T59" i="156"/>
  <c r="T46" i="153"/>
  <c r="S23" i="153"/>
  <c r="S73" i="154"/>
  <c r="R23" i="153"/>
  <c r="R73" i="154"/>
  <c r="Q23" i="153"/>
  <c r="Q73" i="154"/>
  <c r="P23" i="153"/>
  <c r="P73" i="154"/>
  <c r="O23" i="153"/>
  <c r="O73" i="154"/>
  <c r="N23" i="153"/>
  <c r="N73" i="154"/>
  <c r="M23" i="153"/>
  <c r="M73" i="154"/>
  <c r="L23" i="153"/>
  <c r="L73" i="154"/>
  <c r="K23" i="153"/>
  <c r="K73" i="154"/>
  <c r="J23" i="153"/>
  <c r="J73" i="154"/>
  <c r="I23" i="153"/>
  <c r="I73" i="154"/>
  <c r="H23" i="153"/>
  <c r="H73" i="154"/>
  <c r="G23" i="153"/>
  <c r="G73" i="154"/>
  <c r="F23" i="153"/>
  <c r="F73" i="154"/>
  <c r="E23" i="153"/>
  <c r="E73" i="154"/>
  <c r="D23" i="153"/>
  <c r="D73" i="154"/>
  <c r="C23" i="153"/>
  <c r="C73" i="154"/>
  <c r="T45" i="153"/>
  <c r="S22" i="153"/>
  <c r="S72" i="154"/>
  <c r="R22" i="153"/>
  <c r="R72" i="154"/>
  <c r="Q22" i="153"/>
  <c r="Q72" i="154"/>
  <c r="P22" i="153"/>
  <c r="P72" i="154"/>
  <c r="O22" i="153"/>
  <c r="O72" i="154"/>
  <c r="N22" i="153"/>
  <c r="N72" i="154"/>
  <c r="M22" i="153"/>
  <c r="M72" i="154"/>
  <c r="L22" i="153"/>
  <c r="L72" i="154"/>
  <c r="K22" i="153"/>
  <c r="K72" i="154"/>
  <c r="J22" i="153"/>
  <c r="J72" i="154"/>
  <c r="I22" i="153"/>
  <c r="I72" i="154"/>
  <c r="H22" i="153"/>
  <c r="H72" i="154"/>
  <c r="G22" i="153"/>
  <c r="G72" i="154"/>
  <c r="F22" i="153"/>
  <c r="F72" i="154"/>
  <c r="E22" i="153"/>
  <c r="E72" i="154"/>
  <c r="D22" i="153"/>
  <c r="D72" i="154"/>
  <c r="C22" i="153"/>
  <c r="C72" i="154"/>
  <c r="T44" i="153"/>
  <c r="S21" i="153"/>
  <c r="S71" i="154"/>
  <c r="R21" i="153"/>
  <c r="R71" i="154"/>
  <c r="Q21" i="153"/>
  <c r="Q71" i="154"/>
  <c r="P21" i="153"/>
  <c r="P71" i="154"/>
  <c r="O21" i="153"/>
  <c r="O71" i="154"/>
  <c r="N21" i="153"/>
  <c r="N71" i="154"/>
  <c r="M21" i="153"/>
  <c r="M71" i="154"/>
  <c r="L21" i="153"/>
  <c r="L71" i="154"/>
  <c r="K21" i="153"/>
  <c r="K71" i="154"/>
  <c r="J21" i="153"/>
  <c r="J71" i="154"/>
  <c r="I21" i="153"/>
  <c r="I71" i="154"/>
  <c r="H21" i="153"/>
  <c r="H71" i="154"/>
  <c r="G21" i="153"/>
  <c r="G71" i="154"/>
  <c r="F21" i="153"/>
  <c r="F71" i="154"/>
  <c r="E21" i="153"/>
  <c r="E71" i="154"/>
  <c r="D21" i="153"/>
  <c r="D71" i="154"/>
  <c r="C21" i="153"/>
  <c r="C71" i="154"/>
  <c r="T43" i="153"/>
  <c r="S20" i="153"/>
  <c r="S70" i="154"/>
  <c r="R20" i="153"/>
  <c r="R70" i="154"/>
  <c r="Q20" i="153"/>
  <c r="Q70" i="154"/>
  <c r="P20" i="153"/>
  <c r="P70" i="154"/>
  <c r="O20" i="153"/>
  <c r="O70" i="154"/>
  <c r="N20" i="153"/>
  <c r="N70" i="154"/>
  <c r="M20" i="153"/>
  <c r="M70" i="154"/>
  <c r="L20" i="153"/>
  <c r="L70" i="154"/>
  <c r="K20" i="153"/>
  <c r="K70" i="154"/>
  <c r="J20" i="153"/>
  <c r="J70" i="154"/>
  <c r="I20" i="153"/>
  <c r="I70" i="154"/>
  <c r="H20" i="153"/>
  <c r="H70" i="154"/>
  <c r="G20" i="153"/>
  <c r="G70" i="154"/>
  <c r="F20" i="153"/>
  <c r="F70" i="154"/>
  <c r="E20" i="153"/>
  <c r="E70" i="154"/>
  <c r="D20" i="153"/>
  <c r="D70" i="154"/>
  <c r="C20" i="153"/>
  <c r="C70" i="154"/>
  <c r="T42" i="153"/>
  <c r="S19" i="153"/>
  <c r="S69" i="154"/>
  <c r="R19" i="153"/>
  <c r="R69" i="154"/>
  <c r="Q19" i="153"/>
  <c r="Q69" i="154"/>
  <c r="P19" i="153"/>
  <c r="P69" i="154"/>
  <c r="O19" i="153"/>
  <c r="O69" i="154"/>
  <c r="N19" i="153"/>
  <c r="N69" i="154"/>
  <c r="M19" i="153"/>
  <c r="M69" i="154"/>
  <c r="L19" i="153"/>
  <c r="L69" i="154"/>
  <c r="K19" i="153"/>
  <c r="K69" i="154"/>
  <c r="J19" i="153"/>
  <c r="J69" i="154"/>
  <c r="I19" i="153"/>
  <c r="I69" i="154"/>
  <c r="H19" i="153"/>
  <c r="H69" i="154"/>
  <c r="G19" i="153"/>
  <c r="G69" i="154"/>
  <c r="F19" i="153"/>
  <c r="F69" i="154"/>
  <c r="E19" i="153"/>
  <c r="E69" i="154"/>
  <c r="D19" i="153"/>
  <c r="D69" i="154"/>
  <c r="C19" i="153"/>
  <c r="C69" i="154"/>
  <c r="T41" i="153"/>
  <c r="S18" i="153"/>
  <c r="S68" i="154"/>
  <c r="R18" i="153"/>
  <c r="R68" i="154"/>
  <c r="Q18" i="153"/>
  <c r="Q68" i="154"/>
  <c r="P18" i="153"/>
  <c r="P68" i="154"/>
  <c r="O18" i="153"/>
  <c r="O68" i="154"/>
  <c r="N18" i="153"/>
  <c r="N68" i="154"/>
  <c r="M18" i="153"/>
  <c r="M68" i="154"/>
  <c r="L18" i="153"/>
  <c r="L68" i="154"/>
  <c r="K18" i="153"/>
  <c r="K68" i="154"/>
  <c r="J18" i="153"/>
  <c r="J68" i="154"/>
  <c r="I18" i="153"/>
  <c r="I68" i="154"/>
  <c r="H18" i="153"/>
  <c r="H68" i="154"/>
  <c r="G18" i="153"/>
  <c r="G68" i="154"/>
  <c r="F18" i="153"/>
  <c r="F68" i="154"/>
  <c r="E18" i="153"/>
  <c r="E68" i="154"/>
  <c r="D18" i="153"/>
  <c r="D68" i="154"/>
  <c r="C18" i="153"/>
  <c r="C68" i="154"/>
  <c r="T40" i="153"/>
  <c r="S17" i="153"/>
  <c r="S67" i="154"/>
  <c r="R17" i="153"/>
  <c r="R67" i="154"/>
  <c r="Q17" i="153"/>
  <c r="Q67" i="154"/>
  <c r="P17" i="153"/>
  <c r="P67" i="154"/>
  <c r="O17" i="153"/>
  <c r="O67" i="154"/>
  <c r="N17" i="153"/>
  <c r="N67" i="154"/>
  <c r="M17" i="153"/>
  <c r="M67" i="154"/>
  <c r="L17" i="153"/>
  <c r="L67" i="154"/>
  <c r="K17" i="153"/>
  <c r="K67" i="154"/>
  <c r="J17" i="153"/>
  <c r="J67" i="154"/>
  <c r="I17" i="153"/>
  <c r="I67" i="154"/>
  <c r="H17" i="153"/>
  <c r="H67" i="154"/>
  <c r="G17" i="153"/>
  <c r="G67" i="154"/>
  <c r="F17" i="153"/>
  <c r="F67" i="154"/>
  <c r="E17" i="153"/>
  <c r="E67" i="154"/>
  <c r="D17" i="153"/>
  <c r="D67" i="154"/>
  <c r="C17" i="153"/>
  <c r="C67" i="154"/>
  <c r="T39" i="153"/>
  <c r="S16" i="153"/>
  <c r="S66" i="154"/>
  <c r="R16" i="153"/>
  <c r="R66" i="154"/>
  <c r="Q16" i="153"/>
  <c r="Q66" i="154"/>
  <c r="P16" i="153"/>
  <c r="P66" i="154"/>
  <c r="O16" i="153"/>
  <c r="O66" i="154"/>
  <c r="N16" i="153"/>
  <c r="N66" i="154"/>
  <c r="M16" i="153"/>
  <c r="M66" i="154"/>
  <c r="L16" i="153"/>
  <c r="L66" i="154"/>
  <c r="K16" i="153"/>
  <c r="K66" i="154"/>
  <c r="J16" i="153"/>
  <c r="J66" i="154"/>
  <c r="I16" i="153"/>
  <c r="I66" i="154"/>
  <c r="H16" i="153"/>
  <c r="H66" i="154"/>
  <c r="G16" i="153"/>
  <c r="G66" i="154"/>
  <c r="F16" i="153"/>
  <c r="F66" i="154"/>
  <c r="E16" i="153"/>
  <c r="E66" i="154"/>
  <c r="D16" i="153"/>
  <c r="D66" i="154"/>
  <c r="C16" i="153"/>
  <c r="C66" i="154"/>
  <c r="T38" i="153"/>
  <c r="S15" i="153"/>
  <c r="S65" i="154"/>
  <c r="R15" i="153"/>
  <c r="R65" i="154"/>
  <c r="Q15" i="153"/>
  <c r="Q65" i="154"/>
  <c r="P15" i="153"/>
  <c r="P65" i="154"/>
  <c r="O15" i="153"/>
  <c r="O65" i="154"/>
  <c r="N15" i="153"/>
  <c r="N65" i="154"/>
  <c r="M15" i="153"/>
  <c r="M65" i="154"/>
  <c r="L15" i="153"/>
  <c r="L65" i="154"/>
  <c r="K15" i="153"/>
  <c r="K65" i="154"/>
  <c r="J15" i="153"/>
  <c r="J65" i="154"/>
  <c r="I15" i="153"/>
  <c r="I65" i="154"/>
  <c r="H15" i="153"/>
  <c r="H65" i="154"/>
  <c r="G15" i="153"/>
  <c r="G65" i="154"/>
  <c r="F15" i="153"/>
  <c r="F65" i="154"/>
  <c r="E15" i="153"/>
  <c r="E65" i="154"/>
  <c r="D15" i="153"/>
  <c r="D65" i="154"/>
  <c r="C15" i="153"/>
  <c r="C65" i="154"/>
  <c r="T37" i="153"/>
  <c r="S14" i="153"/>
  <c r="S64" i="154"/>
  <c r="R14" i="153"/>
  <c r="R64" i="154"/>
  <c r="Q14" i="153"/>
  <c r="Q64" i="154"/>
  <c r="P14" i="153"/>
  <c r="P64" i="154"/>
  <c r="O14" i="153"/>
  <c r="O64" i="154"/>
  <c r="N14" i="153"/>
  <c r="N64" i="154"/>
  <c r="M14" i="153"/>
  <c r="M64" i="154"/>
  <c r="L14" i="153"/>
  <c r="L64" i="154"/>
  <c r="K14" i="153"/>
  <c r="K64" i="154"/>
  <c r="J14" i="153"/>
  <c r="J64" i="154"/>
  <c r="I14" i="153"/>
  <c r="I64" i="154"/>
  <c r="H14" i="153"/>
  <c r="H64" i="154"/>
  <c r="G14" i="153"/>
  <c r="G64" i="154"/>
  <c r="F14" i="153"/>
  <c r="F64" i="154"/>
  <c r="E14" i="153"/>
  <c r="E64" i="154"/>
  <c r="D14" i="153"/>
  <c r="D64" i="154"/>
  <c r="C14" i="153"/>
  <c r="C64" i="154"/>
  <c r="T36" i="153"/>
  <c r="S13" i="153"/>
  <c r="S63" i="154"/>
  <c r="R13" i="153"/>
  <c r="R63" i="154"/>
  <c r="Q13" i="153"/>
  <c r="Q63" i="154"/>
  <c r="P13" i="153"/>
  <c r="P63" i="154"/>
  <c r="O13" i="153"/>
  <c r="O63" i="154"/>
  <c r="N13" i="153"/>
  <c r="N63" i="154"/>
  <c r="M13" i="153"/>
  <c r="M63" i="154"/>
  <c r="L13" i="153"/>
  <c r="L63" i="154"/>
  <c r="K13" i="153"/>
  <c r="K63" i="154"/>
  <c r="J13" i="153"/>
  <c r="J63" i="154"/>
  <c r="I13" i="153"/>
  <c r="I63" i="154"/>
  <c r="H13" i="153"/>
  <c r="H63" i="154"/>
  <c r="G13" i="153"/>
  <c r="G63" i="154"/>
  <c r="F13" i="153"/>
  <c r="F63" i="154"/>
  <c r="E13" i="153"/>
  <c r="E63" i="154"/>
  <c r="D13" i="153"/>
  <c r="D63" i="154"/>
  <c r="C13" i="153"/>
  <c r="C63" i="154"/>
  <c r="T35" i="153"/>
  <c r="S12" i="153"/>
  <c r="S62" i="154"/>
  <c r="R12" i="153"/>
  <c r="R62" i="154"/>
  <c r="Q12" i="153"/>
  <c r="Q62" i="154"/>
  <c r="P12" i="153"/>
  <c r="P62" i="154"/>
  <c r="O12" i="153"/>
  <c r="O62" i="154"/>
  <c r="N12" i="153"/>
  <c r="N62" i="154"/>
  <c r="M12" i="153"/>
  <c r="M62" i="154"/>
  <c r="L12" i="153"/>
  <c r="L62" i="154"/>
  <c r="K12" i="153"/>
  <c r="K62" i="154"/>
  <c r="J12" i="153"/>
  <c r="J62" i="154"/>
  <c r="I12" i="153"/>
  <c r="I62" i="154"/>
  <c r="H12" i="153"/>
  <c r="H62" i="154"/>
  <c r="G12" i="153"/>
  <c r="G62" i="154"/>
  <c r="F12" i="153"/>
  <c r="F62" i="154"/>
  <c r="E12" i="153"/>
  <c r="E62" i="154"/>
  <c r="D12" i="153"/>
  <c r="D62" i="154"/>
  <c r="C12" i="153"/>
  <c r="C62" i="154"/>
  <c r="T34" i="153"/>
  <c r="S11" i="153"/>
  <c r="S61" i="154"/>
  <c r="R11" i="153"/>
  <c r="R61" i="154"/>
  <c r="Q11" i="153"/>
  <c r="Q61" i="154"/>
  <c r="P11" i="153"/>
  <c r="P61" i="154"/>
  <c r="O11" i="153"/>
  <c r="O61" i="154"/>
  <c r="N11" i="153"/>
  <c r="N61" i="154"/>
  <c r="M11" i="153"/>
  <c r="M61" i="154"/>
  <c r="L11" i="153"/>
  <c r="L61" i="154"/>
  <c r="K11" i="153"/>
  <c r="K61" i="154"/>
  <c r="J11" i="153"/>
  <c r="J61" i="154"/>
  <c r="I11" i="153"/>
  <c r="I61" i="154"/>
  <c r="H11" i="153"/>
  <c r="H61" i="154"/>
  <c r="G11" i="153"/>
  <c r="G61" i="154"/>
  <c r="F11" i="153"/>
  <c r="F61" i="154"/>
  <c r="E11" i="153"/>
  <c r="E61" i="154"/>
  <c r="D11" i="153"/>
  <c r="D61" i="154"/>
  <c r="C11" i="153"/>
  <c r="C61" i="154"/>
  <c r="T33" i="153"/>
  <c r="S10" i="153"/>
  <c r="S60" i="154"/>
  <c r="R10" i="153"/>
  <c r="R60" i="154"/>
  <c r="Q10" i="153"/>
  <c r="Q60" i="154"/>
  <c r="P10" i="153"/>
  <c r="P60" i="154"/>
  <c r="O10" i="153"/>
  <c r="O60" i="154"/>
  <c r="N10" i="153"/>
  <c r="N60" i="154"/>
  <c r="M10" i="153"/>
  <c r="M60" i="154"/>
  <c r="L10" i="153"/>
  <c r="L60" i="154"/>
  <c r="K10" i="153"/>
  <c r="K60" i="154"/>
  <c r="J10" i="153"/>
  <c r="J60" i="154"/>
  <c r="I10" i="153"/>
  <c r="I60" i="154"/>
  <c r="H10" i="153"/>
  <c r="H60" i="154"/>
  <c r="G10" i="153"/>
  <c r="G60" i="154"/>
  <c r="F10" i="153"/>
  <c r="F60" i="154"/>
  <c r="E10" i="153"/>
  <c r="E60" i="154"/>
  <c r="D10" i="153"/>
  <c r="D60" i="154"/>
  <c r="C10" i="153"/>
  <c r="C60" i="154"/>
  <c r="T31" i="153"/>
  <c r="S8" i="153"/>
  <c r="S58" i="154"/>
  <c r="R8" i="153"/>
  <c r="R58" i="154"/>
  <c r="Q8" i="153"/>
  <c r="Q58" i="154"/>
  <c r="P8" i="153"/>
  <c r="P58" i="154"/>
  <c r="O8" i="153"/>
  <c r="O58" i="154"/>
  <c r="N8" i="153"/>
  <c r="N58" i="154"/>
  <c r="M8" i="153"/>
  <c r="M58" i="154"/>
  <c r="L8" i="153"/>
  <c r="L58" i="154"/>
  <c r="K8" i="153"/>
  <c r="K58" i="154"/>
  <c r="J8" i="153"/>
  <c r="J58" i="154"/>
  <c r="I8" i="153"/>
  <c r="I58" i="154"/>
  <c r="H8" i="153"/>
  <c r="H58" i="154"/>
  <c r="G8" i="153"/>
  <c r="G58" i="154"/>
  <c r="F8" i="153"/>
  <c r="F58" i="154"/>
  <c r="E8" i="153"/>
  <c r="E58" i="154"/>
  <c r="D8" i="153"/>
  <c r="D58" i="154"/>
  <c r="C8" i="153"/>
  <c r="C58" i="154"/>
  <c r="T30" i="153"/>
  <c r="S7" i="153"/>
  <c r="S57" i="154"/>
  <c r="R7" i="153"/>
  <c r="R57" i="154"/>
  <c r="Q7" i="153"/>
  <c r="Q57" i="154"/>
  <c r="P7" i="153"/>
  <c r="P57" i="154"/>
  <c r="O7" i="153"/>
  <c r="O57" i="154"/>
  <c r="N7" i="153"/>
  <c r="N57" i="154"/>
  <c r="M7" i="153"/>
  <c r="M57" i="154"/>
  <c r="L7" i="153"/>
  <c r="L57" i="154"/>
  <c r="K7" i="153"/>
  <c r="K57" i="154"/>
  <c r="J7" i="153"/>
  <c r="J57" i="154"/>
  <c r="I7" i="153"/>
  <c r="I57" i="154"/>
  <c r="H7" i="153"/>
  <c r="H57" i="154"/>
  <c r="G7" i="153"/>
  <c r="G57" i="154"/>
  <c r="F7" i="153"/>
  <c r="F57" i="154"/>
  <c r="E7" i="153"/>
  <c r="E57" i="154"/>
  <c r="D7" i="153"/>
  <c r="D57" i="154"/>
  <c r="C7" i="153"/>
  <c r="C57" i="154"/>
  <c r="T29" i="153"/>
  <c r="S6" i="153"/>
  <c r="S56" i="154"/>
  <c r="R6" i="153"/>
  <c r="R56" i="154"/>
  <c r="Q6" i="153"/>
  <c r="Q56" i="154"/>
  <c r="P6" i="153"/>
  <c r="P56" i="154"/>
  <c r="O6" i="153"/>
  <c r="O56" i="154"/>
  <c r="N6" i="153"/>
  <c r="N56" i="154"/>
  <c r="M6" i="153"/>
  <c r="M56" i="154"/>
  <c r="L6" i="153"/>
  <c r="L56" i="154"/>
  <c r="K6" i="153"/>
  <c r="K56" i="154"/>
  <c r="J6" i="153"/>
  <c r="J56" i="154"/>
  <c r="I6" i="153"/>
  <c r="I56" i="154"/>
  <c r="H6" i="153"/>
  <c r="H56" i="154"/>
  <c r="G6" i="153"/>
  <c r="G56" i="154"/>
  <c r="F6" i="153"/>
  <c r="F56" i="154"/>
  <c r="E6" i="153"/>
  <c r="E56" i="154"/>
  <c r="D6" i="153"/>
  <c r="D56" i="154"/>
  <c r="C6" i="153"/>
  <c r="C56" i="154"/>
  <c r="T28" i="153"/>
  <c r="S5" i="153"/>
  <c r="S55" i="154"/>
  <c r="R5" i="153"/>
  <c r="R55" i="154"/>
  <c r="Q5" i="153"/>
  <c r="Q55" i="154"/>
  <c r="P5" i="153"/>
  <c r="P55" i="154"/>
  <c r="O5" i="153"/>
  <c r="O55" i="154"/>
  <c r="N5" i="153"/>
  <c r="N55" i="154"/>
  <c r="M5" i="153"/>
  <c r="M55" i="154"/>
  <c r="L5" i="153"/>
  <c r="L55" i="154"/>
  <c r="K5" i="153"/>
  <c r="K55" i="154"/>
  <c r="J5" i="153"/>
  <c r="J55" i="154"/>
  <c r="I5" i="153"/>
  <c r="I55" i="154"/>
  <c r="H5" i="153"/>
  <c r="H55" i="154"/>
  <c r="G5" i="153"/>
  <c r="G55" i="154"/>
  <c r="F5" i="153"/>
  <c r="F55" i="154"/>
  <c r="E5" i="153"/>
  <c r="E55" i="154"/>
  <c r="D5" i="153"/>
  <c r="D55" i="154"/>
  <c r="C5" i="153"/>
  <c r="C55" i="154"/>
  <c r="T27" i="153"/>
  <c r="S4" i="153"/>
  <c r="S54" i="154"/>
  <c r="R4" i="153"/>
  <c r="R54" i="154"/>
  <c r="Q4" i="153"/>
  <c r="Q54" i="154"/>
  <c r="P4" i="153"/>
  <c r="P54" i="154"/>
  <c r="O4" i="153"/>
  <c r="O54" i="154"/>
  <c r="N4" i="153"/>
  <c r="N54" i="154"/>
  <c r="M4" i="153"/>
  <c r="M54" i="154"/>
  <c r="L4" i="153"/>
  <c r="L54" i="154"/>
  <c r="K4" i="153"/>
  <c r="K54" i="154"/>
  <c r="J4" i="153"/>
  <c r="J54" i="154"/>
  <c r="I4" i="153"/>
  <c r="I54" i="154"/>
  <c r="H4" i="153"/>
  <c r="H54" i="154"/>
  <c r="G4" i="153"/>
  <c r="G54" i="154"/>
  <c r="F4" i="153"/>
  <c r="F54" i="154"/>
  <c r="E4" i="153"/>
  <c r="E54" i="154"/>
  <c r="D4" i="153"/>
  <c r="D54" i="154"/>
  <c r="C4" i="153"/>
  <c r="C54" i="154"/>
  <c r="T26" i="153"/>
  <c r="S3" i="153"/>
  <c r="S53" i="154"/>
  <c r="R3" i="153"/>
  <c r="R53" i="154"/>
  <c r="Q3" i="153"/>
  <c r="Q53" i="154"/>
  <c r="P3" i="153"/>
  <c r="P53" i="154"/>
  <c r="O3" i="153"/>
  <c r="O53" i="154"/>
  <c r="N3" i="153"/>
  <c r="N53" i="154"/>
  <c r="M3" i="153"/>
  <c r="M53" i="154"/>
  <c r="L3" i="153"/>
  <c r="L53" i="154"/>
  <c r="K3" i="153"/>
  <c r="K53" i="154"/>
  <c r="J3" i="153"/>
  <c r="J53" i="154"/>
  <c r="I3" i="153"/>
  <c r="I53" i="154"/>
  <c r="H3" i="153"/>
  <c r="H53" i="154"/>
  <c r="G3" i="153"/>
  <c r="G53" i="154"/>
  <c r="F3" i="153"/>
  <c r="F53" i="154"/>
  <c r="E3" i="153"/>
  <c r="E53" i="154"/>
  <c r="D3" i="153"/>
  <c r="D53" i="154"/>
  <c r="C3" i="153"/>
  <c r="C53" i="154"/>
  <c r="T46" i="128"/>
  <c r="S23" i="128"/>
  <c r="S49" i="154"/>
  <c r="R23" i="128"/>
  <c r="R49" i="154"/>
  <c r="Q23" i="128"/>
  <c r="Q49" i="154"/>
  <c r="P23" i="128"/>
  <c r="P49" i="154"/>
  <c r="O23" i="128"/>
  <c r="O49" i="154"/>
  <c r="N23" i="128"/>
  <c r="N49" i="154"/>
  <c r="M23" i="128"/>
  <c r="M49" i="154"/>
  <c r="L23" i="128"/>
  <c r="L49" i="154"/>
  <c r="K23" i="128"/>
  <c r="K49" i="154"/>
  <c r="J23" i="128"/>
  <c r="J49" i="154"/>
  <c r="I23" i="128"/>
  <c r="I49" i="154"/>
  <c r="H23" i="128"/>
  <c r="H49" i="154"/>
  <c r="G23" i="128"/>
  <c r="G49" i="154"/>
  <c r="F23" i="128"/>
  <c r="F49" i="154"/>
  <c r="E23" i="128"/>
  <c r="E49" i="154"/>
  <c r="D23" i="128"/>
  <c r="D49" i="154"/>
  <c r="C23" i="128"/>
  <c r="C49" i="154"/>
  <c r="T45" i="128"/>
  <c r="S22" i="128"/>
  <c r="S48" i="154"/>
  <c r="R22" i="128"/>
  <c r="R48" i="154"/>
  <c r="Q22" i="128"/>
  <c r="Q48" i="154"/>
  <c r="P22" i="128"/>
  <c r="P48" i="154"/>
  <c r="O22" i="128"/>
  <c r="O48" i="154"/>
  <c r="N22" i="128"/>
  <c r="N48" i="154"/>
  <c r="M22" i="128"/>
  <c r="M48" i="154"/>
  <c r="L22" i="128"/>
  <c r="L48" i="154"/>
  <c r="K22" i="128"/>
  <c r="K48" i="154"/>
  <c r="J22" i="128"/>
  <c r="J48" i="154"/>
  <c r="I22" i="128"/>
  <c r="I48" i="154"/>
  <c r="H22" i="128"/>
  <c r="H48" i="154"/>
  <c r="G22" i="128"/>
  <c r="G48" i="154"/>
  <c r="F22" i="128"/>
  <c r="F48" i="154"/>
  <c r="E22" i="128"/>
  <c r="E48" i="154"/>
  <c r="D22" i="128"/>
  <c r="D48" i="154"/>
  <c r="C22" i="128"/>
  <c r="C48" i="154"/>
  <c r="T44" i="128"/>
  <c r="S21" i="128"/>
  <c r="S47" i="154"/>
  <c r="R21" i="128"/>
  <c r="R47" i="154"/>
  <c r="Q21" i="128"/>
  <c r="Q47" i="154"/>
  <c r="P21" i="128"/>
  <c r="P47" i="154"/>
  <c r="O21" i="128"/>
  <c r="O47" i="154"/>
  <c r="N21" i="128"/>
  <c r="N47" i="154"/>
  <c r="M21" i="128"/>
  <c r="M47" i="154"/>
  <c r="L21" i="128"/>
  <c r="L47" i="154"/>
  <c r="K21" i="128"/>
  <c r="K47" i="154"/>
  <c r="J21" i="128"/>
  <c r="J47" i="154"/>
  <c r="I21" i="128"/>
  <c r="I47" i="154"/>
  <c r="H21" i="128"/>
  <c r="H47" i="154"/>
  <c r="G21" i="128"/>
  <c r="G47" i="154"/>
  <c r="F21" i="128"/>
  <c r="F47" i="154"/>
  <c r="E21" i="128"/>
  <c r="E47" i="154"/>
  <c r="D21" i="128"/>
  <c r="D47" i="154"/>
  <c r="C21" i="128"/>
  <c r="C47" i="154"/>
  <c r="T43" i="128"/>
  <c r="S20" i="128"/>
  <c r="S46" i="154"/>
  <c r="R20" i="128"/>
  <c r="R46" i="154"/>
  <c r="Q20" i="128"/>
  <c r="Q46" i="154"/>
  <c r="P20" i="128"/>
  <c r="P46" i="154"/>
  <c r="O20" i="128"/>
  <c r="O46" i="154"/>
  <c r="N20" i="128"/>
  <c r="N46" i="154"/>
  <c r="M20" i="128"/>
  <c r="M46" i="154"/>
  <c r="L20" i="128"/>
  <c r="L46" i="154"/>
  <c r="K20" i="128"/>
  <c r="K46" i="154"/>
  <c r="J20" i="128"/>
  <c r="J46" i="154"/>
  <c r="I20" i="128"/>
  <c r="I46" i="154"/>
  <c r="H20" i="128"/>
  <c r="H46" i="154"/>
  <c r="G20" i="128"/>
  <c r="G46" i="154"/>
  <c r="F20" i="128"/>
  <c r="F46" i="154"/>
  <c r="E20" i="128"/>
  <c r="E46" i="154"/>
  <c r="D20" i="128"/>
  <c r="D46" i="154"/>
  <c r="C20" i="128"/>
  <c r="C46" i="154"/>
  <c r="T42" i="128"/>
  <c r="S19" i="128"/>
  <c r="S45" i="154"/>
  <c r="R19" i="128"/>
  <c r="R45" i="154"/>
  <c r="Q19" i="128"/>
  <c r="Q45" i="154"/>
  <c r="P19" i="128"/>
  <c r="P45" i="154"/>
  <c r="O19" i="128"/>
  <c r="O45" i="154"/>
  <c r="N19" i="128"/>
  <c r="N45" i="154"/>
  <c r="M19" i="128"/>
  <c r="M45" i="154"/>
  <c r="L19" i="128"/>
  <c r="L45" i="154"/>
  <c r="K19" i="128"/>
  <c r="K45" i="154"/>
  <c r="J19" i="128"/>
  <c r="J45" i="154"/>
  <c r="I19" i="128"/>
  <c r="I45" i="154"/>
  <c r="H19" i="128"/>
  <c r="H45" i="154"/>
  <c r="G19" i="128"/>
  <c r="G45" i="154"/>
  <c r="F19" i="128"/>
  <c r="F45" i="154"/>
  <c r="E19" i="128"/>
  <c r="E45" i="154"/>
  <c r="D19" i="128"/>
  <c r="D45" i="154"/>
  <c r="C19" i="128"/>
  <c r="C45" i="154"/>
  <c r="T41" i="128"/>
  <c r="S18" i="128"/>
  <c r="S44" i="154"/>
  <c r="R18" i="128"/>
  <c r="R44" i="154"/>
  <c r="Q18" i="128"/>
  <c r="Q44" i="154"/>
  <c r="P18" i="128"/>
  <c r="P44" i="154"/>
  <c r="O18" i="128"/>
  <c r="O44" i="154"/>
  <c r="N18" i="128"/>
  <c r="N44" i="154"/>
  <c r="M18" i="128"/>
  <c r="M44" i="154"/>
  <c r="L18" i="128"/>
  <c r="L44" i="154"/>
  <c r="K18" i="128"/>
  <c r="K44" i="154"/>
  <c r="J18" i="128"/>
  <c r="J44" i="154"/>
  <c r="I18" i="128"/>
  <c r="I44" i="154"/>
  <c r="H18" i="128"/>
  <c r="H44" i="154"/>
  <c r="G18" i="128"/>
  <c r="G44" i="154"/>
  <c r="F18" i="128"/>
  <c r="F44" i="154"/>
  <c r="E18" i="128"/>
  <c r="E44" i="154"/>
  <c r="D18" i="128"/>
  <c r="D44" i="154"/>
  <c r="C18" i="128"/>
  <c r="C44" i="154"/>
  <c r="T40" i="128"/>
  <c r="S17" i="128"/>
  <c r="S43" i="154"/>
  <c r="R17" i="128"/>
  <c r="R43" i="154"/>
  <c r="Q17" i="128"/>
  <c r="Q43" i="154"/>
  <c r="P17" i="128"/>
  <c r="P43" i="154"/>
  <c r="O17" i="128"/>
  <c r="O43" i="154"/>
  <c r="N17" i="128"/>
  <c r="N43" i="154"/>
  <c r="M17" i="128"/>
  <c r="M43" i="154"/>
  <c r="L17" i="128"/>
  <c r="L43" i="154"/>
  <c r="K17" i="128"/>
  <c r="K43" i="154"/>
  <c r="J17" i="128"/>
  <c r="J43" i="154"/>
  <c r="I17" i="128"/>
  <c r="I43" i="154"/>
  <c r="H17" i="128"/>
  <c r="H43" i="154"/>
  <c r="G17" i="128"/>
  <c r="G43" i="154"/>
  <c r="F17" i="128"/>
  <c r="F43" i="154"/>
  <c r="E17" i="128"/>
  <c r="E43" i="154"/>
  <c r="D17" i="128"/>
  <c r="D43" i="154"/>
  <c r="C17" i="128"/>
  <c r="C43" i="154"/>
  <c r="T39" i="128"/>
  <c r="S16" i="128"/>
  <c r="S42" i="154"/>
  <c r="R16" i="128"/>
  <c r="R42" i="154"/>
  <c r="Q16" i="128"/>
  <c r="Q42" i="154"/>
  <c r="P16" i="128"/>
  <c r="P42" i="154"/>
  <c r="O16" i="128"/>
  <c r="O42" i="154"/>
  <c r="N16" i="128"/>
  <c r="N42" i="154"/>
  <c r="M16" i="128"/>
  <c r="M42" i="154"/>
  <c r="L16" i="128"/>
  <c r="L42" i="154"/>
  <c r="K16" i="128"/>
  <c r="K42" i="154"/>
  <c r="J16" i="128"/>
  <c r="J42" i="154"/>
  <c r="I16" i="128"/>
  <c r="I42" i="154"/>
  <c r="H16" i="128"/>
  <c r="H42" i="154"/>
  <c r="G16" i="128"/>
  <c r="G42" i="154"/>
  <c r="F16" i="128"/>
  <c r="F42" i="154"/>
  <c r="E16" i="128"/>
  <c r="E42" i="154"/>
  <c r="D16" i="128"/>
  <c r="D42" i="154"/>
  <c r="C16" i="128"/>
  <c r="C42" i="154"/>
  <c r="T38" i="128"/>
  <c r="S15" i="128"/>
  <c r="S41" i="154"/>
  <c r="R15" i="128"/>
  <c r="R41" i="154"/>
  <c r="Q15" i="128"/>
  <c r="Q41" i="154"/>
  <c r="P15" i="128"/>
  <c r="P41" i="154"/>
  <c r="O15" i="128"/>
  <c r="O41" i="154"/>
  <c r="N15" i="128"/>
  <c r="N41" i="154"/>
  <c r="M15" i="128"/>
  <c r="M41" i="154"/>
  <c r="L15" i="128"/>
  <c r="L41" i="154"/>
  <c r="K15" i="128"/>
  <c r="K41" i="154"/>
  <c r="J15" i="128"/>
  <c r="J41" i="154"/>
  <c r="I15" i="128"/>
  <c r="I41" i="154"/>
  <c r="H15" i="128"/>
  <c r="H41" i="154"/>
  <c r="G15" i="128"/>
  <c r="G41" i="154"/>
  <c r="F15" i="128"/>
  <c r="F41" i="154"/>
  <c r="E15" i="128"/>
  <c r="E41" i="154"/>
  <c r="D15" i="128"/>
  <c r="D41" i="154"/>
  <c r="C15" i="128"/>
  <c r="C41" i="154"/>
  <c r="T37" i="128"/>
  <c r="S14" i="128"/>
  <c r="S40" i="154"/>
  <c r="R14" i="128"/>
  <c r="R40" i="154"/>
  <c r="Q14" i="128"/>
  <c r="Q40" i="154"/>
  <c r="P14" i="128"/>
  <c r="P40" i="154"/>
  <c r="O14" i="128"/>
  <c r="O40" i="154"/>
  <c r="N14" i="128"/>
  <c r="N40" i="154"/>
  <c r="M14" i="128"/>
  <c r="M40" i="154"/>
  <c r="L14" i="128"/>
  <c r="L40" i="154"/>
  <c r="K14" i="128"/>
  <c r="K40" i="154"/>
  <c r="J14" i="128"/>
  <c r="J40" i="154"/>
  <c r="I14" i="128"/>
  <c r="I40" i="154"/>
  <c r="H14" i="128"/>
  <c r="H40" i="154"/>
  <c r="G14" i="128"/>
  <c r="G40" i="154"/>
  <c r="F14" i="128"/>
  <c r="F40" i="154"/>
  <c r="E14" i="128"/>
  <c r="E40" i="154"/>
  <c r="D14" i="128"/>
  <c r="D40" i="154"/>
  <c r="C14" i="128"/>
  <c r="C40" i="154"/>
  <c r="T36" i="128"/>
  <c r="S13" i="128"/>
  <c r="S39" i="154"/>
  <c r="R13" i="128"/>
  <c r="R39" i="154"/>
  <c r="Q13" i="128"/>
  <c r="Q39" i="154"/>
  <c r="P13" i="128"/>
  <c r="P39" i="154"/>
  <c r="O13" i="128"/>
  <c r="O39" i="154"/>
  <c r="N13" i="128"/>
  <c r="N39" i="154"/>
  <c r="M13" i="128"/>
  <c r="M39" i="154"/>
  <c r="L13" i="128"/>
  <c r="L39" i="154"/>
  <c r="K13" i="128"/>
  <c r="K39" i="154"/>
  <c r="J13" i="128"/>
  <c r="J39" i="154"/>
  <c r="I13" i="128"/>
  <c r="I39" i="154"/>
  <c r="H13" i="128"/>
  <c r="H39" i="154"/>
  <c r="G13" i="128"/>
  <c r="G39" i="154"/>
  <c r="F13" i="128"/>
  <c r="F39" i="154"/>
  <c r="E13" i="128"/>
  <c r="E39" i="154"/>
  <c r="D13" i="128"/>
  <c r="D39" i="154"/>
  <c r="C13" i="128"/>
  <c r="C39" i="154"/>
  <c r="T35" i="128"/>
  <c r="S12" i="128"/>
  <c r="S38" i="154"/>
  <c r="R12" i="128"/>
  <c r="R38" i="154"/>
  <c r="Q12" i="128"/>
  <c r="Q38" i="154"/>
  <c r="P12" i="128"/>
  <c r="P38" i="154"/>
  <c r="O12" i="128"/>
  <c r="O38" i="154"/>
  <c r="N12" i="128"/>
  <c r="N38" i="154"/>
  <c r="M12" i="128"/>
  <c r="M38" i="154"/>
  <c r="L12" i="128"/>
  <c r="L38" i="154"/>
  <c r="K12" i="128"/>
  <c r="K38" i="154"/>
  <c r="J12" i="128"/>
  <c r="J38" i="154"/>
  <c r="I12" i="128"/>
  <c r="I38" i="154"/>
  <c r="H12" i="128"/>
  <c r="H38" i="154"/>
  <c r="G12" i="128"/>
  <c r="G38" i="154"/>
  <c r="F12" i="128"/>
  <c r="F38" i="154"/>
  <c r="E12" i="128"/>
  <c r="E38" i="154"/>
  <c r="D12" i="128"/>
  <c r="D38" i="154"/>
  <c r="C12" i="128"/>
  <c r="C38" i="154"/>
  <c r="T34" i="128"/>
  <c r="S11" i="128"/>
  <c r="S37" i="154"/>
  <c r="R11" i="128"/>
  <c r="R37" i="154"/>
  <c r="Q11" i="128"/>
  <c r="Q37" i="154"/>
  <c r="P11" i="128"/>
  <c r="P37" i="154"/>
  <c r="O11" i="128"/>
  <c r="O37" i="154"/>
  <c r="N11" i="128"/>
  <c r="N37" i="154"/>
  <c r="M11" i="128"/>
  <c r="M37" i="154"/>
  <c r="L11" i="128"/>
  <c r="L37" i="154"/>
  <c r="K11" i="128"/>
  <c r="K37" i="154"/>
  <c r="J11" i="128"/>
  <c r="J37" i="154"/>
  <c r="I11" i="128"/>
  <c r="I37" i="154"/>
  <c r="H11" i="128"/>
  <c r="H37" i="154"/>
  <c r="G11" i="128"/>
  <c r="G37" i="154"/>
  <c r="F11" i="128"/>
  <c r="F37" i="154"/>
  <c r="E11" i="128"/>
  <c r="E37" i="154"/>
  <c r="D11" i="128"/>
  <c r="D37" i="154"/>
  <c r="C11" i="128"/>
  <c r="C37" i="154"/>
  <c r="T33" i="128"/>
  <c r="S10" i="128"/>
  <c r="S36" i="154"/>
  <c r="R10" i="128"/>
  <c r="R36" i="154"/>
  <c r="Q10" i="128"/>
  <c r="Q36" i="154"/>
  <c r="P10" i="128"/>
  <c r="P36" i="154"/>
  <c r="O10" i="128"/>
  <c r="O36" i="154"/>
  <c r="N10" i="128"/>
  <c r="N36" i="154"/>
  <c r="M10" i="128"/>
  <c r="M36" i="154"/>
  <c r="L10" i="128"/>
  <c r="L36" i="154"/>
  <c r="K10" i="128"/>
  <c r="K36" i="154"/>
  <c r="J10" i="128"/>
  <c r="J36" i="154"/>
  <c r="I10" i="128"/>
  <c r="I36" i="154"/>
  <c r="H10" i="128"/>
  <c r="H36" i="154"/>
  <c r="G10" i="128"/>
  <c r="G36" i="154"/>
  <c r="F10" i="128"/>
  <c r="F36" i="154"/>
  <c r="E10" i="128"/>
  <c r="E36" i="154"/>
  <c r="D10" i="128"/>
  <c r="D36" i="154"/>
  <c r="C10" i="128"/>
  <c r="C36" i="154"/>
  <c r="T31" i="128"/>
  <c r="S8" i="128"/>
  <c r="S34" i="154"/>
  <c r="R8" i="128"/>
  <c r="R34" i="154"/>
  <c r="Q8" i="128"/>
  <c r="Q34" i="154"/>
  <c r="P8" i="128"/>
  <c r="P34" i="154"/>
  <c r="O8" i="128"/>
  <c r="O34" i="154"/>
  <c r="N8" i="128"/>
  <c r="N34" i="154"/>
  <c r="M8" i="128"/>
  <c r="M34" i="154"/>
  <c r="L8" i="128"/>
  <c r="L34" i="154"/>
  <c r="K8" i="128"/>
  <c r="K34" i="154"/>
  <c r="J8" i="128"/>
  <c r="J34" i="154"/>
  <c r="I8" i="128"/>
  <c r="I34" i="154"/>
  <c r="H8" i="128"/>
  <c r="H34" i="154"/>
  <c r="G8" i="128"/>
  <c r="G34" i="154"/>
  <c r="F8" i="128"/>
  <c r="F34" i="154"/>
  <c r="E8" i="128"/>
  <c r="E34" i="154"/>
  <c r="D8" i="128"/>
  <c r="D34" i="154"/>
  <c r="C8" i="128"/>
  <c r="C34" i="154"/>
  <c r="T30" i="128"/>
  <c r="S7" i="128"/>
  <c r="S33" i="154"/>
  <c r="R7" i="128"/>
  <c r="R33" i="154"/>
  <c r="Q7" i="128"/>
  <c r="Q33" i="154"/>
  <c r="P7" i="128"/>
  <c r="P33" i="154"/>
  <c r="O7" i="128"/>
  <c r="O33" i="154"/>
  <c r="N7" i="128"/>
  <c r="N33" i="154"/>
  <c r="M7" i="128"/>
  <c r="M33" i="154"/>
  <c r="L7" i="128"/>
  <c r="L33" i="154"/>
  <c r="K7" i="128"/>
  <c r="K33" i="154"/>
  <c r="J7" i="128"/>
  <c r="J33" i="154"/>
  <c r="I7" i="128"/>
  <c r="I33" i="154"/>
  <c r="H7" i="128"/>
  <c r="H33" i="154"/>
  <c r="G7" i="128"/>
  <c r="G33" i="154"/>
  <c r="F7" i="128"/>
  <c r="F33" i="154"/>
  <c r="E7" i="128"/>
  <c r="E33" i="154"/>
  <c r="D7" i="128"/>
  <c r="D33" i="154"/>
  <c r="C7" i="128"/>
  <c r="C33" i="154"/>
  <c r="T29" i="128"/>
  <c r="S6" i="128"/>
  <c r="S32" i="154"/>
  <c r="R6" i="128"/>
  <c r="R32" i="154"/>
  <c r="Q6" i="128"/>
  <c r="Q32" i="154"/>
  <c r="P6" i="128"/>
  <c r="P32" i="154"/>
  <c r="O6" i="128"/>
  <c r="O32" i="154"/>
  <c r="N6" i="128"/>
  <c r="N32" i="154"/>
  <c r="M6" i="128"/>
  <c r="M32" i="154"/>
  <c r="L6" i="128"/>
  <c r="L32" i="154"/>
  <c r="K6" i="128"/>
  <c r="K32" i="154"/>
  <c r="J6" i="128"/>
  <c r="J32" i="154"/>
  <c r="I6" i="128"/>
  <c r="I32" i="154"/>
  <c r="H6" i="128"/>
  <c r="H32" i="154"/>
  <c r="G6" i="128"/>
  <c r="G32" i="154"/>
  <c r="F6" i="128"/>
  <c r="F32" i="154"/>
  <c r="E6" i="128"/>
  <c r="E32" i="154"/>
  <c r="D6" i="128"/>
  <c r="D32" i="154"/>
  <c r="C6" i="128"/>
  <c r="C32" i="154"/>
  <c r="T28" i="128"/>
  <c r="S5" i="128"/>
  <c r="S31" i="154"/>
  <c r="R5" i="128"/>
  <c r="R31" i="154"/>
  <c r="Q5" i="128"/>
  <c r="Q31" i="154"/>
  <c r="P5" i="128"/>
  <c r="P31" i="154"/>
  <c r="O5" i="128"/>
  <c r="O31" i="154"/>
  <c r="N5" i="128"/>
  <c r="N31" i="154"/>
  <c r="M5" i="128"/>
  <c r="M31" i="154"/>
  <c r="L5" i="128"/>
  <c r="L31" i="154"/>
  <c r="K5" i="128"/>
  <c r="K31" i="154"/>
  <c r="J5" i="128"/>
  <c r="J31" i="154"/>
  <c r="I5" i="128"/>
  <c r="I31" i="154"/>
  <c r="H5" i="128"/>
  <c r="H31" i="154"/>
  <c r="G5" i="128"/>
  <c r="G31" i="154"/>
  <c r="F5" i="128"/>
  <c r="F31" i="154"/>
  <c r="E5" i="128"/>
  <c r="E31" i="154"/>
  <c r="D5" i="128"/>
  <c r="D31" i="154"/>
  <c r="C5" i="128"/>
  <c r="C31" i="154"/>
  <c r="T27" i="128"/>
  <c r="S4" i="128"/>
  <c r="S30" i="154"/>
  <c r="R4" i="128"/>
  <c r="R30" i="154"/>
  <c r="Q4" i="128"/>
  <c r="Q30" i="154"/>
  <c r="P4" i="128"/>
  <c r="P30" i="154"/>
  <c r="O4" i="128"/>
  <c r="O30" i="154"/>
  <c r="N4" i="128"/>
  <c r="N30" i="154"/>
  <c r="M4" i="128"/>
  <c r="M30" i="154"/>
  <c r="L4" i="128"/>
  <c r="L30" i="154"/>
  <c r="K4" i="128"/>
  <c r="K30" i="154"/>
  <c r="J4" i="128"/>
  <c r="J30" i="154"/>
  <c r="I4" i="128"/>
  <c r="I30" i="154"/>
  <c r="H4" i="128"/>
  <c r="H30" i="154"/>
  <c r="G4" i="128"/>
  <c r="G30" i="154"/>
  <c r="F4" i="128"/>
  <c r="F30" i="154"/>
  <c r="E4" i="128"/>
  <c r="E30" i="154"/>
  <c r="D4" i="128"/>
  <c r="D30" i="154"/>
  <c r="C4" i="128"/>
  <c r="C30" i="154"/>
  <c r="T26" i="128"/>
  <c r="S3" i="128"/>
  <c r="S29" i="154"/>
  <c r="R3" i="128"/>
  <c r="R29" i="154"/>
  <c r="Q3" i="128"/>
  <c r="Q29" i="154"/>
  <c r="P3" i="128"/>
  <c r="P29" i="154"/>
  <c r="O3" i="128"/>
  <c r="O29" i="154"/>
  <c r="N3" i="128"/>
  <c r="N29" i="154"/>
  <c r="M3" i="128"/>
  <c r="M29" i="154"/>
  <c r="L3" i="128"/>
  <c r="L29" i="154"/>
  <c r="K3" i="128"/>
  <c r="K29" i="154"/>
  <c r="J3" i="128"/>
  <c r="J29" i="154"/>
  <c r="I3" i="128"/>
  <c r="I29" i="154"/>
  <c r="H3" i="128"/>
  <c r="H29" i="154"/>
  <c r="G3" i="128"/>
  <c r="G29" i="154"/>
  <c r="F3" i="128"/>
  <c r="F29" i="154"/>
  <c r="E3" i="128"/>
  <c r="E29" i="154"/>
  <c r="D3" i="128"/>
  <c r="D29" i="154"/>
  <c r="C3" i="128"/>
  <c r="C29" i="154"/>
  <c r="T46" i="129"/>
  <c r="S23" i="129"/>
  <c r="S73" i="127"/>
  <c r="S73" i="156"/>
  <c r="R23" i="129"/>
  <c r="R73" i="127"/>
  <c r="R73" i="156"/>
  <c r="Q23" i="129"/>
  <c r="Q73" i="127"/>
  <c r="Q73" i="156"/>
  <c r="P23" i="129"/>
  <c r="P73" i="127"/>
  <c r="P73" i="156"/>
  <c r="O23" i="129"/>
  <c r="O73" i="127"/>
  <c r="O73" i="156"/>
  <c r="N23" i="129"/>
  <c r="N73" i="127"/>
  <c r="N73" i="156"/>
  <c r="M23" i="129"/>
  <c r="M73" i="127"/>
  <c r="M73" i="156"/>
  <c r="L23" i="129"/>
  <c r="L73" i="127"/>
  <c r="L73" i="156"/>
  <c r="K23" i="129"/>
  <c r="K73" i="127"/>
  <c r="K73" i="156"/>
  <c r="J23" i="129"/>
  <c r="J73" i="127"/>
  <c r="J73" i="156"/>
  <c r="I23" i="129"/>
  <c r="I73" i="127"/>
  <c r="I73" i="156"/>
  <c r="H23" i="129"/>
  <c r="H73" i="127"/>
  <c r="H73" i="156"/>
  <c r="G23" i="129"/>
  <c r="G73" i="127"/>
  <c r="G73" i="156"/>
  <c r="F23" i="129"/>
  <c r="F73" i="127"/>
  <c r="F73" i="156"/>
  <c r="E23" i="129"/>
  <c r="E73" i="127"/>
  <c r="E73" i="156"/>
  <c r="D23" i="129"/>
  <c r="D73" i="127"/>
  <c r="D73" i="156"/>
  <c r="C23" i="129"/>
  <c r="C73" i="127"/>
  <c r="C73" i="156"/>
  <c r="T45" i="129"/>
  <c r="S22" i="129"/>
  <c r="S72" i="127"/>
  <c r="S72" i="156"/>
  <c r="R22" i="129"/>
  <c r="R72" i="127"/>
  <c r="R72" i="156"/>
  <c r="Q22" i="129"/>
  <c r="Q72" i="127"/>
  <c r="Q72" i="156"/>
  <c r="P22" i="129"/>
  <c r="P72" i="127"/>
  <c r="P72" i="156"/>
  <c r="O22" i="129"/>
  <c r="O72" i="127"/>
  <c r="O72" i="156"/>
  <c r="N22" i="129"/>
  <c r="N72" i="127"/>
  <c r="N72" i="156"/>
  <c r="M22" i="129"/>
  <c r="M72" i="127"/>
  <c r="M72" i="156"/>
  <c r="L22" i="129"/>
  <c r="L72" i="127"/>
  <c r="L72" i="156"/>
  <c r="K22" i="129"/>
  <c r="K72" i="127"/>
  <c r="K72" i="156"/>
  <c r="J22" i="129"/>
  <c r="J72" i="127"/>
  <c r="J72" i="156"/>
  <c r="I22" i="129"/>
  <c r="I72" i="127"/>
  <c r="I72" i="156"/>
  <c r="H22" i="129"/>
  <c r="H72" i="127"/>
  <c r="H72" i="156"/>
  <c r="G22" i="129"/>
  <c r="G72" i="127"/>
  <c r="G72" i="156"/>
  <c r="F22" i="129"/>
  <c r="F72" i="127"/>
  <c r="F72" i="156"/>
  <c r="E22" i="129"/>
  <c r="E72" i="127"/>
  <c r="E72" i="156"/>
  <c r="D22" i="129"/>
  <c r="D72" i="127"/>
  <c r="D72" i="156"/>
  <c r="C22" i="129"/>
  <c r="C72" i="127"/>
  <c r="C72" i="156"/>
  <c r="T44" i="129"/>
  <c r="S21" i="129"/>
  <c r="S71" i="127"/>
  <c r="S71" i="156"/>
  <c r="R21" i="129"/>
  <c r="R71" i="127"/>
  <c r="R71" i="156"/>
  <c r="Q21" i="129"/>
  <c r="Q71" i="127"/>
  <c r="Q71" i="156"/>
  <c r="P21" i="129"/>
  <c r="P71" i="127"/>
  <c r="P71" i="156"/>
  <c r="O21" i="129"/>
  <c r="O71" i="127"/>
  <c r="O71" i="156"/>
  <c r="N21" i="129"/>
  <c r="N71" i="127"/>
  <c r="N71" i="156"/>
  <c r="M21" i="129"/>
  <c r="M71" i="127"/>
  <c r="M71" i="156"/>
  <c r="L21" i="129"/>
  <c r="L71" i="127"/>
  <c r="L71" i="156"/>
  <c r="K21" i="129"/>
  <c r="K71" i="127"/>
  <c r="K71" i="156"/>
  <c r="J21" i="129"/>
  <c r="J71" i="127"/>
  <c r="J71" i="156"/>
  <c r="I21" i="129"/>
  <c r="I71" i="127"/>
  <c r="I71" i="156"/>
  <c r="H21" i="129"/>
  <c r="H71" i="127"/>
  <c r="H71" i="156"/>
  <c r="G21" i="129"/>
  <c r="G71" i="127"/>
  <c r="G71" i="156"/>
  <c r="F21" i="129"/>
  <c r="F71" i="127"/>
  <c r="F71" i="156"/>
  <c r="E21" i="129"/>
  <c r="E71" i="127"/>
  <c r="E71" i="156"/>
  <c r="D21" i="129"/>
  <c r="D71" i="127"/>
  <c r="D71" i="156"/>
  <c r="C21" i="129"/>
  <c r="C71" i="127"/>
  <c r="C71" i="156"/>
  <c r="T43" i="129"/>
  <c r="S20" i="129"/>
  <c r="S70" i="127"/>
  <c r="S70" i="156"/>
  <c r="R20" i="129"/>
  <c r="R70" i="127"/>
  <c r="R70" i="156"/>
  <c r="Q20" i="129"/>
  <c r="Q70" i="127"/>
  <c r="Q70" i="156"/>
  <c r="P20" i="129"/>
  <c r="P70" i="127"/>
  <c r="P70" i="156"/>
  <c r="O20" i="129"/>
  <c r="O70" i="127"/>
  <c r="O70" i="156"/>
  <c r="N20" i="129"/>
  <c r="N70" i="127"/>
  <c r="N70" i="156"/>
  <c r="M20" i="129"/>
  <c r="M70" i="127"/>
  <c r="M70" i="156"/>
  <c r="L20" i="129"/>
  <c r="L70" i="127"/>
  <c r="L70" i="156"/>
  <c r="K20" i="129"/>
  <c r="K70" i="127"/>
  <c r="K70" i="156"/>
  <c r="J20" i="129"/>
  <c r="J70" i="127"/>
  <c r="J70" i="156"/>
  <c r="I20" i="129"/>
  <c r="I70" i="127"/>
  <c r="I70" i="156"/>
  <c r="H20" i="129"/>
  <c r="H70" i="127"/>
  <c r="H70" i="156"/>
  <c r="G20" i="129"/>
  <c r="G70" i="127"/>
  <c r="G70" i="156"/>
  <c r="F20" i="129"/>
  <c r="F70" i="127"/>
  <c r="F70" i="156"/>
  <c r="E20" i="129"/>
  <c r="E70" i="127"/>
  <c r="E70" i="156"/>
  <c r="D20" i="129"/>
  <c r="D70" i="127"/>
  <c r="D70" i="156"/>
  <c r="C20" i="129"/>
  <c r="C70" i="127"/>
  <c r="C70" i="156"/>
  <c r="T42" i="129"/>
  <c r="S19" i="129"/>
  <c r="S69" i="127"/>
  <c r="S69" i="156"/>
  <c r="R19" i="129"/>
  <c r="R69" i="127"/>
  <c r="R69" i="156"/>
  <c r="Q19" i="129"/>
  <c r="Q69" i="127"/>
  <c r="Q69" i="156"/>
  <c r="P19" i="129"/>
  <c r="P69" i="127"/>
  <c r="P69" i="156"/>
  <c r="O19" i="129"/>
  <c r="O69" i="127"/>
  <c r="O69" i="156"/>
  <c r="N19" i="129"/>
  <c r="N69" i="127"/>
  <c r="N69" i="156"/>
  <c r="M19" i="129"/>
  <c r="M69" i="127"/>
  <c r="M69" i="156"/>
  <c r="L19" i="129"/>
  <c r="L69" i="127"/>
  <c r="L69" i="156"/>
  <c r="K19" i="129"/>
  <c r="K69" i="127"/>
  <c r="K69" i="156"/>
  <c r="J19" i="129"/>
  <c r="J69" i="127"/>
  <c r="J69" i="156"/>
  <c r="I19" i="129"/>
  <c r="I69" i="127"/>
  <c r="I69" i="156"/>
  <c r="H19" i="129"/>
  <c r="H69" i="127"/>
  <c r="H69" i="156"/>
  <c r="G19" i="129"/>
  <c r="G69" i="127"/>
  <c r="G69" i="156"/>
  <c r="F19" i="129"/>
  <c r="F69" i="127"/>
  <c r="F69" i="156"/>
  <c r="E19" i="129"/>
  <c r="E69" i="127"/>
  <c r="E69" i="156"/>
  <c r="D19" i="129"/>
  <c r="D69" i="127"/>
  <c r="D69" i="156"/>
  <c r="C19" i="129"/>
  <c r="C69" i="127"/>
  <c r="C69" i="156"/>
  <c r="T41" i="129"/>
  <c r="S18" i="129"/>
  <c r="S68" i="127"/>
  <c r="S68" i="156"/>
  <c r="R18" i="129"/>
  <c r="R68" i="127"/>
  <c r="R68" i="156"/>
  <c r="Q18" i="129"/>
  <c r="Q68" i="127"/>
  <c r="Q68" i="156"/>
  <c r="P18" i="129"/>
  <c r="P68" i="127"/>
  <c r="P68" i="156"/>
  <c r="O18" i="129"/>
  <c r="O68" i="127"/>
  <c r="O68" i="156"/>
  <c r="N18" i="129"/>
  <c r="N68" i="127"/>
  <c r="N68" i="156"/>
  <c r="M18" i="129"/>
  <c r="M68" i="127"/>
  <c r="M68" i="156"/>
  <c r="L18" i="129"/>
  <c r="L68" i="127"/>
  <c r="L68" i="156"/>
  <c r="K18" i="129"/>
  <c r="K68" i="127"/>
  <c r="K68" i="156"/>
  <c r="J18" i="129"/>
  <c r="J68" i="127"/>
  <c r="J68" i="156"/>
  <c r="I18" i="129"/>
  <c r="I68" i="127"/>
  <c r="I68" i="156"/>
  <c r="H18" i="129"/>
  <c r="H68" i="127"/>
  <c r="H68" i="156"/>
  <c r="G18" i="129"/>
  <c r="G68" i="127"/>
  <c r="G68" i="156"/>
  <c r="F18" i="129"/>
  <c r="F68" i="127"/>
  <c r="F68" i="156"/>
  <c r="E18" i="129"/>
  <c r="E68" i="127"/>
  <c r="E68" i="156"/>
  <c r="D18" i="129"/>
  <c r="D68" i="127"/>
  <c r="D68" i="156"/>
  <c r="C18" i="129"/>
  <c r="C68" i="127"/>
  <c r="C68" i="156"/>
  <c r="T40" i="129"/>
  <c r="S17" i="129"/>
  <c r="S67" i="127"/>
  <c r="S67" i="156"/>
  <c r="R17" i="129"/>
  <c r="R67" i="127"/>
  <c r="R67" i="156"/>
  <c r="Q17" i="129"/>
  <c r="Q67" i="127"/>
  <c r="Q67" i="156"/>
  <c r="P17" i="129"/>
  <c r="P67" i="127"/>
  <c r="P67" i="156"/>
  <c r="O17" i="129"/>
  <c r="O67" i="127"/>
  <c r="O67" i="156"/>
  <c r="N17" i="129"/>
  <c r="N67" i="127"/>
  <c r="N67" i="156"/>
  <c r="M17" i="129"/>
  <c r="M67" i="127"/>
  <c r="M67" i="156"/>
  <c r="L17" i="129"/>
  <c r="L67" i="127"/>
  <c r="L67" i="156"/>
  <c r="K17" i="129"/>
  <c r="K67" i="127"/>
  <c r="K67" i="156"/>
  <c r="J17" i="129"/>
  <c r="J67" i="127"/>
  <c r="J67" i="156"/>
  <c r="I17" i="129"/>
  <c r="I67" i="127"/>
  <c r="I67" i="156"/>
  <c r="H17" i="129"/>
  <c r="H67" i="127"/>
  <c r="H67" i="156"/>
  <c r="G17" i="129"/>
  <c r="G67" i="127"/>
  <c r="G67" i="156"/>
  <c r="F17" i="129"/>
  <c r="F67" i="127"/>
  <c r="F67" i="156"/>
  <c r="E17" i="129"/>
  <c r="E67" i="127"/>
  <c r="E67" i="156"/>
  <c r="D17" i="129"/>
  <c r="D67" i="127"/>
  <c r="D67" i="156"/>
  <c r="C17" i="129"/>
  <c r="C67" i="127"/>
  <c r="C67" i="156"/>
  <c r="T39" i="129"/>
  <c r="S16" i="129"/>
  <c r="S66" i="127"/>
  <c r="S66" i="156"/>
  <c r="R16" i="129"/>
  <c r="R66" i="127"/>
  <c r="R66" i="156"/>
  <c r="Q16" i="129"/>
  <c r="Q66" i="127"/>
  <c r="Q66" i="156"/>
  <c r="P16" i="129"/>
  <c r="P66" i="127"/>
  <c r="P66" i="156"/>
  <c r="O16" i="129"/>
  <c r="O66" i="127"/>
  <c r="O66" i="156"/>
  <c r="N16" i="129"/>
  <c r="N66" i="127"/>
  <c r="N66" i="156"/>
  <c r="M16" i="129"/>
  <c r="M66" i="127"/>
  <c r="M66" i="156"/>
  <c r="L16" i="129"/>
  <c r="L66" i="127"/>
  <c r="L66" i="156"/>
  <c r="K16" i="129"/>
  <c r="K66" i="127"/>
  <c r="K66" i="156"/>
  <c r="J16" i="129"/>
  <c r="J66" i="127"/>
  <c r="J66" i="156"/>
  <c r="I16" i="129"/>
  <c r="I66" i="127"/>
  <c r="I66" i="156"/>
  <c r="H16" i="129"/>
  <c r="H66" i="127"/>
  <c r="H66" i="156"/>
  <c r="G16" i="129"/>
  <c r="G66" i="127"/>
  <c r="G66" i="156"/>
  <c r="F16" i="129"/>
  <c r="F66" i="127"/>
  <c r="F66" i="156"/>
  <c r="E16" i="129"/>
  <c r="E66" i="127"/>
  <c r="E66" i="156"/>
  <c r="D16" i="129"/>
  <c r="D66" i="127"/>
  <c r="D66" i="156"/>
  <c r="C16" i="129"/>
  <c r="C66" i="127"/>
  <c r="C66" i="156"/>
  <c r="T38" i="129"/>
  <c r="S15" i="129"/>
  <c r="S65" i="127"/>
  <c r="S65" i="156"/>
  <c r="R15" i="129"/>
  <c r="R65" i="127"/>
  <c r="R65" i="156"/>
  <c r="Q15" i="129"/>
  <c r="Q65" i="127"/>
  <c r="Q65" i="156"/>
  <c r="P15" i="129"/>
  <c r="P65" i="127"/>
  <c r="P65" i="156"/>
  <c r="O15" i="129"/>
  <c r="O65" i="127"/>
  <c r="O65" i="156"/>
  <c r="N15" i="129"/>
  <c r="N65" i="127"/>
  <c r="N65" i="156"/>
  <c r="M15" i="129"/>
  <c r="M65" i="127"/>
  <c r="M65" i="156"/>
  <c r="L15" i="129"/>
  <c r="L65" i="127"/>
  <c r="L65" i="156"/>
  <c r="K15" i="129"/>
  <c r="K65" i="127"/>
  <c r="K65" i="156"/>
  <c r="J15" i="129"/>
  <c r="J65" i="127"/>
  <c r="J65" i="156"/>
  <c r="I15" i="129"/>
  <c r="I65" i="127"/>
  <c r="I65" i="156"/>
  <c r="H15" i="129"/>
  <c r="H65" i="127"/>
  <c r="H65" i="156"/>
  <c r="G15" i="129"/>
  <c r="G65" i="127"/>
  <c r="G65" i="156"/>
  <c r="F15" i="129"/>
  <c r="F65" i="127"/>
  <c r="F65" i="156"/>
  <c r="E15" i="129"/>
  <c r="E65" i="127"/>
  <c r="E65" i="156"/>
  <c r="D15" i="129"/>
  <c r="D65" i="127"/>
  <c r="D65" i="156"/>
  <c r="C15" i="129"/>
  <c r="C65" i="127"/>
  <c r="C65" i="156"/>
  <c r="T37" i="129"/>
  <c r="S14" i="129"/>
  <c r="S64" i="127"/>
  <c r="S64" i="156"/>
  <c r="R14" i="129"/>
  <c r="R64" i="127"/>
  <c r="R64" i="156"/>
  <c r="Q14" i="129"/>
  <c r="Q64" i="127"/>
  <c r="Q64" i="156"/>
  <c r="P14" i="129"/>
  <c r="P64" i="127"/>
  <c r="P64" i="156"/>
  <c r="O14" i="129"/>
  <c r="O64" i="127"/>
  <c r="O64" i="156"/>
  <c r="N14" i="129"/>
  <c r="N64" i="127"/>
  <c r="N64" i="156"/>
  <c r="M14" i="129"/>
  <c r="M64" i="127"/>
  <c r="M64" i="156"/>
  <c r="L14" i="129"/>
  <c r="L64" i="127"/>
  <c r="L64" i="156"/>
  <c r="K14" i="129"/>
  <c r="K64" i="127"/>
  <c r="K64" i="156"/>
  <c r="J14" i="129"/>
  <c r="J64" i="127"/>
  <c r="J64" i="156"/>
  <c r="I14" i="129"/>
  <c r="I64" i="127"/>
  <c r="I64" i="156"/>
  <c r="H14" i="129"/>
  <c r="H64" i="127"/>
  <c r="H64" i="156"/>
  <c r="G14" i="129"/>
  <c r="G64" i="127"/>
  <c r="G64" i="156"/>
  <c r="F14" i="129"/>
  <c r="F64" i="127"/>
  <c r="F64" i="156"/>
  <c r="E14" i="129"/>
  <c r="E64" i="127"/>
  <c r="E64" i="156"/>
  <c r="D14" i="129"/>
  <c r="D64" i="127"/>
  <c r="D64" i="156"/>
  <c r="C14" i="129"/>
  <c r="C64" i="127"/>
  <c r="C64" i="156"/>
  <c r="T36" i="129"/>
  <c r="S13" i="129"/>
  <c r="S63" i="127"/>
  <c r="S63" i="156"/>
  <c r="R13" i="129"/>
  <c r="R63" i="127"/>
  <c r="R63" i="156"/>
  <c r="Q13" i="129"/>
  <c r="Q63" i="127"/>
  <c r="Q63" i="156"/>
  <c r="P13" i="129"/>
  <c r="P63" i="127"/>
  <c r="P63" i="156"/>
  <c r="O13" i="129"/>
  <c r="O63" i="127"/>
  <c r="O63" i="156"/>
  <c r="N13" i="129"/>
  <c r="N63" i="127"/>
  <c r="N63" i="156"/>
  <c r="M13" i="129"/>
  <c r="M63" i="127"/>
  <c r="M63" i="156"/>
  <c r="L13" i="129"/>
  <c r="L63" i="127"/>
  <c r="L63" i="156"/>
  <c r="K13" i="129"/>
  <c r="K63" i="127"/>
  <c r="K63" i="156"/>
  <c r="J13" i="129"/>
  <c r="J63" i="127"/>
  <c r="J63" i="156"/>
  <c r="I13" i="129"/>
  <c r="I63" i="127"/>
  <c r="I63" i="156"/>
  <c r="H13" i="129"/>
  <c r="H63" i="127"/>
  <c r="H63" i="156"/>
  <c r="G13" i="129"/>
  <c r="G63" i="127"/>
  <c r="G63" i="156"/>
  <c r="F13" i="129"/>
  <c r="F63" i="127"/>
  <c r="F63" i="156"/>
  <c r="E13" i="129"/>
  <c r="E63" i="127"/>
  <c r="E63" i="156"/>
  <c r="D13" i="129"/>
  <c r="D63" i="127"/>
  <c r="D63" i="156"/>
  <c r="C13" i="129"/>
  <c r="C63" i="127"/>
  <c r="C63" i="156"/>
  <c r="T35" i="129"/>
  <c r="S12" i="129"/>
  <c r="S62" i="127"/>
  <c r="S62" i="156"/>
  <c r="R12" i="129"/>
  <c r="R62" i="127"/>
  <c r="R62" i="156"/>
  <c r="Q12" i="129"/>
  <c r="Q62" i="127"/>
  <c r="Q62" i="156"/>
  <c r="P12" i="129"/>
  <c r="P62" i="127"/>
  <c r="P62" i="156"/>
  <c r="O12" i="129"/>
  <c r="O62" i="127"/>
  <c r="O62" i="156"/>
  <c r="N12" i="129"/>
  <c r="N62" i="127"/>
  <c r="N62" i="156"/>
  <c r="M12" i="129"/>
  <c r="M62" i="127"/>
  <c r="M62" i="156"/>
  <c r="L12" i="129"/>
  <c r="L62" i="127"/>
  <c r="L62" i="156"/>
  <c r="K12" i="129"/>
  <c r="K62" i="127"/>
  <c r="K62" i="156"/>
  <c r="J12" i="129"/>
  <c r="J62" i="127"/>
  <c r="J62" i="156"/>
  <c r="I12" i="129"/>
  <c r="I62" i="127"/>
  <c r="I62" i="156"/>
  <c r="H12" i="129"/>
  <c r="H62" i="127"/>
  <c r="H62" i="156"/>
  <c r="G12" i="129"/>
  <c r="G62" i="127"/>
  <c r="G62" i="156"/>
  <c r="F12" i="129"/>
  <c r="F62" i="127"/>
  <c r="F62" i="156"/>
  <c r="E12" i="129"/>
  <c r="E62" i="127"/>
  <c r="E62" i="156"/>
  <c r="D12" i="129"/>
  <c r="D62" i="127"/>
  <c r="D62" i="156"/>
  <c r="C12" i="129"/>
  <c r="C62" i="127"/>
  <c r="C62" i="156"/>
  <c r="T34" i="129"/>
  <c r="S11" i="129"/>
  <c r="S61" i="127"/>
  <c r="S61" i="156"/>
  <c r="R11" i="129"/>
  <c r="R61" i="127"/>
  <c r="R61" i="156"/>
  <c r="Q11" i="129"/>
  <c r="Q61" i="127"/>
  <c r="Q61" i="156"/>
  <c r="P11" i="129"/>
  <c r="P61" i="127"/>
  <c r="P61" i="156"/>
  <c r="O11" i="129"/>
  <c r="O61" i="127"/>
  <c r="O61" i="156"/>
  <c r="N11" i="129"/>
  <c r="N61" i="127"/>
  <c r="N61" i="156"/>
  <c r="M11" i="129"/>
  <c r="M61" i="127"/>
  <c r="M61" i="156"/>
  <c r="L11" i="129"/>
  <c r="L61" i="127"/>
  <c r="L61" i="156"/>
  <c r="K11" i="129"/>
  <c r="K61" i="127"/>
  <c r="K61" i="156"/>
  <c r="J11" i="129"/>
  <c r="J61" i="127"/>
  <c r="J61" i="156"/>
  <c r="I11" i="129"/>
  <c r="I61" i="127"/>
  <c r="I61" i="156"/>
  <c r="H11" i="129"/>
  <c r="H61" i="127"/>
  <c r="H61" i="156"/>
  <c r="G11" i="129"/>
  <c r="G61" i="127"/>
  <c r="G61" i="156"/>
  <c r="F11" i="129"/>
  <c r="F61" i="127"/>
  <c r="F61" i="156"/>
  <c r="E11" i="129"/>
  <c r="E61" i="127"/>
  <c r="E61" i="156"/>
  <c r="D11" i="129"/>
  <c r="D61" i="127"/>
  <c r="D61" i="156"/>
  <c r="C11" i="129"/>
  <c r="C61" i="127"/>
  <c r="C61" i="156"/>
  <c r="T33" i="129"/>
  <c r="S10" i="129"/>
  <c r="S60" i="127"/>
  <c r="S60" i="156"/>
  <c r="R10" i="129"/>
  <c r="R60" i="127"/>
  <c r="R60" i="156"/>
  <c r="Q10" i="129"/>
  <c r="Q60" i="127"/>
  <c r="Q60" i="156"/>
  <c r="P10" i="129"/>
  <c r="P60" i="127"/>
  <c r="P60" i="156"/>
  <c r="O10" i="129"/>
  <c r="O60" i="127"/>
  <c r="O60" i="156"/>
  <c r="N10" i="129"/>
  <c r="N60" i="127"/>
  <c r="N60" i="156"/>
  <c r="M10" i="129"/>
  <c r="M60" i="127"/>
  <c r="M60" i="156"/>
  <c r="L10" i="129"/>
  <c r="L60" i="127"/>
  <c r="L60" i="156"/>
  <c r="K10" i="129"/>
  <c r="K60" i="127"/>
  <c r="K60" i="156"/>
  <c r="J10" i="129"/>
  <c r="J60" i="127"/>
  <c r="J60" i="156"/>
  <c r="I10" i="129"/>
  <c r="I60" i="127"/>
  <c r="I60" i="156"/>
  <c r="H10" i="129"/>
  <c r="H60" i="127"/>
  <c r="H60" i="156"/>
  <c r="G10" i="129"/>
  <c r="G60" i="127"/>
  <c r="G60" i="156"/>
  <c r="F10" i="129"/>
  <c r="F60" i="127"/>
  <c r="F60" i="156"/>
  <c r="E10" i="129"/>
  <c r="E60" i="127"/>
  <c r="E60" i="156"/>
  <c r="D10" i="129"/>
  <c r="D60" i="127"/>
  <c r="D60" i="156"/>
  <c r="C10" i="129"/>
  <c r="C60" i="127"/>
  <c r="C60" i="156"/>
  <c r="T31" i="129"/>
  <c r="S8" i="129"/>
  <c r="S58" i="127"/>
  <c r="S58" i="156"/>
  <c r="R8" i="129"/>
  <c r="R58" i="127"/>
  <c r="R58" i="156"/>
  <c r="Q8" i="129"/>
  <c r="Q58" i="127"/>
  <c r="Q58" i="156"/>
  <c r="P8" i="129"/>
  <c r="P58" i="127"/>
  <c r="P58" i="156"/>
  <c r="O8" i="129"/>
  <c r="O58" i="127"/>
  <c r="O58" i="156"/>
  <c r="N8" i="129"/>
  <c r="N58" i="127"/>
  <c r="N58" i="156"/>
  <c r="M8" i="129"/>
  <c r="M58" i="127"/>
  <c r="M58" i="156"/>
  <c r="L8" i="129"/>
  <c r="L58" i="127"/>
  <c r="L58" i="156"/>
  <c r="K8" i="129"/>
  <c r="K58" i="127"/>
  <c r="K58" i="156"/>
  <c r="J8" i="129"/>
  <c r="J58" i="127"/>
  <c r="J58" i="156"/>
  <c r="I8" i="129"/>
  <c r="I58" i="127"/>
  <c r="I58" i="156"/>
  <c r="H8" i="129"/>
  <c r="H58" i="127"/>
  <c r="H58" i="156"/>
  <c r="G8" i="129"/>
  <c r="G58" i="127"/>
  <c r="G58" i="156"/>
  <c r="F8" i="129"/>
  <c r="F58" i="127"/>
  <c r="F58" i="156"/>
  <c r="E8" i="129"/>
  <c r="E58" i="127"/>
  <c r="E58" i="156"/>
  <c r="D8" i="129"/>
  <c r="D58" i="127"/>
  <c r="D58" i="156"/>
  <c r="C8" i="129"/>
  <c r="C58" i="127"/>
  <c r="C58" i="156"/>
  <c r="T30" i="129"/>
  <c r="S7" i="129"/>
  <c r="S57" i="127"/>
  <c r="S57" i="156"/>
  <c r="R7" i="129"/>
  <c r="R57" i="127"/>
  <c r="R57" i="156"/>
  <c r="Q7" i="129"/>
  <c r="Q57" i="127"/>
  <c r="Q57" i="156"/>
  <c r="P7" i="129"/>
  <c r="P57" i="127"/>
  <c r="P57" i="156"/>
  <c r="O7" i="129"/>
  <c r="O57" i="127"/>
  <c r="O57" i="156"/>
  <c r="N7" i="129"/>
  <c r="N57" i="127"/>
  <c r="N57" i="156"/>
  <c r="M7" i="129"/>
  <c r="M57" i="127"/>
  <c r="M57" i="156"/>
  <c r="L7" i="129"/>
  <c r="L57" i="127"/>
  <c r="L57" i="156"/>
  <c r="K7" i="129"/>
  <c r="K57" i="127"/>
  <c r="K57" i="156"/>
  <c r="J7" i="129"/>
  <c r="J57" i="127"/>
  <c r="J57" i="156"/>
  <c r="I7" i="129"/>
  <c r="I57" i="127"/>
  <c r="I57" i="156"/>
  <c r="H7" i="129"/>
  <c r="H57" i="127"/>
  <c r="H57" i="156"/>
  <c r="G7" i="129"/>
  <c r="G57" i="127"/>
  <c r="G57" i="156"/>
  <c r="F7" i="129"/>
  <c r="F57" i="127"/>
  <c r="F57" i="156"/>
  <c r="E7" i="129"/>
  <c r="E57" i="127"/>
  <c r="E57" i="156"/>
  <c r="D7" i="129"/>
  <c r="D57" i="127"/>
  <c r="D57" i="156"/>
  <c r="C7" i="129"/>
  <c r="C57" i="127"/>
  <c r="C57" i="156"/>
  <c r="T29" i="129"/>
  <c r="S6" i="129"/>
  <c r="S56" i="127"/>
  <c r="S56" i="156"/>
  <c r="R6" i="129"/>
  <c r="R56" i="127"/>
  <c r="R56" i="156"/>
  <c r="Q6" i="129"/>
  <c r="Q56" i="127"/>
  <c r="Q56" i="156"/>
  <c r="P6" i="129"/>
  <c r="P56" i="127"/>
  <c r="P56" i="156"/>
  <c r="O6" i="129"/>
  <c r="O56" i="127"/>
  <c r="O56" i="156"/>
  <c r="N6" i="129"/>
  <c r="N56" i="127"/>
  <c r="N56" i="156"/>
  <c r="M6" i="129"/>
  <c r="M56" i="127"/>
  <c r="M56" i="156"/>
  <c r="L6" i="129"/>
  <c r="L56" i="127"/>
  <c r="L56" i="156"/>
  <c r="K6" i="129"/>
  <c r="K56" i="127"/>
  <c r="K56" i="156"/>
  <c r="J6" i="129"/>
  <c r="J56" i="127"/>
  <c r="J56" i="156"/>
  <c r="I6" i="129"/>
  <c r="I56" i="127"/>
  <c r="I56" i="156"/>
  <c r="H6" i="129"/>
  <c r="H56" i="127"/>
  <c r="H56" i="156"/>
  <c r="G6" i="129"/>
  <c r="G56" i="127"/>
  <c r="G56" i="156"/>
  <c r="F6" i="129"/>
  <c r="F56" i="127"/>
  <c r="F56" i="156"/>
  <c r="E6" i="129"/>
  <c r="E56" i="127"/>
  <c r="E56" i="156"/>
  <c r="D6" i="129"/>
  <c r="D56" i="127"/>
  <c r="D56" i="156"/>
  <c r="C6" i="129"/>
  <c r="C56" i="127"/>
  <c r="C56" i="156"/>
  <c r="T28" i="129"/>
  <c r="S5" i="129"/>
  <c r="S55" i="127"/>
  <c r="S55" i="156"/>
  <c r="R5" i="129"/>
  <c r="R55" i="127"/>
  <c r="R55" i="156"/>
  <c r="Q5" i="129"/>
  <c r="Q55" i="127"/>
  <c r="Q55" i="156"/>
  <c r="P5" i="129"/>
  <c r="P55" i="127"/>
  <c r="P55" i="156"/>
  <c r="O5" i="129"/>
  <c r="O55" i="127"/>
  <c r="O55" i="156"/>
  <c r="N5" i="129"/>
  <c r="N55" i="127"/>
  <c r="N55" i="156"/>
  <c r="M5" i="129"/>
  <c r="M55" i="127"/>
  <c r="M55" i="156"/>
  <c r="L5" i="129"/>
  <c r="L55" i="127"/>
  <c r="L55" i="156"/>
  <c r="K5" i="129"/>
  <c r="K55" i="127"/>
  <c r="K55" i="156"/>
  <c r="J5" i="129"/>
  <c r="J55" i="127"/>
  <c r="J55" i="156"/>
  <c r="I5" i="129"/>
  <c r="I55" i="127"/>
  <c r="I55" i="156"/>
  <c r="H5" i="129"/>
  <c r="H55" i="127"/>
  <c r="H55" i="156"/>
  <c r="G5" i="129"/>
  <c r="G55" i="127"/>
  <c r="G55" i="156"/>
  <c r="F5" i="129"/>
  <c r="F55" i="127"/>
  <c r="F55" i="156"/>
  <c r="E5" i="129"/>
  <c r="E55" i="127"/>
  <c r="E55" i="156"/>
  <c r="D5" i="129"/>
  <c r="D55" i="127"/>
  <c r="D55" i="156"/>
  <c r="C5" i="129"/>
  <c r="C55" i="127"/>
  <c r="C55" i="156"/>
  <c r="T27" i="129"/>
  <c r="S4" i="129"/>
  <c r="S54" i="127"/>
  <c r="S54" i="156"/>
  <c r="R4" i="129"/>
  <c r="R54" i="127"/>
  <c r="R54" i="156"/>
  <c r="Q4" i="129"/>
  <c r="Q54" i="127"/>
  <c r="Q54" i="156"/>
  <c r="P4" i="129"/>
  <c r="P54" i="127"/>
  <c r="P54" i="156"/>
  <c r="O4" i="129"/>
  <c r="O54" i="127"/>
  <c r="O54" i="156"/>
  <c r="N4" i="129"/>
  <c r="N54" i="127"/>
  <c r="N54" i="156"/>
  <c r="M4" i="129"/>
  <c r="M54" i="127"/>
  <c r="M54" i="156"/>
  <c r="L4" i="129"/>
  <c r="L54" i="127"/>
  <c r="L54" i="156"/>
  <c r="K4" i="129"/>
  <c r="K54" i="127"/>
  <c r="K54" i="156"/>
  <c r="J4" i="129"/>
  <c r="J54" i="127"/>
  <c r="J54" i="156"/>
  <c r="I4" i="129"/>
  <c r="I54" i="127"/>
  <c r="I54" i="156"/>
  <c r="H4" i="129"/>
  <c r="H54" i="127"/>
  <c r="H54" i="156"/>
  <c r="G4" i="129"/>
  <c r="G54" i="127"/>
  <c r="G54" i="156"/>
  <c r="F4" i="129"/>
  <c r="F54" i="127"/>
  <c r="F54" i="156"/>
  <c r="E4" i="129"/>
  <c r="E54" i="127"/>
  <c r="E54" i="156"/>
  <c r="D4" i="129"/>
  <c r="D54" i="127"/>
  <c r="D54" i="156"/>
  <c r="C4" i="129"/>
  <c r="C54" i="127"/>
  <c r="C54" i="156"/>
  <c r="D26" i="129"/>
  <c r="E26" i="129"/>
  <c r="G26" i="129"/>
  <c r="T26" i="129"/>
  <c r="S3" i="129"/>
  <c r="S53" i="127"/>
  <c r="S53" i="156"/>
  <c r="R3" i="129"/>
  <c r="R53" i="127"/>
  <c r="R53" i="156"/>
  <c r="Q3" i="129"/>
  <c r="Q53" i="127"/>
  <c r="Q53" i="156"/>
  <c r="P3" i="129"/>
  <c r="P53" i="127"/>
  <c r="P53" i="156"/>
  <c r="O3" i="129"/>
  <c r="O53" i="127"/>
  <c r="O53" i="156"/>
  <c r="N3" i="129"/>
  <c r="N53" i="127"/>
  <c r="N53" i="156"/>
  <c r="M3" i="129"/>
  <c r="M53" i="127"/>
  <c r="M53" i="156"/>
  <c r="L3" i="129"/>
  <c r="L53" i="127"/>
  <c r="L53" i="156"/>
  <c r="K3" i="129"/>
  <c r="K53" i="127"/>
  <c r="K53" i="156"/>
  <c r="J3" i="129"/>
  <c r="J53" i="127"/>
  <c r="J53" i="156"/>
  <c r="I3" i="129"/>
  <c r="I53" i="127"/>
  <c r="I53" i="156"/>
  <c r="H3" i="129"/>
  <c r="H53" i="127"/>
  <c r="H53" i="156"/>
  <c r="G3" i="129"/>
  <c r="G53" i="127"/>
  <c r="G53" i="156"/>
  <c r="F3" i="129"/>
  <c r="F53" i="127"/>
  <c r="F53" i="156"/>
  <c r="E3" i="129"/>
  <c r="E53" i="127"/>
  <c r="E53" i="156"/>
  <c r="D3" i="129"/>
  <c r="D53" i="127"/>
  <c r="D53" i="156"/>
  <c r="C3" i="129"/>
  <c r="C53" i="127"/>
  <c r="C53" i="156"/>
  <c r="S49" i="127"/>
  <c r="S49" i="156"/>
  <c r="R49" i="127"/>
  <c r="R49" i="156"/>
  <c r="Q49" i="127"/>
  <c r="Q49" i="156"/>
  <c r="P49" i="127"/>
  <c r="P49" i="156"/>
  <c r="O49" i="127"/>
  <c r="O49" i="156"/>
  <c r="N49" i="127"/>
  <c r="N49" i="156"/>
  <c r="M49" i="127"/>
  <c r="M49" i="156"/>
  <c r="L49" i="127"/>
  <c r="L49" i="156"/>
  <c r="K49" i="127"/>
  <c r="K49" i="156"/>
  <c r="J49" i="127"/>
  <c r="J49" i="156"/>
  <c r="I49" i="127"/>
  <c r="I49" i="156"/>
  <c r="H49" i="127"/>
  <c r="H49" i="156"/>
  <c r="G49" i="127"/>
  <c r="G49" i="156"/>
  <c r="F49" i="127"/>
  <c r="F49" i="156"/>
  <c r="E49" i="127"/>
  <c r="E49" i="156"/>
  <c r="D49" i="127"/>
  <c r="D49" i="156"/>
  <c r="C49" i="127"/>
  <c r="C49" i="156"/>
  <c r="S48" i="127"/>
  <c r="S48" i="156"/>
  <c r="R48" i="127"/>
  <c r="R48" i="156"/>
  <c r="Q48" i="127"/>
  <c r="Q48" i="156"/>
  <c r="P48" i="127"/>
  <c r="P48" i="156"/>
  <c r="O48" i="127"/>
  <c r="O48" i="156"/>
  <c r="N48" i="127"/>
  <c r="N48" i="156"/>
  <c r="M48" i="127"/>
  <c r="M48" i="156"/>
  <c r="L48" i="127"/>
  <c r="L48" i="156"/>
  <c r="K48" i="127"/>
  <c r="K48" i="156"/>
  <c r="J48" i="127"/>
  <c r="J48" i="156"/>
  <c r="I48" i="127"/>
  <c r="I48" i="156"/>
  <c r="H48" i="127"/>
  <c r="H48" i="156"/>
  <c r="G48" i="127"/>
  <c r="G48" i="156"/>
  <c r="F48" i="127"/>
  <c r="F48" i="156"/>
  <c r="E48" i="127"/>
  <c r="E48" i="156"/>
  <c r="D48" i="127"/>
  <c r="D48" i="156"/>
  <c r="C48" i="127"/>
  <c r="C48" i="156"/>
  <c r="S47" i="127"/>
  <c r="S47" i="156"/>
  <c r="R47" i="127"/>
  <c r="R47" i="156"/>
  <c r="Q47" i="127"/>
  <c r="Q47" i="156"/>
  <c r="P47" i="127"/>
  <c r="P47" i="156"/>
  <c r="O47" i="127"/>
  <c r="O47" i="156"/>
  <c r="N47" i="127"/>
  <c r="N47" i="156"/>
  <c r="M47" i="127"/>
  <c r="M47" i="156"/>
  <c r="L47" i="127"/>
  <c r="L47" i="156"/>
  <c r="K47" i="127"/>
  <c r="K47" i="156"/>
  <c r="J47" i="127"/>
  <c r="J47" i="156"/>
  <c r="I47" i="127"/>
  <c r="I47" i="156"/>
  <c r="H47" i="127"/>
  <c r="H47" i="156"/>
  <c r="G47" i="127"/>
  <c r="G47" i="156"/>
  <c r="F47" i="127"/>
  <c r="F47" i="156"/>
  <c r="E47" i="127"/>
  <c r="E47" i="156"/>
  <c r="D47" i="127"/>
  <c r="D47" i="156"/>
  <c r="C47" i="127"/>
  <c r="C47" i="156"/>
  <c r="S46" i="127"/>
  <c r="S46" i="156"/>
  <c r="R46" i="127"/>
  <c r="R46" i="156"/>
  <c r="Q46" i="127"/>
  <c r="Q46" i="156"/>
  <c r="P46" i="127"/>
  <c r="P46" i="156"/>
  <c r="O46" i="127"/>
  <c r="O46" i="156"/>
  <c r="N46" i="127"/>
  <c r="N46" i="156"/>
  <c r="M46" i="127"/>
  <c r="M46" i="156"/>
  <c r="L46" i="127"/>
  <c r="L46" i="156"/>
  <c r="K46" i="127"/>
  <c r="K46" i="156"/>
  <c r="J46" i="127"/>
  <c r="J46" i="156"/>
  <c r="I46" i="127"/>
  <c r="I46" i="156"/>
  <c r="H46" i="127"/>
  <c r="H46" i="156"/>
  <c r="G46" i="127"/>
  <c r="G46" i="156"/>
  <c r="F46" i="127"/>
  <c r="F46" i="156"/>
  <c r="E46" i="127"/>
  <c r="E46" i="156"/>
  <c r="D46" i="127"/>
  <c r="D46" i="156"/>
  <c r="C46" i="127"/>
  <c r="C46" i="156"/>
  <c r="S45" i="127"/>
  <c r="S45" i="156"/>
  <c r="R45" i="127"/>
  <c r="R45" i="156"/>
  <c r="Q45" i="127"/>
  <c r="Q45" i="156"/>
  <c r="P45" i="127"/>
  <c r="P45" i="156"/>
  <c r="O45" i="127"/>
  <c r="O45" i="156"/>
  <c r="N45" i="127"/>
  <c r="N45" i="156"/>
  <c r="M45" i="127"/>
  <c r="M45" i="156"/>
  <c r="L45" i="127"/>
  <c r="L45" i="156"/>
  <c r="K45" i="127"/>
  <c r="K45" i="156"/>
  <c r="J45" i="127"/>
  <c r="J45" i="156"/>
  <c r="I45" i="127"/>
  <c r="I45" i="156"/>
  <c r="H45" i="127"/>
  <c r="H45" i="156"/>
  <c r="G45" i="127"/>
  <c r="G45" i="156"/>
  <c r="F45" i="127"/>
  <c r="F45" i="156"/>
  <c r="E45" i="127"/>
  <c r="E45" i="156"/>
  <c r="D45" i="127"/>
  <c r="D45" i="156"/>
  <c r="C45" i="127"/>
  <c r="C45" i="156"/>
  <c r="S44" i="127"/>
  <c r="S44" i="156"/>
  <c r="R44" i="127"/>
  <c r="R44" i="156"/>
  <c r="Q44" i="127"/>
  <c r="Q44" i="156"/>
  <c r="P44" i="127"/>
  <c r="P44" i="156"/>
  <c r="O44" i="127"/>
  <c r="O44" i="156"/>
  <c r="N44" i="127"/>
  <c r="N44" i="156"/>
  <c r="M44" i="127"/>
  <c r="M44" i="156"/>
  <c r="L44" i="127"/>
  <c r="L44" i="156"/>
  <c r="K44" i="127"/>
  <c r="K44" i="156"/>
  <c r="J44" i="127"/>
  <c r="J44" i="156"/>
  <c r="I44" i="127"/>
  <c r="I44" i="156"/>
  <c r="H44" i="127"/>
  <c r="H44" i="156"/>
  <c r="G44" i="127"/>
  <c r="G44" i="156"/>
  <c r="F44" i="127"/>
  <c r="F44" i="156"/>
  <c r="E44" i="127"/>
  <c r="E44" i="156"/>
  <c r="D44" i="127"/>
  <c r="D44" i="156"/>
  <c r="C44" i="127"/>
  <c r="C44" i="156"/>
  <c r="S43" i="127"/>
  <c r="S43" i="156"/>
  <c r="R43" i="127"/>
  <c r="R43" i="156"/>
  <c r="Q43" i="127"/>
  <c r="Q43" i="156"/>
  <c r="P43" i="127"/>
  <c r="P43" i="156"/>
  <c r="O43" i="127"/>
  <c r="O43" i="156"/>
  <c r="N43" i="127"/>
  <c r="N43" i="156"/>
  <c r="M43" i="127"/>
  <c r="M43" i="156"/>
  <c r="L43" i="127"/>
  <c r="L43" i="156"/>
  <c r="K43" i="127"/>
  <c r="K43" i="156"/>
  <c r="J43" i="127"/>
  <c r="J43" i="156"/>
  <c r="I43" i="127"/>
  <c r="I43" i="156"/>
  <c r="H43" i="127"/>
  <c r="H43" i="156"/>
  <c r="G43" i="127"/>
  <c r="G43" i="156"/>
  <c r="F43" i="127"/>
  <c r="F43" i="156"/>
  <c r="E43" i="127"/>
  <c r="E43" i="156"/>
  <c r="D43" i="127"/>
  <c r="D43" i="156"/>
  <c r="C43" i="127"/>
  <c r="C43" i="156"/>
  <c r="S42" i="127"/>
  <c r="S42" i="156"/>
  <c r="R42" i="127"/>
  <c r="R42" i="156"/>
  <c r="Q42" i="127"/>
  <c r="Q42" i="156"/>
  <c r="P42" i="127"/>
  <c r="P42" i="156"/>
  <c r="O42" i="127"/>
  <c r="O42" i="156"/>
  <c r="N42" i="127"/>
  <c r="N42" i="156"/>
  <c r="M42" i="127"/>
  <c r="M42" i="156"/>
  <c r="L42" i="127"/>
  <c r="L42" i="156"/>
  <c r="K42" i="127"/>
  <c r="K42" i="156"/>
  <c r="J42" i="127"/>
  <c r="J42" i="156"/>
  <c r="I42" i="127"/>
  <c r="I42" i="156"/>
  <c r="H42" i="127"/>
  <c r="H42" i="156"/>
  <c r="G42" i="127"/>
  <c r="G42" i="156"/>
  <c r="F42" i="127"/>
  <c r="F42" i="156"/>
  <c r="E42" i="127"/>
  <c r="E42" i="156"/>
  <c r="D42" i="127"/>
  <c r="D42" i="156"/>
  <c r="C42" i="127"/>
  <c r="C42" i="156"/>
  <c r="S41" i="127"/>
  <c r="S41" i="156"/>
  <c r="R41" i="127"/>
  <c r="R41" i="156"/>
  <c r="Q41" i="127"/>
  <c r="Q41" i="156"/>
  <c r="P41" i="127"/>
  <c r="P41" i="156"/>
  <c r="O41" i="127"/>
  <c r="O41" i="156"/>
  <c r="N41" i="127"/>
  <c r="N41" i="156"/>
  <c r="M41" i="127"/>
  <c r="M41" i="156"/>
  <c r="L41" i="127"/>
  <c r="L41" i="156"/>
  <c r="K41" i="127"/>
  <c r="K41" i="156"/>
  <c r="J41" i="127"/>
  <c r="J41" i="156"/>
  <c r="I41" i="127"/>
  <c r="I41" i="156"/>
  <c r="H41" i="127"/>
  <c r="H41" i="156"/>
  <c r="G41" i="127"/>
  <c r="G41" i="156"/>
  <c r="F41" i="127"/>
  <c r="F41" i="156"/>
  <c r="E41" i="127"/>
  <c r="E41" i="156"/>
  <c r="D41" i="127"/>
  <c r="D41" i="156"/>
  <c r="C41" i="127"/>
  <c r="C41" i="156"/>
  <c r="S40" i="127"/>
  <c r="S40" i="156"/>
  <c r="R40" i="127"/>
  <c r="R40" i="156"/>
  <c r="Q40" i="127"/>
  <c r="Q40" i="156"/>
  <c r="P40" i="127"/>
  <c r="P40" i="156"/>
  <c r="O40" i="127"/>
  <c r="O40" i="156"/>
  <c r="N40" i="127"/>
  <c r="N40" i="156"/>
  <c r="M40" i="127"/>
  <c r="M40" i="156"/>
  <c r="L40" i="127"/>
  <c r="L40" i="156"/>
  <c r="K40" i="127"/>
  <c r="K40" i="156"/>
  <c r="J40" i="127"/>
  <c r="J40" i="156"/>
  <c r="I40" i="127"/>
  <c r="I40" i="156"/>
  <c r="H40" i="127"/>
  <c r="H40" i="156"/>
  <c r="G40" i="127"/>
  <c r="G40" i="156"/>
  <c r="F40" i="127"/>
  <c r="F40" i="156"/>
  <c r="E40" i="127"/>
  <c r="E40" i="156"/>
  <c r="D40" i="127"/>
  <c r="D40" i="156"/>
  <c r="C40" i="127"/>
  <c r="C40" i="156"/>
  <c r="S39" i="127"/>
  <c r="S39" i="156"/>
  <c r="R39" i="127"/>
  <c r="R39" i="156"/>
  <c r="Q39" i="127"/>
  <c r="Q39" i="156"/>
  <c r="P39" i="127"/>
  <c r="P39" i="156"/>
  <c r="O39" i="127"/>
  <c r="O39" i="156"/>
  <c r="N39" i="127"/>
  <c r="N39" i="156"/>
  <c r="M39" i="127"/>
  <c r="M39" i="156"/>
  <c r="L39" i="127"/>
  <c r="L39" i="156"/>
  <c r="K39" i="127"/>
  <c r="K39" i="156"/>
  <c r="J39" i="127"/>
  <c r="J39" i="156"/>
  <c r="I39" i="127"/>
  <c r="I39" i="156"/>
  <c r="H39" i="127"/>
  <c r="H39" i="156"/>
  <c r="G39" i="127"/>
  <c r="G39" i="156"/>
  <c r="F39" i="127"/>
  <c r="F39" i="156"/>
  <c r="E39" i="127"/>
  <c r="E39" i="156"/>
  <c r="D39" i="127"/>
  <c r="D39" i="156"/>
  <c r="C39" i="127"/>
  <c r="C39" i="156"/>
  <c r="S38" i="127"/>
  <c r="S38" i="156"/>
  <c r="R38" i="127"/>
  <c r="R38" i="156"/>
  <c r="Q38" i="127"/>
  <c r="Q38" i="156"/>
  <c r="P38" i="127"/>
  <c r="P38" i="156"/>
  <c r="O38" i="127"/>
  <c r="O38" i="156"/>
  <c r="N38" i="127"/>
  <c r="N38" i="156"/>
  <c r="M38" i="127"/>
  <c r="M38" i="156"/>
  <c r="L38" i="127"/>
  <c r="L38" i="156"/>
  <c r="K38" i="127"/>
  <c r="K38" i="156"/>
  <c r="J38" i="127"/>
  <c r="J38" i="156"/>
  <c r="I38" i="127"/>
  <c r="I38" i="156"/>
  <c r="H38" i="127"/>
  <c r="H38" i="156"/>
  <c r="G38" i="127"/>
  <c r="G38" i="156"/>
  <c r="F38" i="127"/>
  <c r="F38" i="156"/>
  <c r="E38" i="127"/>
  <c r="E38" i="156"/>
  <c r="D38" i="127"/>
  <c r="D38" i="156"/>
  <c r="C38" i="127"/>
  <c r="C38" i="156"/>
  <c r="S37" i="127"/>
  <c r="S37" i="156"/>
  <c r="R37" i="127"/>
  <c r="R37" i="156"/>
  <c r="Q37" i="127"/>
  <c r="Q37" i="156"/>
  <c r="P37" i="127"/>
  <c r="P37" i="156"/>
  <c r="O37" i="127"/>
  <c r="O37" i="156"/>
  <c r="N37" i="127"/>
  <c r="N37" i="156"/>
  <c r="M37" i="127"/>
  <c r="M37" i="156"/>
  <c r="L37" i="127"/>
  <c r="L37" i="156"/>
  <c r="K37" i="127"/>
  <c r="K37" i="156"/>
  <c r="J37" i="127"/>
  <c r="J37" i="156"/>
  <c r="I37" i="127"/>
  <c r="I37" i="156"/>
  <c r="H37" i="127"/>
  <c r="H37" i="156"/>
  <c r="G37" i="127"/>
  <c r="G37" i="156"/>
  <c r="F37" i="127"/>
  <c r="F37" i="156"/>
  <c r="E37" i="127"/>
  <c r="E37" i="156"/>
  <c r="D37" i="127"/>
  <c r="D37" i="156"/>
  <c r="C37" i="127"/>
  <c r="C37" i="156"/>
  <c r="S36" i="127"/>
  <c r="S36" i="156"/>
  <c r="R36" i="127"/>
  <c r="R36" i="156"/>
  <c r="Q36" i="127"/>
  <c r="Q36" i="156"/>
  <c r="P36" i="127"/>
  <c r="P36" i="156"/>
  <c r="O36" i="127"/>
  <c r="O36" i="156"/>
  <c r="N36" i="127"/>
  <c r="N36" i="156"/>
  <c r="M36" i="127"/>
  <c r="M36" i="156"/>
  <c r="L36" i="127"/>
  <c r="L36" i="156"/>
  <c r="K36" i="127"/>
  <c r="K36" i="156"/>
  <c r="J36" i="127"/>
  <c r="J36" i="156"/>
  <c r="I36" i="127"/>
  <c r="I36" i="156"/>
  <c r="H36" i="127"/>
  <c r="H36" i="156"/>
  <c r="G36" i="127"/>
  <c r="G36" i="156"/>
  <c r="F36" i="127"/>
  <c r="F36" i="156"/>
  <c r="E36" i="127"/>
  <c r="E36" i="156"/>
  <c r="D36" i="127"/>
  <c r="D36" i="156"/>
  <c r="C36" i="127"/>
  <c r="C36" i="156"/>
  <c r="S34" i="127"/>
  <c r="S34" i="156"/>
  <c r="R34" i="127"/>
  <c r="R34" i="156"/>
  <c r="Q34" i="127"/>
  <c r="Q34" i="156"/>
  <c r="P34" i="127"/>
  <c r="P34" i="156"/>
  <c r="O34" i="127"/>
  <c r="O34" i="156"/>
  <c r="N34" i="127"/>
  <c r="N34" i="156"/>
  <c r="M34" i="127"/>
  <c r="M34" i="156"/>
  <c r="L34" i="127"/>
  <c r="L34" i="156"/>
  <c r="K34" i="127"/>
  <c r="K34" i="156"/>
  <c r="J34" i="127"/>
  <c r="J34" i="156"/>
  <c r="I34" i="127"/>
  <c r="I34" i="156"/>
  <c r="H34" i="127"/>
  <c r="H34" i="156"/>
  <c r="G34" i="127"/>
  <c r="G34" i="156"/>
  <c r="F34" i="127"/>
  <c r="F34" i="156"/>
  <c r="E34" i="127"/>
  <c r="E34" i="156"/>
  <c r="D34" i="127"/>
  <c r="D34" i="156"/>
  <c r="C34" i="127"/>
  <c r="C34" i="156"/>
  <c r="S33" i="127"/>
  <c r="S33" i="156"/>
  <c r="R33" i="127"/>
  <c r="R33" i="156"/>
  <c r="Q33" i="127"/>
  <c r="Q33" i="156"/>
  <c r="P33" i="127"/>
  <c r="P33" i="156"/>
  <c r="O33" i="127"/>
  <c r="O33" i="156"/>
  <c r="N33" i="127"/>
  <c r="N33" i="156"/>
  <c r="M33" i="127"/>
  <c r="M33" i="156"/>
  <c r="L33" i="127"/>
  <c r="L33" i="156"/>
  <c r="K33" i="127"/>
  <c r="K33" i="156"/>
  <c r="J33" i="127"/>
  <c r="J33" i="156"/>
  <c r="I33" i="127"/>
  <c r="I33" i="156"/>
  <c r="H33" i="127"/>
  <c r="H33" i="156"/>
  <c r="G33" i="127"/>
  <c r="G33" i="156"/>
  <c r="F33" i="127"/>
  <c r="F33" i="156"/>
  <c r="E33" i="127"/>
  <c r="E33" i="156"/>
  <c r="D33" i="127"/>
  <c r="D33" i="156"/>
  <c r="C33" i="127"/>
  <c r="C33" i="156"/>
  <c r="S32" i="127"/>
  <c r="S32" i="156"/>
  <c r="R32" i="127"/>
  <c r="R32" i="156"/>
  <c r="Q32" i="127"/>
  <c r="Q32" i="156"/>
  <c r="P32" i="127"/>
  <c r="P32" i="156"/>
  <c r="O32" i="127"/>
  <c r="O32" i="156"/>
  <c r="N32" i="127"/>
  <c r="N32" i="156"/>
  <c r="M32" i="127"/>
  <c r="M32" i="156"/>
  <c r="L32" i="127"/>
  <c r="L32" i="156"/>
  <c r="K32" i="127"/>
  <c r="K32" i="156"/>
  <c r="J32" i="127"/>
  <c r="J32" i="156"/>
  <c r="I32" i="127"/>
  <c r="I32" i="156"/>
  <c r="H32" i="127"/>
  <c r="H32" i="156"/>
  <c r="G32" i="127"/>
  <c r="G32" i="156"/>
  <c r="F32" i="127"/>
  <c r="F32" i="156"/>
  <c r="E32" i="127"/>
  <c r="E32" i="156"/>
  <c r="D32" i="127"/>
  <c r="D32" i="156"/>
  <c r="C32" i="127"/>
  <c r="C32" i="156"/>
  <c r="S31" i="127"/>
  <c r="S31" i="156"/>
  <c r="R31" i="127"/>
  <c r="R31" i="156"/>
  <c r="Q31" i="127"/>
  <c r="Q31" i="156"/>
  <c r="P31" i="127"/>
  <c r="P31" i="156"/>
  <c r="O31" i="127"/>
  <c r="O31" i="156"/>
  <c r="N31" i="127"/>
  <c r="N31" i="156"/>
  <c r="M31" i="127"/>
  <c r="M31" i="156"/>
  <c r="L31" i="127"/>
  <c r="L31" i="156"/>
  <c r="K31" i="127"/>
  <c r="K31" i="156"/>
  <c r="J31" i="127"/>
  <c r="J31" i="156"/>
  <c r="I31" i="127"/>
  <c r="I31" i="156"/>
  <c r="H31" i="127"/>
  <c r="H31" i="156"/>
  <c r="G31" i="127"/>
  <c r="G31" i="156"/>
  <c r="F31" i="127"/>
  <c r="F31" i="156"/>
  <c r="E31" i="127"/>
  <c r="E31" i="156"/>
  <c r="D31" i="127"/>
  <c r="D31" i="156"/>
  <c r="C31" i="127"/>
  <c r="C31" i="156"/>
  <c r="S30" i="127"/>
  <c r="S30" i="156"/>
  <c r="R30" i="127"/>
  <c r="R30" i="156"/>
  <c r="Q30" i="127"/>
  <c r="Q30" i="156"/>
  <c r="P30" i="127"/>
  <c r="P30" i="156"/>
  <c r="O30" i="127"/>
  <c r="O30" i="156"/>
  <c r="N30" i="127"/>
  <c r="N30" i="156"/>
  <c r="M30" i="127"/>
  <c r="M30" i="156"/>
  <c r="L30" i="127"/>
  <c r="L30" i="156"/>
  <c r="K30" i="127"/>
  <c r="K30" i="156"/>
  <c r="J30" i="127"/>
  <c r="J30" i="156"/>
  <c r="I30" i="127"/>
  <c r="I30" i="156"/>
  <c r="H30" i="127"/>
  <c r="H30" i="156"/>
  <c r="G30" i="127"/>
  <c r="G30" i="156"/>
  <c r="F30" i="127"/>
  <c r="F30" i="156"/>
  <c r="E30" i="127"/>
  <c r="E30" i="156"/>
  <c r="D30" i="127"/>
  <c r="D30" i="156"/>
  <c r="C30" i="127"/>
  <c r="C30" i="156"/>
  <c r="S29" i="127"/>
  <c r="S29" i="156"/>
  <c r="R29" i="127"/>
  <c r="R29" i="156"/>
  <c r="Q29" i="127"/>
  <c r="Q29" i="156"/>
  <c r="P29" i="127"/>
  <c r="P29" i="156"/>
  <c r="O29" i="127"/>
  <c r="O29" i="156"/>
  <c r="N29" i="127"/>
  <c r="N29" i="156"/>
  <c r="M29" i="127"/>
  <c r="M29" i="156"/>
  <c r="L29" i="127"/>
  <c r="L29" i="156"/>
  <c r="K29" i="127"/>
  <c r="K29" i="156"/>
  <c r="J29" i="127"/>
  <c r="J29" i="156"/>
  <c r="I29" i="127"/>
  <c r="I29" i="156"/>
  <c r="H29" i="127"/>
  <c r="H29" i="156"/>
  <c r="G29" i="127"/>
  <c r="G29" i="156"/>
  <c r="F29" i="127"/>
  <c r="F29" i="156"/>
  <c r="E29" i="127"/>
  <c r="E29" i="156"/>
  <c r="D29" i="127"/>
  <c r="D29" i="156"/>
  <c r="T35" i="154"/>
  <c r="T35" i="156"/>
  <c r="C29" i="127"/>
  <c r="C29" i="156"/>
  <c r="C74" i="156"/>
  <c r="D74" i="156"/>
  <c r="E74" i="156"/>
  <c r="F74" i="156"/>
  <c r="G74" i="156"/>
  <c r="H74" i="156"/>
  <c r="I74" i="156"/>
  <c r="J74" i="156"/>
  <c r="K74" i="156"/>
  <c r="L74" i="156"/>
  <c r="M74" i="156"/>
  <c r="N74" i="156"/>
  <c r="O74" i="156"/>
  <c r="P74" i="156"/>
  <c r="Q74" i="156"/>
  <c r="R74" i="156"/>
  <c r="S74" i="156"/>
  <c r="T74" i="156"/>
  <c r="T73" i="156"/>
  <c r="T72" i="156"/>
  <c r="T71" i="156"/>
  <c r="T70" i="156"/>
  <c r="T69" i="156"/>
  <c r="T68" i="156"/>
  <c r="T67" i="156"/>
  <c r="T66" i="156"/>
  <c r="T65" i="156"/>
  <c r="T64" i="156"/>
  <c r="T63" i="156"/>
  <c r="T62" i="156"/>
  <c r="T61" i="156"/>
  <c r="T60" i="156"/>
  <c r="T58" i="156"/>
  <c r="T57" i="156"/>
  <c r="T56" i="156"/>
  <c r="T55" i="156"/>
  <c r="T54" i="156"/>
  <c r="T53" i="156"/>
  <c r="C50" i="156"/>
  <c r="D50" i="156"/>
  <c r="E50" i="156"/>
  <c r="F50" i="156"/>
  <c r="G50" i="156"/>
  <c r="H50" i="156"/>
  <c r="I50" i="156"/>
  <c r="J50" i="156"/>
  <c r="K50" i="156"/>
  <c r="L50" i="156"/>
  <c r="M50" i="156"/>
  <c r="N50" i="156"/>
  <c r="O50" i="156"/>
  <c r="P50" i="156"/>
  <c r="Q50" i="156"/>
  <c r="R50" i="156"/>
  <c r="S50" i="156"/>
  <c r="T50" i="156"/>
  <c r="T49" i="156"/>
  <c r="T48" i="156"/>
  <c r="T47" i="156"/>
  <c r="T46" i="156"/>
  <c r="T45" i="156"/>
  <c r="T44" i="156"/>
  <c r="T43" i="156"/>
  <c r="T42" i="156"/>
  <c r="T41" i="156"/>
  <c r="T40" i="156"/>
  <c r="T39" i="156"/>
  <c r="T38" i="156"/>
  <c r="T37" i="156"/>
  <c r="T36" i="156"/>
  <c r="T34" i="156"/>
  <c r="T33" i="156"/>
  <c r="T32" i="156"/>
  <c r="T31" i="156"/>
  <c r="T30" i="156"/>
  <c r="T29" i="156"/>
  <c r="C5" i="156"/>
  <c r="C6" i="156"/>
  <c r="C7" i="156"/>
  <c r="C8" i="156"/>
  <c r="C9" i="156"/>
  <c r="C10" i="156"/>
  <c r="C12" i="156"/>
  <c r="C13" i="156"/>
  <c r="C14" i="156"/>
  <c r="C15" i="156"/>
  <c r="C16" i="156"/>
  <c r="C17" i="156"/>
  <c r="C18" i="156"/>
  <c r="C19" i="156"/>
  <c r="C20" i="156"/>
  <c r="C21" i="156"/>
  <c r="C22" i="156"/>
  <c r="C23" i="156"/>
  <c r="C24" i="156"/>
  <c r="C25" i="156"/>
  <c r="C26" i="156"/>
  <c r="D5" i="156"/>
  <c r="D6" i="156"/>
  <c r="D7" i="156"/>
  <c r="D8" i="156"/>
  <c r="D9" i="156"/>
  <c r="D10" i="156"/>
  <c r="D12" i="156"/>
  <c r="D13" i="156"/>
  <c r="D14" i="156"/>
  <c r="D15" i="156"/>
  <c r="D16" i="156"/>
  <c r="D17" i="156"/>
  <c r="D18" i="156"/>
  <c r="D19" i="156"/>
  <c r="D20" i="156"/>
  <c r="D21" i="156"/>
  <c r="D22" i="156"/>
  <c r="D23" i="156"/>
  <c r="D24" i="156"/>
  <c r="D25" i="156"/>
  <c r="D26" i="156"/>
  <c r="E5" i="156"/>
  <c r="E6" i="156"/>
  <c r="E7" i="156"/>
  <c r="E8" i="156"/>
  <c r="E9" i="156"/>
  <c r="E10" i="156"/>
  <c r="E12" i="156"/>
  <c r="E13" i="156"/>
  <c r="E14" i="156"/>
  <c r="E15" i="156"/>
  <c r="E16" i="156"/>
  <c r="E17" i="156"/>
  <c r="E18" i="156"/>
  <c r="E19" i="156"/>
  <c r="E20" i="156"/>
  <c r="E21" i="156"/>
  <c r="E22" i="156"/>
  <c r="E23" i="156"/>
  <c r="E24" i="156"/>
  <c r="E25" i="156"/>
  <c r="E26" i="156"/>
  <c r="F5" i="156"/>
  <c r="F6" i="156"/>
  <c r="F7" i="156"/>
  <c r="F8" i="156"/>
  <c r="F9" i="156"/>
  <c r="F10" i="156"/>
  <c r="F12" i="156"/>
  <c r="F13" i="156"/>
  <c r="F14" i="156"/>
  <c r="F15" i="156"/>
  <c r="F16" i="156"/>
  <c r="F17" i="156"/>
  <c r="F18" i="156"/>
  <c r="F19" i="156"/>
  <c r="F20" i="156"/>
  <c r="F21" i="156"/>
  <c r="F22" i="156"/>
  <c r="F23" i="156"/>
  <c r="F24" i="156"/>
  <c r="F25" i="156"/>
  <c r="F26" i="156"/>
  <c r="G5" i="156"/>
  <c r="G6" i="156"/>
  <c r="G7" i="156"/>
  <c r="G8" i="156"/>
  <c r="G9" i="156"/>
  <c r="G10" i="156"/>
  <c r="G12" i="156"/>
  <c r="G13" i="156"/>
  <c r="G14" i="156"/>
  <c r="G15" i="156"/>
  <c r="G16" i="156"/>
  <c r="G17" i="156"/>
  <c r="G18" i="156"/>
  <c r="G19" i="156"/>
  <c r="G20" i="156"/>
  <c r="G21" i="156"/>
  <c r="G22" i="156"/>
  <c r="G23" i="156"/>
  <c r="G24" i="156"/>
  <c r="G25" i="156"/>
  <c r="G26" i="156"/>
  <c r="H5" i="156"/>
  <c r="H6" i="156"/>
  <c r="H7" i="156"/>
  <c r="H8" i="156"/>
  <c r="H9" i="156"/>
  <c r="H10" i="156"/>
  <c r="H12" i="156"/>
  <c r="H13" i="156"/>
  <c r="H14" i="156"/>
  <c r="H15" i="156"/>
  <c r="H16" i="156"/>
  <c r="H17" i="156"/>
  <c r="H18" i="156"/>
  <c r="H19" i="156"/>
  <c r="H20" i="156"/>
  <c r="H21" i="156"/>
  <c r="H22" i="156"/>
  <c r="H23" i="156"/>
  <c r="H24" i="156"/>
  <c r="H25" i="156"/>
  <c r="H26" i="156"/>
  <c r="I5" i="156"/>
  <c r="I6" i="156"/>
  <c r="I7" i="156"/>
  <c r="I8" i="156"/>
  <c r="I9" i="156"/>
  <c r="I10" i="156"/>
  <c r="I12" i="156"/>
  <c r="I13" i="156"/>
  <c r="I14" i="156"/>
  <c r="I15" i="156"/>
  <c r="I16" i="156"/>
  <c r="I17" i="156"/>
  <c r="I18" i="156"/>
  <c r="I19" i="156"/>
  <c r="I20" i="156"/>
  <c r="I21" i="156"/>
  <c r="I22" i="156"/>
  <c r="I23" i="156"/>
  <c r="I24" i="156"/>
  <c r="I25" i="156"/>
  <c r="I26" i="156"/>
  <c r="J5" i="156"/>
  <c r="J6" i="156"/>
  <c r="J7" i="156"/>
  <c r="J8" i="156"/>
  <c r="J9" i="156"/>
  <c r="J10" i="156"/>
  <c r="J12" i="156"/>
  <c r="J13" i="156"/>
  <c r="J14" i="156"/>
  <c r="J15" i="156"/>
  <c r="J16" i="156"/>
  <c r="J17" i="156"/>
  <c r="J18" i="156"/>
  <c r="J19" i="156"/>
  <c r="J20" i="156"/>
  <c r="J21" i="156"/>
  <c r="J22" i="156"/>
  <c r="J23" i="156"/>
  <c r="J24" i="156"/>
  <c r="J25" i="156"/>
  <c r="J26" i="156"/>
  <c r="K5" i="156"/>
  <c r="K6" i="156"/>
  <c r="K7" i="156"/>
  <c r="K8" i="156"/>
  <c r="K9" i="156"/>
  <c r="K10" i="156"/>
  <c r="K12" i="156"/>
  <c r="K13" i="156"/>
  <c r="K14" i="156"/>
  <c r="K15" i="156"/>
  <c r="K16" i="156"/>
  <c r="K17" i="156"/>
  <c r="K18" i="156"/>
  <c r="K19" i="156"/>
  <c r="K20" i="156"/>
  <c r="K21" i="156"/>
  <c r="K22" i="156"/>
  <c r="K23" i="156"/>
  <c r="K24" i="156"/>
  <c r="K25" i="156"/>
  <c r="K26" i="156"/>
  <c r="L5" i="156"/>
  <c r="L6" i="156"/>
  <c r="L7" i="156"/>
  <c r="L8" i="156"/>
  <c r="L9" i="156"/>
  <c r="L10" i="156"/>
  <c r="L12" i="156"/>
  <c r="L13" i="156"/>
  <c r="L14" i="156"/>
  <c r="L15" i="156"/>
  <c r="L16" i="156"/>
  <c r="L17" i="156"/>
  <c r="L18" i="156"/>
  <c r="L19" i="156"/>
  <c r="L20" i="156"/>
  <c r="L21" i="156"/>
  <c r="L22" i="156"/>
  <c r="L23" i="156"/>
  <c r="L24" i="156"/>
  <c r="L25" i="156"/>
  <c r="L26" i="156"/>
  <c r="M5" i="156"/>
  <c r="M6" i="156"/>
  <c r="M7" i="156"/>
  <c r="M8" i="156"/>
  <c r="M9" i="156"/>
  <c r="M10" i="156"/>
  <c r="M12" i="156"/>
  <c r="M13" i="156"/>
  <c r="M14" i="156"/>
  <c r="M15" i="156"/>
  <c r="M16" i="156"/>
  <c r="M17" i="156"/>
  <c r="M18" i="156"/>
  <c r="M19" i="156"/>
  <c r="M20" i="156"/>
  <c r="M21" i="156"/>
  <c r="M22" i="156"/>
  <c r="M23" i="156"/>
  <c r="M24" i="156"/>
  <c r="M25" i="156"/>
  <c r="M26" i="156"/>
  <c r="N5" i="156"/>
  <c r="N6" i="156"/>
  <c r="N7" i="156"/>
  <c r="N8" i="156"/>
  <c r="N9" i="156"/>
  <c r="N10" i="156"/>
  <c r="N12" i="156"/>
  <c r="N13" i="156"/>
  <c r="N14" i="156"/>
  <c r="N15" i="156"/>
  <c r="N16" i="156"/>
  <c r="N17" i="156"/>
  <c r="N18" i="156"/>
  <c r="N19" i="156"/>
  <c r="N20" i="156"/>
  <c r="N21" i="156"/>
  <c r="N22" i="156"/>
  <c r="N23" i="156"/>
  <c r="N24" i="156"/>
  <c r="N25" i="156"/>
  <c r="N26" i="156"/>
  <c r="O5" i="156"/>
  <c r="O6" i="156"/>
  <c r="O7" i="156"/>
  <c r="O8" i="156"/>
  <c r="O9" i="156"/>
  <c r="O10" i="156"/>
  <c r="O12" i="156"/>
  <c r="O13" i="156"/>
  <c r="O14" i="156"/>
  <c r="O15" i="156"/>
  <c r="O16" i="156"/>
  <c r="O17" i="156"/>
  <c r="O18" i="156"/>
  <c r="O19" i="156"/>
  <c r="O20" i="156"/>
  <c r="O21" i="156"/>
  <c r="O22" i="156"/>
  <c r="O23" i="156"/>
  <c r="O24" i="156"/>
  <c r="O25" i="156"/>
  <c r="O26" i="156"/>
  <c r="P5" i="156"/>
  <c r="P6" i="156"/>
  <c r="P7" i="156"/>
  <c r="P8" i="156"/>
  <c r="P9" i="156"/>
  <c r="P10" i="156"/>
  <c r="P12" i="156"/>
  <c r="P13" i="156"/>
  <c r="P14" i="156"/>
  <c r="P15" i="156"/>
  <c r="P16" i="156"/>
  <c r="P17" i="156"/>
  <c r="P18" i="156"/>
  <c r="P19" i="156"/>
  <c r="P20" i="156"/>
  <c r="P21" i="156"/>
  <c r="P22" i="156"/>
  <c r="P23" i="156"/>
  <c r="P24" i="156"/>
  <c r="P25" i="156"/>
  <c r="P26" i="156"/>
  <c r="Q5" i="156"/>
  <c r="Q6" i="156"/>
  <c r="Q7" i="156"/>
  <c r="Q8" i="156"/>
  <c r="Q9" i="156"/>
  <c r="Q10" i="156"/>
  <c r="Q12" i="156"/>
  <c r="Q13" i="156"/>
  <c r="Q14" i="156"/>
  <c r="Q15" i="156"/>
  <c r="Q16" i="156"/>
  <c r="Q17" i="156"/>
  <c r="Q18" i="156"/>
  <c r="Q19" i="156"/>
  <c r="Q20" i="156"/>
  <c r="Q21" i="156"/>
  <c r="Q22" i="156"/>
  <c r="Q23" i="156"/>
  <c r="Q24" i="156"/>
  <c r="Q25" i="156"/>
  <c r="Q26" i="156"/>
  <c r="R5" i="156"/>
  <c r="R6" i="156"/>
  <c r="R7" i="156"/>
  <c r="R8" i="156"/>
  <c r="R9" i="156"/>
  <c r="R10" i="156"/>
  <c r="R12" i="156"/>
  <c r="R13" i="156"/>
  <c r="R14" i="156"/>
  <c r="R15" i="156"/>
  <c r="R16" i="156"/>
  <c r="R17" i="156"/>
  <c r="R18" i="156"/>
  <c r="R19" i="156"/>
  <c r="R20" i="156"/>
  <c r="R21" i="156"/>
  <c r="R22" i="156"/>
  <c r="R23" i="156"/>
  <c r="R24" i="156"/>
  <c r="R25" i="156"/>
  <c r="R26" i="156"/>
  <c r="S5" i="156"/>
  <c r="S6" i="156"/>
  <c r="S7" i="156"/>
  <c r="S8" i="156"/>
  <c r="S9" i="156"/>
  <c r="S10" i="156"/>
  <c r="S12" i="156"/>
  <c r="S13" i="156"/>
  <c r="S14" i="156"/>
  <c r="S15" i="156"/>
  <c r="S16" i="156"/>
  <c r="S17" i="156"/>
  <c r="S18" i="156"/>
  <c r="S19" i="156"/>
  <c r="S20" i="156"/>
  <c r="S21" i="156"/>
  <c r="S22" i="156"/>
  <c r="S23" i="156"/>
  <c r="S24" i="156"/>
  <c r="S25" i="156"/>
  <c r="S26" i="156"/>
  <c r="T26" i="156"/>
  <c r="T25" i="156"/>
  <c r="T24" i="156"/>
  <c r="T23" i="156"/>
  <c r="T22" i="156"/>
  <c r="T21" i="156"/>
  <c r="T20" i="156"/>
  <c r="T19" i="156"/>
  <c r="T18" i="156"/>
  <c r="T17" i="156"/>
  <c r="T16" i="156"/>
  <c r="T15" i="156"/>
  <c r="T14" i="156"/>
  <c r="T13" i="156"/>
  <c r="T12" i="156"/>
  <c r="T10" i="156"/>
  <c r="T9" i="156"/>
  <c r="T8" i="156"/>
  <c r="T7" i="156"/>
  <c r="T6" i="156"/>
  <c r="T5" i="156"/>
  <c r="C74" i="154"/>
  <c r="D74" i="154"/>
  <c r="E74" i="154"/>
  <c r="F74" i="154"/>
  <c r="G74" i="154"/>
  <c r="H74" i="154"/>
  <c r="I74" i="154"/>
  <c r="J74" i="154"/>
  <c r="K74" i="154"/>
  <c r="L74" i="154"/>
  <c r="M74" i="154"/>
  <c r="N74" i="154"/>
  <c r="O74" i="154"/>
  <c r="P74" i="154"/>
  <c r="Q74" i="154"/>
  <c r="R74" i="154"/>
  <c r="S74" i="154"/>
  <c r="T74" i="154"/>
  <c r="T73" i="154"/>
  <c r="T72" i="154"/>
  <c r="T71" i="154"/>
  <c r="T70" i="154"/>
  <c r="T69" i="154"/>
  <c r="T68" i="154"/>
  <c r="T67" i="154"/>
  <c r="T66" i="154"/>
  <c r="T65" i="154"/>
  <c r="T64" i="154"/>
  <c r="T63" i="154"/>
  <c r="T62" i="154"/>
  <c r="T61" i="154"/>
  <c r="T60" i="154"/>
  <c r="T58" i="154"/>
  <c r="T57" i="154"/>
  <c r="T56" i="154"/>
  <c r="T55" i="154"/>
  <c r="T54" i="154"/>
  <c r="T53" i="154"/>
  <c r="C50" i="154"/>
  <c r="D50" i="154"/>
  <c r="E50" i="154"/>
  <c r="F50" i="154"/>
  <c r="G50" i="154"/>
  <c r="H50" i="154"/>
  <c r="I50" i="154"/>
  <c r="J50" i="154"/>
  <c r="K50" i="154"/>
  <c r="L50" i="154"/>
  <c r="M50" i="154"/>
  <c r="N50" i="154"/>
  <c r="O50" i="154"/>
  <c r="P50" i="154"/>
  <c r="Q50" i="154"/>
  <c r="R50" i="154"/>
  <c r="S50" i="154"/>
  <c r="T50" i="154"/>
  <c r="T49" i="154"/>
  <c r="T48" i="154"/>
  <c r="T47" i="154"/>
  <c r="T46" i="154"/>
  <c r="T45" i="154"/>
  <c r="T44" i="154"/>
  <c r="T43" i="154"/>
  <c r="T42" i="154"/>
  <c r="T41" i="154"/>
  <c r="T40" i="154"/>
  <c r="T39" i="154"/>
  <c r="T38" i="154"/>
  <c r="T37" i="154"/>
  <c r="T36" i="154"/>
  <c r="T34" i="154"/>
  <c r="T33" i="154"/>
  <c r="T32" i="154"/>
  <c r="T31" i="154"/>
  <c r="T30" i="154"/>
  <c r="T29" i="154"/>
  <c r="C5" i="154"/>
  <c r="C6" i="154"/>
  <c r="C7" i="154"/>
  <c r="C8" i="154"/>
  <c r="C9" i="154"/>
  <c r="C10" i="154"/>
  <c r="C12" i="154"/>
  <c r="C13" i="154"/>
  <c r="C14" i="154"/>
  <c r="C15" i="154"/>
  <c r="C16" i="154"/>
  <c r="C17" i="154"/>
  <c r="C18" i="154"/>
  <c r="C19" i="154"/>
  <c r="C20" i="154"/>
  <c r="C21" i="154"/>
  <c r="C22" i="154"/>
  <c r="C23" i="154"/>
  <c r="C24" i="154"/>
  <c r="C25" i="154"/>
  <c r="C26" i="154"/>
  <c r="D5" i="154"/>
  <c r="D6" i="154"/>
  <c r="D7" i="154"/>
  <c r="D8" i="154"/>
  <c r="D9" i="154"/>
  <c r="D10" i="154"/>
  <c r="D12" i="154"/>
  <c r="D13" i="154"/>
  <c r="D14" i="154"/>
  <c r="D15" i="154"/>
  <c r="D16" i="154"/>
  <c r="D17" i="154"/>
  <c r="D18" i="154"/>
  <c r="D19" i="154"/>
  <c r="D20" i="154"/>
  <c r="D21" i="154"/>
  <c r="D22" i="154"/>
  <c r="D23" i="154"/>
  <c r="D24" i="154"/>
  <c r="D25" i="154"/>
  <c r="D26" i="154"/>
  <c r="E5" i="154"/>
  <c r="E6" i="154"/>
  <c r="E7" i="154"/>
  <c r="E8" i="154"/>
  <c r="E9" i="154"/>
  <c r="E10" i="154"/>
  <c r="E12" i="154"/>
  <c r="E13" i="154"/>
  <c r="E14" i="154"/>
  <c r="E15" i="154"/>
  <c r="E16" i="154"/>
  <c r="E17" i="154"/>
  <c r="E18" i="154"/>
  <c r="E19" i="154"/>
  <c r="E20" i="154"/>
  <c r="E21" i="154"/>
  <c r="E22" i="154"/>
  <c r="E23" i="154"/>
  <c r="E24" i="154"/>
  <c r="E25" i="154"/>
  <c r="E26" i="154"/>
  <c r="F5" i="154"/>
  <c r="F6" i="154"/>
  <c r="F7" i="154"/>
  <c r="F8" i="154"/>
  <c r="F9" i="154"/>
  <c r="F10" i="154"/>
  <c r="F12" i="154"/>
  <c r="F13" i="154"/>
  <c r="F14" i="154"/>
  <c r="F15" i="154"/>
  <c r="F16" i="154"/>
  <c r="F17" i="154"/>
  <c r="F18" i="154"/>
  <c r="F19" i="154"/>
  <c r="F20" i="154"/>
  <c r="F21" i="154"/>
  <c r="F22" i="154"/>
  <c r="F23" i="154"/>
  <c r="F24" i="154"/>
  <c r="F25" i="154"/>
  <c r="F26" i="154"/>
  <c r="G5" i="154"/>
  <c r="G6" i="154"/>
  <c r="G7" i="154"/>
  <c r="G8" i="154"/>
  <c r="G9" i="154"/>
  <c r="G10" i="154"/>
  <c r="G12" i="154"/>
  <c r="G13" i="154"/>
  <c r="G14" i="154"/>
  <c r="G15" i="154"/>
  <c r="G16" i="154"/>
  <c r="G17" i="154"/>
  <c r="G18" i="154"/>
  <c r="G19" i="154"/>
  <c r="G20" i="154"/>
  <c r="G21" i="154"/>
  <c r="G22" i="154"/>
  <c r="G23" i="154"/>
  <c r="G24" i="154"/>
  <c r="G25" i="154"/>
  <c r="G26" i="154"/>
  <c r="H5" i="154"/>
  <c r="H6" i="154"/>
  <c r="H7" i="154"/>
  <c r="H8" i="154"/>
  <c r="H9" i="154"/>
  <c r="H10" i="154"/>
  <c r="H12" i="154"/>
  <c r="H13" i="154"/>
  <c r="H14" i="154"/>
  <c r="H15" i="154"/>
  <c r="H16" i="154"/>
  <c r="H17" i="154"/>
  <c r="H18" i="154"/>
  <c r="H19" i="154"/>
  <c r="H20" i="154"/>
  <c r="H21" i="154"/>
  <c r="H22" i="154"/>
  <c r="H23" i="154"/>
  <c r="H24" i="154"/>
  <c r="H25" i="154"/>
  <c r="H26" i="154"/>
  <c r="I5" i="154"/>
  <c r="I6" i="154"/>
  <c r="I7" i="154"/>
  <c r="I8" i="154"/>
  <c r="I9" i="154"/>
  <c r="I10" i="154"/>
  <c r="I12" i="154"/>
  <c r="I13" i="154"/>
  <c r="I14" i="154"/>
  <c r="I15" i="154"/>
  <c r="I16" i="154"/>
  <c r="I17" i="154"/>
  <c r="I18" i="154"/>
  <c r="I19" i="154"/>
  <c r="I20" i="154"/>
  <c r="I21" i="154"/>
  <c r="I22" i="154"/>
  <c r="I23" i="154"/>
  <c r="I24" i="154"/>
  <c r="I25" i="154"/>
  <c r="I26" i="154"/>
  <c r="J5" i="154"/>
  <c r="J6" i="154"/>
  <c r="J7" i="154"/>
  <c r="J8" i="154"/>
  <c r="J9" i="154"/>
  <c r="J10" i="154"/>
  <c r="J12" i="154"/>
  <c r="J13" i="154"/>
  <c r="J14" i="154"/>
  <c r="J15" i="154"/>
  <c r="J16" i="154"/>
  <c r="J17" i="154"/>
  <c r="J18" i="154"/>
  <c r="J19" i="154"/>
  <c r="J20" i="154"/>
  <c r="J21" i="154"/>
  <c r="J22" i="154"/>
  <c r="J23" i="154"/>
  <c r="J24" i="154"/>
  <c r="J25" i="154"/>
  <c r="J26" i="154"/>
  <c r="K5" i="154"/>
  <c r="K6" i="154"/>
  <c r="K7" i="154"/>
  <c r="K8" i="154"/>
  <c r="K9" i="154"/>
  <c r="K10" i="154"/>
  <c r="K12" i="154"/>
  <c r="K13" i="154"/>
  <c r="K14" i="154"/>
  <c r="K15" i="154"/>
  <c r="K16" i="154"/>
  <c r="K17" i="154"/>
  <c r="K18" i="154"/>
  <c r="K19" i="154"/>
  <c r="K20" i="154"/>
  <c r="K21" i="154"/>
  <c r="K22" i="154"/>
  <c r="K23" i="154"/>
  <c r="K24" i="154"/>
  <c r="K25" i="154"/>
  <c r="K26" i="154"/>
  <c r="L5" i="154"/>
  <c r="L6" i="154"/>
  <c r="L7" i="154"/>
  <c r="L8" i="154"/>
  <c r="L9" i="154"/>
  <c r="L10" i="154"/>
  <c r="L12" i="154"/>
  <c r="L13" i="154"/>
  <c r="L14" i="154"/>
  <c r="L15" i="154"/>
  <c r="L16" i="154"/>
  <c r="L17" i="154"/>
  <c r="L18" i="154"/>
  <c r="L19" i="154"/>
  <c r="L20" i="154"/>
  <c r="L21" i="154"/>
  <c r="L22" i="154"/>
  <c r="L23" i="154"/>
  <c r="L24" i="154"/>
  <c r="L25" i="154"/>
  <c r="L26" i="154"/>
  <c r="M5" i="154"/>
  <c r="M6" i="154"/>
  <c r="M7" i="154"/>
  <c r="M8" i="154"/>
  <c r="M9" i="154"/>
  <c r="M10" i="154"/>
  <c r="M12" i="154"/>
  <c r="M13" i="154"/>
  <c r="M14" i="154"/>
  <c r="M15" i="154"/>
  <c r="M16" i="154"/>
  <c r="M17" i="154"/>
  <c r="M18" i="154"/>
  <c r="M19" i="154"/>
  <c r="M20" i="154"/>
  <c r="M21" i="154"/>
  <c r="M22" i="154"/>
  <c r="M23" i="154"/>
  <c r="M24" i="154"/>
  <c r="M25" i="154"/>
  <c r="M26" i="154"/>
  <c r="N5" i="154"/>
  <c r="N6" i="154"/>
  <c r="N7" i="154"/>
  <c r="N8" i="154"/>
  <c r="N9" i="154"/>
  <c r="N10" i="154"/>
  <c r="N12" i="154"/>
  <c r="N13" i="154"/>
  <c r="N14" i="154"/>
  <c r="N15" i="154"/>
  <c r="N16" i="154"/>
  <c r="N17" i="154"/>
  <c r="N18" i="154"/>
  <c r="N19" i="154"/>
  <c r="N20" i="154"/>
  <c r="N21" i="154"/>
  <c r="N22" i="154"/>
  <c r="N23" i="154"/>
  <c r="N24" i="154"/>
  <c r="N25" i="154"/>
  <c r="N26" i="154"/>
  <c r="O5" i="154"/>
  <c r="O6" i="154"/>
  <c r="O7" i="154"/>
  <c r="O8" i="154"/>
  <c r="O9" i="154"/>
  <c r="O10" i="154"/>
  <c r="O12" i="154"/>
  <c r="O13" i="154"/>
  <c r="O14" i="154"/>
  <c r="O15" i="154"/>
  <c r="O16" i="154"/>
  <c r="O17" i="154"/>
  <c r="O18" i="154"/>
  <c r="O19" i="154"/>
  <c r="O20" i="154"/>
  <c r="O21" i="154"/>
  <c r="O22" i="154"/>
  <c r="O23" i="154"/>
  <c r="O24" i="154"/>
  <c r="O25" i="154"/>
  <c r="O26" i="154"/>
  <c r="P5" i="154"/>
  <c r="P6" i="154"/>
  <c r="P7" i="154"/>
  <c r="P8" i="154"/>
  <c r="P9" i="154"/>
  <c r="P10" i="154"/>
  <c r="P12" i="154"/>
  <c r="P13" i="154"/>
  <c r="P14" i="154"/>
  <c r="P15" i="154"/>
  <c r="P16" i="154"/>
  <c r="P17" i="154"/>
  <c r="P18" i="154"/>
  <c r="P19" i="154"/>
  <c r="P20" i="154"/>
  <c r="P21" i="154"/>
  <c r="P22" i="154"/>
  <c r="P23" i="154"/>
  <c r="P24" i="154"/>
  <c r="P25" i="154"/>
  <c r="P26" i="154"/>
  <c r="Q5" i="154"/>
  <c r="Q6" i="154"/>
  <c r="Q7" i="154"/>
  <c r="Q8" i="154"/>
  <c r="Q9" i="154"/>
  <c r="Q10" i="154"/>
  <c r="Q12" i="154"/>
  <c r="Q13" i="154"/>
  <c r="Q14" i="154"/>
  <c r="Q15" i="154"/>
  <c r="Q16" i="154"/>
  <c r="Q17" i="154"/>
  <c r="Q18" i="154"/>
  <c r="Q19" i="154"/>
  <c r="Q20" i="154"/>
  <c r="Q21" i="154"/>
  <c r="Q22" i="154"/>
  <c r="Q23" i="154"/>
  <c r="Q24" i="154"/>
  <c r="Q25" i="154"/>
  <c r="Q26" i="154"/>
  <c r="R5" i="154"/>
  <c r="R6" i="154"/>
  <c r="R7" i="154"/>
  <c r="R8" i="154"/>
  <c r="R9" i="154"/>
  <c r="R10" i="154"/>
  <c r="R12" i="154"/>
  <c r="R13" i="154"/>
  <c r="R14" i="154"/>
  <c r="R15" i="154"/>
  <c r="R16" i="154"/>
  <c r="R17" i="154"/>
  <c r="R18" i="154"/>
  <c r="R19" i="154"/>
  <c r="R20" i="154"/>
  <c r="R21" i="154"/>
  <c r="R22" i="154"/>
  <c r="R23" i="154"/>
  <c r="R24" i="154"/>
  <c r="R25" i="154"/>
  <c r="R26" i="154"/>
  <c r="S5" i="154"/>
  <c r="S6" i="154"/>
  <c r="S7" i="154"/>
  <c r="S8" i="154"/>
  <c r="S9" i="154"/>
  <c r="S10" i="154"/>
  <c r="S12" i="154"/>
  <c r="S13" i="154"/>
  <c r="S14" i="154"/>
  <c r="S15" i="154"/>
  <c r="S16" i="154"/>
  <c r="S17" i="154"/>
  <c r="S18" i="154"/>
  <c r="S19" i="154"/>
  <c r="S20" i="154"/>
  <c r="S21" i="154"/>
  <c r="S22" i="154"/>
  <c r="S23" i="154"/>
  <c r="S24" i="154"/>
  <c r="S25" i="154"/>
  <c r="S26" i="154"/>
  <c r="T26" i="154"/>
  <c r="T25" i="154"/>
  <c r="T24" i="154"/>
  <c r="T23" i="154"/>
  <c r="T22" i="154"/>
  <c r="T21" i="154"/>
  <c r="T20" i="154"/>
  <c r="T19" i="154"/>
  <c r="T18" i="154"/>
  <c r="T17" i="154"/>
  <c r="T16" i="154"/>
  <c r="T15" i="154"/>
  <c r="T14" i="154"/>
  <c r="T13" i="154"/>
  <c r="T12" i="154"/>
  <c r="T10" i="154"/>
  <c r="T9" i="154"/>
  <c r="T8" i="154"/>
  <c r="T7" i="154"/>
  <c r="T6" i="154"/>
  <c r="T5" i="154"/>
  <c r="S94" i="153"/>
  <c r="R94" i="153"/>
  <c r="Q94" i="153"/>
  <c r="P94" i="153"/>
  <c r="O94" i="153"/>
  <c r="N94" i="153"/>
  <c r="M94" i="153"/>
  <c r="L94" i="153"/>
  <c r="K94" i="153"/>
  <c r="J94" i="153"/>
  <c r="I94" i="153"/>
  <c r="H94" i="153"/>
  <c r="G94" i="153"/>
  <c r="F94" i="153"/>
  <c r="E94" i="153"/>
  <c r="D94" i="153"/>
  <c r="C94" i="153"/>
  <c r="S93" i="153"/>
  <c r="R93" i="153"/>
  <c r="Q93" i="153"/>
  <c r="P93" i="153"/>
  <c r="O93" i="153"/>
  <c r="N93" i="153"/>
  <c r="M93" i="153"/>
  <c r="L93" i="153"/>
  <c r="K93" i="153"/>
  <c r="J93" i="153"/>
  <c r="I93" i="153"/>
  <c r="H93" i="153"/>
  <c r="G93" i="153"/>
  <c r="F93" i="153"/>
  <c r="E93" i="153"/>
  <c r="D93" i="153"/>
  <c r="C93" i="153"/>
  <c r="S92" i="153"/>
  <c r="R92" i="153"/>
  <c r="Q92" i="153"/>
  <c r="P92" i="153"/>
  <c r="O92" i="153"/>
  <c r="N92" i="153"/>
  <c r="M92" i="153"/>
  <c r="L92" i="153"/>
  <c r="K92" i="153"/>
  <c r="J92" i="153"/>
  <c r="I92" i="153"/>
  <c r="H92" i="153"/>
  <c r="G92" i="153"/>
  <c r="F92" i="153"/>
  <c r="E92" i="153"/>
  <c r="D92" i="153"/>
  <c r="C92" i="153"/>
  <c r="S91" i="153"/>
  <c r="R91" i="153"/>
  <c r="Q91" i="153"/>
  <c r="P91" i="153"/>
  <c r="O91" i="153"/>
  <c r="N91" i="153"/>
  <c r="M91" i="153"/>
  <c r="L91" i="153"/>
  <c r="K91" i="153"/>
  <c r="J91" i="153"/>
  <c r="I91" i="153"/>
  <c r="H91" i="153"/>
  <c r="G91" i="153"/>
  <c r="F91" i="153"/>
  <c r="E91" i="153"/>
  <c r="D91" i="153"/>
  <c r="C91" i="153"/>
  <c r="S90" i="153"/>
  <c r="R90" i="153"/>
  <c r="Q90" i="153"/>
  <c r="P90" i="153"/>
  <c r="O90" i="153"/>
  <c r="N90" i="153"/>
  <c r="M90" i="153"/>
  <c r="L90" i="153"/>
  <c r="K90" i="153"/>
  <c r="J90" i="153"/>
  <c r="I90" i="153"/>
  <c r="H90" i="153"/>
  <c r="G90" i="153"/>
  <c r="F90" i="153"/>
  <c r="E90" i="153"/>
  <c r="D90" i="153"/>
  <c r="C90" i="153"/>
  <c r="S89" i="153"/>
  <c r="R89" i="153"/>
  <c r="Q89" i="153"/>
  <c r="P89" i="153"/>
  <c r="O89" i="153"/>
  <c r="N89" i="153"/>
  <c r="M89" i="153"/>
  <c r="L89" i="153"/>
  <c r="K89" i="153"/>
  <c r="J89" i="153"/>
  <c r="I89" i="153"/>
  <c r="H89" i="153"/>
  <c r="G89" i="153"/>
  <c r="F89" i="153"/>
  <c r="E89" i="153"/>
  <c r="D89" i="153"/>
  <c r="C89" i="153"/>
  <c r="S88" i="153"/>
  <c r="R88" i="153"/>
  <c r="Q88" i="153"/>
  <c r="P88" i="153"/>
  <c r="O88" i="153"/>
  <c r="N88" i="153"/>
  <c r="M88" i="153"/>
  <c r="L88" i="153"/>
  <c r="K88" i="153"/>
  <c r="J88" i="153"/>
  <c r="I88" i="153"/>
  <c r="H88" i="153"/>
  <c r="G88" i="153"/>
  <c r="F88" i="153"/>
  <c r="E88" i="153"/>
  <c r="D88" i="153"/>
  <c r="C88" i="153"/>
  <c r="S87" i="153"/>
  <c r="R87" i="153"/>
  <c r="Q87" i="153"/>
  <c r="P87" i="153"/>
  <c r="O87" i="153"/>
  <c r="N87" i="153"/>
  <c r="M87" i="153"/>
  <c r="L87" i="153"/>
  <c r="K87" i="153"/>
  <c r="J87" i="153"/>
  <c r="I87" i="153"/>
  <c r="H87" i="153"/>
  <c r="G87" i="153"/>
  <c r="F87" i="153"/>
  <c r="E87" i="153"/>
  <c r="D87" i="153"/>
  <c r="C87" i="153"/>
  <c r="S86" i="153"/>
  <c r="R86" i="153"/>
  <c r="Q86" i="153"/>
  <c r="P86" i="153"/>
  <c r="O86" i="153"/>
  <c r="N86" i="153"/>
  <c r="M86" i="153"/>
  <c r="L86" i="153"/>
  <c r="K86" i="153"/>
  <c r="J86" i="153"/>
  <c r="I86" i="153"/>
  <c r="H86" i="153"/>
  <c r="G86" i="153"/>
  <c r="F86" i="153"/>
  <c r="E86" i="153"/>
  <c r="D86" i="153"/>
  <c r="C86" i="153"/>
  <c r="S85" i="153"/>
  <c r="R85" i="153"/>
  <c r="Q85" i="153"/>
  <c r="P85" i="153"/>
  <c r="O85" i="153"/>
  <c r="N85" i="153"/>
  <c r="M85" i="153"/>
  <c r="L85" i="153"/>
  <c r="K85" i="153"/>
  <c r="J85" i="153"/>
  <c r="I85" i="153"/>
  <c r="H85" i="153"/>
  <c r="G85" i="153"/>
  <c r="F85" i="153"/>
  <c r="E85" i="153"/>
  <c r="D85" i="153"/>
  <c r="C85" i="153"/>
  <c r="S84" i="153"/>
  <c r="R84" i="153"/>
  <c r="Q84" i="153"/>
  <c r="P84" i="153"/>
  <c r="O84" i="153"/>
  <c r="N84" i="153"/>
  <c r="M84" i="153"/>
  <c r="L84" i="153"/>
  <c r="K84" i="153"/>
  <c r="J84" i="153"/>
  <c r="I84" i="153"/>
  <c r="H84" i="153"/>
  <c r="G84" i="153"/>
  <c r="F84" i="153"/>
  <c r="E84" i="153"/>
  <c r="D84" i="153"/>
  <c r="C84" i="153"/>
  <c r="S83" i="153"/>
  <c r="R83" i="153"/>
  <c r="Q83" i="153"/>
  <c r="P83" i="153"/>
  <c r="O83" i="153"/>
  <c r="N83" i="153"/>
  <c r="M83" i="153"/>
  <c r="L83" i="153"/>
  <c r="K83" i="153"/>
  <c r="J83" i="153"/>
  <c r="I83" i="153"/>
  <c r="H83" i="153"/>
  <c r="G83" i="153"/>
  <c r="F83" i="153"/>
  <c r="E83" i="153"/>
  <c r="D83" i="153"/>
  <c r="C83" i="153"/>
  <c r="S82" i="153"/>
  <c r="R82" i="153"/>
  <c r="Q82" i="153"/>
  <c r="P82" i="153"/>
  <c r="O82" i="153"/>
  <c r="N82" i="153"/>
  <c r="M82" i="153"/>
  <c r="L82" i="153"/>
  <c r="K82" i="153"/>
  <c r="J82" i="153"/>
  <c r="I82" i="153"/>
  <c r="H82" i="153"/>
  <c r="G82" i="153"/>
  <c r="F82" i="153"/>
  <c r="E82" i="153"/>
  <c r="D82" i="153"/>
  <c r="C82" i="153"/>
  <c r="S81" i="153"/>
  <c r="R81" i="153"/>
  <c r="Q81" i="153"/>
  <c r="P81" i="153"/>
  <c r="O81" i="153"/>
  <c r="N81" i="153"/>
  <c r="M81" i="153"/>
  <c r="L81" i="153"/>
  <c r="K81" i="153"/>
  <c r="J81" i="153"/>
  <c r="I81" i="153"/>
  <c r="H81" i="153"/>
  <c r="G81" i="153"/>
  <c r="F81" i="153"/>
  <c r="E81" i="153"/>
  <c r="D81" i="153"/>
  <c r="C81" i="153"/>
  <c r="T32" i="153"/>
  <c r="S9" i="153"/>
  <c r="S80" i="153"/>
  <c r="R9" i="153"/>
  <c r="R80" i="153"/>
  <c r="Q9" i="153"/>
  <c r="Q80" i="153"/>
  <c r="P9" i="153"/>
  <c r="P80" i="153"/>
  <c r="O9" i="153"/>
  <c r="O80" i="153"/>
  <c r="N9" i="153"/>
  <c r="N80" i="153"/>
  <c r="M9" i="153"/>
  <c r="M80" i="153"/>
  <c r="L9" i="153"/>
  <c r="L80" i="153"/>
  <c r="K9" i="153"/>
  <c r="K80" i="153"/>
  <c r="J9" i="153"/>
  <c r="J80" i="153"/>
  <c r="I9" i="153"/>
  <c r="I80" i="153"/>
  <c r="H9" i="153"/>
  <c r="H80" i="153"/>
  <c r="G9" i="153"/>
  <c r="G80" i="153"/>
  <c r="F9" i="153"/>
  <c r="F80" i="153"/>
  <c r="E9" i="153"/>
  <c r="E80" i="153"/>
  <c r="D9" i="153"/>
  <c r="D80" i="153"/>
  <c r="C9" i="153"/>
  <c r="C80" i="153"/>
  <c r="S79" i="153"/>
  <c r="R79" i="153"/>
  <c r="Q79" i="153"/>
  <c r="P79" i="153"/>
  <c r="O79" i="153"/>
  <c r="N79" i="153"/>
  <c r="M79" i="153"/>
  <c r="L79" i="153"/>
  <c r="K79" i="153"/>
  <c r="J79" i="153"/>
  <c r="I79" i="153"/>
  <c r="H79" i="153"/>
  <c r="G79" i="153"/>
  <c r="F79" i="153"/>
  <c r="E79" i="153"/>
  <c r="D79" i="153"/>
  <c r="C79" i="153"/>
  <c r="S78" i="153"/>
  <c r="R78" i="153"/>
  <c r="Q78" i="153"/>
  <c r="P78" i="153"/>
  <c r="O78" i="153"/>
  <c r="N78" i="153"/>
  <c r="M78" i="153"/>
  <c r="L78" i="153"/>
  <c r="K78" i="153"/>
  <c r="J78" i="153"/>
  <c r="I78" i="153"/>
  <c r="H78" i="153"/>
  <c r="G78" i="153"/>
  <c r="F78" i="153"/>
  <c r="E78" i="153"/>
  <c r="D78" i="153"/>
  <c r="C78" i="153"/>
  <c r="S77" i="153"/>
  <c r="R77" i="153"/>
  <c r="Q77" i="153"/>
  <c r="P77" i="153"/>
  <c r="O77" i="153"/>
  <c r="N77" i="153"/>
  <c r="M77" i="153"/>
  <c r="L77" i="153"/>
  <c r="K77" i="153"/>
  <c r="J77" i="153"/>
  <c r="I77" i="153"/>
  <c r="H77" i="153"/>
  <c r="G77" i="153"/>
  <c r="F77" i="153"/>
  <c r="E77" i="153"/>
  <c r="D77" i="153"/>
  <c r="C77" i="153"/>
  <c r="S76" i="153"/>
  <c r="R76" i="153"/>
  <c r="Q76" i="153"/>
  <c r="P76" i="153"/>
  <c r="O76" i="153"/>
  <c r="N76" i="153"/>
  <c r="M76" i="153"/>
  <c r="L76" i="153"/>
  <c r="K76" i="153"/>
  <c r="J76" i="153"/>
  <c r="I76" i="153"/>
  <c r="H76" i="153"/>
  <c r="G76" i="153"/>
  <c r="F76" i="153"/>
  <c r="E76" i="153"/>
  <c r="D76" i="153"/>
  <c r="C76" i="153"/>
  <c r="S75" i="153"/>
  <c r="R75" i="153"/>
  <c r="Q75" i="153"/>
  <c r="P75" i="153"/>
  <c r="O75" i="153"/>
  <c r="N75" i="153"/>
  <c r="M75" i="153"/>
  <c r="L75" i="153"/>
  <c r="K75" i="153"/>
  <c r="J75" i="153"/>
  <c r="I75" i="153"/>
  <c r="H75" i="153"/>
  <c r="G75" i="153"/>
  <c r="F75" i="153"/>
  <c r="E75" i="153"/>
  <c r="D75" i="153"/>
  <c r="C75" i="153"/>
  <c r="S74" i="153"/>
  <c r="R74" i="153"/>
  <c r="Q74" i="153"/>
  <c r="P74" i="153"/>
  <c r="O74" i="153"/>
  <c r="N74" i="153"/>
  <c r="M74" i="153"/>
  <c r="L74" i="153"/>
  <c r="K74" i="153"/>
  <c r="J74" i="153"/>
  <c r="I74" i="153"/>
  <c r="H74" i="153"/>
  <c r="G74" i="153"/>
  <c r="F74" i="153"/>
  <c r="E74" i="153"/>
  <c r="D74" i="153"/>
  <c r="C74" i="153"/>
  <c r="S70" i="153"/>
  <c r="R70" i="153"/>
  <c r="Q70" i="153"/>
  <c r="P70" i="153"/>
  <c r="O70" i="153"/>
  <c r="N70" i="153"/>
  <c r="M70" i="153"/>
  <c r="L70" i="153"/>
  <c r="K70" i="153"/>
  <c r="J70" i="153"/>
  <c r="I70" i="153"/>
  <c r="H70" i="153"/>
  <c r="G70" i="153"/>
  <c r="F70" i="153"/>
  <c r="E70" i="153"/>
  <c r="D70" i="153"/>
  <c r="C70" i="153"/>
  <c r="S69" i="153"/>
  <c r="R69" i="153"/>
  <c r="Q69" i="153"/>
  <c r="P69" i="153"/>
  <c r="O69" i="153"/>
  <c r="N69" i="153"/>
  <c r="M69" i="153"/>
  <c r="L69" i="153"/>
  <c r="K69" i="153"/>
  <c r="J69" i="153"/>
  <c r="I69" i="153"/>
  <c r="H69" i="153"/>
  <c r="G69" i="153"/>
  <c r="F69" i="153"/>
  <c r="E69" i="153"/>
  <c r="D69" i="153"/>
  <c r="C69" i="153"/>
  <c r="S68" i="153"/>
  <c r="R68" i="153"/>
  <c r="Q68" i="153"/>
  <c r="P68" i="153"/>
  <c r="O68" i="153"/>
  <c r="N68" i="153"/>
  <c r="M68" i="153"/>
  <c r="L68" i="153"/>
  <c r="K68" i="153"/>
  <c r="J68" i="153"/>
  <c r="I68" i="153"/>
  <c r="H68" i="153"/>
  <c r="G68" i="153"/>
  <c r="F68" i="153"/>
  <c r="E68" i="153"/>
  <c r="D68" i="153"/>
  <c r="C68" i="153"/>
  <c r="S67" i="153"/>
  <c r="R67" i="153"/>
  <c r="Q67" i="153"/>
  <c r="P67" i="153"/>
  <c r="O67" i="153"/>
  <c r="N67" i="153"/>
  <c r="M67" i="153"/>
  <c r="L67" i="153"/>
  <c r="K67" i="153"/>
  <c r="J67" i="153"/>
  <c r="I67" i="153"/>
  <c r="H67" i="153"/>
  <c r="G67" i="153"/>
  <c r="F67" i="153"/>
  <c r="E67" i="153"/>
  <c r="D67" i="153"/>
  <c r="C67" i="153"/>
  <c r="S66" i="153"/>
  <c r="R66" i="153"/>
  <c r="Q66" i="153"/>
  <c r="P66" i="153"/>
  <c r="O66" i="153"/>
  <c r="N66" i="153"/>
  <c r="M66" i="153"/>
  <c r="L66" i="153"/>
  <c r="K66" i="153"/>
  <c r="J66" i="153"/>
  <c r="I66" i="153"/>
  <c r="H66" i="153"/>
  <c r="G66" i="153"/>
  <c r="F66" i="153"/>
  <c r="E66" i="153"/>
  <c r="D66" i="153"/>
  <c r="C66" i="153"/>
  <c r="S65" i="153"/>
  <c r="R65" i="153"/>
  <c r="Q65" i="153"/>
  <c r="P65" i="153"/>
  <c r="O65" i="153"/>
  <c r="N65" i="153"/>
  <c r="M65" i="153"/>
  <c r="L65" i="153"/>
  <c r="K65" i="153"/>
  <c r="J65" i="153"/>
  <c r="I65" i="153"/>
  <c r="H65" i="153"/>
  <c r="G65" i="153"/>
  <c r="F65" i="153"/>
  <c r="E65" i="153"/>
  <c r="D65" i="153"/>
  <c r="C65" i="153"/>
  <c r="S64" i="153"/>
  <c r="R64" i="153"/>
  <c r="Q64" i="153"/>
  <c r="P64" i="153"/>
  <c r="O64" i="153"/>
  <c r="N64" i="153"/>
  <c r="M64" i="153"/>
  <c r="L64" i="153"/>
  <c r="K64" i="153"/>
  <c r="J64" i="153"/>
  <c r="I64" i="153"/>
  <c r="H64" i="153"/>
  <c r="G64" i="153"/>
  <c r="F64" i="153"/>
  <c r="E64" i="153"/>
  <c r="D64" i="153"/>
  <c r="C64" i="153"/>
  <c r="S63" i="153"/>
  <c r="R63" i="153"/>
  <c r="Q63" i="153"/>
  <c r="P63" i="153"/>
  <c r="O63" i="153"/>
  <c r="N63" i="153"/>
  <c r="M63" i="153"/>
  <c r="L63" i="153"/>
  <c r="K63" i="153"/>
  <c r="J63" i="153"/>
  <c r="I63" i="153"/>
  <c r="H63" i="153"/>
  <c r="G63" i="153"/>
  <c r="F63" i="153"/>
  <c r="E63" i="153"/>
  <c r="D63" i="153"/>
  <c r="C63" i="153"/>
  <c r="S62" i="153"/>
  <c r="R62" i="153"/>
  <c r="Q62" i="153"/>
  <c r="P62" i="153"/>
  <c r="O62" i="153"/>
  <c r="N62" i="153"/>
  <c r="M62" i="153"/>
  <c r="L62" i="153"/>
  <c r="K62" i="153"/>
  <c r="J62" i="153"/>
  <c r="I62" i="153"/>
  <c r="H62" i="153"/>
  <c r="G62" i="153"/>
  <c r="F62" i="153"/>
  <c r="E62" i="153"/>
  <c r="D62" i="153"/>
  <c r="C62" i="153"/>
  <c r="S61" i="153"/>
  <c r="R61" i="153"/>
  <c r="Q61" i="153"/>
  <c r="P61" i="153"/>
  <c r="O61" i="153"/>
  <c r="N61" i="153"/>
  <c r="M61" i="153"/>
  <c r="L61" i="153"/>
  <c r="K61" i="153"/>
  <c r="J61" i="153"/>
  <c r="I61" i="153"/>
  <c r="H61" i="153"/>
  <c r="G61" i="153"/>
  <c r="F61" i="153"/>
  <c r="E61" i="153"/>
  <c r="D61" i="153"/>
  <c r="C61" i="153"/>
  <c r="S60" i="153"/>
  <c r="R60" i="153"/>
  <c r="Q60" i="153"/>
  <c r="P60" i="153"/>
  <c r="O60" i="153"/>
  <c r="N60" i="153"/>
  <c r="M60" i="153"/>
  <c r="L60" i="153"/>
  <c r="K60" i="153"/>
  <c r="J60" i="153"/>
  <c r="I60" i="153"/>
  <c r="H60" i="153"/>
  <c r="G60" i="153"/>
  <c r="F60" i="153"/>
  <c r="E60" i="153"/>
  <c r="D60" i="153"/>
  <c r="C60" i="153"/>
  <c r="S59" i="153"/>
  <c r="R59" i="153"/>
  <c r="Q59" i="153"/>
  <c r="P59" i="153"/>
  <c r="O59" i="153"/>
  <c r="N59" i="153"/>
  <c r="M59" i="153"/>
  <c r="L59" i="153"/>
  <c r="K59" i="153"/>
  <c r="J59" i="153"/>
  <c r="I59" i="153"/>
  <c r="H59" i="153"/>
  <c r="G59" i="153"/>
  <c r="F59" i="153"/>
  <c r="E59" i="153"/>
  <c r="D59" i="153"/>
  <c r="C59" i="153"/>
  <c r="S58" i="153"/>
  <c r="R58" i="153"/>
  <c r="Q58" i="153"/>
  <c r="P58" i="153"/>
  <c r="O58" i="153"/>
  <c r="N58" i="153"/>
  <c r="M58" i="153"/>
  <c r="L58" i="153"/>
  <c r="K58" i="153"/>
  <c r="J58" i="153"/>
  <c r="I58" i="153"/>
  <c r="H58" i="153"/>
  <c r="G58" i="153"/>
  <c r="F58" i="153"/>
  <c r="E58" i="153"/>
  <c r="D58" i="153"/>
  <c r="C58" i="153"/>
  <c r="S57" i="153"/>
  <c r="R57" i="153"/>
  <c r="Q57" i="153"/>
  <c r="P57" i="153"/>
  <c r="O57" i="153"/>
  <c r="N57" i="153"/>
  <c r="M57" i="153"/>
  <c r="L57" i="153"/>
  <c r="K57" i="153"/>
  <c r="J57" i="153"/>
  <c r="I57" i="153"/>
  <c r="H57" i="153"/>
  <c r="G57" i="153"/>
  <c r="F57" i="153"/>
  <c r="E57" i="153"/>
  <c r="D57" i="153"/>
  <c r="C57" i="153"/>
  <c r="S56" i="153"/>
  <c r="R56" i="153"/>
  <c r="Q56" i="153"/>
  <c r="P56" i="153"/>
  <c r="O56" i="153"/>
  <c r="N56" i="153"/>
  <c r="M56" i="153"/>
  <c r="L56" i="153"/>
  <c r="K56" i="153"/>
  <c r="J56" i="153"/>
  <c r="I56" i="153"/>
  <c r="H56" i="153"/>
  <c r="G56" i="153"/>
  <c r="F56" i="153"/>
  <c r="E56" i="153"/>
  <c r="D56" i="153"/>
  <c r="C56" i="153"/>
  <c r="S55" i="153"/>
  <c r="R55" i="153"/>
  <c r="Q55" i="153"/>
  <c r="P55" i="153"/>
  <c r="O55" i="153"/>
  <c r="N55" i="153"/>
  <c r="M55" i="153"/>
  <c r="L55" i="153"/>
  <c r="K55" i="153"/>
  <c r="J55" i="153"/>
  <c r="I55" i="153"/>
  <c r="H55" i="153"/>
  <c r="G55" i="153"/>
  <c r="F55" i="153"/>
  <c r="E55" i="153"/>
  <c r="D55" i="153"/>
  <c r="C55" i="153"/>
  <c r="S54" i="153"/>
  <c r="R54" i="153"/>
  <c r="Q54" i="153"/>
  <c r="P54" i="153"/>
  <c r="O54" i="153"/>
  <c r="N54" i="153"/>
  <c r="M54" i="153"/>
  <c r="L54" i="153"/>
  <c r="K54" i="153"/>
  <c r="J54" i="153"/>
  <c r="I54" i="153"/>
  <c r="H54" i="153"/>
  <c r="G54" i="153"/>
  <c r="F54" i="153"/>
  <c r="E54" i="153"/>
  <c r="D54" i="153"/>
  <c r="C54" i="153"/>
  <c r="S53" i="153"/>
  <c r="R53" i="153"/>
  <c r="Q53" i="153"/>
  <c r="P53" i="153"/>
  <c r="O53" i="153"/>
  <c r="N53" i="153"/>
  <c r="M53" i="153"/>
  <c r="L53" i="153"/>
  <c r="K53" i="153"/>
  <c r="J53" i="153"/>
  <c r="I53" i="153"/>
  <c r="H53" i="153"/>
  <c r="G53" i="153"/>
  <c r="F53" i="153"/>
  <c r="E53" i="153"/>
  <c r="D53" i="153"/>
  <c r="C53" i="153"/>
  <c r="S52" i="153"/>
  <c r="R52" i="153"/>
  <c r="Q52" i="153"/>
  <c r="P52" i="153"/>
  <c r="O52" i="153"/>
  <c r="N52" i="153"/>
  <c r="M52" i="153"/>
  <c r="L52" i="153"/>
  <c r="K52" i="153"/>
  <c r="J52" i="153"/>
  <c r="I52" i="153"/>
  <c r="H52" i="153"/>
  <c r="G52" i="153"/>
  <c r="F52" i="153"/>
  <c r="E52" i="153"/>
  <c r="D52" i="153"/>
  <c r="C52" i="153"/>
  <c r="S51" i="153"/>
  <c r="R51" i="153"/>
  <c r="Q51" i="153"/>
  <c r="P51" i="153"/>
  <c r="O51" i="153"/>
  <c r="N51" i="153"/>
  <c r="M51" i="153"/>
  <c r="L51" i="153"/>
  <c r="K51" i="153"/>
  <c r="J51" i="153"/>
  <c r="I51" i="153"/>
  <c r="H51" i="153"/>
  <c r="G51" i="153"/>
  <c r="F51" i="153"/>
  <c r="E51" i="153"/>
  <c r="D51" i="153"/>
  <c r="C51" i="153"/>
  <c r="S50" i="153"/>
  <c r="R50" i="153"/>
  <c r="Q50" i="153"/>
  <c r="P50" i="153"/>
  <c r="O50" i="153"/>
  <c r="N50" i="153"/>
  <c r="M50" i="153"/>
  <c r="L50" i="153"/>
  <c r="K50" i="153"/>
  <c r="J50" i="153"/>
  <c r="I50" i="153"/>
  <c r="H50" i="153"/>
  <c r="G50" i="153"/>
  <c r="F50" i="153"/>
  <c r="E50" i="153"/>
  <c r="D50" i="153"/>
  <c r="C50" i="153"/>
  <c r="C50" i="129"/>
  <c r="C51" i="129"/>
  <c r="D50" i="129"/>
  <c r="E50" i="129"/>
  <c r="F50" i="129"/>
  <c r="G50" i="129"/>
  <c r="H50" i="129"/>
  <c r="I50" i="129"/>
  <c r="J50" i="129"/>
  <c r="K50" i="129"/>
  <c r="L50" i="129"/>
  <c r="M50" i="129"/>
  <c r="N50" i="129"/>
  <c r="O50" i="129"/>
  <c r="P50" i="129"/>
  <c r="Q50" i="129"/>
  <c r="R50" i="129"/>
  <c r="S50" i="129"/>
  <c r="D51" i="129"/>
  <c r="E51" i="129"/>
  <c r="F51" i="129"/>
  <c r="G51" i="129"/>
  <c r="H51" i="129"/>
  <c r="I51" i="129"/>
  <c r="J51" i="129"/>
  <c r="K51" i="129"/>
  <c r="L51" i="129"/>
  <c r="M51" i="129"/>
  <c r="N51" i="129"/>
  <c r="O51" i="129"/>
  <c r="P51" i="129"/>
  <c r="Q51" i="129"/>
  <c r="R51" i="129"/>
  <c r="S51" i="129"/>
  <c r="C52" i="129"/>
  <c r="D52" i="129"/>
  <c r="E52" i="129"/>
  <c r="F52" i="129"/>
  <c r="G52" i="129"/>
  <c r="H52" i="129"/>
  <c r="I52" i="129"/>
  <c r="J52" i="129"/>
  <c r="K52" i="129"/>
  <c r="L52" i="129"/>
  <c r="M52" i="129"/>
  <c r="N52" i="129"/>
  <c r="O52" i="129"/>
  <c r="P52" i="129"/>
  <c r="Q52" i="129"/>
  <c r="R52" i="129"/>
  <c r="S52" i="129"/>
  <c r="C53" i="129"/>
  <c r="D53" i="129"/>
  <c r="E53" i="129"/>
  <c r="F53" i="129"/>
  <c r="G53" i="129"/>
  <c r="H53" i="129"/>
  <c r="I53" i="129"/>
  <c r="J53" i="129"/>
  <c r="K53" i="129"/>
  <c r="L53" i="129"/>
  <c r="M53" i="129"/>
  <c r="N53" i="129"/>
  <c r="O53" i="129"/>
  <c r="P53" i="129"/>
  <c r="Q53" i="129"/>
  <c r="R53" i="129"/>
  <c r="S53" i="129"/>
  <c r="C54" i="129"/>
  <c r="D54" i="129"/>
  <c r="E54" i="129"/>
  <c r="F54" i="129"/>
  <c r="G54" i="129"/>
  <c r="H54" i="129"/>
  <c r="I54" i="129"/>
  <c r="J54" i="129"/>
  <c r="K54" i="129"/>
  <c r="L54" i="129"/>
  <c r="M54" i="129"/>
  <c r="N54" i="129"/>
  <c r="O54" i="129"/>
  <c r="P54" i="129"/>
  <c r="Q54" i="129"/>
  <c r="R54" i="129"/>
  <c r="S54" i="129"/>
  <c r="C55" i="129"/>
  <c r="D55" i="129"/>
  <c r="E55" i="129"/>
  <c r="F55" i="129"/>
  <c r="G55" i="129"/>
  <c r="H55" i="129"/>
  <c r="I55" i="129"/>
  <c r="J55" i="129"/>
  <c r="K55" i="129"/>
  <c r="L55" i="129"/>
  <c r="M55" i="129"/>
  <c r="N55" i="129"/>
  <c r="O55" i="129"/>
  <c r="P55" i="129"/>
  <c r="Q55" i="129"/>
  <c r="R55" i="129"/>
  <c r="S55" i="129"/>
  <c r="C56" i="129"/>
  <c r="D56" i="129"/>
  <c r="E56" i="129"/>
  <c r="F56" i="129"/>
  <c r="G56" i="129"/>
  <c r="H56" i="129"/>
  <c r="I56" i="129"/>
  <c r="J56" i="129"/>
  <c r="K56" i="129"/>
  <c r="L56" i="129"/>
  <c r="M56" i="129"/>
  <c r="N56" i="129"/>
  <c r="O56" i="129"/>
  <c r="P56" i="129"/>
  <c r="Q56" i="129"/>
  <c r="R56" i="129"/>
  <c r="S56" i="129"/>
  <c r="C57" i="129"/>
  <c r="D57" i="129"/>
  <c r="E57" i="129"/>
  <c r="F57" i="129"/>
  <c r="G57" i="129"/>
  <c r="H57" i="129"/>
  <c r="I57" i="129"/>
  <c r="J57" i="129"/>
  <c r="K57" i="129"/>
  <c r="L57" i="129"/>
  <c r="M57" i="129"/>
  <c r="N57" i="129"/>
  <c r="O57" i="129"/>
  <c r="P57" i="129"/>
  <c r="Q57" i="129"/>
  <c r="R57" i="129"/>
  <c r="S57" i="129"/>
  <c r="C58" i="129"/>
  <c r="D58" i="129"/>
  <c r="E58" i="129"/>
  <c r="F58" i="129"/>
  <c r="G58" i="129"/>
  <c r="H58" i="129"/>
  <c r="I58" i="129"/>
  <c r="J58" i="129"/>
  <c r="K58" i="129"/>
  <c r="L58" i="129"/>
  <c r="M58" i="129"/>
  <c r="N58" i="129"/>
  <c r="O58" i="129"/>
  <c r="P58" i="129"/>
  <c r="Q58" i="129"/>
  <c r="R58" i="129"/>
  <c r="S58" i="129"/>
  <c r="C59" i="129"/>
  <c r="D59" i="129"/>
  <c r="E59" i="129"/>
  <c r="F59" i="129"/>
  <c r="G59" i="129"/>
  <c r="H59" i="129"/>
  <c r="I59" i="129"/>
  <c r="J59" i="129"/>
  <c r="K59" i="129"/>
  <c r="L59" i="129"/>
  <c r="M59" i="129"/>
  <c r="N59" i="129"/>
  <c r="O59" i="129"/>
  <c r="P59" i="129"/>
  <c r="Q59" i="129"/>
  <c r="R59" i="129"/>
  <c r="S59" i="129"/>
  <c r="C60" i="129"/>
  <c r="D60" i="129"/>
  <c r="E60" i="129"/>
  <c r="F60" i="129"/>
  <c r="G60" i="129"/>
  <c r="H60" i="129"/>
  <c r="I60" i="129"/>
  <c r="J60" i="129"/>
  <c r="K60" i="129"/>
  <c r="L60" i="129"/>
  <c r="M60" i="129"/>
  <c r="N60" i="129"/>
  <c r="O60" i="129"/>
  <c r="P60" i="129"/>
  <c r="Q60" i="129"/>
  <c r="R60" i="129"/>
  <c r="S60" i="129"/>
  <c r="C61" i="129"/>
  <c r="D61" i="129"/>
  <c r="E61" i="129"/>
  <c r="F61" i="129"/>
  <c r="G61" i="129"/>
  <c r="H61" i="129"/>
  <c r="I61" i="129"/>
  <c r="J61" i="129"/>
  <c r="K61" i="129"/>
  <c r="L61" i="129"/>
  <c r="M61" i="129"/>
  <c r="N61" i="129"/>
  <c r="O61" i="129"/>
  <c r="P61" i="129"/>
  <c r="Q61" i="129"/>
  <c r="R61" i="129"/>
  <c r="S61" i="129"/>
  <c r="C62" i="129"/>
  <c r="D62" i="129"/>
  <c r="E62" i="129"/>
  <c r="F62" i="129"/>
  <c r="G62" i="129"/>
  <c r="H62" i="129"/>
  <c r="I62" i="129"/>
  <c r="J62" i="129"/>
  <c r="K62" i="129"/>
  <c r="L62" i="129"/>
  <c r="M62" i="129"/>
  <c r="N62" i="129"/>
  <c r="O62" i="129"/>
  <c r="P62" i="129"/>
  <c r="Q62" i="129"/>
  <c r="R62" i="129"/>
  <c r="S62" i="129"/>
  <c r="C63" i="129"/>
  <c r="D63" i="129"/>
  <c r="E63" i="129"/>
  <c r="F63" i="129"/>
  <c r="G63" i="129"/>
  <c r="H63" i="129"/>
  <c r="I63" i="129"/>
  <c r="J63" i="129"/>
  <c r="K63" i="129"/>
  <c r="L63" i="129"/>
  <c r="M63" i="129"/>
  <c r="N63" i="129"/>
  <c r="O63" i="129"/>
  <c r="P63" i="129"/>
  <c r="Q63" i="129"/>
  <c r="R63" i="129"/>
  <c r="S63" i="129"/>
  <c r="C64" i="129"/>
  <c r="D64" i="129"/>
  <c r="E64" i="129"/>
  <c r="F64" i="129"/>
  <c r="G64" i="129"/>
  <c r="H64" i="129"/>
  <c r="I64" i="129"/>
  <c r="J64" i="129"/>
  <c r="K64" i="129"/>
  <c r="L64" i="129"/>
  <c r="M64" i="129"/>
  <c r="N64" i="129"/>
  <c r="O64" i="129"/>
  <c r="P64" i="129"/>
  <c r="Q64" i="129"/>
  <c r="R64" i="129"/>
  <c r="S64" i="129"/>
  <c r="C65" i="129"/>
  <c r="D65" i="129"/>
  <c r="E65" i="129"/>
  <c r="F65" i="129"/>
  <c r="G65" i="129"/>
  <c r="H65" i="129"/>
  <c r="I65" i="129"/>
  <c r="J65" i="129"/>
  <c r="K65" i="129"/>
  <c r="L65" i="129"/>
  <c r="M65" i="129"/>
  <c r="N65" i="129"/>
  <c r="O65" i="129"/>
  <c r="P65" i="129"/>
  <c r="Q65" i="129"/>
  <c r="R65" i="129"/>
  <c r="S65" i="129"/>
  <c r="C66" i="129"/>
  <c r="D66" i="129"/>
  <c r="E66" i="129"/>
  <c r="F66" i="129"/>
  <c r="G66" i="129"/>
  <c r="H66" i="129"/>
  <c r="I66" i="129"/>
  <c r="J66" i="129"/>
  <c r="K66" i="129"/>
  <c r="L66" i="129"/>
  <c r="M66" i="129"/>
  <c r="N66" i="129"/>
  <c r="O66" i="129"/>
  <c r="P66" i="129"/>
  <c r="Q66" i="129"/>
  <c r="R66" i="129"/>
  <c r="S66" i="129"/>
  <c r="C67" i="129"/>
  <c r="D67" i="129"/>
  <c r="E67" i="129"/>
  <c r="F67" i="129"/>
  <c r="G67" i="129"/>
  <c r="H67" i="129"/>
  <c r="I67" i="129"/>
  <c r="J67" i="129"/>
  <c r="K67" i="129"/>
  <c r="L67" i="129"/>
  <c r="M67" i="129"/>
  <c r="N67" i="129"/>
  <c r="O67" i="129"/>
  <c r="P67" i="129"/>
  <c r="Q67" i="129"/>
  <c r="R67" i="129"/>
  <c r="S67" i="129"/>
  <c r="C68" i="129"/>
  <c r="D68" i="129"/>
  <c r="E68" i="129"/>
  <c r="F68" i="129"/>
  <c r="G68" i="129"/>
  <c r="H68" i="129"/>
  <c r="I68" i="129"/>
  <c r="J68" i="129"/>
  <c r="K68" i="129"/>
  <c r="L68" i="129"/>
  <c r="M68" i="129"/>
  <c r="N68" i="129"/>
  <c r="O68" i="129"/>
  <c r="P68" i="129"/>
  <c r="Q68" i="129"/>
  <c r="R68" i="129"/>
  <c r="S68" i="129"/>
  <c r="C69" i="129"/>
  <c r="D69" i="129"/>
  <c r="E69" i="129"/>
  <c r="F69" i="129"/>
  <c r="G69" i="129"/>
  <c r="H69" i="129"/>
  <c r="I69" i="129"/>
  <c r="J69" i="129"/>
  <c r="K69" i="129"/>
  <c r="L69" i="129"/>
  <c r="M69" i="129"/>
  <c r="N69" i="129"/>
  <c r="O69" i="129"/>
  <c r="P69" i="129"/>
  <c r="Q69" i="129"/>
  <c r="R69" i="129"/>
  <c r="S69" i="129"/>
  <c r="C70" i="129"/>
  <c r="D70" i="129"/>
  <c r="E70" i="129"/>
  <c r="F70" i="129"/>
  <c r="G70" i="129"/>
  <c r="H70" i="129"/>
  <c r="I70" i="129"/>
  <c r="J70" i="129"/>
  <c r="K70" i="129"/>
  <c r="L70" i="129"/>
  <c r="M70" i="129"/>
  <c r="N70" i="129"/>
  <c r="O70" i="129"/>
  <c r="P70" i="129"/>
  <c r="Q70" i="129"/>
  <c r="R70" i="129"/>
  <c r="S70" i="129"/>
  <c r="T50" i="153"/>
  <c r="T51" i="153"/>
  <c r="T52" i="153"/>
  <c r="T53" i="153"/>
  <c r="T54" i="153"/>
  <c r="T55" i="153"/>
  <c r="T56" i="153"/>
  <c r="T57" i="153"/>
  <c r="T58" i="153"/>
  <c r="T59" i="153"/>
  <c r="T60" i="153"/>
  <c r="T61" i="153"/>
  <c r="T62" i="153"/>
  <c r="T63" i="153"/>
  <c r="T64" i="153"/>
  <c r="T65" i="153"/>
  <c r="T66" i="153"/>
  <c r="T67" i="153"/>
  <c r="T68" i="153"/>
  <c r="T69" i="153"/>
  <c r="T70" i="153"/>
  <c r="T71" i="153"/>
  <c r="S71" i="153"/>
  <c r="R71" i="153"/>
  <c r="Q71" i="153"/>
  <c r="P71" i="153"/>
  <c r="O71" i="153"/>
  <c r="N71" i="153"/>
  <c r="M71" i="153"/>
  <c r="L71" i="153"/>
  <c r="K71" i="153"/>
  <c r="J71" i="153"/>
  <c r="I71" i="153"/>
  <c r="H71" i="153"/>
  <c r="G71" i="153"/>
  <c r="F71" i="153"/>
  <c r="E71" i="153"/>
  <c r="D71" i="153"/>
  <c r="C71" i="153"/>
  <c r="T47" i="153"/>
  <c r="S47" i="153"/>
  <c r="R47" i="153"/>
  <c r="Q47" i="153"/>
  <c r="P47" i="153"/>
  <c r="O47" i="153"/>
  <c r="N47" i="153"/>
  <c r="M47" i="153"/>
  <c r="L47" i="153"/>
  <c r="K47" i="153"/>
  <c r="J47" i="153"/>
  <c r="I47" i="153"/>
  <c r="H47" i="153"/>
  <c r="G47" i="153"/>
  <c r="F47" i="153"/>
  <c r="E47" i="153"/>
  <c r="D47" i="153"/>
  <c r="C47" i="153"/>
  <c r="T23" i="153"/>
  <c r="T22" i="153"/>
  <c r="T21" i="153"/>
  <c r="T20" i="153"/>
  <c r="T19" i="153"/>
  <c r="T18" i="153"/>
  <c r="T17" i="153"/>
  <c r="T16" i="153"/>
  <c r="T15" i="153"/>
  <c r="T14" i="153"/>
  <c r="T13" i="153"/>
  <c r="T12" i="153"/>
  <c r="T11" i="153"/>
  <c r="T10" i="153"/>
  <c r="T9" i="153"/>
  <c r="T8" i="153"/>
  <c r="T7" i="153"/>
  <c r="T6" i="153"/>
  <c r="T5" i="153"/>
  <c r="T4" i="153"/>
  <c r="T3" i="153"/>
  <c r="M35" i="152"/>
  <c r="N36" i="152"/>
  <c r="N35" i="152"/>
  <c r="D35" i="152"/>
  <c r="C35" i="152"/>
  <c r="N34" i="152"/>
  <c r="N33" i="152"/>
  <c r="M33" i="152"/>
  <c r="G4" i="152"/>
  <c r="H4" i="152"/>
  <c r="G5" i="152"/>
  <c r="H5" i="152"/>
  <c r="G6" i="152"/>
  <c r="H6" i="152"/>
  <c r="G7" i="152"/>
  <c r="H7" i="152"/>
  <c r="G8" i="152"/>
  <c r="H8" i="152"/>
  <c r="G9" i="152"/>
  <c r="H9" i="152"/>
  <c r="G10" i="152"/>
  <c r="H10" i="152"/>
  <c r="G11" i="152"/>
  <c r="H11" i="152"/>
  <c r="G12" i="152"/>
  <c r="H12" i="152"/>
  <c r="G13" i="152"/>
  <c r="H13" i="152"/>
  <c r="G14" i="152"/>
  <c r="H14" i="152"/>
  <c r="G15" i="152"/>
  <c r="H15" i="152"/>
  <c r="G16" i="152"/>
  <c r="H16" i="152"/>
  <c r="G17" i="152"/>
  <c r="H17" i="152"/>
  <c r="G18" i="152"/>
  <c r="H18" i="152"/>
  <c r="G19" i="152"/>
  <c r="H19" i="152"/>
  <c r="G20" i="152"/>
  <c r="H20" i="152"/>
  <c r="G21" i="152"/>
  <c r="H21" i="152"/>
  <c r="G22" i="152"/>
  <c r="H22" i="152"/>
  <c r="G23" i="152"/>
  <c r="H23" i="152"/>
  <c r="H24" i="152"/>
  <c r="H29" i="152"/>
  <c r="G25" i="152"/>
  <c r="H25" i="152"/>
  <c r="G26" i="152"/>
  <c r="H26" i="152"/>
  <c r="H27" i="152"/>
  <c r="G24" i="152"/>
  <c r="G27" i="152"/>
  <c r="F24" i="152"/>
  <c r="F27" i="152"/>
  <c r="E24" i="152"/>
  <c r="E27" i="152"/>
  <c r="D24" i="152"/>
  <c r="D27" i="152"/>
  <c r="C24" i="152"/>
  <c r="C27" i="152"/>
  <c r="I4" i="152"/>
  <c r="I5" i="152"/>
  <c r="I6" i="152"/>
  <c r="I7" i="152"/>
  <c r="I8" i="152"/>
  <c r="I9" i="152"/>
  <c r="I10" i="152"/>
  <c r="I11" i="152"/>
  <c r="I12" i="152"/>
  <c r="I13" i="152"/>
  <c r="I14" i="152"/>
  <c r="I15" i="152"/>
  <c r="I16" i="152"/>
  <c r="I17" i="152"/>
  <c r="I18" i="152"/>
  <c r="I19" i="152"/>
  <c r="I20" i="152"/>
  <c r="I21" i="152"/>
  <c r="I22" i="152"/>
  <c r="I23" i="152"/>
  <c r="I24" i="152"/>
  <c r="J24" i="152"/>
  <c r="H29" i="151"/>
  <c r="G24" i="151"/>
  <c r="G27" i="151"/>
  <c r="F24" i="151"/>
  <c r="F27" i="151"/>
  <c r="E24" i="151"/>
  <c r="E27" i="151"/>
  <c r="D24" i="151"/>
  <c r="D27" i="151"/>
  <c r="C24" i="151"/>
  <c r="C27" i="151"/>
  <c r="Z24" i="149"/>
  <c r="D4" i="123"/>
  <c r="E4" i="123"/>
  <c r="G4" i="123"/>
  <c r="G5" i="123"/>
  <c r="G6" i="123"/>
  <c r="G7" i="123"/>
  <c r="G8" i="123"/>
  <c r="G9" i="123"/>
  <c r="G10" i="123"/>
  <c r="G11" i="123"/>
  <c r="G12" i="123"/>
  <c r="G13" i="123"/>
  <c r="G14" i="123"/>
  <c r="G15" i="123"/>
  <c r="G16" i="123"/>
  <c r="G17" i="123"/>
  <c r="G18" i="123"/>
  <c r="G19" i="123"/>
  <c r="G20" i="123"/>
  <c r="G21" i="123"/>
  <c r="G22" i="123"/>
  <c r="G23" i="123"/>
  <c r="G24" i="123"/>
  <c r="G25" i="123"/>
  <c r="H4" i="123"/>
  <c r="H5" i="123"/>
  <c r="H6" i="123"/>
  <c r="H7" i="123"/>
  <c r="H8" i="123"/>
  <c r="H9" i="123"/>
  <c r="H10" i="123"/>
  <c r="H11" i="123"/>
  <c r="H12" i="123"/>
  <c r="H13" i="123"/>
  <c r="H14" i="123"/>
  <c r="H15" i="123"/>
  <c r="H16" i="123"/>
  <c r="H17" i="123"/>
  <c r="H18" i="123"/>
  <c r="H19" i="123"/>
  <c r="H20" i="123"/>
  <c r="H21" i="123"/>
  <c r="H22" i="123"/>
  <c r="H23" i="123"/>
  <c r="H24" i="123"/>
  <c r="H25" i="123"/>
  <c r="I25" i="123"/>
  <c r="T24" i="149"/>
  <c r="D4" i="97"/>
  <c r="E4" i="97"/>
  <c r="G4" i="97"/>
  <c r="I4" i="97"/>
  <c r="G5" i="97"/>
  <c r="I5" i="97"/>
  <c r="G6" i="97"/>
  <c r="I6" i="97"/>
  <c r="G7" i="97"/>
  <c r="I7" i="97"/>
  <c r="G8" i="97"/>
  <c r="I8" i="97"/>
  <c r="G9" i="97"/>
  <c r="I9" i="97"/>
  <c r="G10" i="97"/>
  <c r="I10" i="97"/>
  <c r="G11" i="97"/>
  <c r="I11" i="97"/>
  <c r="G12" i="97"/>
  <c r="I12" i="97"/>
  <c r="G13" i="97"/>
  <c r="I13" i="97"/>
  <c r="G14" i="97"/>
  <c r="I14" i="97"/>
  <c r="G15" i="97"/>
  <c r="I15" i="97"/>
  <c r="G16" i="97"/>
  <c r="I16" i="97"/>
  <c r="G17" i="97"/>
  <c r="I17" i="97"/>
  <c r="G18" i="97"/>
  <c r="I18" i="97"/>
  <c r="G19" i="97"/>
  <c r="I19" i="97"/>
  <c r="G20" i="97"/>
  <c r="I20" i="97"/>
  <c r="G21" i="97"/>
  <c r="I21" i="97"/>
  <c r="G22" i="97"/>
  <c r="I22" i="97"/>
  <c r="G23" i="97"/>
  <c r="I23" i="97"/>
  <c r="G24" i="97"/>
  <c r="I24" i="97"/>
  <c r="I25" i="97"/>
  <c r="J25" i="97"/>
  <c r="K25" i="97"/>
  <c r="R24" i="149"/>
  <c r="D25" i="95"/>
  <c r="E30" i="95"/>
  <c r="E4" i="95"/>
  <c r="F4" i="95"/>
  <c r="H4" i="95"/>
  <c r="E5" i="95"/>
  <c r="H5" i="95"/>
  <c r="E6" i="95"/>
  <c r="H6" i="95"/>
  <c r="E7" i="95"/>
  <c r="H7" i="95"/>
  <c r="E8" i="95"/>
  <c r="H8" i="95"/>
  <c r="E9" i="95"/>
  <c r="H9" i="95"/>
  <c r="E10" i="95"/>
  <c r="H10" i="95"/>
  <c r="E11" i="95"/>
  <c r="H11" i="95"/>
  <c r="E12" i="95"/>
  <c r="H12" i="95"/>
  <c r="E13" i="95"/>
  <c r="H13" i="95"/>
  <c r="E14" i="95"/>
  <c r="H14" i="95"/>
  <c r="E15" i="95"/>
  <c r="H15" i="95"/>
  <c r="E16" i="95"/>
  <c r="H16" i="95"/>
  <c r="E17" i="95"/>
  <c r="H17" i="95"/>
  <c r="E18" i="95"/>
  <c r="H18" i="95"/>
  <c r="E19" i="95"/>
  <c r="H19" i="95"/>
  <c r="E20" i="95"/>
  <c r="H20" i="95"/>
  <c r="E21" i="95"/>
  <c r="H21" i="95"/>
  <c r="E22" i="95"/>
  <c r="H22" i="95"/>
  <c r="E23" i="95"/>
  <c r="H23" i="95"/>
  <c r="E24" i="95"/>
  <c r="H24" i="95"/>
  <c r="H25" i="95"/>
  <c r="I25" i="95"/>
  <c r="J25" i="95"/>
  <c r="O24" i="149"/>
  <c r="F3" i="81"/>
  <c r="H3" i="81"/>
  <c r="J3" i="81"/>
  <c r="H4" i="81"/>
  <c r="J4" i="81"/>
  <c r="H5" i="81"/>
  <c r="J5" i="81"/>
  <c r="H6" i="81"/>
  <c r="J6" i="81"/>
  <c r="H7" i="81"/>
  <c r="J7" i="81"/>
  <c r="H8" i="81"/>
  <c r="J8" i="81"/>
  <c r="H9" i="81"/>
  <c r="J9" i="81"/>
  <c r="H10" i="81"/>
  <c r="J10" i="81"/>
  <c r="H11" i="81"/>
  <c r="J11" i="81"/>
  <c r="H12" i="81"/>
  <c r="J12" i="81"/>
  <c r="H13" i="81"/>
  <c r="J13" i="81"/>
  <c r="H14" i="81"/>
  <c r="J14" i="81"/>
  <c r="H15" i="81"/>
  <c r="J15" i="81"/>
  <c r="H16" i="81"/>
  <c r="J16" i="81"/>
  <c r="H17" i="81"/>
  <c r="J17" i="81"/>
  <c r="H18" i="81"/>
  <c r="J18" i="81"/>
  <c r="H19" i="81"/>
  <c r="J19" i="81"/>
  <c r="H20" i="81"/>
  <c r="J20" i="81"/>
  <c r="H21" i="81"/>
  <c r="J21" i="81"/>
  <c r="H22" i="81"/>
  <c r="J22" i="81"/>
  <c r="H23" i="81"/>
  <c r="J23" i="81"/>
  <c r="H24" i="81"/>
  <c r="J24" i="81"/>
  <c r="H25" i="81"/>
  <c r="J25" i="81"/>
  <c r="H26" i="81"/>
  <c r="J26" i="81"/>
  <c r="H27" i="81"/>
  <c r="J27" i="81"/>
  <c r="H28" i="81"/>
  <c r="J28" i="81"/>
  <c r="H29" i="81"/>
  <c r="J29" i="81"/>
  <c r="J30" i="81"/>
  <c r="K3" i="81"/>
  <c r="K4" i="81"/>
  <c r="K5" i="81"/>
  <c r="K6" i="81"/>
  <c r="K7" i="81"/>
  <c r="K8" i="81"/>
  <c r="K9" i="81"/>
  <c r="K10" i="81"/>
  <c r="K11" i="81"/>
  <c r="K12" i="81"/>
  <c r="K13" i="81"/>
  <c r="K14" i="81"/>
  <c r="K15" i="81"/>
  <c r="K16" i="81"/>
  <c r="K17" i="81"/>
  <c r="K18" i="81"/>
  <c r="K19" i="81"/>
  <c r="K20" i="81"/>
  <c r="K21" i="81"/>
  <c r="K22" i="81"/>
  <c r="K23" i="81"/>
  <c r="K24" i="81"/>
  <c r="K25" i="81"/>
  <c r="K26" i="81"/>
  <c r="K27" i="81"/>
  <c r="K28" i="81"/>
  <c r="K29" i="81"/>
  <c r="K30" i="81"/>
  <c r="L30" i="81"/>
  <c r="M24" i="149"/>
  <c r="E3" i="76"/>
  <c r="E4" i="76"/>
  <c r="E5" i="76"/>
  <c r="E6" i="76"/>
  <c r="E7" i="76"/>
  <c r="E8" i="76"/>
  <c r="E9" i="76"/>
  <c r="E10" i="76"/>
  <c r="E11" i="76"/>
  <c r="E12" i="76"/>
  <c r="E13" i="76"/>
  <c r="E14" i="76"/>
  <c r="E15" i="76"/>
  <c r="E16" i="76"/>
  <c r="E17" i="76"/>
  <c r="E18" i="76"/>
  <c r="E19" i="76"/>
  <c r="E20" i="76"/>
  <c r="E21" i="76"/>
  <c r="E22" i="76"/>
  <c r="E23" i="76"/>
  <c r="E24" i="76"/>
  <c r="F3" i="76"/>
  <c r="F4" i="76"/>
  <c r="F5" i="76"/>
  <c r="F6" i="76"/>
  <c r="F7" i="76"/>
  <c r="F8" i="76"/>
  <c r="F9" i="76"/>
  <c r="F10" i="76"/>
  <c r="F11" i="76"/>
  <c r="F12" i="76"/>
  <c r="F13" i="76"/>
  <c r="F14" i="76"/>
  <c r="F15" i="76"/>
  <c r="F16" i="76"/>
  <c r="F17" i="76"/>
  <c r="F18" i="76"/>
  <c r="F19" i="76"/>
  <c r="F20" i="76"/>
  <c r="F21" i="76"/>
  <c r="F22" i="76"/>
  <c r="F23" i="76"/>
  <c r="F24" i="76"/>
  <c r="G24" i="76"/>
  <c r="J24" i="149"/>
  <c r="B32" i="49"/>
  <c r="B24" i="49"/>
  <c r="A36" i="49"/>
  <c r="C3" i="49"/>
  <c r="C4" i="49"/>
  <c r="C5" i="49"/>
  <c r="C6" i="49"/>
  <c r="C7" i="49"/>
  <c r="C8" i="49"/>
  <c r="C9" i="49"/>
  <c r="C10" i="49"/>
  <c r="C11" i="49"/>
  <c r="C12" i="49"/>
  <c r="C13" i="49"/>
  <c r="C14" i="49"/>
  <c r="C15" i="49"/>
  <c r="C16" i="49"/>
  <c r="C17" i="49"/>
  <c r="C18" i="49"/>
  <c r="C19" i="49"/>
  <c r="C20" i="49"/>
  <c r="C21" i="49"/>
  <c r="C22" i="49"/>
  <c r="C23" i="49"/>
  <c r="C24" i="49"/>
  <c r="D3" i="49"/>
  <c r="D4" i="49"/>
  <c r="D5" i="49"/>
  <c r="D6" i="49"/>
  <c r="D7" i="49"/>
  <c r="D8" i="49"/>
  <c r="D9" i="49"/>
  <c r="D10" i="49"/>
  <c r="D11" i="49"/>
  <c r="D12" i="49"/>
  <c r="D13" i="49"/>
  <c r="D14" i="49"/>
  <c r="D15" i="49"/>
  <c r="D16" i="49"/>
  <c r="D17" i="49"/>
  <c r="D18" i="49"/>
  <c r="D19" i="49"/>
  <c r="D20" i="49"/>
  <c r="D21" i="49"/>
  <c r="D22" i="49"/>
  <c r="D23" i="49"/>
  <c r="D24" i="49"/>
  <c r="E24" i="49"/>
  <c r="H24" i="149"/>
  <c r="G4" i="136"/>
  <c r="H4" i="136"/>
  <c r="G5" i="136"/>
  <c r="H5" i="136"/>
  <c r="G6" i="136"/>
  <c r="H6" i="136"/>
  <c r="G7" i="136"/>
  <c r="H7" i="136"/>
  <c r="G8" i="136"/>
  <c r="H8" i="136"/>
  <c r="G9" i="136"/>
  <c r="H9" i="136"/>
  <c r="G10" i="136"/>
  <c r="H10" i="136"/>
  <c r="G11" i="136"/>
  <c r="H11" i="136"/>
  <c r="G12" i="136"/>
  <c r="H12" i="136"/>
  <c r="G13" i="136"/>
  <c r="H13" i="136"/>
  <c r="G14" i="136"/>
  <c r="H14" i="136"/>
  <c r="G15" i="136"/>
  <c r="H15" i="136"/>
  <c r="G16" i="136"/>
  <c r="H16" i="136"/>
  <c r="G17" i="136"/>
  <c r="H17" i="136"/>
  <c r="G18" i="136"/>
  <c r="H18" i="136"/>
  <c r="G19" i="136"/>
  <c r="H19" i="136"/>
  <c r="G20" i="136"/>
  <c r="H20" i="136"/>
  <c r="G21" i="136"/>
  <c r="H21" i="136"/>
  <c r="G22" i="136"/>
  <c r="H22" i="136"/>
  <c r="G23" i="136"/>
  <c r="H23" i="136"/>
  <c r="G24" i="136"/>
  <c r="H24" i="136"/>
  <c r="H25" i="136"/>
  <c r="I4" i="136"/>
  <c r="I5" i="136"/>
  <c r="I6" i="136"/>
  <c r="I7" i="136"/>
  <c r="I8" i="136"/>
  <c r="I9" i="136"/>
  <c r="I10" i="136"/>
  <c r="I11" i="136"/>
  <c r="I12" i="136"/>
  <c r="I13" i="136"/>
  <c r="I14" i="136"/>
  <c r="I15" i="136"/>
  <c r="I16" i="136"/>
  <c r="I17" i="136"/>
  <c r="I18" i="136"/>
  <c r="I19" i="136"/>
  <c r="I20" i="136"/>
  <c r="I21" i="136"/>
  <c r="I22" i="136"/>
  <c r="I23" i="136"/>
  <c r="I24" i="136"/>
  <c r="I25" i="136"/>
  <c r="J25" i="136"/>
  <c r="B40" i="59"/>
  <c r="B3" i="59"/>
  <c r="B40" i="58"/>
  <c r="B3" i="58"/>
  <c r="C3" i="57"/>
  <c r="D3" i="57"/>
  <c r="E3" i="57"/>
  <c r="B3" i="56"/>
  <c r="C4" i="57"/>
  <c r="D4" i="57"/>
  <c r="E4" i="57"/>
  <c r="C40" i="59"/>
  <c r="C3" i="59"/>
  <c r="C40" i="58"/>
  <c r="C3" i="58"/>
  <c r="C3" i="56"/>
  <c r="C5" i="57"/>
  <c r="D5" i="57"/>
  <c r="E5" i="57"/>
  <c r="D40" i="59"/>
  <c r="D3" i="59"/>
  <c r="D40" i="58"/>
  <c r="D3" i="58"/>
  <c r="D3" i="56"/>
  <c r="C6" i="57"/>
  <c r="D6" i="57"/>
  <c r="E6" i="57"/>
  <c r="E40" i="59"/>
  <c r="E3" i="59"/>
  <c r="E40" i="58"/>
  <c r="E3" i="58"/>
  <c r="E3" i="56"/>
  <c r="C7" i="57"/>
  <c r="D7" i="57"/>
  <c r="E7" i="57"/>
  <c r="F40" i="59"/>
  <c r="F3" i="59"/>
  <c r="F40" i="58"/>
  <c r="F3" i="58"/>
  <c r="F3" i="56"/>
  <c r="C8" i="57"/>
  <c r="D8" i="57"/>
  <c r="E8" i="57"/>
  <c r="G40" i="59"/>
  <c r="G3" i="59"/>
  <c r="G40" i="58"/>
  <c r="G3" i="58"/>
  <c r="G3" i="56"/>
  <c r="C9" i="57"/>
  <c r="D9" i="57"/>
  <c r="E9" i="57"/>
  <c r="H40" i="59"/>
  <c r="H3" i="59"/>
  <c r="H40" i="58"/>
  <c r="H3" i="58"/>
  <c r="H3" i="56"/>
  <c r="C10" i="57"/>
  <c r="D10" i="57"/>
  <c r="E10" i="57"/>
  <c r="I40" i="59"/>
  <c r="I3" i="59"/>
  <c r="I40" i="58"/>
  <c r="I3" i="58"/>
  <c r="I3" i="56"/>
  <c r="C11" i="57"/>
  <c r="D11" i="57"/>
  <c r="E11" i="57"/>
  <c r="J40" i="59"/>
  <c r="J3" i="59"/>
  <c r="J40" i="58"/>
  <c r="J3" i="58"/>
  <c r="J3" i="56"/>
  <c r="C12" i="57"/>
  <c r="D12" i="57"/>
  <c r="E12" i="57"/>
  <c r="K40" i="59"/>
  <c r="K3" i="59"/>
  <c r="K40" i="58"/>
  <c r="K3" i="58"/>
  <c r="K3" i="56"/>
  <c r="C13" i="57"/>
  <c r="D13" i="57"/>
  <c r="E13" i="57"/>
  <c r="L40" i="59"/>
  <c r="L3" i="59"/>
  <c r="L40" i="58"/>
  <c r="L3" i="58"/>
  <c r="L3" i="56"/>
  <c r="C14" i="57"/>
  <c r="D14" i="57"/>
  <c r="E14" i="57"/>
  <c r="M40" i="59"/>
  <c r="M3" i="59"/>
  <c r="M40" i="58"/>
  <c r="M3" i="58"/>
  <c r="M3" i="56"/>
  <c r="C15" i="57"/>
  <c r="D15" i="57"/>
  <c r="E15" i="57"/>
  <c r="N40" i="59"/>
  <c r="N3" i="59"/>
  <c r="N40" i="58"/>
  <c r="N3" i="58"/>
  <c r="N3" i="56"/>
  <c r="C16" i="57"/>
  <c r="D16" i="57"/>
  <c r="E16" i="57"/>
  <c r="O40" i="59"/>
  <c r="O3" i="59"/>
  <c r="O40" i="58"/>
  <c r="O3" i="58"/>
  <c r="O3" i="56"/>
  <c r="C17" i="57"/>
  <c r="D17" i="57"/>
  <c r="E17" i="57"/>
  <c r="P40" i="59"/>
  <c r="P3" i="59"/>
  <c r="P40" i="58"/>
  <c r="P3" i="58"/>
  <c r="P3" i="56"/>
  <c r="C18" i="57"/>
  <c r="D18" i="57"/>
  <c r="E18" i="57"/>
  <c r="Q40" i="59"/>
  <c r="Q3" i="59"/>
  <c r="Q40" i="58"/>
  <c r="Q3" i="58"/>
  <c r="Q3" i="56"/>
  <c r="R3" i="56"/>
  <c r="D5" i="149"/>
  <c r="E5" i="149"/>
  <c r="B4" i="59"/>
  <c r="B4" i="58"/>
  <c r="B4" i="56"/>
  <c r="C4" i="59"/>
  <c r="C4" i="58"/>
  <c r="C4" i="56"/>
  <c r="D4" i="59"/>
  <c r="D4" i="58"/>
  <c r="D4" i="56"/>
  <c r="E4" i="59"/>
  <c r="E4" i="58"/>
  <c r="E4" i="56"/>
  <c r="F4" i="59"/>
  <c r="F4" i="58"/>
  <c r="F4" i="56"/>
  <c r="G4" i="59"/>
  <c r="G4" i="58"/>
  <c r="G4" i="56"/>
  <c r="H4" i="59"/>
  <c r="H4" i="58"/>
  <c r="H4" i="56"/>
  <c r="I4" i="59"/>
  <c r="I4" i="58"/>
  <c r="I4" i="56"/>
  <c r="J4" i="59"/>
  <c r="J4" i="58"/>
  <c r="J4" i="56"/>
  <c r="K4" i="59"/>
  <c r="K4" i="58"/>
  <c r="K4" i="56"/>
  <c r="L4" i="59"/>
  <c r="L4" i="58"/>
  <c r="L4" i="56"/>
  <c r="M4" i="59"/>
  <c r="M4" i="58"/>
  <c r="M4" i="56"/>
  <c r="N4" i="59"/>
  <c r="N4" i="58"/>
  <c r="N4" i="56"/>
  <c r="O4" i="59"/>
  <c r="O4" i="58"/>
  <c r="O4" i="56"/>
  <c r="P4" i="59"/>
  <c r="P4" i="58"/>
  <c r="P4" i="56"/>
  <c r="Q4" i="59"/>
  <c r="Q4" i="58"/>
  <c r="Q4" i="56"/>
  <c r="R4" i="56"/>
  <c r="D6" i="149"/>
  <c r="E6" i="149"/>
  <c r="B5" i="59"/>
  <c r="B5" i="58"/>
  <c r="B5" i="56"/>
  <c r="C5" i="59"/>
  <c r="C5" i="58"/>
  <c r="C5" i="56"/>
  <c r="D5" i="59"/>
  <c r="D5" i="58"/>
  <c r="D5" i="56"/>
  <c r="E5" i="59"/>
  <c r="E5" i="58"/>
  <c r="E5" i="56"/>
  <c r="F5" i="59"/>
  <c r="F5" i="58"/>
  <c r="F5" i="56"/>
  <c r="G5" i="59"/>
  <c r="G5" i="58"/>
  <c r="G5" i="56"/>
  <c r="H5" i="59"/>
  <c r="H5" i="58"/>
  <c r="H5" i="56"/>
  <c r="I5" i="59"/>
  <c r="I5" i="58"/>
  <c r="I5" i="56"/>
  <c r="J5" i="59"/>
  <c r="J5" i="58"/>
  <c r="J5" i="56"/>
  <c r="K5" i="59"/>
  <c r="K5" i="58"/>
  <c r="K5" i="56"/>
  <c r="L5" i="59"/>
  <c r="L5" i="58"/>
  <c r="L5" i="56"/>
  <c r="M5" i="59"/>
  <c r="M5" i="58"/>
  <c r="M5" i="56"/>
  <c r="N5" i="59"/>
  <c r="N5" i="58"/>
  <c r="N5" i="56"/>
  <c r="O5" i="59"/>
  <c r="O5" i="58"/>
  <c r="O5" i="56"/>
  <c r="P5" i="59"/>
  <c r="P5" i="58"/>
  <c r="P5" i="56"/>
  <c r="Q5" i="59"/>
  <c r="Q5" i="58"/>
  <c r="Q5" i="56"/>
  <c r="R5" i="56"/>
  <c r="D7" i="149"/>
  <c r="E7" i="149"/>
  <c r="B6" i="59"/>
  <c r="B6" i="58"/>
  <c r="B6" i="56"/>
  <c r="C6" i="59"/>
  <c r="C6" i="58"/>
  <c r="C6" i="56"/>
  <c r="D6" i="59"/>
  <c r="D6" i="58"/>
  <c r="D6" i="56"/>
  <c r="E6" i="59"/>
  <c r="E6" i="58"/>
  <c r="E6" i="56"/>
  <c r="F6" i="59"/>
  <c r="F6" i="58"/>
  <c r="F6" i="56"/>
  <c r="G6" i="59"/>
  <c r="G6" i="58"/>
  <c r="G6" i="56"/>
  <c r="H6" i="59"/>
  <c r="H6" i="58"/>
  <c r="H6" i="56"/>
  <c r="I6" i="59"/>
  <c r="I6" i="58"/>
  <c r="I6" i="56"/>
  <c r="J6" i="59"/>
  <c r="J6" i="58"/>
  <c r="J6" i="56"/>
  <c r="K6" i="59"/>
  <c r="K6" i="58"/>
  <c r="K6" i="56"/>
  <c r="L6" i="59"/>
  <c r="L6" i="58"/>
  <c r="L6" i="56"/>
  <c r="M6" i="59"/>
  <c r="M6" i="58"/>
  <c r="M6" i="56"/>
  <c r="N6" i="59"/>
  <c r="N6" i="58"/>
  <c r="N6" i="56"/>
  <c r="O6" i="59"/>
  <c r="O6" i="58"/>
  <c r="O6" i="56"/>
  <c r="P6" i="59"/>
  <c r="P6" i="58"/>
  <c r="P6" i="56"/>
  <c r="Q6" i="59"/>
  <c r="Q6" i="58"/>
  <c r="Q6" i="56"/>
  <c r="R6" i="56"/>
  <c r="D8" i="149"/>
  <c r="E8" i="149"/>
  <c r="B7" i="59"/>
  <c r="B7" i="58"/>
  <c r="B7" i="56"/>
  <c r="C7" i="59"/>
  <c r="C7" i="58"/>
  <c r="C7" i="56"/>
  <c r="D7" i="59"/>
  <c r="D7" i="58"/>
  <c r="D7" i="56"/>
  <c r="E7" i="59"/>
  <c r="E7" i="58"/>
  <c r="E7" i="56"/>
  <c r="F7" i="59"/>
  <c r="F7" i="58"/>
  <c r="F7" i="56"/>
  <c r="G7" i="59"/>
  <c r="G7" i="58"/>
  <c r="G7" i="56"/>
  <c r="H7" i="59"/>
  <c r="H7" i="58"/>
  <c r="H7" i="56"/>
  <c r="I7" i="59"/>
  <c r="I7" i="58"/>
  <c r="I7" i="56"/>
  <c r="J7" i="59"/>
  <c r="J7" i="58"/>
  <c r="J7" i="56"/>
  <c r="K7" i="59"/>
  <c r="K7" i="58"/>
  <c r="K7" i="56"/>
  <c r="L7" i="59"/>
  <c r="L7" i="58"/>
  <c r="L7" i="56"/>
  <c r="M7" i="59"/>
  <c r="M7" i="58"/>
  <c r="M7" i="56"/>
  <c r="N7" i="59"/>
  <c r="N7" i="58"/>
  <c r="N7" i="56"/>
  <c r="O7" i="59"/>
  <c r="O7" i="58"/>
  <c r="O7" i="56"/>
  <c r="P7" i="59"/>
  <c r="P7" i="58"/>
  <c r="P7" i="56"/>
  <c r="Q7" i="59"/>
  <c r="Q7" i="58"/>
  <c r="Q7" i="56"/>
  <c r="R7" i="56"/>
  <c r="D9" i="149"/>
  <c r="E9" i="149"/>
  <c r="B8" i="59"/>
  <c r="B8" i="58"/>
  <c r="B8" i="56"/>
  <c r="C8" i="59"/>
  <c r="C8" i="58"/>
  <c r="C8" i="56"/>
  <c r="D8" i="59"/>
  <c r="D8" i="58"/>
  <c r="D8" i="56"/>
  <c r="E8" i="59"/>
  <c r="E8" i="58"/>
  <c r="E8" i="56"/>
  <c r="F8" i="59"/>
  <c r="F8" i="58"/>
  <c r="F8" i="56"/>
  <c r="G8" i="59"/>
  <c r="G8" i="58"/>
  <c r="G8" i="56"/>
  <c r="H8" i="59"/>
  <c r="H8" i="58"/>
  <c r="H8" i="56"/>
  <c r="I8" i="59"/>
  <c r="I8" i="58"/>
  <c r="I8" i="56"/>
  <c r="J8" i="59"/>
  <c r="J8" i="58"/>
  <c r="J8" i="56"/>
  <c r="K8" i="59"/>
  <c r="K8" i="58"/>
  <c r="K8" i="56"/>
  <c r="L8" i="59"/>
  <c r="L8" i="58"/>
  <c r="L8" i="56"/>
  <c r="M8" i="59"/>
  <c r="M8" i="58"/>
  <c r="M8" i="56"/>
  <c r="N8" i="59"/>
  <c r="N8" i="58"/>
  <c r="N8" i="56"/>
  <c r="O8" i="59"/>
  <c r="O8" i="58"/>
  <c r="O8" i="56"/>
  <c r="P8" i="59"/>
  <c r="P8" i="58"/>
  <c r="P8" i="56"/>
  <c r="Q8" i="59"/>
  <c r="Q8" i="58"/>
  <c r="Q8" i="56"/>
  <c r="R8" i="56"/>
  <c r="D10" i="149"/>
  <c r="E10" i="149"/>
  <c r="B9" i="59"/>
  <c r="B9" i="58"/>
  <c r="B9" i="56"/>
  <c r="C9" i="59"/>
  <c r="C9" i="58"/>
  <c r="C9" i="56"/>
  <c r="D9" i="59"/>
  <c r="D9" i="58"/>
  <c r="D9" i="56"/>
  <c r="E9" i="59"/>
  <c r="E9" i="58"/>
  <c r="E9" i="56"/>
  <c r="F9" i="59"/>
  <c r="F9" i="58"/>
  <c r="F9" i="56"/>
  <c r="G9" i="59"/>
  <c r="G9" i="58"/>
  <c r="G9" i="56"/>
  <c r="H9" i="59"/>
  <c r="H9" i="58"/>
  <c r="H9" i="56"/>
  <c r="I9" i="59"/>
  <c r="I9" i="58"/>
  <c r="I9" i="56"/>
  <c r="J9" i="59"/>
  <c r="J9" i="58"/>
  <c r="J9" i="56"/>
  <c r="K9" i="59"/>
  <c r="K9" i="58"/>
  <c r="K9" i="56"/>
  <c r="L9" i="59"/>
  <c r="L9" i="58"/>
  <c r="L9" i="56"/>
  <c r="M9" i="59"/>
  <c r="M9" i="58"/>
  <c r="M9" i="56"/>
  <c r="N9" i="59"/>
  <c r="N9" i="58"/>
  <c r="N9" i="56"/>
  <c r="O9" i="59"/>
  <c r="O9" i="58"/>
  <c r="O9" i="56"/>
  <c r="P9" i="59"/>
  <c r="P9" i="58"/>
  <c r="P9" i="56"/>
  <c r="Q9" i="59"/>
  <c r="Q9" i="58"/>
  <c r="Q9" i="56"/>
  <c r="R9" i="56"/>
  <c r="D11" i="149"/>
  <c r="E11" i="149"/>
  <c r="B10" i="59"/>
  <c r="B10" i="58"/>
  <c r="B10" i="56"/>
  <c r="C10" i="59"/>
  <c r="C10" i="58"/>
  <c r="C10" i="56"/>
  <c r="D10" i="59"/>
  <c r="D10" i="58"/>
  <c r="D10" i="56"/>
  <c r="E10" i="59"/>
  <c r="E10" i="58"/>
  <c r="E10" i="56"/>
  <c r="F10" i="59"/>
  <c r="F10" i="58"/>
  <c r="F10" i="56"/>
  <c r="G10" i="59"/>
  <c r="G10" i="58"/>
  <c r="G10" i="56"/>
  <c r="H10" i="59"/>
  <c r="H10" i="58"/>
  <c r="H10" i="56"/>
  <c r="I10" i="59"/>
  <c r="I10" i="58"/>
  <c r="I10" i="56"/>
  <c r="J10" i="59"/>
  <c r="J10" i="58"/>
  <c r="J10" i="56"/>
  <c r="K10" i="59"/>
  <c r="K10" i="58"/>
  <c r="K10" i="56"/>
  <c r="L10" i="59"/>
  <c r="L10" i="58"/>
  <c r="L10" i="56"/>
  <c r="M10" i="59"/>
  <c r="M10" i="58"/>
  <c r="M10" i="56"/>
  <c r="N10" i="59"/>
  <c r="N10" i="58"/>
  <c r="N10" i="56"/>
  <c r="O10" i="59"/>
  <c r="O10" i="58"/>
  <c r="O10" i="56"/>
  <c r="P10" i="59"/>
  <c r="P10" i="58"/>
  <c r="P10" i="56"/>
  <c r="Q10" i="59"/>
  <c r="Q10" i="58"/>
  <c r="Q10" i="56"/>
  <c r="R10" i="56"/>
  <c r="D12" i="149"/>
  <c r="E12" i="149"/>
  <c r="B11" i="59"/>
  <c r="B11" i="58"/>
  <c r="B11" i="56"/>
  <c r="C11" i="59"/>
  <c r="C11" i="58"/>
  <c r="C11" i="56"/>
  <c r="D11" i="59"/>
  <c r="D11" i="58"/>
  <c r="D11" i="56"/>
  <c r="E11" i="59"/>
  <c r="E11" i="58"/>
  <c r="E11" i="56"/>
  <c r="F11" i="59"/>
  <c r="F11" i="58"/>
  <c r="F11" i="56"/>
  <c r="G11" i="59"/>
  <c r="G11" i="58"/>
  <c r="G11" i="56"/>
  <c r="H11" i="59"/>
  <c r="H11" i="58"/>
  <c r="H11" i="56"/>
  <c r="I11" i="59"/>
  <c r="I11" i="58"/>
  <c r="I11" i="56"/>
  <c r="J11" i="59"/>
  <c r="J11" i="58"/>
  <c r="J11" i="56"/>
  <c r="K11" i="59"/>
  <c r="K11" i="58"/>
  <c r="K11" i="56"/>
  <c r="L11" i="59"/>
  <c r="L11" i="58"/>
  <c r="L11" i="56"/>
  <c r="M11" i="59"/>
  <c r="M11" i="58"/>
  <c r="M11" i="56"/>
  <c r="N11" i="59"/>
  <c r="N11" i="58"/>
  <c r="N11" i="56"/>
  <c r="O11" i="59"/>
  <c r="O11" i="58"/>
  <c r="O11" i="56"/>
  <c r="P11" i="59"/>
  <c r="P11" i="58"/>
  <c r="P11" i="56"/>
  <c r="Q11" i="59"/>
  <c r="Q11" i="58"/>
  <c r="Q11" i="56"/>
  <c r="R11" i="56"/>
  <c r="D13" i="149"/>
  <c r="E13" i="149"/>
  <c r="B12" i="59"/>
  <c r="B12" i="58"/>
  <c r="B12" i="56"/>
  <c r="C12" i="59"/>
  <c r="C12" i="58"/>
  <c r="C12" i="56"/>
  <c r="D12" i="59"/>
  <c r="D12" i="58"/>
  <c r="D12" i="56"/>
  <c r="E12" i="59"/>
  <c r="E12" i="58"/>
  <c r="E12" i="56"/>
  <c r="F12" i="59"/>
  <c r="F12" i="58"/>
  <c r="F12" i="56"/>
  <c r="G12" i="59"/>
  <c r="G12" i="58"/>
  <c r="G12" i="56"/>
  <c r="H12" i="59"/>
  <c r="H12" i="58"/>
  <c r="H12" i="56"/>
  <c r="I12" i="59"/>
  <c r="I12" i="58"/>
  <c r="I12" i="56"/>
  <c r="J12" i="59"/>
  <c r="J12" i="58"/>
  <c r="J12" i="56"/>
  <c r="K12" i="59"/>
  <c r="K12" i="58"/>
  <c r="K12" i="56"/>
  <c r="L12" i="59"/>
  <c r="L12" i="58"/>
  <c r="L12" i="56"/>
  <c r="M12" i="59"/>
  <c r="M12" i="58"/>
  <c r="M12" i="56"/>
  <c r="N12" i="59"/>
  <c r="N12" i="58"/>
  <c r="N12" i="56"/>
  <c r="O12" i="59"/>
  <c r="O12" i="58"/>
  <c r="O12" i="56"/>
  <c r="P12" i="59"/>
  <c r="P12" i="58"/>
  <c r="P12" i="56"/>
  <c r="Q12" i="59"/>
  <c r="Q12" i="58"/>
  <c r="Q12" i="56"/>
  <c r="R12" i="56"/>
  <c r="D14" i="149"/>
  <c r="E14" i="149"/>
  <c r="B13" i="59"/>
  <c r="B13" i="58"/>
  <c r="B13" i="56"/>
  <c r="C13" i="59"/>
  <c r="C13" i="58"/>
  <c r="C13" i="56"/>
  <c r="D13" i="59"/>
  <c r="D13" i="58"/>
  <c r="D13" i="56"/>
  <c r="E13" i="59"/>
  <c r="E13" i="58"/>
  <c r="E13" i="56"/>
  <c r="F13" i="59"/>
  <c r="F13" i="58"/>
  <c r="F13" i="56"/>
  <c r="G13" i="59"/>
  <c r="G13" i="58"/>
  <c r="G13" i="56"/>
  <c r="H13" i="59"/>
  <c r="H13" i="58"/>
  <c r="H13" i="56"/>
  <c r="I13" i="59"/>
  <c r="I13" i="58"/>
  <c r="I13" i="56"/>
  <c r="J13" i="59"/>
  <c r="J13" i="58"/>
  <c r="J13" i="56"/>
  <c r="K13" i="59"/>
  <c r="K13" i="58"/>
  <c r="K13" i="56"/>
  <c r="L13" i="59"/>
  <c r="L13" i="58"/>
  <c r="L13" i="56"/>
  <c r="M13" i="59"/>
  <c r="M13" i="58"/>
  <c r="M13" i="56"/>
  <c r="N13" i="59"/>
  <c r="N13" i="58"/>
  <c r="N13" i="56"/>
  <c r="O13" i="59"/>
  <c r="O13" i="58"/>
  <c r="O13" i="56"/>
  <c r="P13" i="59"/>
  <c r="P13" i="58"/>
  <c r="P13" i="56"/>
  <c r="Q13" i="59"/>
  <c r="Q13" i="58"/>
  <c r="Q13" i="56"/>
  <c r="R13" i="56"/>
  <c r="D15" i="149"/>
  <c r="E15" i="149"/>
  <c r="B14" i="59"/>
  <c r="B14" i="58"/>
  <c r="B14" i="56"/>
  <c r="C14" i="59"/>
  <c r="C14" i="58"/>
  <c r="C14" i="56"/>
  <c r="D14" i="59"/>
  <c r="D14" i="58"/>
  <c r="D14" i="56"/>
  <c r="E14" i="59"/>
  <c r="E14" i="58"/>
  <c r="E14" i="56"/>
  <c r="F14" i="59"/>
  <c r="F14" i="58"/>
  <c r="F14" i="56"/>
  <c r="G14" i="59"/>
  <c r="G14" i="58"/>
  <c r="G14" i="56"/>
  <c r="H14" i="59"/>
  <c r="H14" i="58"/>
  <c r="H14" i="56"/>
  <c r="I14" i="59"/>
  <c r="I14" i="58"/>
  <c r="I14" i="56"/>
  <c r="J14" i="59"/>
  <c r="J14" i="58"/>
  <c r="J14" i="56"/>
  <c r="K14" i="59"/>
  <c r="K14" i="58"/>
  <c r="K14" i="56"/>
  <c r="L14" i="59"/>
  <c r="L14" i="58"/>
  <c r="L14" i="56"/>
  <c r="M14" i="59"/>
  <c r="M14" i="58"/>
  <c r="M14" i="56"/>
  <c r="N14" i="59"/>
  <c r="N14" i="58"/>
  <c r="N14" i="56"/>
  <c r="O14" i="59"/>
  <c r="O14" i="58"/>
  <c r="O14" i="56"/>
  <c r="P14" i="59"/>
  <c r="P14" i="58"/>
  <c r="P14" i="56"/>
  <c r="Q14" i="59"/>
  <c r="Q14" i="58"/>
  <c r="Q14" i="56"/>
  <c r="R14" i="56"/>
  <c r="D16" i="149"/>
  <c r="E16" i="149"/>
  <c r="B15" i="59"/>
  <c r="B15" i="58"/>
  <c r="B15" i="56"/>
  <c r="C15" i="59"/>
  <c r="C15" i="58"/>
  <c r="C15" i="56"/>
  <c r="D15" i="59"/>
  <c r="D15" i="58"/>
  <c r="D15" i="56"/>
  <c r="E15" i="59"/>
  <c r="E15" i="58"/>
  <c r="E15" i="56"/>
  <c r="F15" i="59"/>
  <c r="F15" i="58"/>
  <c r="F15" i="56"/>
  <c r="G15" i="59"/>
  <c r="G15" i="58"/>
  <c r="G15" i="56"/>
  <c r="H15" i="59"/>
  <c r="H15" i="58"/>
  <c r="H15" i="56"/>
  <c r="I15" i="59"/>
  <c r="I15" i="58"/>
  <c r="I15" i="56"/>
  <c r="J15" i="59"/>
  <c r="J15" i="58"/>
  <c r="J15" i="56"/>
  <c r="K15" i="59"/>
  <c r="K15" i="58"/>
  <c r="K15" i="56"/>
  <c r="L15" i="59"/>
  <c r="L15" i="58"/>
  <c r="L15" i="56"/>
  <c r="M15" i="59"/>
  <c r="M15" i="58"/>
  <c r="M15" i="56"/>
  <c r="N15" i="59"/>
  <c r="N15" i="58"/>
  <c r="N15" i="56"/>
  <c r="O15" i="59"/>
  <c r="O15" i="58"/>
  <c r="O15" i="56"/>
  <c r="P15" i="59"/>
  <c r="P15" i="58"/>
  <c r="P15" i="56"/>
  <c r="Q15" i="59"/>
  <c r="Q15" i="58"/>
  <c r="Q15" i="56"/>
  <c r="R15" i="56"/>
  <c r="D17" i="149"/>
  <c r="E17" i="149"/>
  <c r="B16" i="59"/>
  <c r="B16" i="58"/>
  <c r="B16" i="56"/>
  <c r="C16" i="59"/>
  <c r="C16" i="58"/>
  <c r="C16" i="56"/>
  <c r="D16" i="59"/>
  <c r="D16" i="58"/>
  <c r="D16" i="56"/>
  <c r="E16" i="59"/>
  <c r="E16" i="58"/>
  <c r="E16" i="56"/>
  <c r="F16" i="59"/>
  <c r="F16" i="58"/>
  <c r="F16" i="56"/>
  <c r="G16" i="59"/>
  <c r="G16" i="58"/>
  <c r="G16" i="56"/>
  <c r="H16" i="59"/>
  <c r="H16" i="58"/>
  <c r="H16" i="56"/>
  <c r="I16" i="59"/>
  <c r="I16" i="58"/>
  <c r="I16" i="56"/>
  <c r="J16" i="59"/>
  <c r="J16" i="58"/>
  <c r="J16" i="56"/>
  <c r="K16" i="59"/>
  <c r="K16" i="58"/>
  <c r="K16" i="56"/>
  <c r="L16" i="59"/>
  <c r="L16" i="58"/>
  <c r="L16" i="56"/>
  <c r="M16" i="59"/>
  <c r="M16" i="58"/>
  <c r="M16" i="56"/>
  <c r="N16" i="59"/>
  <c r="N16" i="58"/>
  <c r="N16" i="56"/>
  <c r="O16" i="59"/>
  <c r="O16" i="58"/>
  <c r="O16" i="56"/>
  <c r="P16" i="59"/>
  <c r="P16" i="58"/>
  <c r="P16" i="56"/>
  <c r="Q16" i="59"/>
  <c r="Q16" i="58"/>
  <c r="Q16" i="56"/>
  <c r="R16" i="56"/>
  <c r="D18" i="149"/>
  <c r="E18" i="149"/>
  <c r="B17" i="59"/>
  <c r="B17" i="58"/>
  <c r="B17" i="56"/>
  <c r="C17" i="59"/>
  <c r="C17" i="58"/>
  <c r="C17" i="56"/>
  <c r="D17" i="59"/>
  <c r="D17" i="58"/>
  <c r="D17" i="56"/>
  <c r="E17" i="59"/>
  <c r="E17" i="58"/>
  <c r="E17" i="56"/>
  <c r="F17" i="59"/>
  <c r="F17" i="58"/>
  <c r="F17" i="56"/>
  <c r="G17" i="59"/>
  <c r="G17" i="58"/>
  <c r="G17" i="56"/>
  <c r="H17" i="59"/>
  <c r="H17" i="58"/>
  <c r="H17" i="56"/>
  <c r="I17" i="59"/>
  <c r="I17" i="58"/>
  <c r="I17" i="56"/>
  <c r="J17" i="59"/>
  <c r="J17" i="58"/>
  <c r="J17" i="56"/>
  <c r="K17" i="59"/>
  <c r="K17" i="58"/>
  <c r="K17" i="56"/>
  <c r="L17" i="59"/>
  <c r="L17" i="58"/>
  <c r="L17" i="56"/>
  <c r="M17" i="59"/>
  <c r="M17" i="58"/>
  <c r="M17" i="56"/>
  <c r="N17" i="59"/>
  <c r="N17" i="58"/>
  <c r="N17" i="56"/>
  <c r="O17" i="59"/>
  <c r="O17" i="58"/>
  <c r="O17" i="56"/>
  <c r="P17" i="59"/>
  <c r="P17" i="58"/>
  <c r="P17" i="56"/>
  <c r="Q17" i="59"/>
  <c r="Q17" i="58"/>
  <c r="Q17" i="56"/>
  <c r="R17" i="56"/>
  <c r="D19" i="149"/>
  <c r="E19" i="149"/>
  <c r="B19" i="59"/>
  <c r="B19" i="58"/>
  <c r="B19" i="56"/>
  <c r="C19" i="59"/>
  <c r="C19" i="58"/>
  <c r="C19" i="56"/>
  <c r="D19" i="59"/>
  <c r="D19" i="58"/>
  <c r="D19" i="56"/>
  <c r="E19" i="59"/>
  <c r="E19" i="58"/>
  <c r="E19" i="56"/>
  <c r="F19" i="59"/>
  <c r="F19" i="58"/>
  <c r="F19" i="56"/>
  <c r="G19" i="59"/>
  <c r="G19" i="58"/>
  <c r="G19" i="56"/>
  <c r="H19" i="59"/>
  <c r="H19" i="58"/>
  <c r="H19" i="56"/>
  <c r="I19" i="59"/>
  <c r="I19" i="58"/>
  <c r="I19" i="56"/>
  <c r="J19" i="59"/>
  <c r="J19" i="58"/>
  <c r="J19" i="56"/>
  <c r="K19" i="59"/>
  <c r="K19" i="58"/>
  <c r="K19" i="56"/>
  <c r="L19" i="59"/>
  <c r="L19" i="58"/>
  <c r="L19" i="56"/>
  <c r="M19" i="59"/>
  <c r="M19" i="58"/>
  <c r="M19" i="56"/>
  <c r="N19" i="59"/>
  <c r="N19" i="58"/>
  <c r="N19" i="56"/>
  <c r="O19" i="59"/>
  <c r="O19" i="58"/>
  <c r="O19" i="56"/>
  <c r="P19" i="59"/>
  <c r="P19" i="58"/>
  <c r="P19" i="56"/>
  <c r="Q19" i="59"/>
  <c r="Q19" i="58"/>
  <c r="Q19" i="56"/>
  <c r="R19" i="56"/>
  <c r="D20" i="149"/>
  <c r="E20" i="149"/>
  <c r="B18" i="59"/>
  <c r="B18" i="58"/>
  <c r="B18" i="56"/>
  <c r="C18" i="59"/>
  <c r="C18" i="58"/>
  <c r="C18" i="56"/>
  <c r="D18" i="59"/>
  <c r="D18" i="58"/>
  <c r="D18" i="56"/>
  <c r="E18" i="59"/>
  <c r="E18" i="58"/>
  <c r="E18" i="56"/>
  <c r="F18" i="59"/>
  <c r="F18" i="58"/>
  <c r="F18" i="56"/>
  <c r="G18" i="59"/>
  <c r="G18" i="58"/>
  <c r="G18" i="56"/>
  <c r="H18" i="59"/>
  <c r="H18" i="58"/>
  <c r="H18" i="56"/>
  <c r="I18" i="59"/>
  <c r="I18" i="58"/>
  <c r="I18" i="56"/>
  <c r="J18" i="59"/>
  <c r="J18" i="58"/>
  <c r="J18" i="56"/>
  <c r="K18" i="59"/>
  <c r="K18" i="58"/>
  <c r="K18" i="56"/>
  <c r="L18" i="59"/>
  <c r="L18" i="58"/>
  <c r="L18" i="56"/>
  <c r="M18" i="59"/>
  <c r="M18" i="58"/>
  <c r="M18" i="56"/>
  <c r="N18" i="59"/>
  <c r="N18" i="58"/>
  <c r="N18" i="56"/>
  <c r="O18" i="59"/>
  <c r="O18" i="58"/>
  <c r="O18" i="56"/>
  <c r="P18" i="59"/>
  <c r="P18" i="58"/>
  <c r="P18" i="56"/>
  <c r="Q18" i="59"/>
  <c r="Q18" i="58"/>
  <c r="Q18" i="56"/>
  <c r="R18" i="56"/>
  <c r="D21" i="149"/>
  <c r="E21" i="149"/>
  <c r="E25" i="149"/>
  <c r="B40" i="55"/>
  <c r="B3" i="55"/>
  <c r="B40" i="54"/>
  <c r="B3" i="54"/>
  <c r="C3" i="53"/>
  <c r="D3" i="53"/>
  <c r="B3" i="52"/>
  <c r="C4" i="53"/>
  <c r="D4" i="53"/>
  <c r="C40" i="55"/>
  <c r="C3" i="55"/>
  <c r="C40" i="54"/>
  <c r="C3" i="54"/>
  <c r="C3" i="52"/>
  <c r="C5" i="53"/>
  <c r="D5" i="53"/>
  <c r="D40" i="55"/>
  <c r="D3" i="55"/>
  <c r="D40" i="54"/>
  <c r="D3" i="54"/>
  <c r="D3" i="52"/>
  <c r="C6" i="53"/>
  <c r="D6" i="53"/>
  <c r="E40" i="55"/>
  <c r="E3" i="55"/>
  <c r="E40" i="54"/>
  <c r="E3" i="54"/>
  <c r="E3" i="52"/>
  <c r="C7" i="53"/>
  <c r="D7" i="53"/>
  <c r="F40" i="55"/>
  <c r="F3" i="55"/>
  <c r="F40" i="54"/>
  <c r="F3" i="54"/>
  <c r="F3" i="52"/>
  <c r="C8" i="53"/>
  <c r="D8" i="53"/>
  <c r="G40" i="55"/>
  <c r="G3" i="55"/>
  <c r="G40" i="54"/>
  <c r="G3" i="54"/>
  <c r="G3" i="52"/>
  <c r="C9" i="53"/>
  <c r="D9" i="53"/>
  <c r="H40" i="55"/>
  <c r="H3" i="55"/>
  <c r="H40" i="54"/>
  <c r="H3" i="54"/>
  <c r="H3" i="52"/>
  <c r="C10" i="53"/>
  <c r="D10" i="53"/>
  <c r="I40" i="55"/>
  <c r="I3" i="55"/>
  <c r="I40" i="54"/>
  <c r="I3" i="54"/>
  <c r="I3" i="52"/>
  <c r="C11" i="53"/>
  <c r="D11" i="53"/>
  <c r="J40" i="55"/>
  <c r="J3" i="55"/>
  <c r="J40" i="54"/>
  <c r="J3" i="54"/>
  <c r="J3" i="52"/>
  <c r="C12" i="53"/>
  <c r="D12" i="53"/>
  <c r="K40" i="55"/>
  <c r="K3" i="55"/>
  <c r="K40" i="54"/>
  <c r="K3" i="54"/>
  <c r="K3" i="52"/>
  <c r="C13" i="53"/>
  <c r="D13" i="53"/>
  <c r="L40" i="55"/>
  <c r="L3" i="55"/>
  <c r="L40" i="54"/>
  <c r="L3" i="54"/>
  <c r="L3" i="52"/>
  <c r="C14" i="53"/>
  <c r="D14" i="53"/>
  <c r="M40" i="55"/>
  <c r="M3" i="55"/>
  <c r="M40" i="54"/>
  <c r="M3" i="54"/>
  <c r="M3" i="52"/>
  <c r="C15" i="53"/>
  <c r="D15" i="53"/>
  <c r="N40" i="55"/>
  <c r="N3" i="55"/>
  <c r="N40" i="54"/>
  <c r="N3" i="54"/>
  <c r="N3" i="52"/>
  <c r="C16" i="53"/>
  <c r="D16" i="53"/>
  <c r="O40" i="55"/>
  <c r="O3" i="55"/>
  <c r="O40" i="54"/>
  <c r="O3" i="54"/>
  <c r="O3" i="52"/>
  <c r="C17" i="53"/>
  <c r="D17" i="53"/>
  <c r="P40" i="55"/>
  <c r="P3" i="55"/>
  <c r="P40" i="54"/>
  <c r="P3" i="54"/>
  <c r="P3" i="52"/>
  <c r="C18" i="53"/>
  <c r="D18" i="53"/>
  <c r="Q40" i="55"/>
  <c r="Q3" i="55"/>
  <c r="Q40" i="54"/>
  <c r="Q3" i="54"/>
  <c r="Q3" i="52"/>
  <c r="R3" i="52"/>
  <c r="F5" i="149"/>
  <c r="B4" i="55"/>
  <c r="B4" i="54"/>
  <c r="B4" i="52"/>
  <c r="C4" i="55"/>
  <c r="C4" i="54"/>
  <c r="C4" i="52"/>
  <c r="D4" i="55"/>
  <c r="D4" i="54"/>
  <c r="D4" i="52"/>
  <c r="E4" i="55"/>
  <c r="E4" i="54"/>
  <c r="E4" i="52"/>
  <c r="F4" i="55"/>
  <c r="F4" i="54"/>
  <c r="F4" i="52"/>
  <c r="G4" i="55"/>
  <c r="G4" i="54"/>
  <c r="G4" i="52"/>
  <c r="H4" i="55"/>
  <c r="H4" i="54"/>
  <c r="H4" i="52"/>
  <c r="I4" i="55"/>
  <c r="I4" i="54"/>
  <c r="I4" i="52"/>
  <c r="J4" i="55"/>
  <c r="J4" i="54"/>
  <c r="J4" i="52"/>
  <c r="K4" i="55"/>
  <c r="K4" i="54"/>
  <c r="K4" i="52"/>
  <c r="L4" i="55"/>
  <c r="L4" i="54"/>
  <c r="L4" i="52"/>
  <c r="M4" i="55"/>
  <c r="M4" i="54"/>
  <c r="M4" i="52"/>
  <c r="N4" i="55"/>
  <c r="N4" i="54"/>
  <c r="N4" i="52"/>
  <c r="O4" i="55"/>
  <c r="O4" i="54"/>
  <c r="O4" i="52"/>
  <c r="P4" i="55"/>
  <c r="P4" i="54"/>
  <c r="P4" i="52"/>
  <c r="Q4" i="55"/>
  <c r="Q4" i="54"/>
  <c r="Q4" i="52"/>
  <c r="R4" i="52"/>
  <c r="F6" i="149"/>
  <c r="B5" i="55"/>
  <c r="B5" i="54"/>
  <c r="B5" i="52"/>
  <c r="C5" i="55"/>
  <c r="C5" i="54"/>
  <c r="C5" i="52"/>
  <c r="D5" i="55"/>
  <c r="D5" i="54"/>
  <c r="D5" i="52"/>
  <c r="E5" i="55"/>
  <c r="E5" i="54"/>
  <c r="E5" i="52"/>
  <c r="F5" i="55"/>
  <c r="F5" i="54"/>
  <c r="F5" i="52"/>
  <c r="G5" i="55"/>
  <c r="G5" i="54"/>
  <c r="G5" i="52"/>
  <c r="H5" i="55"/>
  <c r="H5" i="54"/>
  <c r="H5" i="52"/>
  <c r="I5" i="55"/>
  <c r="I5" i="54"/>
  <c r="I5" i="52"/>
  <c r="J5" i="55"/>
  <c r="J5" i="54"/>
  <c r="J5" i="52"/>
  <c r="K5" i="55"/>
  <c r="K5" i="54"/>
  <c r="K5" i="52"/>
  <c r="L5" i="55"/>
  <c r="L5" i="54"/>
  <c r="L5" i="52"/>
  <c r="M5" i="55"/>
  <c r="M5" i="54"/>
  <c r="M5" i="52"/>
  <c r="N5" i="55"/>
  <c r="N5" i="54"/>
  <c r="N5" i="52"/>
  <c r="O5" i="55"/>
  <c r="O5" i="54"/>
  <c r="O5" i="52"/>
  <c r="P5" i="55"/>
  <c r="P5" i="54"/>
  <c r="P5" i="52"/>
  <c r="Q5" i="55"/>
  <c r="Q5" i="54"/>
  <c r="Q5" i="52"/>
  <c r="R5" i="52"/>
  <c r="F7" i="149"/>
  <c r="B6" i="55"/>
  <c r="B6" i="54"/>
  <c r="B6" i="52"/>
  <c r="C6" i="55"/>
  <c r="C6" i="54"/>
  <c r="C6" i="52"/>
  <c r="D6" i="55"/>
  <c r="D6" i="54"/>
  <c r="D6" i="52"/>
  <c r="E6" i="55"/>
  <c r="E6" i="54"/>
  <c r="E6" i="52"/>
  <c r="F6" i="55"/>
  <c r="F6" i="54"/>
  <c r="F6" i="52"/>
  <c r="G6" i="55"/>
  <c r="G6" i="54"/>
  <c r="G6" i="52"/>
  <c r="H6" i="55"/>
  <c r="H6" i="54"/>
  <c r="H6" i="52"/>
  <c r="I6" i="55"/>
  <c r="I6" i="54"/>
  <c r="I6" i="52"/>
  <c r="J6" i="55"/>
  <c r="J6" i="54"/>
  <c r="J6" i="52"/>
  <c r="K6" i="55"/>
  <c r="K6" i="54"/>
  <c r="K6" i="52"/>
  <c r="L6" i="55"/>
  <c r="L6" i="54"/>
  <c r="L6" i="52"/>
  <c r="M6" i="55"/>
  <c r="M6" i="54"/>
  <c r="M6" i="52"/>
  <c r="N6" i="55"/>
  <c r="N6" i="54"/>
  <c r="N6" i="52"/>
  <c r="O6" i="55"/>
  <c r="O6" i="54"/>
  <c r="O6" i="52"/>
  <c r="P6" i="55"/>
  <c r="P6" i="54"/>
  <c r="P6" i="52"/>
  <c r="Q6" i="55"/>
  <c r="Q6" i="54"/>
  <c r="Q6" i="52"/>
  <c r="R6" i="52"/>
  <c r="F8" i="149"/>
  <c r="B7" i="55"/>
  <c r="B7" i="54"/>
  <c r="B7" i="52"/>
  <c r="C7" i="55"/>
  <c r="C7" i="54"/>
  <c r="C7" i="52"/>
  <c r="D7" i="55"/>
  <c r="D7" i="54"/>
  <c r="D7" i="52"/>
  <c r="E7" i="55"/>
  <c r="E7" i="54"/>
  <c r="E7" i="52"/>
  <c r="F7" i="55"/>
  <c r="F7" i="54"/>
  <c r="F7" i="52"/>
  <c r="G7" i="55"/>
  <c r="G7" i="54"/>
  <c r="G7" i="52"/>
  <c r="H7" i="55"/>
  <c r="H7" i="54"/>
  <c r="H7" i="52"/>
  <c r="I7" i="55"/>
  <c r="I7" i="54"/>
  <c r="I7" i="52"/>
  <c r="J7" i="55"/>
  <c r="J7" i="54"/>
  <c r="J7" i="52"/>
  <c r="K7" i="55"/>
  <c r="K7" i="54"/>
  <c r="K7" i="52"/>
  <c r="L7" i="55"/>
  <c r="L7" i="54"/>
  <c r="L7" i="52"/>
  <c r="M7" i="55"/>
  <c r="M7" i="54"/>
  <c r="M7" i="52"/>
  <c r="N7" i="55"/>
  <c r="N7" i="54"/>
  <c r="N7" i="52"/>
  <c r="O7" i="55"/>
  <c r="O7" i="54"/>
  <c r="O7" i="52"/>
  <c r="P7" i="55"/>
  <c r="P7" i="54"/>
  <c r="P7" i="52"/>
  <c r="Q7" i="55"/>
  <c r="Q7" i="54"/>
  <c r="Q7" i="52"/>
  <c r="R7" i="52"/>
  <c r="F9" i="149"/>
  <c r="B8" i="55"/>
  <c r="B8" i="54"/>
  <c r="B8" i="52"/>
  <c r="C8" i="55"/>
  <c r="C8" i="54"/>
  <c r="C8" i="52"/>
  <c r="D8" i="55"/>
  <c r="D8" i="54"/>
  <c r="D8" i="52"/>
  <c r="E8" i="55"/>
  <c r="E8" i="54"/>
  <c r="E8" i="52"/>
  <c r="F8" i="55"/>
  <c r="F8" i="54"/>
  <c r="F8" i="52"/>
  <c r="G8" i="55"/>
  <c r="G8" i="54"/>
  <c r="G8" i="52"/>
  <c r="H8" i="55"/>
  <c r="H8" i="54"/>
  <c r="H8" i="52"/>
  <c r="I8" i="55"/>
  <c r="I8" i="54"/>
  <c r="I8" i="52"/>
  <c r="J8" i="55"/>
  <c r="J8" i="54"/>
  <c r="J8" i="52"/>
  <c r="K8" i="55"/>
  <c r="K8" i="54"/>
  <c r="K8" i="52"/>
  <c r="L8" i="55"/>
  <c r="L8" i="54"/>
  <c r="L8" i="52"/>
  <c r="M8" i="55"/>
  <c r="M8" i="54"/>
  <c r="M8" i="52"/>
  <c r="N8" i="55"/>
  <c r="N8" i="54"/>
  <c r="N8" i="52"/>
  <c r="O8" i="55"/>
  <c r="O8" i="54"/>
  <c r="O8" i="52"/>
  <c r="P8" i="55"/>
  <c r="P8" i="54"/>
  <c r="P8" i="52"/>
  <c r="Q8" i="55"/>
  <c r="Q8" i="54"/>
  <c r="Q8" i="52"/>
  <c r="R8" i="52"/>
  <c r="F10" i="149"/>
  <c r="B9" i="55"/>
  <c r="B9" i="54"/>
  <c r="B9" i="52"/>
  <c r="C9" i="55"/>
  <c r="C9" i="54"/>
  <c r="C9" i="52"/>
  <c r="D9" i="55"/>
  <c r="D9" i="54"/>
  <c r="D9" i="52"/>
  <c r="E9" i="55"/>
  <c r="E9" i="54"/>
  <c r="E9" i="52"/>
  <c r="F9" i="55"/>
  <c r="F9" i="54"/>
  <c r="F9" i="52"/>
  <c r="G9" i="55"/>
  <c r="G9" i="54"/>
  <c r="G9" i="52"/>
  <c r="H9" i="55"/>
  <c r="H9" i="54"/>
  <c r="H9" i="52"/>
  <c r="I9" i="55"/>
  <c r="I9" i="54"/>
  <c r="I9" i="52"/>
  <c r="J9" i="55"/>
  <c r="J9" i="54"/>
  <c r="J9" i="52"/>
  <c r="K9" i="55"/>
  <c r="K9" i="54"/>
  <c r="K9" i="52"/>
  <c r="L9" i="55"/>
  <c r="L9" i="54"/>
  <c r="L9" i="52"/>
  <c r="M9" i="55"/>
  <c r="M9" i="54"/>
  <c r="M9" i="52"/>
  <c r="N9" i="55"/>
  <c r="N9" i="54"/>
  <c r="N9" i="52"/>
  <c r="O9" i="55"/>
  <c r="O9" i="54"/>
  <c r="O9" i="52"/>
  <c r="P9" i="55"/>
  <c r="P9" i="54"/>
  <c r="P9" i="52"/>
  <c r="Q9" i="55"/>
  <c r="Q9" i="54"/>
  <c r="Q9" i="52"/>
  <c r="R9" i="52"/>
  <c r="F11" i="149"/>
  <c r="B10" i="55"/>
  <c r="B10" i="54"/>
  <c r="B10" i="52"/>
  <c r="C10" i="55"/>
  <c r="C10" i="54"/>
  <c r="C10" i="52"/>
  <c r="D10" i="55"/>
  <c r="D10" i="54"/>
  <c r="D10" i="52"/>
  <c r="E10" i="55"/>
  <c r="E10" i="54"/>
  <c r="E10" i="52"/>
  <c r="F10" i="55"/>
  <c r="F10" i="54"/>
  <c r="F10" i="52"/>
  <c r="G10" i="55"/>
  <c r="G10" i="54"/>
  <c r="G10" i="52"/>
  <c r="H10" i="55"/>
  <c r="H10" i="54"/>
  <c r="H10" i="52"/>
  <c r="I10" i="55"/>
  <c r="I10" i="54"/>
  <c r="I10" i="52"/>
  <c r="J10" i="55"/>
  <c r="J10" i="54"/>
  <c r="J10" i="52"/>
  <c r="K10" i="55"/>
  <c r="K10" i="54"/>
  <c r="K10" i="52"/>
  <c r="L10" i="55"/>
  <c r="L10" i="54"/>
  <c r="L10" i="52"/>
  <c r="M10" i="55"/>
  <c r="M10" i="54"/>
  <c r="M10" i="52"/>
  <c r="N10" i="55"/>
  <c r="N10" i="54"/>
  <c r="N10" i="52"/>
  <c r="O10" i="55"/>
  <c r="O10" i="54"/>
  <c r="O10" i="52"/>
  <c r="P10" i="55"/>
  <c r="P10" i="54"/>
  <c r="P10" i="52"/>
  <c r="Q10" i="55"/>
  <c r="Q10" i="54"/>
  <c r="Q10" i="52"/>
  <c r="R10" i="52"/>
  <c r="F12" i="149"/>
  <c r="B11" i="55"/>
  <c r="B11" i="54"/>
  <c r="B11" i="52"/>
  <c r="C11" i="55"/>
  <c r="C11" i="54"/>
  <c r="C11" i="52"/>
  <c r="D11" i="55"/>
  <c r="D11" i="54"/>
  <c r="D11" i="52"/>
  <c r="E11" i="55"/>
  <c r="E11" i="54"/>
  <c r="E11" i="52"/>
  <c r="F11" i="55"/>
  <c r="F11" i="54"/>
  <c r="F11" i="52"/>
  <c r="G11" i="55"/>
  <c r="G11" i="54"/>
  <c r="G11" i="52"/>
  <c r="H11" i="55"/>
  <c r="H11" i="54"/>
  <c r="H11" i="52"/>
  <c r="I11" i="55"/>
  <c r="I11" i="54"/>
  <c r="I11" i="52"/>
  <c r="J11" i="55"/>
  <c r="J11" i="54"/>
  <c r="J11" i="52"/>
  <c r="K11" i="55"/>
  <c r="K11" i="54"/>
  <c r="K11" i="52"/>
  <c r="L11" i="55"/>
  <c r="L11" i="54"/>
  <c r="L11" i="52"/>
  <c r="M11" i="55"/>
  <c r="M11" i="54"/>
  <c r="M11" i="52"/>
  <c r="N11" i="55"/>
  <c r="N11" i="54"/>
  <c r="N11" i="52"/>
  <c r="O11" i="55"/>
  <c r="O11" i="54"/>
  <c r="O11" i="52"/>
  <c r="P11" i="55"/>
  <c r="P11" i="54"/>
  <c r="P11" i="52"/>
  <c r="Q11" i="55"/>
  <c r="Q11" i="54"/>
  <c r="Q11" i="52"/>
  <c r="R11" i="52"/>
  <c r="F13" i="149"/>
  <c r="B12" i="55"/>
  <c r="B12" i="54"/>
  <c r="B12" i="52"/>
  <c r="C12" i="55"/>
  <c r="C12" i="54"/>
  <c r="C12" i="52"/>
  <c r="D12" i="55"/>
  <c r="D12" i="54"/>
  <c r="D12" i="52"/>
  <c r="E12" i="55"/>
  <c r="E12" i="54"/>
  <c r="E12" i="52"/>
  <c r="F12" i="55"/>
  <c r="F12" i="54"/>
  <c r="F12" i="52"/>
  <c r="G12" i="55"/>
  <c r="G12" i="54"/>
  <c r="G12" i="52"/>
  <c r="H12" i="55"/>
  <c r="H12" i="54"/>
  <c r="H12" i="52"/>
  <c r="I12" i="55"/>
  <c r="I12" i="54"/>
  <c r="I12" i="52"/>
  <c r="J12" i="55"/>
  <c r="J12" i="54"/>
  <c r="J12" i="52"/>
  <c r="K12" i="55"/>
  <c r="K12" i="54"/>
  <c r="K12" i="52"/>
  <c r="L12" i="55"/>
  <c r="L12" i="54"/>
  <c r="L12" i="52"/>
  <c r="M12" i="55"/>
  <c r="M12" i="54"/>
  <c r="M12" i="52"/>
  <c r="N12" i="55"/>
  <c r="N12" i="54"/>
  <c r="N12" i="52"/>
  <c r="O12" i="55"/>
  <c r="O12" i="54"/>
  <c r="O12" i="52"/>
  <c r="P12" i="55"/>
  <c r="P12" i="54"/>
  <c r="P12" i="52"/>
  <c r="Q12" i="55"/>
  <c r="Q12" i="54"/>
  <c r="Q12" i="52"/>
  <c r="R12" i="52"/>
  <c r="F14" i="149"/>
  <c r="B13" i="55"/>
  <c r="B13" i="54"/>
  <c r="B13" i="52"/>
  <c r="C13" i="55"/>
  <c r="C13" i="54"/>
  <c r="C13" i="52"/>
  <c r="D13" i="55"/>
  <c r="D13" i="54"/>
  <c r="D13" i="52"/>
  <c r="E13" i="55"/>
  <c r="E13" i="54"/>
  <c r="E13" i="52"/>
  <c r="F13" i="55"/>
  <c r="F13" i="54"/>
  <c r="F13" i="52"/>
  <c r="G13" i="55"/>
  <c r="G13" i="54"/>
  <c r="G13" i="52"/>
  <c r="H13" i="55"/>
  <c r="H13" i="54"/>
  <c r="H13" i="52"/>
  <c r="I13" i="55"/>
  <c r="I13" i="54"/>
  <c r="I13" i="52"/>
  <c r="J13" i="55"/>
  <c r="J13" i="54"/>
  <c r="J13" i="52"/>
  <c r="K13" i="55"/>
  <c r="K13" i="54"/>
  <c r="K13" i="52"/>
  <c r="L13" i="55"/>
  <c r="L13" i="54"/>
  <c r="L13" i="52"/>
  <c r="M13" i="55"/>
  <c r="M13" i="54"/>
  <c r="M13" i="52"/>
  <c r="N13" i="55"/>
  <c r="N13" i="54"/>
  <c r="N13" i="52"/>
  <c r="O13" i="55"/>
  <c r="O13" i="54"/>
  <c r="O13" i="52"/>
  <c r="P13" i="55"/>
  <c r="P13" i="54"/>
  <c r="P13" i="52"/>
  <c r="Q13" i="55"/>
  <c r="Q13" i="54"/>
  <c r="Q13" i="52"/>
  <c r="R13" i="52"/>
  <c r="F15" i="149"/>
  <c r="B14" i="55"/>
  <c r="B14" i="54"/>
  <c r="B14" i="52"/>
  <c r="C14" i="55"/>
  <c r="C14" i="54"/>
  <c r="C14" i="52"/>
  <c r="D14" i="55"/>
  <c r="D14" i="54"/>
  <c r="D14" i="52"/>
  <c r="E14" i="55"/>
  <c r="E14" i="54"/>
  <c r="E14" i="52"/>
  <c r="F14" i="55"/>
  <c r="F14" i="54"/>
  <c r="F14" i="52"/>
  <c r="G14" i="55"/>
  <c r="G14" i="54"/>
  <c r="G14" i="52"/>
  <c r="H14" i="55"/>
  <c r="H14" i="54"/>
  <c r="H14" i="52"/>
  <c r="I14" i="55"/>
  <c r="I14" i="54"/>
  <c r="I14" i="52"/>
  <c r="J14" i="55"/>
  <c r="J14" i="54"/>
  <c r="J14" i="52"/>
  <c r="K14" i="55"/>
  <c r="K14" i="54"/>
  <c r="K14" i="52"/>
  <c r="L14" i="55"/>
  <c r="L14" i="54"/>
  <c r="L14" i="52"/>
  <c r="M14" i="55"/>
  <c r="M14" i="54"/>
  <c r="M14" i="52"/>
  <c r="N14" i="55"/>
  <c r="N14" i="54"/>
  <c r="N14" i="52"/>
  <c r="O14" i="55"/>
  <c r="O14" i="54"/>
  <c r="O14" i="52"/>
  <c r="P14" i="55"/>
  <c r="P14" i="54"/>
  <c r="P14" i="52"/>
  <c r="Q14" i="55"/>
  <c r="Q14" i="54"/>
  <c r="Q14" i="52"/>
  <c r="R14" i="52"/>
  <c r="F16" i="149"/>
  <c r="B15" i="55"/>
  <c r="B15" i="54"/>
  <c r="B15" i="52"/>
  <c r="C15" i="55"/>
  <c r="C15" i="54"/>
  <c r="C15" i="52"/>
  <c r="D15" i="55"/>
  <c r="D15" i="54"/>
  <c r="D15" i="52"/>
  <c r="E15" i="55"/>
  <c r="E15" i="54"/>
  <c r="E15" i="52"/>
  <c r="F15" i="55"/>
  <c r="F15" i="54"/>
  <c r="F15" i="52"/>
  <c r="G15" i="55"/>
  <c r="G15" i="54"/>
  <c r="G15" i="52"/>
  <c r="H15" i="55"/>
  <c r="H15" i="54"/>
  <c r="H15" i="52"/>
  <c r="I15" i="55"/>
  <c r="I15" i="54"/>
  <c r="I15" i="52"/>
  <c r="J15" i="55"/>
  <c r="J15" i="54"/>
  <c r="J15" i="52"/>
  <c r="K15" i="55"/>
  <c r="K15" i="54"/>
  <c r="K15" i="52"/>
  <c r="L15" i="55"/>
  <c r="L15" i="54"/>
  <c r="L15" i="52"/>
  <c r="M15" i="55"/>
  <c r="M15" i="54"/>
  <c r="M15" i="52"/>
  <c r="N15" i="55"/>
  <c r="N15" i="54"/>
  <c r="N15" i="52"/>
  <c r="O15" i="55"/>
  <c r="O15" i="54"/>
  <c r="O15" i="52"/>
  <c r="P15" i="55"/>
  <c r="P15" i="54"/>
  <c r="P15" i="52"/>
  <c r="Q15" i="55"/>
  <c r="Q15" i="54"/>
  <c r="Q15" i="52"/>
  <c r="R15" i="52"/>
  <c r="F17" i="149"/>
  <c r="B16" i="55"/>
  <c r="B16" i="54"/>
  <c r="B16" i="52"/>
  <c r="C16" i="55"/>
  <c r="C16" i="54"/>
  <c r="C16" i="52"/>
  <c r="D16" i="55"/>
  <c r="D16" i="54"/>
  <c r="D16" i="52"/>
  <c r="E16" i="55"/>
  <c r="E16" i="54"/>
  <c r="E16" i="52"/>
  <c r="F16" i="55"/>
  <c r="F16" i="54"/>
  <c r="F16" i="52"/>
  <c r="G16" i="55"/>
  <c r="G16" i="54"/>
  <c r="G16" i="52"/>
  <c r="H16" i="55"/>
  <c r="H16" i="54"/>
  <c r="H16" i="52"/>
  <c r="I16" i="55"/>
  <c r="I16" i="54"/>
  <c r="I16" i="52"/>
  <c r="J16" i="55"/>
  <c r="J16" i="54"/>
  <c r="J16" i="52"/>
  <c r="K16" i="55"/>
  <c r="K16" i="54"/>
  <c r="K16" i="52"/>
  <c r="L16" i="55"/>
  <c r="L16" i="54"/>
  <c r="L16" i="52"/>
  <c r="M16" i="55"/>
  <c r="M16" i="54"/>
  <c r="M16" i="52"/>
  <c r="N16" i="55"/>
  <c r="N16" i="54"/>
  <c r="N16" i="52"/>
  <c r="O16" i="55"/>
  <c r="O16" i="54"/>
  <c r="O16" i="52"/>
  <c r="P16" i="55"/>
  <c r="P16" i="54"/>
  <c r="P16" i="52"/>
  <c r="Q16" i="55"/>
  <c r="Q16" i="54"/>
  <c r="Q16" i="52"/>
  <c r="R16" i="52"/>
  <c r="F18" i="149"/>
  <c r="B17" i="55"/>
  <c r="B17" i="54"/>
  <c r="B17" i="52"/>
  <c r="C17" i="55"/>
  <c r="C17" i="54"/>
  <c r="C17" i="52"/>
  <c r="D17" i="55"/>
  <c r="D17" i="54"/>
  <c r="D17" i="52"/>
  <c r="E17" i="55"/>
  <c r="E17" i="54"/>
  <c r="E17" i="52"/>
  <c r="F17" i="55"/>
  <c r="F17" i="54"/>
  <c r="F17" i="52"/>
  <c r="G17" i="55"/>
  <c r="G17" i="54"/>
  <c r="G17" i="52"/>
  <c r="H17" i="55"/>
  <c r="H17" i="54"/>
  <c r="H17" i="52"/>
  <c r="I17" i="55"/>
  <c r="I17" i="54"/>
  <c r="I17" i="52"/>
  <c r="J17" i="55"/>
  <c r="J17" i="54"/>
  <c r="J17" i="52"/>
  <c r="K17" i="55"/>
  <c r="K17" i="54"/>
  <c r="K17" i="52"/>
  <c r="L17" i="55"/>
  <c r="L17" i="54"/>
  <c r="L17" i="52"/>
  <c r="M17" i="55"/>
  <c r="M17" i="54"/>
  <c r="M17" i="52"/>
  <c r="N17" i="55"/>
  <c r="N17" i="54"/>
  <c r="N17" i="52"/>
  <c r="O17" i="55"/>
  <c r="O17" i="54"/>
  <c r="O17" i="52"/>
  <c r="P17" i="55"/>
  <c r="P17" i="54"/>
  <c r="P17" i="52"/>
  <c r="Q17" i="55"/>
  <c r="Q17" i="54"/>
  <c r="Q17" i="52"/>
  <c r="R17" i="52"/>
  <c r="F19" i="149"/>
  <c r="B18" i="55"/>
  <c r="B18" i="54"/>
  <c r="B18" i="52"/>
  <c r="C18" i="55"/>
  <c r="C18" i="54"/>
  <c r="C18" i="52"/>
  <c r="D18" i="55"/>
  <c r="D18" i="54"/>
  <c r="D18" i="52"/>
  <c r="E18" i="55"/>
  <c r="E18" i="54"/>
  <c r="E18" i="52"/>
  <c r="F18" i="55"/>
  <c r="F18" i="54"/>
  <c r="F18" i="52"/>
  <c r="G18" i="55"/>
  <c r="G18" i="54"/>
  <c r="G18" i="52"/>
  <c r="H18" i="55"/>
  <c r="H18" i="54"/>
  <c r="H18" i="52"/>
  <c r="I18" i="55"/>
  <c r="I18" i="54"/>
  <c r="I18" i="52"/>
  <c r="J18" i="55"/>
  <c r="J18" i="54"/>
  <c r="J18" i="52"/>
  <c r="K18" i="55"/>
  <c r="K18" i="54"/>
  <c r="K18" i="52"/>
  <c r="L18" i="55"/>
  <c r="L18" i="54"/>
  <c r="L18" i="52"/>
  <c r="M18" i="55"/>
  <c r="M18" i="54"/>
  <c r="M18" i="52"/>
  <c r="N18" i="55"/>
  <c r="N18" i="54"/>
  <c r="N18" i="52"/>
  <c r="O18" i="55"/>
  <c r="O18" i="54"/>
  <c r="O18" i="52"/>
  <c r="P18" i="55"/>
  <c r="P18" i="54"/>
  <c r="P18" i="52"/>
  <c r="Q18" i="55"/>
  <c r="Q18" i="54"/>
  <c r="Q18" i="52"/>
  <c r="R18" i="52"/>
  <c r="F20" i="149"/>
  <c r="B19" i="55"/>
  <c r="B19" i="54"/>
  <c r="B19" i="52"/>
  <c r="C19" i="55"/>
  <c r="C19" i="54"/>
  <c r="C19" i="52"/>
  <c r="D19" i="55"/>
  <c r="D19" i="54"/>
  <c r="D19" i="52"/>
  <c r="E19" i="55"/>
  <c r="E19" i="54"/>
  <c r="E19" i="52"/>
  <c r="F19" i="55"/>
  <c r="F19" i="54"/>
  <c r="F19" i="52"/>
  <c r="G19" i="55"/>
  <c r="G19" i="54"/>
  <c r="G19" i="52"/>
  <c r="H19" i="55"/>
  <c r="H19" i="54"/>
  <c r="H19" i="52"/>
  <c r="I19" i="55"/>
  <c r="I19" i="54"/>
  <c r="I19" i="52"/>
  <c r="J19" i="55"/>
  <c r="J19" i="54"/>
  <c r="J19" i="52"/>
  <c r="K19" i="55"/>
  <c r="K19" i="54"/>
  <c r="K19" i="52"/>
  <c r="L19" i="55"/>
  <c r="L19" i="54"/>
  <c r="L19" i="52"/>
  <c r="M19" i="55"/>
  <c r="M19" i="54"/>
  <c r="M19" i="52"/>
  <c r="N19" i="55"/>
  <c r="N19" i="54"/>
  <c r="N19" i="52"/>
  <c r="O19" i="55"/>
  <c r="O19" i="54"/>
  <c r="O19" i="52"/>
  <c r="P19" i="55"/>
  <c r="P19" i="54"/>
  <c r="P19" i="52"/>
  <c r="Q19" i="55"/>
  <c r="Q19" i="54"/>
  <c r="Q19" i="52"/>
  <c r="R19" i="52"/>
  <c r="F21" i="149"/>
  <c r="C19" i="53"/>
  <c r="D19" i="53"/>
  <c r="E19" i="53"/>
  <c r="F24" i="149"/>
  <c r="F25" i="149"/>
  <c r="G5" i="149"/>
  <c r="G6" i="149"/>
  <c r="G7" i="149"/>
  <c r="G8" i="149"/>
  <c r="G9" i="149"/>
  <c r="G10" i="149"/>
  <c r="G11" i="149"/>
  <c r="G12" i="149"/>
  <c r="G13" i="149"/>
  <c r="G14" i="149"/>
  <c r="G15" i="149"/>
  <c r="G16" i="149"/>
  <c r="G17" i="149"/>
  <c r="G18" i="149"/>
  <c r="G19" i="149"/>
  <c r="G20" i="149"/>
  <c r="G21" i="149"/>
  <c r="D19" i="57"/>
  <c r="E19" i="57"/>
  <c r="F19" i="57"/>
  <c r="D24" i="149"/>
  <c r="G24" i="149"/>
  <c r="G25" i="149"/>
  <c r="B40" i="75"/>
  <c r="B19" i="75"/>
  <c r="B38" i="48"/>
  <c r="B38" i="79"/>
  <c r="B40" i="74"/>
  <c r="B19" i="74"/>
  <c r="B57" i="48"/>
  <c r="B57" i="79"/>
  <c r="B19" i="79"/>
  <c r="C40" i="75"/>
  <c r="C19" i="75"/>
  <c r="C38" i="48"/>
  <c r="C38" i="79"/>
  <c r="C40" i="74"/>
  <c r="C19" i="74"/>
  <c r="C57" i="48"/>
  <c r="C57" i="79"/>
  <c r="C19" i="79"/>
  <c r="D40" i="75"/>
  <c r="D19" i="75"/>
  <c r="D38" i="48"/>
  <c r="D38" i="79"/>
  <c r="D40" i="74"/>
  <c r="D19" i="74"/>
  <c r="D57" i="48"/>
  <c r="D57" i="79"/>
  <c r="D19" i="79"/>
  <c r="E40" i="75"/>
  <c r="E19" i="75"/>
  <c r="E38" i="48"/>
  <c r="E38" i="79"/>
  <c r="E40" i="74"/>
  <c r="E19" i="74"/>
  <c r="E57" i="48"/>
  <c r="E57" i="79"/>
  <c r="E19" i="79"/>
  <c r="F40" i="75"/>
  <c r="F19" i="75"/>
  <c r="F38" i="48"/>
  <c r="F38" i="79"/>
  <c r="F40" i="74"/>
  <c r="F19" i="74"/>
  <c r="F57" i="48"/>
  <c r="F57" i="79"/>
  <c r="F19" i="79"/>
  <c r="G40" i="75"/>
  <c r="G19" i="75"/>
  <c r="G38" i="48"/>
  <c r="G38" i="79"/>
  <c r="G40" i="74"/>
  <c r="G19" i="74"/>
  <c r="G57" i="48"/>
  <c r="G57" i="79"/>
  <c r="G19" i="79"/>
  <c r="H40" i="75"/>
  <c r="H19" i="75"/>
  <c r="H38" i="48"/>
  <c r="H38" i="79"/>
  <c r="H40" i="74"/>
  <c r="H19" i="74"/>
  <c r="H57" i="48"/>
  <c r="H57" i="79"/>
  <c r="H19" i="79"/>
  <c r="I40" i="75"/>
  <c r="I19" i="75"/>
  <c r="I38" i="48"/>
  <c r="I38" i="79"/>
  <c r="I40" i="74"/>
  <c r="I19" i="74"/>
  <c r="I57" i="48"/>
  <c r="I57" i="79"/>
  <c r="I19" i="79"/>
  <c r="J40" i="75"/>
  <c r="J19" i="75"/>
  <c r="J38" i="48"/>
  <c r="J38" i="79"/>
  <c r="J40" i="74"/>
  <c r="J19" i="74"/>
  <c r="J57" i="48"/>
  <c r="J57" i="79"/>
  <c r="J19" i="79"/>
  <c r="K40" i="75"/>
  <c r="K19" i="75"/>
  <c r="K38" i="48"/>
  <c r="K38" i="79"/>
  <c r="K40" i="74"/>
  <c r="K19" i="74"/>
  <c r="K57" i="48"/>
  <c r="K57" i="79"/>
  <c r="K19" i="79"/>
  <c r="L40" i="75"/>
  <c r="L19" i="75"/>
  <c r="L38" i="48"/>
  <c r="L38" i="79"/>
  <c r="L40" i="74"/>
  <c r="L19" i="74"/>
  <c r="L57" i="48"/>
  <c r="L57" i="79"/>
  <c r="L19" i="79"/>
  <c r="M40" i="75"/>
  <c r="M19" i="75"/>
  <c r="M38" i="48"/>
  <c r="M38" i="79"/>
  <c r="M40" i="74"/>
  <c r="M19" i="74"/>
  <c r="M57" i="48"/>
  <c r="M57" i="79"/>
  <c r="M19" i="79"/>
  <c r="N40" i="75"/>
  <c r="N19" i="75"/>
  <c r="N38" i="48"/>
  <c r="N38" i="79"/>
  <c r="N40" i="74"/>
  <c r="N19" i="74"/>
  <c r="N57" i="48"/>
  <c r="N57" i="79"/>
  <c r="N19" i="79"/>
  <c r="O40" i="75"/>
  <c r="O19" i="75"/>
  <c r="O38" i="48"/>
  <c r="O38" i="79"/>
  <c r="O40" i="74"/>
  <c r="O19" i="74"/>
  <c r="O57" i="48"/>
  <c r="O57" i="79"/>
  <c r="O19" i="79"/>
  <c r="P40" i="75"/>
  <c r="P19" i="75"/>
  <c r="P38" i="48"/>
  <c r="P38" i="79"/>
  <c r="P40" i="74"/>
  <c r="P19" i="74"/>
  <c r="P57" i="48"/>
  <c r="P57" i="79"/>
  <c r="P19" i="79"/>
  <c r="Q40" i="75"/>
  <c r="Q19" i="75"/>
  <c r="Q38" i="48"/>
  <c r="Q38" i="79"/>
  <c r="Q40" i="74"/>
  <c r="Q19" i="74"/>
  <c r="Q57" i="48"/>
  <c r="Q57" i="79"/>
  <c r="Q19" i="79"/>
  <c r="R40" i="75"/>
  <c r="R19" i="75"/>
  <c r="R38" i="48"/>
  <c r="R38" i="79"/>
  <c r="R40" i="74"/>
  <c r="R19" i="74"/>
  <c r="R57" i="48"/>
  <c r="R57" i="79"/>
  <c r="R19" i="79"/>
  <c r="S40" i="75"/>
  <c r="S19" i="75"/>
  <c r="S38" i="48"/>
  <c r="S38" i="79"/>
  <c r="S40" i="74"/>
  <c r="S19" i="74"/>
  <c r="S57" i="48"/>
  <c r="S57" i="79"/>
  <c r="S19" i="79"/>
  <c r="T40" i="75"/>
  <c r="T19" i="75"/>
  <c r="T38" i="48"/>
  <c r="T38" i="79"/>
  <c r="T40" i="74"/>
  <c r="T19" i="74"/>
  <c r="T57" i="48"/>
  <c r="T57" i="79"/>
  <c r="T19" i="79"/>
  <c r="U40" i="75"/>
  <c r="U19" i="75"/>
  <c r="U38" i="48"/>
  <c r="U38" i="79"/>
  <c r="U40" i="74"/>
  <c r="U19" i="74"/>
  <c r="U57" i="48"/>
  <c r="U57" i="79"/>
  <c r="U19" i="79"/>
  <c r="V40" i="75"/>
  <c r="V19" i="75"/>
  <c r="V38" i="48"/>
  <c r="V38" i="79"/>
  <c r="V40" i="74"/>
  <c r="V19" i="74"/>
  <c r="V57" i="48"/>
  <c r="V57" i="79"/>
  <c r="V19" i="79"/>
  <c r="W19" i="79"/>
  <c r="L20" i="149"/>
  <c r="B18" i="75"/>
  <c r="B37" i="48"/>
  <c r="B37" i="79"/>
  <c r="B18" i="74"/>
  <c r="B56" i="48"/>
  <c r="B56" i="79"/>
  <c r="B18" i="79"/>
  <c r="C18" i="75"/>
  <c r="C37" i="48"/>
  <c r="C37" i="79"/>
  <c r="C18" i="74"/>
  <c r="C56" i="48"/>
  <c r="C56" i="79"/>
  <c r="C18" i="79"/>
  <c r="D18" i="75"/>
  <c r="D37" i="48"/>
  <c r="D37" i="79"/>
  <c r="D18" i="74"/>
  <c r="D56" i="48"/>
  <c r="D56" i="79"/>
  <c r="D18" i="79"/>
  <c r="E18" i="75"/>
  <c r="E37" i="48"/>
  <c r="E37" i="79"/>
  <c r="E18" i="74"/>
  <c r="E56" i="48"/>
  <c r="E56" i="79"/>
  <c r="E18" i="79"/>
  <c r="F18" i="75"/>
  <c r="F37" i="48"/>
  <c r="F37" i="79"/>
  <c r="F18" i="74"/>
  <c r="F56" i="48"/>
  <c r="F56" i="79"/>
  <c r="F18" i="79"/>
  <c r="G18" i="75"/>
  <c r="G37" i="48"/>
  <c r="G37" i="79"/>
  <c r="G18" i="74"/>
  <c r="G56" i="48"/>
  <c r="G56" i="79"/>
  <c r="G18" i="79"/>
  <c r="H18" i="75"/>
  <c r="H37" i="48"/>
  <c r="H37" i="79"/>
  <c r="H18" i="74"/>
  <c r="H56" i="48"/>
  <c r="H56" i="79"/>
  <c r="H18" i="79"/>
  <c r="I18" i="75"/>
  <c r="I37" i="48"/>
  <c r="I37" i="79"/>
  <c r="I18" i="74"/>
  <c r="I56" i="48"/>
  <c r="I56" i="79"/>
  <c r="I18" i="79"/>
  <c r="J18" i="75"/>
  <c r="J37" i="48"/>
  <c r="J37" i="79"/>
  <c r="J18" i="74"/>
  <c r="J56" i="48"/>
  <c r="J56" i="79"/>
  <c r="J18" i="79"/>
  <c r="K18" i="75"/>
  <c r="K37" i="48"/>
  <c r="K37" i="79"/>
  <c r="K18" i="74"/>
  <c r="K56" i="48"/>
  <c r="K56" i="79"/>
  <c r="K18" i="79"/>
  <c r="L18" i="75"/>
  <c r="L37" i="48"/>
  <c r="L37" i="79"/>
  <c r="L18" i="74"/>
  <c r="L56" i="48"/>
  <c r="L56" i="79"/>
  <c r="L18" i="79"/>
  <c r="M18" i="75"/>
  <c r="M37" i="48"/>
  <c r="M37" i="79"/>
  <c r="M18" i="74"/>
  <c r="M56" i="48"/>
  <c r="M56" i="79"/>
  <c r="M18" i="79"/>
  <c r="N18" i="75"/>
  <c r="N37" i="48"/>
  <c r="N37" i="79"/>
  <c r="N18" i="74"/>
  <c r="N56" i="48"/>
  <c r="N56" i="79"/>
  <c r="N18" i="79"/>
  <c r="O18" i="75"/>
  <c r="O37" i="48"/>
  <c r="O37" i="79"/>
  <c r="O18" i="74"/>
  <c r="O56" i="48"/>
  <c r="O56" i="79"/>
  <c r="O18" i="79"/>
  <c r="P18" i="75"/>
  <c r="P37" i="48"/>
  <c r="P37" i="79"/>
  <c r="P18" i="74"/>
  <c r="P56" i="48"/>
  <c r="P56" i="79"/>
  <c r="P18" i="79"/>
  <c r="Q18" i="75"/>
  <c r="Q37" i="48"/>
  <c r="Q37" i="79"/>
  <c r="Q18" i="74"/>
  <c r="Q56" i="48"/>
  <c r="Q56" i="79"/>
  <c r="Q18" i="79"/>
  <c r="R18" i="75"/>
  <c r="R37" i="48"/>
  <c r="R37" i="79"/>
  <c r="R18" i="74"/>
  <c r="R56" i="48"/>
  <c r="R56" i="79"/>
  <c r="R18" i="79"/>
  <c r="S18" i="75"/>
  <c r="S37" i="48"/>
  <c r="S37" i="79"/>
  <c r="S18" i="74"/>
  <c r="S56" i="48"/>
  <c r="S56" i="79"/>
  <c r="S18" i="79"/>
  <c r="T18" i="75"/>
  <c r="T37" i="48"/>
  <c r="T37" i="79"/>
  <c r="T18" i="74"/>
  <c r="T56" i="48"/>
  <c r="T56" i="79"/>
  <c r="T18" i="79"/>
  <c r="U18" i="75"/>
  <c r="U37" i="48"/>
  <c r="U37" i="79"/>
  <c r="U18" i="74"/>
  <c r="U56" i="48"/>
  <c r="U56" i="79"/>
  <c r="U18" i="79"/>
  <c r="V18" i="75"/>
  <c r="V37" i="48"/>
  <c r="V37" i="79"/>
  <c r="V18" i="74"/>
  <c r="V56" i="48"/>
  <c r="V56" i="79"/>
  <c r="V18" i="79"/>
  <c r="W18" i="79"/>
  <c r="L21" i="149"/>
  <c r="L25" i="149"/>
  <c r="D25" i="149"/>
  <c r="C20" i="57"/>
  <c r="D20" i="57"/>
  <c r="D22" i="149"/>
  <c r="E22" i="149"/>
  <c r="C21" i="57"/>
  <c r="D21" i="57"/>
  <c r="D23" i="149"/>
  <c r="E23" i="149"/>
  <c r="E26" i="149"/>
  <c r="C19" i="57"/>
  <c r="C22" i="57"/>
  <c r="D22" i="57"/>
  <c r="B33" i="149"/>
  <c r="C33" i="149"/>
  <c r="D33" i="149"/>
  <c r="E33" i="149"/>
  <c r="F33" i="149"/>
  <c r="G33" i="149"/>
  <c r="H33" i="149"/>
  <c r="I33" i="149"/>
  <c r="J33" i="149"/>
  <c r="K33" i="149"/>
  <c r="L33" i="149"/>
  <c r="M33" i="149"/>
  <c r="N33" i="149"/>
  <c r="O33" i="149"/>
  <c r="P33" i="149"/>
  <c r="Q33" i="149"/>
  <c r="R33" i="149"/>
  <c r="S33" i="149"/>
  <c r="T33" i="149"/>
  <c r="U33" i="149"/>
  <c r="V33" i="149"/>
  <c r="W33" i="149"/>
  <c r="X33" i="149"/>
  <c r="Y33" i="149"/>
  <c r="Z33" i="149"/>
  <c r="AA33" i="149"/>
  <c r="J4" i="97"/>
  <c r="D26" i="98"/>
  <c r="G26" i="98"/>
  <c r="Q26" i="98"/>
  <c r="T26" i="98"/>
  <c r="C3" i="98"/>
  <c r="C29" i="112"/>
  <c r="T26" i="99"/>
  <c r="C3" i="99"/>
  <c r="C53" i="112"/>
  <c r="C5" i="112"/>
  <c r="J5" i="97"/>
  <c r="T27" i="98"/>
  <c r="C4" i="98"/>
  <c r="C30" i="112"/>
  <c r="T27" i="99"/>
  <c r="C4" i="99"/>
  <c r="C54" i="112"/>
  <c r="C6" i="112"/>
  <c r="J6" i="97"/>
  <c r="T28" i="98"/>
  <c r="C5" i="98"/>
  <c r="C31" i="112"/>
  <c r="T28" i="99"/>
  <c r="C5" i="99"/>
  <c r="C55" i="112"/>
  <c r="C7" i="112"/>
  <c r="J7" i="97"/>
  <c r="T29" i="98"/>
  <c r="C6" i="98"/>
  <c r="C32" i="112"/>
  <c r="T29" i="99"/>
  <c r="C6" i="99"/>
  <c r="C56" i="112"/>
  <c r="C8" i="112"/>
  <c r="J8" i="97"/>
  <c r="T30" i="98"/>
  <c r="C7" i="98"/>
  <c r="C33" i="112"/>
  <c r="T30" i="99"/>
  <c r="C7" i="99"/>
  <c r="C57" i="112"/>
  <c r="C9" i="112"/>
  <c r="J9" i="97"/>
  <c r="T31" i="98"/>
  <c r="C8" i="98"/>
  <c r="C34" i="112"/>
  <c r="T31" i="99"/>
  <c r="C8" i="99"/>
  <c r="C58" i="112"/>
  <c r="C10" i="112"/>
  <c r="J10" i="97"/>
  <c r="T32" i="98"/>
  <c r="C9" i="98"/>
  <c r="C35" i="112"/>
  <c r="T32" i="99"/>
  <c r="C9" i="99"/>
  <c r="C59" i="112"/>
  <c r="C11" i="112"/>
  <c r="J11" i="97"/>
  <c r="T33" i="98"/>
  <c r="C10" i="98"/>
  <c r="C36" i="112"/>
  <c r="T33" i="99"/>
  <c r="C10" i="99"/>
  <c r="C60" i="112"/>
  <c r="C12" i="112"/>
  <c r="J12" i="97"/>
  <c r="T34" i="98"/>
  <c r="C11" i="98"/>
  <c r="C37" i="112"/>
  <c r="T34" i="99"/>
  <c r="C11" i="99"/>
  <c r="C61" i="112"/>
  <c r="C13" i="112"/>
  <c r="J13" i="97"/>
  <c r="T35" i="98"/>
  <c r="C12" i="98"/>
  <c r="C38" i="112"/>
  <c r="T35" i="99"/>
  <c r="C12" i="99"/>
  <c r="C62" i="112"/>
  <c r="C14" i="112"/>
  <c r="J14" i="97"/>
  <c r="T36" i="98"/>
  <c r="C13" i="98"/>
  <c r="C39" i="112"/>
  <c r="T36" i="99"/>
  <c r="C13" i="99"/>
  <c r="C63" i="112"/>
  <c r="C15" i="112"/>
  <c r="J15" i="97"/>
  <c r="T37" i="98"/>
  <c r="C14" i="98"/>
  <c r="C40" i="112"/>
  <c r="T37" i="99"/>
  <c r="C14" i="99"/>
  <c r="C64" i="112"/>
  <c r="C16" i="112"/>
  <c r="J16" i="97"/>
  <c r="T38" i="98"/>
  <c r="C15" i="98"/>
  <c r="C41" i="112"/>
  <c r="T38" i="99"/>
  <c r="C15" i="99"/>
  <c r="C65" i="112"/>
  <c r="C17" i="112"/>
  <c r="J17" i="97"/>
  <c r="T39" i="98"/>
  <c r="C16" i="98"/>
  <c r="C42" i="112"/>
  <c r="T39" i="99"/>
  <c r="C16" i="99"/>
  <c r="C66" i="112"/>
  <c r="C18" i="112"/>
  <c r="J18" i="97"/>
  <c r="T40" i="98"/>
  <c r="C17" i="98"/>
  <c r="C43" i="112"/>
  <c r="T40" i="99"/>
  <c r="C17" i="99"/>
  <c r="C67" i="112"/>
  <c r="C19" i="112"/>
  <c r="J19" i="97"/>
  <c r="T41" i="98"/>
  <c r="C18" i="98"/>
  <c r="C44" i="112"/>
  <c r="T41" i="99"/>
  <c r="C18" i="99"/>
  <c r="C68" i="112"/>
  <c r="C20" i="112"/>
  <c r="J20" i="97"/>
  <c r="T42" i="98"/>
  <c r="C19" i="98"/>
  <c r="C45" i="112"/>
  <c r="T42" i="99"/>
  <c r="C19" i="99"/>
  <c r="C69" i="112"/>
  <c r="C21" i="112"/>
  <c r="J21" i="97"/>
  <c r="T43" i="98"/>
  <c r="C20" i="98"/>
  <c r="C46" i="112"/>
  <c r="T43" i="99"/>
  <c r="C20" i="99"/>
  <c r="C70" i="112"/>
  <c r="C22" i="112"/>
  <c r="J22" i="97"/>
  <c r="T44" i="98"/>
  <c r="C21" i="98"/>
  <c r="C47" i="112"/>
  <c r="T44" i="99"/>
  <c r="C21" i="99"/>
  <c r="C71" i="112"/>
  <c r="C23" i="112"/>
  <c r="J23" i="97"/>
  <c r="T45" i="98"/>
  <c r="C22" i="98"/>
  <c r="C48" i="112"/>
  <c r="T45" i="99"/>
  <c r="C22" i="99"/>
  <c r="C72" i="112"/>
  <c r="C24" i="112"/>
  <c r="J24" i="97"/>
  <c r="T46" i="98"/>
  <c r="C23" i="98"/>
  <c r="C49" i="112"/>
  <c r="T46" i="99"/>
  <c r="C23" i="99"/>
  <c r="C73" i="112"/>
  <c r="C25" i="112"/>
  <c r="C26" i="112"/>
  <c r="R5" i="149"/>
  <c r="D3" i="98"/>
  <c r="D29" i="112"/>
  <c r="D3" i="99"/>
  <c r="D53" i="112"/>
  <c r="D5" i="112"/>
  <c r="D4" i="98"/>
  <c r="D30" i="112"/>
  <c r="D4" i="99"/>
  <c r="D54" i="112"/>
  <c r="D6" i="112"/>
  <c r="D5" i="98"/>
  <c r="D31" i="112"/>
  <c r="D5" i="99"/>
  <c r="D55" i="112"/>
  <c r="D7" i="112"/>
  <c r="D6" i="98"/>
  <c r="D32" i="112"/>
  <c r="D6" i="99"/>
  <c r="D56" i="112"/>
  <c r="D8" i="112"/>
  <c r="D7" i="98"/>
  <c r="D33" i="112"/>
  <c r="D7" i="99"/>
  <c r="D57" i="112"/>
  <c r="D9" i="112"/>
  <c r="D8" i="98"/>
  <c r="D34" i="112"/>
  <c r="D8" i="99"/>
  <c r="D58" i="112"/>
  <c r="D10" i="112"/>
  <c r="D9" i="98"/>
  <c r="D35" i="112"/>
  <c r="D9" i="99"/>
  <c r="D59" i="112"/>
  <c r="D11" i="112"/>
  <c r="D10" i="98"/>
  <c r="D36" i="112"/>
  <c r="D10" i="99"/>
  <c r="D60" i="112"/>
  <c r="D12" i="112"/>
  <c r="D11" i="98"/>
  <c r="D37" i="112"/>
  <c r="D11" i="99"/>
  <c r="D61" i="112"/>
  <c r="D13" i="112"/>
  <c r="D12" i="98"/>
  <c r="D38" i="112"/>
  <c r="D12" i="99"/>
  <c r="D62" i="112"/>
  <c r="D14" i="112"/>
  <c r="D13" i="98"/>
  <c r="D39" i="112"/>
  <c r="D13" i="99"/>
  <c r="D63" i="112"/>
  <c r="D15" i="112"/>
  <c r="D14" i="98"/>
  <c r="D40" i="112"/>
  <c r="D14" i="99"/>
  <c r="D64" i="112"/>
  <c r="D16" i="112"/>
  <c r="D15" i="98"/>
  <c r="D41" i="112"/>
  <c r="D15" i="99"/>
  <c r="D65" i="112"/>
  <c r="D17" i="112"/>
  <c r="D16" i="98"/>
  <c r="D42" i="112"/>
  <c r="D16" i="99"/>
  <c r="D66" i="112"/>
  <c r="D18" i="112"/>
  <c r="D17" i="98"/>
  <c r="D43" i="112"/>
  <c r="D17" i="99"/>
  <c r="D67" i="112"/>
  <c r="D19" i="112"/>
  <c r="D18" i="98"/>
  <c r="D44" i="112"/>
  <c r="D18" i="99"/>
  <c r="D68" i="112"/>
  <c r="D20" i="112"/>
  <c r="D19" i="98"/>
  <c r="D45" i="112"/>
  <c r="D19" i="99"/>
  <c r="D69" i="112"/>
  <c r="D21" i="112"/>
  <c r="D20" i="98"/>
  <c r="D46" i="112"/>
  <c r="D20" i="99"/>
  <c r="D70" i="112"/>
  <c r="D22" i="112"/>
  <c r="D21" i="98"/>
  <c r="D47" i="112"/>
  <c r="D21" i="99"/>
  <c r="D71" i="112"/>
  <c r="D23" i="112"/>
  <c r="D22" i="98"/>
  <c r="D48" i="112"/>
  <c r="D22" i="99"/>
  <c r="D72" i="112"/>
  <c r="D24" i="112"/>
  <c r="D23" i="98"/>
  <c r="D49" i="112"/>
  <c r="D23" i="99"/>
  <c r="D73" i="112"/>
  <c r="D25" i="112"/>
  <c r="D26" i="112"/>
  <c r="R6" i="149"/>
  <c r="E3" i="98"/>
  <c r="E29" i="112"/>
  <c r="E3" i="99"/>
  <c r="E53" i="112"/>
  <c r="E5" i="112"/>
  <c r="E4" i="98"/>
  <c r="E30" i="112"/>
  <c r="E4" i="99"/>
  <c r="E54" i="112"/>
  <c r="E6" i="112"/>
  <c r="E5" i="98"/>
  <c r="E31" i="112"/>
  <c r="E5" i="99"/>
  <c r="E55" i="112"/>
  <c r="E7" i="112"/>
  <c r="E6" i="98"/>
  <c r="E32" i="112"/>
  <c r="E6" i="99"/>
  <c r="E56" i="112"/>
  <c r="E8" i="112"/>
  <c r="E7" i="98"/>
  <c r="E33" i="112"/>
  <c r="E7" i="99"/>
  <c r="E57" i="112"/>
  <c r="E9" i="112"/>
  <c r="E8" i="98"/>
  <c r="E34" i="112"/>
  <c r="E8" i="99"/>
  <c r="E58" i="112"/>
  <c r="E10" i="112"/>
  <c r="E9" i="98"/>
  <c r="E35" i="112"/>
  <c r="E9" i="99"/>
  <c r="E59" i="112"/>
  <c r="E11" i="112"/>
  <c r="E10" i="98"/>
  <c r="E36" i="112"/>
  <c r="E10" i="99"/>
  <c r="E60" i="112"/>
  <c r="E12" i="112"/>
  <c r="E11" i="98"/>
  <c r="E37" i="112"/>
  <c r="E11" i="99"/>
  <c r="E61" i="112"/>
  <c r="E13" i="112"/>
  <c r="E12" i="98"/>
  <c r="E38" i="112"/>
  <c r="E12" i="99"/>
  <c r="E62" i="112"/>
  <c r="E14" i="112"/>
  <c r="E13" i="98"/>
  <c r="E39" i="112"/>
  <c r="E13" i="99"/>
  <c r="E63" i="112"/>
  <c r="E15" i="112"/>
  <c r="E14" i="98"/>
  <c r="E40" i="112"/>
  <c r="E14" i="99"/>
  <c r="E64" i="112"/>
  <c r="E16" i="112"/>
  <c r="E15" i="98"/>
  <c r="E41" i="112"/>
  <c r="E15" i="99"/>
  <c r="E65" i="112"/>
  <c r="E17" i="112"/>
  <c r="E16" i="98"/>
  <c r="E42" i="112"/>
  <c r="E16" i="99"/>
  <c r="E66" i="112"/>
  <c r="E18" i="112"/>
  <c r="E17" i="98"/>
  <c r="E43" i="112"/>
  <c r="E17" i="99"/>
  <c r="E67" i="112"/>
  <c r="E19" i="112"/>
  <c r="E18" i="98"/>
  <c r="E44" i="112"/>
  <c r="E18" i="99"/>
  <c r="E68" i="112"/>
  <c r="E20" i="112"/>
  <c r="E19" i="98"/>
  <c r="E45" i="112"/>
  <c r="E19" i="99"/>
  <c r="E69" i="112"/>
  <c r="E21" i="112"/>
  <c r="E20" i="98"/>
  <c r="E46" i="112"/>
  <c r="E20" i="99"/>
  <c r="E70" i="112"/>
  <c r="E22" i="112"/>
  <c r="E21" i="98"/>
  <c r="E47" i="112"/>
  <c r="E21" i="99"/>
  <c r="E71" i="112"/>
  <c r="E23" i="112"/>
  <c r="E22" i="98"/>
  <c r="E48" i="112"/>
  <c r="E22" i="99"/>
  <c r="E72" i="112"/>
  <c r="E24" i="112"/>
  <c r="E23" i="98"/>
  <c r="E49" i="112"/>
  <c r="E23" i="99"/>
  <c r="E73" i="112"/>
  <c r="E25" i="112"/>
  <c r="E26" i="112"/>
  <c r="R7" i="149"/>
  <c r="F3" i="98"/>
  <c r="F29" i="112"/>
  <c r="F3" i="99"/>
  <c r="F53" i="112"/>
  <c r="F5" i="112"/>
  <c r="F4" i="98"/>
  <c r="F30" i="112"/>
  <c r="F4" i="99"/>
  <c r="F54" i="112"/>
  <c r="F6" i="112"/>
  <c r="F5" i="98"/>
  <c r="F31" i="112"/>
  <c r="F5" i="99"/>
  <c r="F55" i="112"/>
  <c r="F7" i="112"/>
  <c r="F6" i="98"/>
  <c r="F32" i="112"/>
  <c r="F6" i="99"/>
  <c r="F56" i="112"/>
  <c r="F8" i="112"/>
  <c r="F7" i="98"/>
  <c r="F33" i="112"/>
  <c r="F7" i="99"/>
  <c r="F57" i="112"/>
  <c r="F9" i="112"/>
  <c r="F8" i="98"/>
  <c r="F34" i="112"/>
  <c r="F8" i="99"/>
  <c r="F58" i="112"/>
  <c r="F10" i="112"/>
  <c r="F9" i="98"/>
  <c r="F35" i="112"/>
  <c r="F9" i="99"/>
  <c r="F59" i="112"/>
  <c r="F11" i="112"/>
  <c r="F10" i="98"/>
  <c r="F36" i="112"/>
  <c r="F10" i="99"/>
  <c r="F60" i="112"/>
  <c r="F12" i="112"/>
  <c r="F11" i="98"/>
  <c r="F37" i="112"/>
  <c r="F11" i="99"/>
  <c r="F61" i="112"/>
  <c r="F13" i="112"/>
  <c r="F12" i="98"/>
  <c r="F38" i="112"/>
  <c r="F12" i="99"/>
  <c r="F62" i="112"/>
  <c r="F14" i="112"/>
  <c r="F13" i="98"/>
  <c r="F39" i="112"/>
  <c r="F13" i="99"/>
  <c r="F63" i="112"/>
  <c r="F15" i="112"/>
  <c r="F14" i="98"/>
  <c r="F40" i="112"/>
  <c r="F14" i="99"/>
  <c r="F64" i="112"/>
  <c r="F16" i="112"/>
  <c r="F15" i="98"/>
  <c r="F41" i="112"/>
  <c r="F15" i="99"/>
  <c r="F65" i="112"/>
  <c r="F17" i="112"/>
  <c r="F16" i="98"/>
  <c r="F42" i="112"/>
  <c r="F16" i="99"/>
  <c r="F66" i="112"/>
  <c r="F18" i="112"/>
  <c r="F17" i="98"/>
  <c r="F43" i="112"/>
  <c r="F17" i="99"/>
  <c r="F67" i="112"/>
  <c r="F19" i="112"/>
  <c r="F18" i="98"/>
  <c r="F44" i="112"/>
  <c r="F18" i="99"/>
  <c r="F68" i="112"/>
  <c r="F20" i="112"/>
  <c r="F19" i="98"/>
  <c r="F45" i="112"/>
  <c r="F19" i="99"/>
  <c r="F69" i="112"/>
  <c r="F21" i="112"/>
  <c r="F20" i="98"/>
  <c r="F46" i="112"/>
  <c r="F20" i="99"/>
  <c r="F70" i="112"/>
  <c r="F22" i="112"/>
  <c r="F21" i="98"/>
  <c r="F47" i="112"/>
  <c r="F21" i="99"/>
  <c r="F71" i="112"/>
  <c r="F23" i="112"/>
  <c r="F22" i="98"/>
  <c r="F48" i="112"/>
  <c r="F22" i="99"/>
  <c r="F72" i="112"/>
  <c r="F24" i="112"/>
  <c r="F23" i="98"/>
  <c r="F49" i="112"/>
  <c r="F23" i="99"/>
  <c r="F73" i="112"/>
  <c r="F25" i="112"/>
  <c r="F26" i="112"/>
  <c r="R8" i="149"/>
  <c r="G3" i="98"/>
  <c r="G29" i="112"/>
  <c r="G3" i="99"/>
  <c r="G53" i="112"/>
  <c r="G5" i="112"/>
  <c r="G4" i="98"/>
  <c r="G30" i="112"/>
  <c r="G4" i="99"/>
  <c r="G54" i="112"/>
  <c r="G6" i="112"/>
  <c r="G5" i="98"/>
  <c r="G31" i="112"/>
  <c r="G5" i="99"/>
  <c r="G55" i="112"/>
  <c r="G7" i="112"/>
  <c r="G6" i="98"/>
  <c r="G32" i="112"/>
  <c r="G6" i="99"/>
  <c r="G56" i="112"/>
  <c r="G8" i="112"/>
  <c r="G7" i="98"/>
  <c r="G33" i="112"/>
  <c r="G7" i="99"/>
  <c r="G57" i="112"/>
  <c r="G9" i="112"/>
  <c r="G8" i="98"/>
  <c r="G34" i="112"/>
  <c r="G8" i="99"/>
  <c r="G58" i="112"/>
  <c r="G10" i="112"/>
  <c r="G9" i="98"/>
  <c r="G35" i="112"/>
  <c r="G9" i="99"/>
  <c r="G59" i="112"/>
  <c r="G11" i="112"/>
  <c r="G10" i="98"/>
  <c r="G36" i="112"/>
  <c r="G10" i="99"/>
  <c r="G60" i="112"/>
  <c r="G12" i="112"/>
  <c r="G11" i="98"/>
  <c r="G37" i="112"/>
  <c r="G11" i="99"/>
  <c r="G61" i="112"/>
  <c r="G13" i="112"/>
  <c r="G12" i="98"/>
  <c r="G38" i="112"/>
  <c r="G12" i="99"/>
  <c r="G62" i="112"/>
  <c r="G14" i="112"/>
  <c r="G13" i="98"/>
  <c r="G39" i="112"/>
  <c r="G13" i="99"/>
  <c r="G63" i="112"/>
  <c r="G15" i="112"/>
  <c r="G14" i="98"/>
  <c r="G40" i="112"/>
  <c r="G14" i="99"/>
  <c r="G64" i="112"/>
  <c r="G16" i="112"/>
  <c r="G15" i="98"/>
  <c r="G41" i="112"/>
  <c r="G15" i="99"/>
  <c r="G65" i="112"/>
  <c r="G17" i="112"/>
  <c r="G16" i="98"/>
  <c r="G42" i="112"/>
  <c r="G16" i="99"/>
  <c r="G66" i="112"/>
  <c r="G18" i="112"/>
  <c r="G17" i="98"/>
  <c r="G43" i="112"/>
  <c r="G17" i="99"/>
  <c r="G67" i="112"/>
  <c r="G19" i="112"/>
  <c r="G18" i="98"/>
  <c r="G44" i="112"/>
  <c r="G18" i="99"/>
  <c r="G68" i="112"/>
  <c r="G20" i="112"/>
  <c r="G19" i="98"/>
  <c r="G45" i="112"/>
  <c r="G19" i="99"/>
  <c r="G69" i="112"/>
  <c r="G21" i="112"/>
  <c r="G20" i="98"/>
  <c r="G46" i="112"/>
  <c r="G20" i="99"/>
  <c r="G70" i="112"/>
  <c r="G22" i="112"/>
  <c r="G21" i="98"/>
  <c r="G47" i="112"/>
  <c r="G21" i="99"/>
  <c r="G71" i="112"/>
  <c r="G23" i="112"/>
  <c r="G22" i="98"/>
  <c r="G48" i="112"/>
  <c r="G22" i="99"/>
  <c r="G72" i="112"/>
  <c r="G24" i="112"/>
  <c r="G23" i="98"/>
  <c r="G49" i="112"/>
  <c r="G23" i="99"/>
  <c r="G73" i="112"/>
  <c r="G25" i="112"/>
  <c r="G26" i="112"/>
  <c r="R9" i="149"/>
  <c r="H3" i="98"/>
  <c r="H29" i="112"/>
  <c r="H3" i="99"/>
  <c r="H53" i="112"/>
  <c r="H5" i="112"/>
  <c r="H4" i="98"/>
  <c r="H30" i="112"/>
  <c r="H4" i="99"/>
  <c r="H54" i="112"/>
  <c r="H6" i="112"/>
  <c r="H5" i="98"/>
  <c r="H31" i="112"/>
  <c r="H5" i="99"/>
  <c r="H55" i="112"/>
  <c r="H7" i="112"/>
  <c r="H6" i="98"/>
  <c r="H32" i="112"/>
  <c r="H6" i="99"/>
  <c r="H56" i="112"/>
  <c r="H8" i="112"/>
  <c r="H7" i="98"/>
  <c r="H33" i="112"/>
  <c r="H7" i="99"/>
  <c r="H57" i="112"/>
  <c r="H9" i="112"/>
  <c r="H8" i="98"/>
  <c r="H34" i="112"/>
  <c r="H8" i="99"/>
  <c r="H58" i="112"/>
  <c r="H10" i="112"/>
  <c r="H9" i="98"/>
  <c r="H35" i="112"/>
  <c r="H9" i="99"/>
  <c r="H59" i="112"/>
  <c r="H11" i="112"/>
  <c r="H10" i="98"/>
  <c r="H36" i="112"/>
  <c r="H10" i="99"/>
  <c r="H60" i="112"/>
  <c r="H12" i="112"/>
  <c r="H11" i="98"/>
  <c r="H37" i="112"/>
  <c r="H11" i="99"/>
  <c r="H61" i="112"/>
  <c r="H13" i="112"/>
  <c r="H12" i="98"/>
  <c r="H38" i="112"/>
  <c r="H12" i="99"/>
  <c r="H62" i="112"/>
  <c r="H14" i="112"/>
  <c r="H13" i="98"/>
  <c r="H39" i="112"/>
  <c r="H13" i="99"/>
  <c r="H63" i="112"/>
  <c r="H15" i="112"/>
  <c r="H14" i="98"/>
  <c r="H40" i="112"/>
  <c r="H14" i="99"/>
  <c r="H64" i="112"/>
  <c r="H16" i="112"/>
  <c r="H15" i="98"/>
  <c r="H41" i="112"/>
  <c r="H15" i="99"/>
  <c r="H65" i="112"/>
  <c r="H17" i="112"/>
  <c r="H16" i="98"/>
  <c r="H42" i="112"/>
  <c r="H16" i="99"/>
  <c r="H66" i="112"/>
  <c r="H18" i="112"/>
  <c r="H17" i="98"/>
  <c r="H43" i="112"/>
  <c r="H17" i="99"/>
  <c r="H67" i="112"/>
  <c r="H19" i="112"/>
  <c r="H18" i="98"/>
  <c r="H44" i="112"/>
  <c r="H18" i="99"/>
  <c r="H68" i="112"/>
  <c r="H20" i="112"/>
  <c r="H19" i="98"/>
  <c r="H45" i="112"/>
  <c r="H19" i="99"/>
  <c r="H69" i="112"/>
  <c r="H21" i="112"/>
  <c r="H20" i="98"/>
  <c r="H46" i="112"/>
  <c r="H20" i="99"/>
  <c r="H70" i="112"/>
  <c r="H22" i="112"/>
  <c r="H21" i="98"/>
  <c r="H47" i="112"/>
  <c r="H21" i="99"/>
  <c r="H71" i="112"/>
  <c r="H23" i="112"/>
  <c r="H22" i="98"/>
  <c r="H48" i="112"/>
  <c r="H22" i="99"/>
  <c r="H72" i="112"/>
  <c r="H24" i="112"/>
  <c r="H23" i="98"/>
  <c r="H49" i="112"/>
  <c r="H23" i="99"/>
  <c r="H73" i="112"/>
  <c r="H25" i="112"/>
  <c r="H26" i="112"/>
  <c r="R10" i="149"/>
  <c r="I3" i="98"/>
  <c r="I29" i="112"/>
  <c r="I3" i="99"/>
  <c r="I53" i="112"/>
  <c r="I5" i="112"/>
  <c r="I4" i="98"/>
  <c r="I30" i="112"/>
  <c r="I4" i="99"/>
  <c r="I54" i="112"/>
  <c r="I6" i="112"/>
  <c r="I5" i="98"/>
  <c r="I31" i="112"/>
  <c r="I5" i="99"/>
  <c r="I55" i="112"/>
  <c r="I7" i="112"/>
  <c r="I6" i="98"/>
  <c r="I32" i="112"/>
  <c r="I6" i="99"/>
  <c r="I56" i="112"/>
  <c r="I8" i="112"/>
  <c r="I7" i="98"/>
  <c r="I33" i="112"/>
  <c r="I7" i="99"/>
  <c r="I57" i="112"/>
  <c r="I9" i="112"/>
  <c r="I8" i="98"/>
  <c r="I34" i="112"/>
  <c r="I8" i="99"/>
  <c r="I58" i="112"/>
  <c r="I10" i="112"/>
  <c r="I9" i="98"/>
  <c r="I35" i="112"/>
  <c r="I9" i="99"/>
  <c r="I59" i="112"/>
  <c r="I11" i="112"/>
  <c r="I10" i="98"/>
  <c r="I36" i="112"/>
  <c r="I10" i="99"/>
  <c r="I60" i="112"/>
  <c r="I12" i="112"/>
  <c r="I11" i="98"/>
  <c r="I37" i="112"/>
  <c r="I11" i="99"/>
  <c r="I61" i="112"/>
  <c r="I13" i="112"/>
  <c r="I12" i="98"/>
  <c r="I38" i="112"/>
  <c r="I12" i="99"/>
  <c r="I62" i="112"/>
  <c r="I14" i="112"/>
  <c r="I13" i="98"/>
  <c r="I39" i="112"/>
  <c r="I13" i="99"/>
  <c r="I63" i="112"/>
  <c r="I15" i="112"/>
  <c r="I14" i="98"/>
  <c r="I40" i="112"/>
  <c r="I14" i="99"/>
  <c r="I64" i="112"/>
  <c r="I16" i="112"/>
  <c r="I15" i="98"/>
  <c r="I41" i="112"/>
  <c r="I15" i="99"/>
  <c r="I65" i="112"/>
  <c r="I17" i="112"/>
  <c r="I16" i="98"/>
  <c r="I42" i="112"/>
  <c r="I16" i="99"/>
  <c r="I66" i="112"/>
  <c r="I18" i="112"/>
  <c r="I17" i="98"/>
  <c r="I43" i="112"/>
  <c r="I17" i="99"/>
  <c r="I67" i="112"/>
  <c r="I19" i="112"/>
  <c r="I18" i="98"/>
  <c r="I44" i="112"/>
  <c r="I18" i="99"/>
  <c r="I68" i="112"/>
  <c r="I20" i="112"/>
  <c r="I19" i="98"/>
  <c r="I45" i="112"/>
  <c r="I19" i="99"/>
  <c r="I69" i="112"/>
  <c r="I21" i="112"/>
  <c r="I20" i="98"/>
  <c r="I46" i="112"/>
  <c r="I20" i="99"/>
  <c r="I70" i="112"/>
  <c r="I22" i="112"/>
  <c r="I21" i="98"/>
  <c r="I47" i="112"/>
  <c r="I21" i="99"/>
  <c r="I71" i="112"/>
  <c r="I23" i="112"/>
  <c r="I22" i="98"/>
  <c r="I48" i="112"/>
  <c r="I22" i="99"/>
  <c r="I72" i="112"/>
  <c r="I24" i="112"/>
  <c r="I23" i="98"/>
  <c r="I49" i="112"/>
  <c r="I23" i="99"/>
  <c r="I73" i="112"/>
  <c r="I25" i="112"/>
  <c r="I26" i="112"/>
  <c r="R11" i="149"/>
  <c r="J3" i="98"/>
  <c r="J29" i="112"/>
  <c r="J3" i="99"/>
  <c r="J53" i="112"/>
  <c r="J5" i="112"/>
  <c r="J4" i="98"/>
  <c r="J30" i="112"/>
  <c r="J4" i="99"/>
  <c r="J54" i="112"/>
  <c r="J6" i="112"/>
  <c r="J5" i="98"/>
  <c r="J31" i="112"/>
  <c r="J5" i="99"/>
  <c r="J55" i="112"/>
  <c r="J7" i="112"/>
  <c r="J6" i="98"/>
  <c r="J32" i="112"/>
  <c r="J6" i="99"/>
  <c r="J56" i="112"/>
  <c r="J8" i="112"/>
  <c r="J7" i="98"/>
  <c r="J33" i="112"/>
  <c r="J7" i="99"/>
  <c r="J57" i="112"/>
  <c r="J9" i="112"/>
  <c r="J8" i="98"/>
  <c r="J34" i="112"/>
  <c r="J8" i="99"/>
  <c r="J58" i="112"/>
  <c r="J10" i="112"/>
  <c r="J9" i="98"/>
  <c r="J35" i="112"/>
  <c r="J9" i="99"/>
  <c r="J59" i="112"/>
  <c r="J11" i="112"/>
  <c r="J10" i="98"/>
  <c r="J36" i="112"/>
  <c r="J10" i="99"/>
  <c r="J60" i="112"/>
  <c r="J12" i="112"/>
  <c r="J11" i="98"/>
  <c r="J37" i="112"/>
  <c r="J11" i="99"/>
  <c r="J61" i="112"/>
  <c r="J13" i="112"/>
  <c r="J12" i="98"/>
  <c r="J38" i="112"/>
  <c r="J12" i="99"/>
  <c r="J62" i="112"/>
  <c r="J14" i="112"/>
  <c r="J13" i="98"/>
  <c r="J39" i="112"/>
  <c r="J13" i="99"/>
  <c r="J63" i="112"/>
  <c r="J15" i="112"/>
  <c r="J14" i="98"/>
  <c r="J40" i="112"/>
  <c r="J14" i="99"/>
  <c r="J64" i="112"/>
  <c r="J16" i="112"/>
  <c r="J15" i="98"/>
  <c r="J41" i="112"/>
  <c r="J15" i="99"/>
  <c r="J65" i="112"/>
  <c r="J17" i="112"/>
  <c r="J16" i="98"/>
  <c r="J42" i="112"/>
  <c r="J16" i="99"/>
  <c r="J66" i="112"/>
  <c r="J18" i="112"/>
  <c r="J17" i="98"/>
  <c r="J43" i="112"/>
  <c r="J17" i="99"/>
  <c r="J67" i="112"/>
  <c r="J19" i="112"/>
  <c r="J18" i="98"/>
  <c r="J44" i="112"/>
  <c r="J18" i="99"/>
  <c r="J68" i="112"/>
  <c r="J20" i="112"/>
  <c r="J19" i="98"/>
  <c r="J45" i="112"/>
  <c r="J19" i="99"/>
  <c r="J69" i="112"/>
  <c r="J21" i="112"/>
  <c r="J20" i="98"/>
  <c r="J46" i="112"/>
  <c r="J20" i="99"/>
  <c r="J70" i="112"/>
  <c r="J22" i="112"/>
  <c r="J21" i="98"/>
  <c r="J47" i="112"/>
  <c r="J21" i="99"/>
  <c r="J71" i="112"/>
  <c r="J23" i="112"/>
  <c r="J22" i="98"/>
  <c r="J48" i="112"/>
  <c r="J22" i="99"/>
  <c r="J72" i="112"/>
  <c r="J24" i="112"/>
  <c r="J23" i="98"/>
  <c r="J49" i="112"/>
  <c r="J23" i="99"/>
  <c r="J73" i="112"/>
  <c r="J25" i="112"/>
  <c r="J26" i="112"/>
  <c r="R12" i="149"/>
  <c r="K3" i="98"/>
  <c r="K29" i="112"/>
  <c r="K3" i="99"/>
  <c r="K53" i="112"/>
  <c r="K5" i="112"/>
  <c r="K4" i="98"/>
  <c r="K30" i="112"/>
  <c r="K4" i="99"/>
  <c r="K54" i="112"/>
  <c r="K6" i="112"/>
  <c r="K5" i="98"/>
  <c r="K31" i="112"/>
  <c r="K5" i="99"/>
  <c r="K55" i="112"/>
  <c r="K7" i="112"/>
  <c r="K6" i="98"/>
  <c r="K32" i="112"/>
  <c r="K6" i="99"/>
  <c r="K56" i="112"/>
  <c r="K8" i="112"/>
  <c r="K7" i="98"/>
  <c r="K33" i="112"/>
  <c r="K7" i="99"/>
  <c r="K57" i="112"/>
  <c r="K9" i="112"/>
  <c r="K8" i="98"/>
  <c r="K34" i="112"/>
  <c r="K8" i="99"/>
  <c r="K58" i="112"/>
  <c r="K10" i="112"/>
  <c r="K9" i="98"/>
  <c r="K35" i="112"/>
  <c r="K9" i="99"/>
  <c r="K59" i="112"/>
  <c r="K11" i="112"/>
  <c r="K10" i="98"/>
  <c r="K36" i="112"/>
  <c r="K10" i="99"/>
  <c r="K60" i="112"/>
  <c r="K12" i="112"/>
  <c r="K11" i="98"/>
  <c r="K37" i="112"/>
  <c r="K11" i="99"/>
  <c r="K61" i="112"/>
  <c r="K13" i="112"/>
  <c r="K12" i="98"/>
  <c r="K38" i="112"/>
  <c r="K12" i="99"/>
  <c r="K62" i="112"/>
  <c r="K14" i="112"/>
  <c r="K13" i="98"/>
  <c r="K39" i="112"/>
  <c r="K13" i="99"/>
  <c r="K63" i="112"/>
  <c r="K15" i="112"/>
  <c r="K14" i="98"/>
  <c r="K40" i="112"/>
  <c r="K14" i="99"/>
  <c r="K64" i="112"/>
  <c r="K16" i="112"/>
  <c r="K15" i="98"/>
  <c r="K41" i="112"/>
  <c r="K15" i="99"/>
  <c r="K65" i="112"/>
  <c r="K17" i="112"/>
  <c r="K16" i="98"/>
  <c r="K42" i="112"/>
  <c r="K16" i="99"/>
  <c r="K66" i="112"/>
  <c r="K18" i="112"/>
  <c r="K17" i="98"/>
  <c r="K43" i="112"/>
  <c r="K17" i="99"/>
  <c r="K67" i="112"/>
  <c r="K19" i="112"/>
  <c r="K18" i="98"/>
  <c r="K44" i="112"/>
  <c r="K18" i="99"/>
  <c r="K68" i="112"/>
  <c r="K20" i="112"/>
  <c r="K19" i="98"/>
  <c r="K45" i="112"/>
  <c r="K19" i="99"/>
  <c r="K69" i="112"/>
  <c r="K21" i="112"/>
  <c r="K20" i="98"/>
  <c r="K46" i="112"/>
  <c r="K20" i="99"/>
  <c r="K70" i="112"/>
  <c r="K22" i="112"/>
  <c r="K21" i="98"/>
  <c r="K47" i="112"/>
  <c r="K21" i="99"/>
  <c r="K71" i="112"/>
  <c r="K23" i="112"/>
  <c r="K22" i="98"/>
  <c r="K48" i="112"/>
  <c r="K22" i="99"/>
  <c r="K72" i="112"/>
  <c r="K24" i="112"/>
  <c r="K23" i="98"/>
  <c r="K49" i="112"/>
  <c r="K23" i="99"/>
  <c r="K73" i="112"/>
  <c r="K25" i="112"/>
  <c r="K26" i="112"/>
  <c r="R13" i="149"/>
  <c r="L3" i="98"/>
  <c r="L29" i="112"/>
  <c r="L3" i="99"/>
  <c r="L53" i="112"/>
  <c r="L5" i="112"/>
  <c r="L4" i="98"/>
  <c r="L30" i="112"/>
  <c r="L4" i="99"/>
  <c r="L54" i="112"/>
  <c r="L6" i="112"/>
  <c r="L5" i="98"/>
  <c r="L31" i="112"/>
  <c r="L5" i="99"/>
  <c r="L55" i="112"/>
  <c r="L7" i="112"/>
  <c r="L6" i="98"/>
  <c r="L32" i="112"/>
  <c r="L6" i="99"/>
  <c r="L56" i="112"/>
  <c r="L8" i="112"/>
  <c r="L7" i="98"/>
  <c r="L33" i="112"/>
  <c r="L7" i="99"/>
  <c r="L57" i="112"/>
  <c r="L9" i="112"/>
  <c r="L8" i="98"/>
  <c r="L34" i="112"/>
  <c r="L8" i="99"/>
  <c r="L58" i="112"/>
  <c r="L10" i="112"/>
  <c r="L9" i="98"/>
  <c r="L35" i="112"/>
  <c r="L9" i="99"/>
  <c r="L59" i="112"/>
  <c r="L11" i="112"/>
  <c r="L10" i="98"/>
  <c r="L36" i="112"/>
  <c r="L10" i="99"/>
  <c r="L60" i="112"/>
  <c r="L12" i="112"/>
  <c r="L11" i="98"/>
  <c r="L37" i="112"/>
  <c r="L11" i="99"/>
  <c r="L61" i="112"/>
  <c r="L13" i="112"/>
  <c r="L12" i="98"/>
  <c r="L38" i="112"/>
  <c r="L12" i="99"/>
  <c r="L62" i="112"/>
  <c r="L14" i="112"/>
  <c r="L13" i="98"/>
  <c r="L39" i="112"/>
  <c r="L13" i="99"/>
  <c r="L63" i="112"/>
  <c r="L15" i="112"/>
  <c r="L14" i="98"/>
  <c r="L40" i="112"/>
  <c r="L14" i="99"/>
  <c r="L64" i="112"/>
  <c r="L16" i="112"/>
  <c r="L15" i="98"/>
  <c r="L41" i="112"/>
  <c r="L15" i="99"/>
  <c r="L65" i="112"/>
  <c r="L17" i="112"/>
  <c r="L16" i="98"/>
  <c r="L42" i="112"/>
  <c r="L16" i="99"/>
  <c r="L66" i="112"/>
  <c r="L18" i="112"/>
  <c r="L17" i="98"/>
  <c r="L43" i="112"/>
  <c r="L17" i="99"/>
  <c r="L67" i="112"/>
  <c r="L19" i="112"/>
  <c r="L18" i="98"/>
  <c r="L44" i="112"/>
  <c r="L18" i="99"/>
  <c r="L68" i="112"/>
  <c r="L20" i="112"/>
  <c r="L19" i="98"/>
  <c r="L45" i="112"/>
  <c r="L19" i="99"/>
  <c r="L69" i="112"/>
  <c r="L21" i="112"/>
  <c r="L20" i="98"/>
  <c r="L46" i="112"/>
  <c r="L20" i="99"/>
  <c r="L70" i="112"/>
  <c r="L22" i="112"/>
  <c r="L21" i="98"/>
  <c r="L47" i="112"/>
  <c r="L21" i="99"/>
  <c r="L71" i="112"/>
  <c r="L23" i="112"/>
  <c r="L22" i="98"/>
  <c r="L48" i="112"/>
  <c r="L22" i="99"/>
  <c r="L72" i="112"/>
  <c r="L24" i="112"/>
  <c r="L23" i="98"/>
  <c r="L49" i="112"/>
  <c r="L23" i="99"/>
  <c r="L73" i="112"/>
  <c r="L25" i="112"/>
  <c r="L26" i="112"/>
  <c r="R14" i="149"/>
  <c r="M3" i="98"/>
  <c r="M29" i="112"/>
  <c r="M3" i="99"/>
  <c r="M53" i="112"/>
  <c r="M5" i="112"/>
  <c r="M4" i="98"/>
  <c r="M30" i="112"/>
  <c r="M4" i="99"/>
  <c r="M54" i="112"/>
  <c r="M6" i="112"/>
  <c r="M5" i="98"/>
  <c r="M31" i="112"/>
  <c r="M5" i="99"/>
  <c r="M55" i="112"/>
  <c r="M7" i="112"/>
  <c r="M6" i="98"/>
  <c r="M32" i="112"/>
  <c r="M6" i="99"/>
  <c r="M56" i="112"/>
  <c r="M8" i="112"/>
  <c r="M7" i="98"/>
  <c r="M33" i="112"/>
  <c r="M7" i="99"/>
  <c r="M57" i="112"/>
  <c r="M9" i="112"/>
  <c r="M8" i="98"/>
  <c r="M34" i="112"/>
  <c r="M8" i="99"/>
  <c r="M58" i="112"/>
  <c r="M10" i="112"/>
  <c r="M9" i="98"/>
  <c r="M35" i="112"/>
  <c r="M9" i="99"/>
  <c r="M59" i="112"/>
  <c r="M11" i="112"/>
  <c r="M10" i="98"/>
  <c r="M36" i="112"/>
  <c r="M10" i="99"/>
  <c r="M60" i="112"/>
  <c r="M12" i="112"/>
  <c r="M11" i="98"/>
  <c r="M37" i="112"/>
  <c r="M11" i="99"/>
  <c r="M61" i="112"/>
  <c r="M13" i="112"/>
  <c r="M12" i="98"/>
  <c r="M38" i="112"/>
  <c r="M12" i="99"/>
  <c r="M62" i="112"/>
  <c r="M14" i="112"/>
  <c r="M13" i="98"/>
  <c r="M39" i="112"/>
  <c r="M13" i="99"/>
  <c r="M63" i="112"/>
  <c r="M15" i="112"/>
  <c r="M14" i="98"/>
  <c r="M40" i="112"/>
  <c r="M14" i="99"/>
  <c r="M64" i="112"/>
  <c r="M16" i="112"/>
  <c r="M15" i="98"/>
  <c r="M41" i="112"/>
  <c r="M15" i="99"/>
  <c r="M65" i="112"/>
  <c r="M17" i="112"/>
  <c r="M16" i="98"/>
  <c r="M42" i="112"/>
  <c r="M16" i="99"/>
  <c r="M66" i="112"/>
  <c r="M18" i="112"/>
  <c r="M17" i="98"/>
  <c r="M43" i="112"/>
  <c r="M17" i="99"/>
  <c r="M67" i="112"/>
  <c r="M19" i="112"/>
  <c r="M18" i="98"/>
  <c r="M44" i="112"/>
  <c r="M18" i="99"/>
  <c r="M68" i="112"/>
  <c r="M20" i="112"/>
  <c r="M19" i="98"/>
  <c r="M45" i="112"/>
  <c r="M19" i="99"/>
  <c r="M69" i="112"/>
  <c r="M21" i="112"/>
  <c r="M20" i="98"/>
  <c r="M46" i="112"/>
  <c r="M20" i="99"/>
  <c r="M70" i="112"/>
  <c r="M22" i="112"/>
  <c r="M21" i="98"/>
  <c r="M47" i="112"/>
  <c r="M21" i="99"/>
  <c r="M71" i="112"/>
  <c r="M23" i="112"/>
  <c r="M22" i="98"/>
  <c r="M48" i="112"/>
  <c r="M22" i="99"/>
  <c r="M72" i="112"/>
  <c r="M24" i="112"/>
  <c r="M23" i="98"/>
  <c r="M49" i="112"/>
  <c r="M23" i="99"/>
  <c r="M73" i="112"/>
  <c r="M25" i="112"/>
  <c r="M26" i="112"/>
  <c r="R15" i="149"/>
  <c r="N3" i="98"/>
  <c r="N29" i="112"/>
  <c r="N3" i="99"/>
  <c r="N53" i="112"/>
  <c r="N5" i="112"/>
  <c r="N4" i="98"/>
  <c r="N30" i="112"/>
  <c r="N4" i="99"/>
  <c r="N54" i="112"/>
  <c r="N6" i="112"/>
  <c r="N5" i="98"/>
  <c r="N31" i="112"/>
  <c r="N5" i="99"/>
  <c r="N55" i="112"/>
  <c r="N7" i="112"/>
  <c r="N6" i="98"/>
  <c r="N32" i="112"/>
  <c r="N6" i="99"/>
  <c r="N56" i="112"/>
  <c r="N8" i="112"/>
  <c r="N7" i="98"/>
  <c r="N33" i="112"/>
  <c r="N7" i="99"/>
  <c r="N57" i="112"/>
  <c r="N9" i="112"/>
  <c r="N8" i="98"/>
  <c r="N34" i="112"/>
  <c r="N8" i="99"/>
  <c r="N58" i="112"/>
  <c r="N10" i="112"/>
  <c r="N9" i="98"/>
  <c r="N35" i="112"/>
  <c r="N9" i="99"/>
  <c r="N59" i="112"/>
  <c r="N11" i="112"/>
  <c r="N10" i="98"/>
  <c r="N36" i="112"/>
  <c r="N10" i="99"/>
  <c r="N60" i="112"/>
  <c r="N12" i="112"/>
  <c r="N11" i="98"/>
  <c r="N37" i="112"/>
  <c r="N11" i="99"/>
  <c r="N61" i="112"/>
  <c r="N13" i="112"/>
  <c r="N12" i="98"/>
  <c r="N38" i="112"/>
  <c r="N12" i="99"/>
  <c r="N62" i="112"/>
  <c r="N14" i="112"/>
  <c r="N13" i="98"/>
  <c r="N39" i="112"/>
  <c r="N13" i="99"/>
  <c r="N63" i="112"/>
  <c r="N15" i="112"/>
  <c r="N14" i="98"/>
  <c r="N40" i="112"/>
  <c r="N14" i="99"/>
  <c r="N64" i="112"/>
  <c r="N16" i="112"/>
  <c r="N15" i="98"/>
  <c r="N41" i="112"/>
  <c r="N15" i="99"/>
  <c r="N65" i="112"/>
  <c r="N17" i="112"/>
  <c r="N16" i="98"/>
  <c r="N42" i="112"/>
  <c r="N16" i="99"/>
  <c r="N66" i="112"/>
  <c r="N18" i="112"/>
  <c r="N17" i="98"/>
  <c r="N43" i="112"/>
  <c r="N17" i="99"/>
  <c r="N67" i="112"/>
  <c r="N19" i="112"/>
  <c r="N18" i="98"/>
  <c r="N44" i="112"/>
  <c r="N18" i="99"/>
  <c r="N68" i="112"/>
  <c r="N20" i="112"/>
  <c r="N19" i="98"/>
  <c r="N45" i="112"/>
  <c r="N19" i="99"/>
  <c r="N69" i="112"/>
  <c r="N21" i="112"/>
  <c r="N20" i="98"/>
  <c r="N46" i="112"/>
  <c r="N20" i="99"/>
  <c r="N70" i="112"/>
  <c r="N22" i="112"/>
  <c r="N21" i="98"/>
  <c r="N47" i="112"/>
  <c r="N21" i="99"/>
  <c r="N71" i="112"/>
  <c r="N23" i="112"/>
  <c r="N22" i="98"/>
  <c r="N48" i="112"/>
  <c r="N22" i="99"/>
  <c r="N72" i="112"/>
  <c r="N24" i="112"/>
  <c r="N23" i="98"/>
  <c r="N49" i="112"/>
  <c r="N23" i="99"/>
  <c r="N73" i="112"/>
  <c r="N25" i="112"/>
  <c r="N26" i="112"/>
  <c r="R16" i="149"/>
  <c r="O3" i="98"/>
  <c r="O29" i="112"/>
  <c r="O3" i="99"/>
  <c r="O53" i="112"/>
  <c r="O5" i="112"/>
  <c r="O4" i="98"/>
  <c r="O30" i="112"/>
  <c r="O4" i="99"/>
  <c r="O54" i="112"/>
  <c r="O6" i="112"/>
  <c r="O5" i="98"/>
  <c r="O31" i="112"/>
  <c r="O5" i="99"/>
  <c r="O55" i="112"/>
  <c r="O7" i="112"/>
  <c r="O6" i="98"/>
  <c r="O32" i="112"/>
  <c r="O6" i="99"/>
  <c r="O56" i="112"/>
  <c r="O8" i="112"/>
  <c r="O7" i="98"/>
  <c r="O33" i="112"/>
  <c r="O7" i="99"/>
  <c r="O57" i="112"/>
  <c r="O9" i="112"/>
  <c r="O8" i="98"/>
  <c r="O34" i="112"/>
  <c r="O8" i="99"/>
  <c r="O58" i="112"/>
  <c r="O10" i="112"/>
  <c r="O9" i="98"/>
  <c r="O35" i="112"/>
  <c r="O9" i="99"/>
  <c r="O59" i="112"/>
  <c r="O11" i="112"/>
  <c r="O10" i="98"/>
  <c r="O36" i="112"/>
  <c r="O10" i="99"/>
  <c r="O60" i="112"/>
  <c r="O12" i="112"/>
  <c r="O11" i="98"/>
  <c r="O37" i="112"/>
  <c r="O11" i="99"/>
  <c r="O61" i="112"/>
  <c r="O13" i="112"/>
  <c r="O12" i="98"/>
  <c r="O38" i="112"/>
  <c r="O12" i="99"/>
  <c r="O62" i="112"/>
  <c r="O14" i="112"/>
  <c r="O13" i="98"/>
  <c r="O39" i="112"/>
  <c r="O13" i="99"/>
  <c r="O63" i="112"/>
  <c r="O15" i="112"/>
  <c r="O14" i="98"/>
  <c r="O40" i="112"/>
  <c r="O14" i="99"/>
  <c r="O64" i="112"/>
  <c r="O16" i="112"/>
  <c r="O15" i="98"/>
  <c r="O41" i="112"/>
  <c r="O15" i="99"/>
  <c r="O65" i="112"/>
  <c r="O17" i="112"/>
  <c r="O16" i="98"/>
  <c r="O42" i="112"/>
  <c r="O16" i="99"/>
  <c r="O66" i="112"/>
  <c r="O18" i="112"/>
  <c r="O17" i="98"/>
  <c r="O43" i="112"/>
  <c r="O17" i="99"/>
  <c r="O67" i="112"/>
  <c r="O19" i="112"/>
  <c r="O18" i="98"/>
  <c r="O44" i="112"/>
  <c r="O18" i="99"/>
  <c r="O68" i="112"/>
  <c r="O20" i="112"/>
  <c r="O19" i="98"/>
  <c r="O45" i="112"/>
  <c r="O19" i="99"/>
  <c r="O69" i="112"/>
  <c r="O21" i="112"/>
  <c r="O20" i="98"/>
  <c r="O46" i="112"/>
  <c r="O20" i="99"/>
  <c r="O70" i="112"/>
  <c r="O22" i="112"/>
  <c r="O21" i="98"/>
  <c r="O47" i="112"/>
  <c r="O21" i="99"/>
  <c r="O71" i="112"/>
  <c r="O23" i="112"/>
  <c r="O22" i="98"/>
  <c r="O48" i="112"/>
  <c r="O22" i="99"/>
  <c r="O72" i="112"/>
  <c r="O24" i="112"/>
  <c r="O23" i="98"/>
  <c r="O49" i="112"/>
  <c r="O23" i="99"/>
  <c r="O73" i="112"/>
  <c r="O25" i="112"/>
  <c r="O26" i="112"/>
  <c r="R17" i="149"/>
  <c r="P3" i="98"/>
  <c r="P29" i="112"/>
  <c r="P3" i="99"/>
  <c r="P53" i="112"/>
  <c r="P5" i="112"/>
  <c r="P4" i="98"/>
  <c r="P30" i="112"/>
  <c r="P4" i="99"/>
  <c r="P54" i="112"/>
  <c r="P6" i="112"/>
  <c r="P5" i="98"/>
  <c r="P31" i="112"/>
  <c r="P5" i="99"/>
  <c r="P55" i="112"/>
  <c r="P7" i="112"/>
  <c r="P6" i="98"/>
  <c r="P32" i="112"/>
  <c r="P6" i="99"/>
  <c r="P56" i="112"/>
  <c r="P8" i="112"/>
  <c r="P7" i="98"/>
  <c r="P33" i="112"/>
  <c r="P7" i="99"/>
  <c r="P57" i="112"/>
  <c r="P9" i="112"/>
  <c r="P8" i="98"/>
  <c r="P34" i="112"/>
  <c r="P8" i="99"/>
  <c r="P58" i="112"/>
  <c r="P10" i="112"/>
  <c r="P9" i="98"/>
  <c r="P35" i="112"/>
  <c r="P9" i="99"/>
  <c r="P59" i="112"/>
  <c r="P11" i="112"/>
  <c r="P10" i="98"/>
  <c r="P36" i="112"/>
  <c r="P10" i="99"/>
  <c r="P60" i="112"/>
  <c r="P12" i="112"/>
  <c r="P11" i="98"/>
  <c r="P37" i="112"/>
  <c r="P11" i="99"/>
  <c r="P61" i="112"/>
  <c r="P13" i="112"/>
  <c r="P12" i="98"/>
  <c r="P38" i="112"/>
  <c r="P12" i="99"/>
  <c r="P62" i="112"/>
  <c r="P14" i="112"/>
  <c r="P13" i="98"/>
  <c r="P39" i="112"/>
  <c r="P13" i="99"/>
  <c r="P63" i="112"/>
  <c r="P15" i="112"/>
  <c r="P14" i="98"/>
  <c r="P40" i="112"/>
  <c r="P14" i="99"/>
  <c r="P64" i="112"/>
  <c r="P16" i="112"/>
  <c r="P15" i="98"/>
  <c r="P41" i="112"/>
  <c r="P15" i="99"/>
  <c r="P65" i="112"/>
  <c r="P17" i="112"/>
  <c r="P16" i="98"/>
  <c r="P42" i="112"/>
  <c r="P16" i="99"/>
  <c r="P66" i="112"/>
  <c r="P18" i="112"/>
  <c r="P17" i="98"/>
  <c r="P43" i="112"/>
  <c r="P17" i="99"/>
  <c r="P67" i="112"/>
  <c r="P19" i="112"/>
  <c r="P18" i="98"/>
  <c r="P44" i="112"/>
  <c r="P18" i="99"/>
  <c r="P68" i="112"/>
  <c r="P20" i="112"/>
  <c r="P19" i="98"/>
  <c r="P45" i="112"/>
  <c r="P19" i="99"/>
  <c r="P69" i="112"/>
  <c r="P21" i="112"/>
  <c r="P20" i="98"/>
  <c r="P46" i="112"/>
  <c r="P20" i="99"/>
  <c r="P70" i="112"/>
  <c r="P22" i="112"/>
  <c r="P21" i="98"/>
  <c r="P47" i="112"/>
  <c r="P21" i="99"/>
  <c r="P71" i="112"/>
  <c r="P23" i="112"/>
  <c r="P22" i="98"/>
  <c r="P48" i="112"/>
  <c r="P22" i="99"/>
  <c r="P72" i="112"/>
  <c r="P24" i="112"/>
  <c r="P23" i="98"/>
  <c r="P49" i="112"/>
  <c r="P23" i="99"/>
  <c r="P73" i="112"/>
  <c r="P25" i="112"/>
  <c r="P26" i="112"/>
  <c r="R18" i="149"/>
  <c r="Q3" i="98"/>
  <c r="Q29" i="112"/>
  <c r="Q3" i="99"/>
  <c r="Q53" i="112"/>
  <c r="Q5" i="112"/>
  <c r="Q4" i="98"/>
  <c r="Q30" i="112"/>
  <c r="Q4" i="99"/>
  <c r="Q54" i="112"/>
  <c r="Q6" i="112"/>
  <c r="Q5" i="98"/>
  <c r="Q31" i="112"/>
  <c r="Q5" i="99"/>
  <c r="Q55" i="112"/>
  <c r="Q7" i="112"/>
  <c r="Q6" i="98"/>
  <c r="Q32" i="112"/>
  <c r="Q6" i="99"/>
  <c r="Q56" i="112"/>
  <c r="Q8" i="112"/>
  <c r="Q7" i="98"/>
  <c r="Q33" i="112"/>
  <c r="Q7" i="99"/>
  <c r="Q57" i="112"/>
  <c r="Q9" i="112"/>
  <c r="Q8" i="98"/>
  <c r="Q34" i="112"/>
  <c r="Q8" i="99"/>
  <c r="Q58" i="112"/>
  <c r="Q10" i="112"/>
  <c r="Q9" i="98"/>
  <c r="Q35" i="112"/>
  <c r="Q9" i="99"/>
  <c r="Q59" i="112"/>
  <c r="Q11" i="112"/>
  <c r="Q10" i="98"/>
  <c r="Q36" i="112"/>
  <c r="Q10" i="99"/>
  <c r="Q60" i="112"/>
  <c r="Q12" i="112"/>
  <c r="Q11" i="98"/>
  <c r="Q37" i="112"/>
  <c r="Q11" i="99"/>
  <c r="Q61" i="112"/>
  <c r="Q13" i="112"/>
  <c r="Q12" i="98"/>
  <c r="Q38" i="112"/>
  <c r="Q12" i="99"/>
  <c r="Q62" i="112"/>
  <c r="Q14" i="112"/>
  <c r="Q13" i="98"/>
  <c r="Q39" i="112"/>
  <c r="Q13" i="99"/>
  <c r="Q63" i="112"/>
  <c r="Q15" i="112"/>
  <c r="Q14" i="98"/>
  <c r="Q40" i="112"/>
  <c r="Q14" i="99"/>
  <c r="Q64" i="112"/>
  <c r="Q16" i="112"/>
  <c r="Q15" i="98"/>
  <c r="Q41" i="112"/>
  <c r="Q15" i="99"/>
  <c r="Q65" i="112"/>
  <c r="Q17" i="112"/>
  <c r="Q16" i="98"/>
  <c r="Q42" i="112"/>
  <c r="Q16" i="99"/>
  <c r="Q66" i="112"/>
  <c r="Q18" i="112"/>
  <c r="Q17" i="98"/>
  <c r="Q43" i="112"/>
  <c r="Q17" i="99"/>
  <c r="Q67" i="112"/>
  <c r="Q19" i="112"/>
  <c r="Q18" i="98"/>
  <c r="Q44" i="112"/>
  <c r="Q18" i="99"/>
  <c r="Q68" i="112"/>
  <c r="Q20" i="112"/>
  <c r="Q19" i="98"/>
  <c r="Q45" i="112"/>
  <c r="Q19" i="99"/>
  <c r="Q69" i="112"/>
  <c r="Q21" i="112"/>
  <c r="Q20" i="98"/>
  <c r="Q46" i="112"/>
  <c r="Q20" i="99"/>
  <c r="Q70" i="112"/>
  <c r="Q22" i="112"/>
  <c r="Q21" i="98"/>
  <c r="Q47" i="112"/>
  <c r="Q21" i="99"/>
  <c r="Q71" i="112"/>
  <c r="Q23" i="112"/>
  <c r="Q22" i="98"/>
  <c r="Q48" i="112"/>
  <c r="Q22" i="99"/>
  <c r="Q72" i="112"/>
  <c r="Q24" i="112"/>
  <c r="Q23" i="98"/>
  <c r="Q49" i="112"/>
  <c r="Q23" i="99"/>
  <c r="Q73" i="112"/>
  <c r="Q25" i="112"/>
  <c r="Q26" i="112"/>
  <c r="R19" i="149"/>
  <c r="S3" i="98"/>
  <c r="S29" i="112"/>
  <c r="S3" i="99"/>
  <c r="S53" i="112"/>
  <c r="S5" i="112"/>
  <c r="S4" i="98"/>
  <c r="S30" i="112"/>
  <c r="S4" i="99"/>
  <c r="S54" i="112"/>
  <c r="S6" i="112"/>
  <c r="S5" i="98"/>
  <c r="S31" i="112"/>
  <c r="S5" i="99"/>
  <c r="S55" i="112"/>
  <c r="S7" i="112"/>
  <c r="S6" i="98"/>
  <c r="S32" i="112"/>
  <c r="S6" i="99"/>
  <c r="S56" i="112"/>
  <c r="S8" i="112"/>
  <c r="S7" i="98"/>
  <c r="S33" i="112"/>
  <c r="S7" i="99"/>
  <c r="S57" i="112"/>
  <c r="S9" i="112"/>
  <c r="S8" i="98"/>
  <c r="S34" i="112"/>
  <c r="S8" i="99"/>
  <c r="S58" i="112"/>
  <c r="S10" i="112"/>
  <c r="S9" i="98"/>
  <c r="S35" i="112"/>
  <c r="S9" i="99"/>
  <c r="S59" i="112"/>
  <c r="S11" i="112"/>
  <c r="S10" i="98"/>
  <c r="S36" i="112"/>
  <c r="S10" i="99"/>
  <c r="S60" i="112"/>
  <c r="S12" i="112"/>
  <c r="S11" i="98"/>
  <c r="S37" i="112"/>
  <c r="S11" i="99"/>
  <c r="S61" i="112"/>
  <c r="S13" i="112"/>
  <c r="S12" i="98"/>
  <c r="S38" i="112"/>
  <c r="S12" i="99"/>
  <c r="S62" i="112"/>
  <c r="S14" i="112"/>
  <c r="S13" i="98"/>
  <c r="S39" i="112"/>
  <c r="S13" i="99"/>
  <c r="S63" i="112"/>
  <c r="S15" i="112"/>
  <c r="S14" i="98"/>
  <c r="S40" i="112"/>
  <c r="S14" i="99"/>
  <c r="S64" i="112"/>
  <c r="S16" i="112"/>
  <c r="S15" i="98"/>
  <c r="S41" i="112"/>
  <c r="S15" i="99"/>
  <c r="S65" i="112"/>
  <c r="S17" i="112"/>
  <c r="S16" i="98"/>
  <c r="S42" i="112"/>
  <c r="S16" i="99"/>
  <c r="S66" i="112"/>
  <c r="S18" i="112"/>
  <c r="S17" i="98"/>
  <c r="S43" i="112"/>
  <c r="S17" i="99"/>
  <c r="S67" i="112"/>
  <c r="S19" i="112"/>
  <c r="S18" i="98"/>
  <c r="S44" i="112"/>
  <c r="S18" i="99"/>
  <c r="S68" i="112"/>
  <c r="S20" i="112"/>
  <c r="S19" i="98"/>
  <c r="S45" i="112"/>
  <c r="S19" i="99"/>
  <c r="S69" i="112"/>
  <c r="S21" i="112"/>
  <c r="S20" i="98"/>
  <c r="S46" i="112"/>
  <c r="S20" i="99"/>
  <c r="S70" i="112"/>
  <c r="S22" i="112"/>
  <c r="S21" i="98"/>
  <c r="S47" i="112"/>
  <c r="S21" i="99"/>
  <c r="S71" i="112"/>
  <c r="S23" i="112"/>
  <c r="S22" i="98"/>
  <c r="S48" i="112"/>
  <c r="S22" i="99"/>
  <c r="S72" i="112"/>
  <c r="S24" i="112"/>
  <c r="S23" i="98"/>
  <c r="S49" i="112"/>
  <c r="S23" i="99"/>
  <c r="S73" i="112"/>
  <c r="S25" i="112"/>
  <c r="S26" i="112"/>
  <c r="R20" i="149"/>
  <c r="R3" i="98"/>
  <c r="R29" i="112"/>
  <c r="R3" i="99"/>
  <c r="R53" i="112"/>
  <c r="R5" i="112"/>
  <c r="R4" i="98"/>
  <c r="R30" i="112"/>
  <c r="R4" i="99"/>
  <c r="R54" i="112"/>
  <c r="R6" i="112"/>
  <c r="R5" i="98"/>
  <c r="R31" i="112"/>
  <c r="R5" i="99"/>
  <c r="R55" i="112"/>
  <c r="R7" i="112"/>
  <c r="R6" i="98"/>
  <c r="R32" i="112"/>
  <c r="R6" i="99"/>
  <c r="R56" i="112"/>
  <c r="R8" i="112"/>
  <c r="R7" i="98"/>
  <c r="R33" i="112"/>
  <c r="R7" i="99"/>
  <c r="R57" i="112"/>
  <c r="R9" i="112"/>
  <c r="R8" i="98"/>
  <c r="R34" i="112"/>
  <c r="R8" i="99"/>
  <c r="R58" i="112"/>
  <c r="R10" i="112"/>
  <c r="R9" i="98"/>
  <c r="R35" i="112"/>
  <c r="R9" i="99"/>
  <c r="R59" i="112"/>
  <c r="R11" i="112"/>
  <c r="R10" i="98"/>
  <c r="R36" i="112"/>
  <c r="R10" i="99"/>
  <c r="R60" i="112"/>
  <c r="R12" i="112"/>
  <c r="R11" i="98"/>
  <c r="R37" i="112"/>
  <c r="R11" i="99"/>
  <c r="R61" i="112"/>
  <c r="R13" i="112"/>
  <c r="R12" i="98"/>
  <c r="R38" i="112"/>
  <c r="R12" i="99"/>
  <c r="R62" i="112"/>
  <c r="R14" i="112"/>
  <c r="R13" i="98"/>
  <c r="R39" i="112"/>
  <c r="R13" i="99"/>
  <c r="R63" i="112"/>
  <c r="R15" i="112"/>
  <c r="R14" i="98"/>
  <c r="R40" i="112"/>
  <c r="R14" i="99"/>
  <c r="R64" i="112"/>
  <c r="R16" i="112"/>
  <c r="R15" i="98"/>
  <c r="R41" i="112"/>
  <c r="R15" i="99"/>
  <c r="R65" i="112"/>
  <c r="R17" i="112"/>
  <c r="R16" i="98"/>
  <c r="R42" i="112"/>
  <c r="R16" i="99"/>
  <c r="R66" i="112"/>
  <c r="R18" i="112"/>
  <c r="R17" i="98"/>
  <c r="R43" i="112"/>
  <c r="R17" i="99"/>
  <c r="R67" i="112"/>
  <c r="R19" i="112"/>
  <c r="R18" i="98"/>
  <c r="R44" i="112"/>
  <c r="R18" i="99"/>
  <c r="R68" i="112"/>
  <c r="R20" i="112"/>
  <c r="R19" i="98"/>
  <c r="R45" i="112"/>
  <c r="R19" i="99"/>
  <c r="R69" i="112"/>
  <c r="R21" i="112"/>
  <c r="R20" i="98"/>
  <c r="R46" i="112"/>
  <c r="R20" i="99"/>
  <c r="R70" i="112"/>
  <c r="R22" i="112"/>
  <c r="R21" i="98"/>
  <c r="R47" i="112"/>
  <c r="R21" i="99"/>
  <c r="R71" i="112"/>
  <c r="R23" i="112"/>
  <c r="R22" i="98"/>
  <c r="R48" i="112"/>
  <c r="R22" i="99"/>
  <c r="R72" i="112"/>
  <c r="R24" i="112"/>
  <c r="R23" i="98"/>
  <c r="R49" i="112"/>
  <c r="R23" i="99"/>
  <c r="R73" i="112"/>
  <c r="R25" i="112"/>
  <c r="R26" i="112"/>
  <c r="R21" i="149"/>
  <c r="R25" i="149"/>
  <c r="B3" i="75"/>
  <c r="B22" i="48"/>
  <c r="B3" i="74"/>
  <c r="B41" i="48"/>
  <c r="B3" i="48"/>
  <c r="C3" i="75"/>
  <c r="C22" i="48"/>
  <c r="C3" i="74"/>
  <c r="C41" i="48"/>
  <c r="C3" i="48"/>
  <c r="D3" i="75"/>
  <c r="D22" i="48"/>
  <c r="D3" i="74"/>
  <c r="D41" i="48"/>
  <c r="D3" i="48"/>
  <c r="E3" i="75"/>
  <c r="E22" i="48"/>
  <c r="E3" i="74"/>
  <c r="E41" i="48"/>
  <c r="E3" i="48"/>
  <c r="F3" i="75"/>
  <c r="F22" i="48"/>
  <c r="F3" i="74"/>
  <c r="F41" i="48"/>
  <c r="F3" i="48"/>
  <c r="G3" i="75"/>
  <c r="G22" i="48"/>
  <c r="G3" i="74"/>
  <c r="G41" i="48"/>
  <c r="G3" i="48"/>
  <c r="H3" i="75"/>
  <c r="H22" i="48"/>
  <c r="H3" i="74"/>
  <c r="H41" i="48"/>
  <c r="H3" i="48"/>
  <c r="I3" i="75"/>
  <c r="I22" i="48"/>
  <c r="I3" i="74"/>
  <c r="I41" i="48"/>
  <c r="I3" i="48"/>
  <c r="J3" i="75"/>
  <c r="J22" i="48"/>
  <c r="J3" i="74"/>
  <c r="J41" i="48"/>
  <c r="J3" i="48"/>
  <c r="K3" i="75"/>
  <c r="K22" i="48"/>
  <c r="K3" i="74"/>
  <c r="K41" i="48"/>
  <c r="K3" i="48"/>
  <c r="L3" i="75"/>
  <c r="L22" i="48"/>
  <c r="L3" i="74"/>
  <c r="L41" i="48"/>
  <c r="L3" i="48"/>
  <c r="M3" i="75"/>
  <c r="M22" i="48"/>
  <c r="M3" i="74"/>
  <c r="M41" i="48"/>
  <c r="M3" i="48"/>
  <c r="N3" i="75"/>
  <c r="N22" i="48"/>
  <c r="N3" i="74"/>
  <c r="N41" i="48"/>
  <c r="N3" i="48"/>
  <c r="O3" i="75"/>
  <c r="O22" i="48"/>
  <c r="O3" i="74"/>
  <c r="O41" i="48"/>
  <c r="O3" i="48"/>
  <c r="P3" i="75"/>
  <c r="P22" i="48"/>
  <c r="P3" i="74"/>
  <c r="P41" i="48"/>
  <c r="P3" i="48"/>
  <c r="Q3" i="75"/>
  <c r="Q22" i="48"/>
  <c r="Q3" i="74"/>
  <c r="Q41" i="48"/>
  <c r="Q3" i="48"/>
  <c r="R3" i="75"/>
  <c r="R22" i="48"/>
  <c r="R3" i="74"/>
  <c r="R41" i="48"/>
  <c r="R3" i="48"/>
  <c r="S3" i="75"/>
  <c r="S22" i="48"/>
  <c r="S3" i="74"/>
  <c r="S41" i="48"/>
  <c r="S3" i="48"/>
  <c r="T3" i="75"/>
  <c r="T22" i="48"/>
  <c r="T3" i="74"/>
  <c r="T41" i="48"/>
  <c r="T3" i="48"/>
  <c r="U3" i="75"/>
  <c r="U22" i="48"/>
  <c r="U3" i="74"/>
  <c r="U41" i="48"/>
  <c r="U3" i="48"/>
  <c r="V3" i="75"/>
  <c r="V22" i="48"/>
  <c r="V3" i="74"/>
  <c r="V41" i="48"/>
  <c r="V3" i="48"/>
  <c r="W3" i="48"/>
  <c r="J5" i="149"/>
  <c r="B4" i="75"/>
  <c r="B23" i="48"/>
  <c r="B4" i="74"/>
  <c r="B42" i="48"/>
  <c r="B4" i="48"/>
  <c r="C4" i="75"/>
  <c r="C23" i="48"/>
  <c r="C4" i="74"/>
  <c r="C42" i="48"/>
  <c r="C4" i="48"/>
  <c r="D4" i="75"/>
  <c r="D23" i="48"/>
  <c r="D4" i="74"/>
  <c r="D42" i="48"/>
  <c r="D4" i="48"/>
  <c r="E4" i="75"/>
  <c r="E23" i="48"/>
  <c r="E4" i="74"/>
  <c r="E42" i="48"/>
  <c r="E4" i="48"/>
  <c r="F4" i="75"/>
  <c r="F23" i="48"/>
  <c r="F4" i="74"/>
  <c r="F42" i="48"/>
  <c r="F4" i="48"/>
  <c r="G4" i="75"/>
  <c r="G23" i="48"/>
  <c r="G4" i="74"/>
  <c r="G42" i="48"/>
  <c r="G4" i="48"/>
  <c r="H4" i="75"/>
  <c r="H23" i="48"/>
  <c r="H4" i="74"/>
  <c r="H42" i="48"/>
  <c r="H4" i="48"/>
  <c r="I4" i="75"/>
  <c r="I23" i="48"/>
  <c r="I4" i="74"/>
  <c r="I42" i="48"/>
  <c r="I4" i="48"/>
  <c r="J4" i="75"/>
  <c r="J23" i="48"/>
  <c r="J4" i="74"/>
  <c r="J42" i="48"/>
  <c r="J4" i="48"/>
  <c r="K4" i="75"/>
  <c r="K23" i="48"/>
  <c r="K4" i="74"/>
  <c r="K42" i="48"/>
  <c r="K4" i="48"/>
  <c r="L4" i="75"/>
  <c r="L23" i="48"/>
  <c r="L4" i="74"/>
  <c r="L42" i="48"/>
  <c r="L4" i="48"/>
  <c r="M4" i="75"/>
  <c r="M23" i="48"/>
  <c r="M4" i="74"/>
  <c r="M42" i="48"/>
  <c r="M4" i="48"/>
  <c r="N4" i="75"/>
  <c r="N23" i="48"/>
  <c r="N4" i="74"/>
  <c r="N42" i="48"/>
  <c r="N4" i="48"/>
  <c r="O4" i="75"/>
  <c r="O23" i="48"/>
  <c r="O4" i="74"/>
  <c r="O42" i="48"/>
  <c r="O4" i="48"/>
  <c r="P4" i="75"/>
  <c r="P23" i="48"/>
  <c r="P4" i="74"/>
  <c r="P42" i="48"/>
  <c r="P4" i="48"/>
  <c r="Q4" i="75"/>
  <c r="Q23" i="48"/>
  <c r="Q4" i="74"/>
  <c r="Q42" i="48"/>
  <c r="Q4" i="48"/>
  <c r="R4" i="75"/>
  <c r="R23" i="48"/>
  <c r="R4" i="74"/>
  <c r="R42" i="48"/>
  <c r="R4" i="48"/>
  <c r="S4" i="75"/>
  <c r="S23" i="48"/>
  <c r="S4" i="74"/>
  <c r="S42" i="48"/>
  <c r="S4" i="48"/>
  <c r="T4" i="75"/>
  <c r="T23" i="48"/>
  <c r="T4" i="74"/>
  <c r="T42" i="48"/>
  <c r="T4" i="48"/>
  <c r="U4" i="75"/>
  <c r="U23" i="48"/>
  <c r="U4" i="74"/>
  <c r="U42" i="48"/>
  <c r="U4" i="48"/>
  <c r="V4" i="75"/>
  <c r="V23" i="48"/>
  <c r="V4" i="74"/>
  <c r="V42" i="48"/>
  <c r="V4" i="48"/>
  <c r="W4" i="48"/>
  <c r="J6" i="149"/>
  <c r="B5" i="75"/>
  <c r="B24" i="48"/>
  <c r="B5" i="74"/>
  <c r="B43" i="48"/>
  <c r="B5" i="48"/>
  <c r="C5" i="75"/>
  <c r="C24" i="48"/>
  <c r="C5" i="74"/>
  <c r="C43" i="48"/>
  <c r="C5" i="48"/>
  <c r="D5" i="75"/>
  <c r="D24" i="48"/>
  <c r="D5" i="74"/>
  <c r="D43" i="48"/>
  <c r="D5" i="48"/>
  <c r="E5" i="75"/>
  <c r="E24" i="48"/>
  <c r="E5" i="74"/>
  <c r="E43" i="48"/>
  <c r="E5" i="48"/>
  <c r="F5" i="75"/>
  <c r="F24" i="48"/>
  <c r="F5" i="74"/>
  <c r="F43" i="48"/>
  <c r="F5" i="48"/>
  <c r="G5" i="75"/>
  <c r="G24" i="48"/>
  <c r="G5" i="74"/>
  <c r="G43" i="48"/>
  <c r="G5" i="48"/>
  <c r="H5" i="75"/>
  <c r="H24" i="48"/>
  <c r="H5" i="74"/>
  <c r="H43" i="48"/>
  <c r="H5" i="48"/>
  <c r="I5" i="75"/>
  <c r="I24" i="48"/>
  <c r="I5" i="74"/>
  <c r="I43" i="48"/>
  <c r="I5" i="48"/>
  <c r="J5" i="75"/>
  <c r="J24" i="48"/>
  <c r="J5" i="74"/>
  <c r="J43" i="48"/>
  <c r="J5" i="48"/>
  <c r="K5" i="75"/>
  <c r="K24" i="48"/>
  <c r="K5" i="74"/>
  <c r="K43" i="48"/>
  <c r="K5" i="48"/>
  <c r="L5" i="75"/>
  <c r="L24" i="48"/>
  <c r="L5" i="74"/>
  <c r="L43" i="48"/>
  <c r="L5" i="48"/>
  <c r="M5" i="75"/>
  <c r="M24" i="48"/>
  <c r="M5" i="74"/>
  <c r="M43" i="48"/>
  <c r="M5" i="48"/>
  <c r="N5" i="75"/>
  <c r="N24" i="48"/>
  <c r="N5" i="74"/>
  <c r="N43" i="48"/>
  <c r="N5" i="48"/>
  <c r="O5" i="75"/>
  <c r="O24" i="48"/>
  <c r="O5" i="74"/>
  <c r="O43" i="48"/>
  <c r="O5" i="48"/>
  <c r="P5" i="75"/>
  <c r="P24" i="48"/>
  <c r="P5" i="74"/>
  <c r="P43" i="48"/>
  <c r="P5" i="48"/>
  <c r="Q5" i="75"/>
  <c r="Q24" i="48"/>
  <c r="Q5" i="74"/>
  <c r="Q43" i="48"/>
  <c r="Q5" i="48"/>
  <c r="R5" i="75"/>
  <c r="R24" i="48"/>
  <c r="R5" i="74"/>
  <c r="R43" i="48"/>
  <c r="R5" i="48"/>
  <c r="S5" i="75"/>
  <c r="S24" i="48"/>
  <c r="S5" i="74"/>
  <c r="S43" i="48"/>
  <c r="S5" i="48"/>
  <c r="T5" i="75"/>
  <c r="T24" i="48"/>
  <c r="T5" i="74"/>
  <c r="T43" i="48"/>
  <c r="T5" i="48"/>
  <c r="U5" i="75"/>
  <c r="U24" i="48"/>
  <c r="U5" i="74"/>
  <c r="U43" i="48"/>
  <c r="U5" i="48"/>
  <c r="V5" i="75"/>
  <c r="V24" i="48"/>
  <c r="V5" i="74"/>
  <c r="V43" i="48"/>
  <c r="V5" i="48"/>
  <c r="W5" i="48"/>
  <c r="J7" i="149"/>
  <c r="B6" i="75"/>
  <c r="B25" i="48"/>
  <c r="B6" i="74"/>
  <c r="B44" i="48"/>
  <c r="B6" i="48"/>
  <c r="C6" i="75"/>
  <c r="C25" i="48"/>
  <c r="C6" i="74"/>
  <c r="C44" i="48"/>
  <c r="C6" i="48"/>
  <c r="D6" i="75"/>
  <c r="D25" i="48"/>
  <c r="D6" i="74"/>
  <c r="D44" i="48"/>
  <c r="D6" i="48"/>
  <c r="E6" i="75"/>
  <c r="E25" i="48"/>
  <c r="E6" i="74"/>
  <c r="E44" i="48"/>
  <c r="E6" i="48"/>
  <c r="F6" i="75"/>
  <c r="F25" i="48"/>
  <c r="F6" i="74"/>
  <c r="F44" i="48"/>
  <c r="F6" i="48"/>
  <c r="G6" i="75"/>
  <c r="G25" i="48"/>
  <c r="G6" i="74"/>
  <c r="G44" i="48"/>
  <c r="G6" i="48"/>
  <c r="H6" i="75"/>
  <c r="H25" i="48"/>
  <c r="H6" i="74"/>
  <c r="H44" i="48"/>
  <c r="H6" i="48"/>
  <c r="I6" i="75"/>
  <c r="I25" i="48"/>
  <c r="I6" i="74"/>
  <c r="I44" i="48"/>
  <c r="I6" i="48"/>
  <c r="J6" i="75"/>
  <c r="J25" i="48"/>
  <c r="J6" i="74"/>
  <c r="J44" i="48"/>
  <c r="J6" i="48"/>
  <c r="K6" i="75"/>
  <c r="K25" i="48"/>
  <c r="K6" i="74"/>
  <c r="K44" i="48"/>
  <c r="K6" i="48"/>
  <c r="L6" i="75"/>
  <c r="L25" i="48"/>
  <c r="L6" i="74"/>
  <c r="L44" i="48"/>
  <c r="L6" i="48"/>
  <c r="M6" i="75"/>
  <c r="M25" i="48"/>
  <c r="M6" i="74"/>
  <c r="M44" i="48"/>
  <c r="M6" i="48"/>
  <c r="N6" i="75"/>
  <c r="N25" i="48"/>
  <c r="N6" i="74"/>
  <c r="N44" i="48"/>
  <c r="N6" i="48"/>
  <c r="O6" i="75"/>
  <c r="O25" i="48"/>
  <c r="O6" i="74"/>
  <c r="O44" i="48"/>
  <c r="O6" i="48"/>
  <c r="P6" i="75"/>
  <c r="P25" i="48"/>
  <c r="P6" i="74"/>
  <c r="P44" i="48"/>
  <c r="P6" i="48"/>
  <c r="Q6" i="75"/>
  <c r="Q25" i="48"/>
  <c r="Q6" i="74"/>
  <c r="Q44" i="48"/>
  <c r="Q6" i="48"/>
  <c r="R6" i="75"/>
  <c r="R25" i="48"/>
  <c r="R6" i="74"/>
  <c r="R44" i="48"/>
  <c r="R6" i="48"/>
  <c r="S6" i="75"/>
  <c r="S25" i="48"/>
  <c r="S6" i="74"/>
  <c r="S44" i="48"/>
  <c r="S6" i="48"/>
  <c r="T6" i="75"/>
  <c r="T25" i="48"/>
  <c r="T6" i="74"/>
  <c r="T44" i="48"/>
  <c r="T6" i="48"/>
  <c r="U6" i="75"/>
  <c r="U25" i="48"/>
  <c r="U6" i="74"/>
  <c r="U44" i="48"/>
  <c r="U6" i="48"/>
  <c r="V6" i="75"/>
  <c r="V25" i="48"/>
  <c r="V6" i="74"/>
  <c r="V44" i="48"/>
  <c r="V6" i="48"/>
  <c r="W6" i="48"/>
  <c r="J8" i="149"/>
  <c r="B7" i="75"/>
  <c r="B26" i="48"/>
  <c r="B7" i="74"/>
  <c r="B45" i="48"/>
  <c r="B7" i="48"/>
  <c r="C7" i="75"/>
  <c r="C26" i="48"/>
  <c r="C7" i="74"/>
  <c r="C45" i="48"/>
  <c r="C7" i="48"/>
  <c r="D7" i="75"/>
  <c r="D26" i="48"/>
  <c r="D7" i="74"/>
  <c r="D45" i="48"/>
  <c r="D7" i="48"/>
  <c r="E7" i="75"/>
  <c r="E26" i="48"/>
  <c r="E7" i="74"/>
  <c r="E45" i="48"/>
  <c r="E7" i="48"/>
  <c r="F7" i="75"/>
  <c r="F26" i="48"/>
  <c r="F7" i="74"/>
  <c r="F45" i="48"/>
  <c r="F7" i="48"/>
  <c r="G7" i="75"/>
  <c r="G26" i="48"/>
  <c r="G7" i="74"/>
  <c r="G45" i="48"/>
  <c r="G7" i="48"/>
  <c r="H7" i="75"/>
  <c r="H26" i="48"/>
  <c r="H7" i="74"/>
  <c r="H45" i="48"/>
  <c r="H7" i="48"/>
  <c r="I7" i="75"/>
  <c r="I26" i="48"/>
  <c r="I7" i="74"/>
  <c r="I45" i="48"/>
  <c r="I7" i="48"/>
  <c r="J7" i="75"/>
  <c r="J26" i="48"/>
  <c r="J7" i="74"/>
  <c r="J45" i="48"/>
  <c r="J7" i="48"/>
  <c r="K7" i="75"/>
  <c r="K26" i="48"/>
  <c r="K7" i="74"/>
  <c r="K45" i="48"/>
  <c r="K7" i="48"/>
  <c r="L7" i="75"/>
  <c r="L26" i="48"/>
  <c r="L7" i="74"/>
  <c r="L45" i="48"/>
  <c r="L7" i="48"/>
  <c r="M7" i="75"/>
  <c r="M26" i="48"/>
  <c r="M7" i="74"/>
  <c r="M45" i="48"/>
  <c r="M7" i="48"/>
  <c r="N7" i="75"/>
  <c r="N26" i="48"/>
  <c r="N7" i="74"/>
  <c r="N45" i="48"/>
  <c r="N7" i="48"/>
  <c r="O7" i="75"/>
  <c r="O26" i="48"/>
  <c r="O7" i="74"/>
  <c r="O45" i="48"/>
  <c r="O7" i="48"/>
  <c r="P7" i="75"/>
  <c r="P26" i="48"/>
  <c r="P7" i="74"/>
  <c r="P45" i="48"/>
  <c r="P7" i="48"/>
  <c r="Q7" i="75"/>
  <c r="Q26" i="48"/>
  <c r="Q7" i="74"/>
  <c r="Q45" i="48"/>
  <c r="Q7" i="48"/>
  <c r="R7" i="75"/>
  <c r="R26" i="48"/>
  <c r="R7" i="74"/>
  <c r="R45" i="48"/>
  <c r="R7" i="48"/>
  <c r="S7" i="75"/>
  <c r="S26" i="48"/>
  <c r="S7" i="74"/>
  <c r="S45" i="48"/>
  <c r="S7" i="48"/>
  <c r="T7" i="75"/>
  <c r="T26" i="48"/>
  <c r="T7" i="74"/>
  <c r="T45" i="48"/>
  <c r="T7" i="48"/>
  <c r="U7" i="75"/>
  <c r="U26" i="48"/>
  <c r="U7" i="74"/>
  <c r="U45" i="48"/>
  <c r="U7" i="48"/>
  <c r="V7" i="75"/>
  <c r="V26" i="48"/>
  <c r="V7" i="74"/>
  <c r="V45" i="48"/>
  <c r="V7" i="48"/>
  <c r="W7" i="48"/>
  <c r="J9" i="149"/>
  <c r="B8" i="75"/>
  <c r="B27" i="48"/>
  <c r="B8" i="74"/>
  <c r="B46" i="48"/>
  <c r="B8" i="48"/>
  <c r="C8" i="75"/>
  <c r="C27" i="48"/>
  <c r="C8" i="74"/>
  <c r="C46" i="48"/>
  <c r="C8" i="48"/>
  <c r="D8" i="75"/>
  <c r="D27" i="48"/>
  <c r="D8" i="74"/>
  <c r="D46" i="48"/>
  <c r="D8" i="48"/>
  <c r="E8" i="75"/>
  <c r="E27" i="48"/>
  <c r="E8" i="74"/>
  <c r="E46" i="48"/>
  <c r="E8" i="48"/>
  <c r="F8" i="75"/>
  <c r="F27" i="48"/>
  <c r="F8" i="74"/>
  <c r="F46" i="48"/>
  <c r="F8" i="48"/>
  <c r="G8" i="75"/>
  <c r="G27" i="48"/>
  <c r="G8" i="74"/>
  <c r="G46" i="48"/>
  <c r="G8" i="48"/>
  <c r="H8" i="75"/>
  <c r="H27" i="48"/>
  <c r="H8" i="74"/>
  <c r="H46" i="48"/>
  <c r="H8" i="48"/>
  <c r="I8" i="75"/>
  <c r="I27" i="48"/>
  <c r="I8" i="74"/>
  <c r="I46" i="48"/>
  <c r="I8" i="48"/>
  <c r="J8" i="75"/>
  <c r="J27" i="48"/>
  <c r="J8" i="74"/>
  <c r="J46" i="48"/>
  <c r="J8" i="48"/>
  <c r="K8" i="75"/>
  <c r="K27" i="48"/>
  <c r="K8" i="74"/>
  <c r="K46" i="48"/>
  <c r="K8" i="48"/>
  <c r="L8" i="75"/>
  <c r="L27" i="48"/>
  <c r="L8" i="74"/>
  <c r="L46" i="48"/>
  <c r="L8" i="48"/>
  <c r="M8" i="75"/>
  <c r="M27" i="48"/>
  <c r="M8" i="74"/>
  <c r="M46" i="48"/>
  <c r="M8" i="48"/>
  <c r="N8" i="75"/>
  <c r="N27" i="48"/>
  <c r="N8" i="74"/>
  <c r="N46" i="48"/>
  <c r="N8" i="48"/>
  <c r="O8" i="75"/>
  <c r="O27" i="48"/>
  <c r="O8" i="74"/>
  <c r="O46" i="48"/>
  <c r="O8" i="48"/>
  <c r="P8" i="75"/>
  <c r="P27" i="48"/>
  <c r="P8" i="74"/>
  <c r="P46" i="48"/>
  <c r="P8" i="48"/>
  <c r="Q8" i="75"/>
  <c r="Q27" i="48"/>
  <c r="Q8" i="74"/>
  <c r="Q46" i="48"/>
  <c r="Q8" i="48"/>
  <c r="R8" i="75"/>
  <c r="R27" i="48"/>
  <c r="R8" i="74"/>
  <c r="R46" i="48"/>
  <c r="R8" i="48"/>
  <c r="S8" i="75"/>
  <c r="S27" i="48"/>
  <c r="S8" i="74"/>
  <c r="S46" i="48"/>
  <c r="S8" i="48"/>
  <c r="T8" i="75"/>
  <c r="T27" i="48"/>
  <c r="T8" i="74"/>
  <c r="T46" i="48"/>
  <c r="T8" i="48"/>
  <c r="U8" i="75"/>
  <c r="U27" i="48"/>
  <c r="U8" i="74"/>
  <c r="U46" i="48"/>
  <c r="U8" i="48"/>
  <c r="V8" i="75"/>
  <c r="V27" i="48"/>
  <c r="V8" i="74"/>
  <c r="V46" i="48"/>
  <c r="V8" i="48"/>
  <c r="W8" i="48"/>
  <c r="J10" i="149"/>
  <c r="B9" i="75"/>
  <c r="B28" i="48"/>
  <c r="B9" i="74"/>
  <c r="B47" i="48"/>
  <c r="B9" i="48"/>
  <c r="C9" i="75"/>
  <c r="C28" i="48"/>
  <c r="C9" i="74"/>
  <c r="C47" i="48"/>
  <c r="C9" i="48"/>
  <c r="D9" i="75"/>
  <c r="D28" i="48"/>
  <c r="D9" i="74"/>
  <c r="D47" i="48"/>
  <c r="D9" i="48"/>
  <c r="E9" i="75"/>
  <c r="E28" i="48"/>
  <c r="E9" i="74"/>
  <c r="E47" i="48"/>
  <c r="E9" i="48"/>
  <c r="F9" i="75"/>
  <c r="F28" i="48"/>
  <c r="F9" i="74"/>
  <c r="F47" i="48"/>
  <c r="F9" i="48"/>
  <c r="G9" i="75"/>
  <c r="G28" i="48"/>
  <c r="G9" i="74"/>
  <c r="G47" i="48"/>
  <c r="G9" i="48"/>
  <c r="H9" i="75"/>
  <c r="H28" i="48"/>
  <c r="H9" i="74"/>
  <c r="H47" i="48"/>
  <c r="H9" i="48"/>
  <c r="I9" i="75"/>
  <c r="I28" i="48"/>
  <c r="I9" i="74"/>
  <c r="I47" i="48"/>
  <c r="I9" i="48"/>
  <c r="J9" i="75"/>
  <c r="J28" i="48"/>
  <c r="J9" i="74"/>
  <c r="J47" i="48"/>
  <c r="J9" i="48"/>
  <c r="K9" i="75"/>
  <c r="K28" i="48"/>
  <c r="K9" i="74"/>
  <c r="K47" i="48"/>
  <c r="K9" i="48"/>
  <c r="L9" i="75"/>
  <c r="L28" i="48"/>
  <c r="L9" i="74"/>
  <c r="L47" i="48"/>
  <c r="L9" i="48"/>
  <c r="M9" i="75"/>
  <c r="M28" i="48"/>
  <c r="M9" i="74"/>
  <c r="M47" i="48"/>
  <c r="M9" i="48"/>
  <c r="N9" i="75"/>
  <c r="N28" i="48"/>
  <c r="N9" i="74"/>
  <c r="N47" i="48"/>
  <c r="N9" i="48"/>
  <c r="O9" i="75"/>
  <c r="O28" i="48"/>
  <c r="O9" i="74"/>
  <c r="O47" i="48"/>
  <c r="O9" i="48"/>
  <c r="P9" i="75"/>
  <c r="P28" i="48"/>
  <c r="P9" i="74"/>
  <c r="P47" i="48"/>
  <c r="P9" i="48"/>
  <c r="Q9" i="75"/>
  <c r="Q28" i="48"/>
  <c r="Q9" i="74"/>
  <c r="Q47" i="48"/>
  <c r="Q9" i="48"/>
  <c r="R9" i="75"/>
  <c r="R28" i="48"/>
  <c r="R9" i="74"/>
  <c r="R47" i="48"/>
  <c r="R9" i="48"/>
  <c r="S9" i="75"/>
  <c r="S28" i="48"/>
  <c r="S9" i="74"/>
  <c r="S47" i="48"/>
  <c r="S9" i="48"/>
  <c r="T9" i="75"/>
  <c r="T28" i="48"/>
  <c r="T9" i="74"/>
  <c r="T47" i="48"/>
  <c r="T9" i="48"/>
  <c r="U9" i="75"/>
  <c r="U28" i="48"/>
  <c r="U9" i="74"/>
  <c r="U47" i="48"/>
  <c r="U9" i="48"/>
  <c r="V9" i="75"/>
  <c r="V28" i="48"/>
  <c r="V9" i="74"/>
  <c r="V47" i="48"/>
  <c r="V9" i="48"/>
  <c r="W9" i="48"/>
  <c r="J11" i="149"/>
  <c r="B10" i="75"/>
  <c r="B29" i="48"/>
  <c r="B10" i="74"/>
  <c r="B48" i="48"/>
  <c r="B10" i="48"/>
  <c r="C10" i="75"/>
  <c r="C29" i="48"/>
  <c r="C10" i="74"/>
  <c r="C48" i="48"/>
  <c r="C10" i="48"/>
  <c r="D10" i="75"/>
  <c r="D29" i="48"/>
  <c r="D10" i="74"/>
  <c r="D48" i="48"/>
  <c r="D10" i="48"/>
  <c r="E10" i="75"/>
  <c r="E29" i="48"/>
  <c r="E10" i="74"/>
  <c r="E48" i="48"/>
  <c r="E10" i="48"/>
  <c r="F10" i="75"/>
  <c r="F29" i="48"/>
  <c r="F10" i="74"/>
  <c r="F48" i="48"/>
  <c r="F10" i="48"/>
  <c r="G10" i="75"/>
  <c r="G29" i="48"/>
  <c r="G10" i="74"/>
  <c r="G48" i="48"/>
  <c r="G10" i="48"/>
  <c r="H10" i="75"/>
  <c r="H29" i="48"/>
  <c r="H10" i="74"/>
  <c r="H48" i="48"/>
  <c r="H10" i="48"/>
  <c r="I10" i="75"/>
  <c r="I29" i="48"/>
  <c r="I10" i="74"/>
  <c r="I48" i="48"/>
  <c r="I10" i="48"/>
  <c r="J10" i="75"/>
  <c r="J29" i="48"/>
  <c r="J10" i="74"/>
  <c r="J48" i="48"/>
  <c r="J10" i="48"/>
  <c r="K10" i="75"/>
  <c r="K29" i="48"/>
  <c r="K10" i="74"/>
  <c r="K48" i="48"/>
  <c r="K10" i="48"/>
  <c r="L10" i="75"/>
  <c r="L29" i="48"/>
  <c r="L10" i="74"/>
  <c r="L48" i="48"/>
  <c r="L10" i="48"/>
  <c r="M10" i="75"/>
  <c r="M29" i="48"/>
  <c r="M10" i="74"/>
  <c r="M48" i="48"/>
  <c r="M10" i="48"/>
  <c r="N10" i="75"/>
  <c r="N29" i="48"/>
  <c r="N10" i="74"/>
  <c r="N48" i="48"/>
  <c r="N10" i="48"/>
  <c r="O10" i="75"/>
  <c r="O29" i="48"/>
  <c r="O10" i="74"/>
  <c r="O48" i="48"/>
  <c r="O10" i="48"/>
  <c r="P10" i="75"/>
  <c r="P29" i="48"/>
  <c r="P10" i="74"/>
  <c r="P48" i="48"/>
  <c r="P10" i="48"/>
  <c r="Q10" i="75"/>
  <c r="Q29" i="48"/>
  <c r="Q10" i="74"/>
  <c r="Q48" i="48"/>
  <c r="Q10" i="48"/>
  <c r="R10" i="75"/>
  <c r="R29" i="48"/>
  <c r="R10" i="74"/>
  <c r="R48" i="48"/>
  <c r="R10" i="48"/>
  <c r="S10" i="75"/>
  <c r="S29" i="48"/>
  <c r="S10" i="74"/>
  <c r="S48" i="48"/>
  <c r="S10" i="48"/>
  <c r="T10" i="75"/>
  <c r="T29" i="48"/>
  <c r="T10" i="74"/>
  <c r="T48" i="48"/>
  <c r="T10" i="48"/>
  <c r="U10" i="75"/>
  <c r="U29" i="48"/>
  <c r="U10" i="74"/>
  <c r="U48" i="48"/>
  <c r="U10" i="48"/>
  <c r="V10" i="75"/>
  <c r="V29" i="48"/>
  <c r="V10" i="74"/>
  <c r="V48" i="48"/>
  <c r="V10" i="48"/>
  <c r="W10" i="48"/>
  <c r="J12" i="149"/>
  <c r="B11" i="75"/>
  <c r="B30" i="48"/>
  <c r="B11" i="74"/>
  <c r="B49" i="48"/>
  <c r="B11" i="48"/>
  <c r="C11" i="75"/>
  <c r="C30" i="48"/>
  <c r="C11" i="74"/>
  <c r="C49" i="48"/>
  <c r="C11" i="48"/>
  <c r="D11" i="75"/>
  <c r="D30" i="48"/>
  <c r="D11" i="74"/>
  <c r="D49" i="48"/>
  <c r="D11" i="48"/>
  <c r="E11" i="75"/>
  <c r="E30" i="48"/>
  <c r="E11" i="74"/>
  <c r="E49" i="48"/>
  <c r="E11" i="48"/>
  <c r="F11" i="75"/>
  <c r="F30" i="48"/>
  <c r="F11" i="74"/>
  <c r="F49" i="48"/>
  <c r="F11" i="48"/>
  <c r="G11" i="75"/>
  <c r="G30" i="48"/>
  <c r="G11" i="74"/>
  <c r="G49" i="48"/>
  <c r="G11" i="48"/>
  <c r="H11" i="75"/>
  <c r="H30" i="48"/>
  <c r="H11" i="74"/>
  <c r="H49" i="48"/>
  <c r="H11" i="48"/>
  <c r="I11" i="75"/>
  <c r="I30" i="48"/>
  <c r="I11" i="74"/>
  <c r="I49" i="48"/>
  <c r="I11" i="48"/>
  <c r="J11" i="75"/>
  <c r="J30" i="48"/>
  <c r="J11" i="74"/>
  <c r="J49" i="48"/>
  <c r="J11" i="48"/>
  <c r="K11" i="75"/>
  <c r="K30" i="48"/>
  <c r="K11" i="74"/>
  <c r="K49" i="48"/>
  <c r="K11" i="48"/>
  <c r="L11" i="75"/>
  <c r="L30" i="48"/>
  <c r="L11" i="74"/>
  <c r="L49" i="48"/>
  <c r="L11" i="48"/>
  <c r="M11" i="75"/>
  <c r="M30" i="48"/>
  <c r="M11" i="74"/>
  <c r="M49" i="48"/>
  <c r="M11" i="48"/>
  <c r="N11" i="75"/>
  <c r="N30" i="48"/>
  <c r="N11" i="74"/>
  <c r="N49" i="48"/>
  <c r="N11" i="48"/>
  <c r="O11" i="75"/>
  <c r="O30" i="48"/>
  <c r="O11" i="74"/>
  <c r="O49" i="48"/>
  <c r="O11" i="48"/>
  <c r="P11" i="75"/>
  <c r="P30" i="48"/>
  <c r="P11" i="74"/>
  <c r="P49" i="48"/>
  <c r="P11" i="48"/>
  <c r="Q11" i="75"/>
  <c r="Q30" i="48"/>
  <c r="Q11" i="74"/>
  <c r="Q49" i="48"/>
  <c r="Q11" i="48"/>
  <c r="R11" i="75"/>
  <c r="R30" i="48"/>
  <c r="R11" i="74"/>
  <c r="R49" i="48"/>
  <c r="R11" i="48"/>
  <c r="S11" i="75"/>
  <c r="S30" i="48"/>
  <c r="S11" i="74"/>
  <c r="S49" i="48"/>
  <c r="S11" i="48"/>
  <c r="T11" i="75"/>
  <c r="T30" i="48"/>
  <c r="T11" i="74"/>
  <c r="T49" i="48"/>
  <c r="T11" i="48"/>
  <c r="U11" i="75"/>
  <c r="U30" i="48"/>
  <c r="U11" i="74"/>
  <c r="U49" i="48"/>
  <c r="U11" i="48"/>
  <c r="V11" i="75"/>
  <c r="V30" i="48"/>
  <c r="V11" i="74"/>
  <c r="V49" i="48"/>
  <c r="V11" i="48"/>
  <c r="W11" i="48"/>
  <c r="J13" i="149"/>
  <c r="B12" i="75"/>
  <c r="B31" i="48"/>
  <c r="B12" i="74"/>
  <c r="B50" i="48"/>
  <c r="B12" i="48"/>
  <c r="C12" i="75"/>
  <c r="C31" i="48"/>
  <c r="C12" i="74"/>
  <c r="C50" i="48"/>
  <c r="C12" i="48"/>
  <c r="D12" i="75"/>
  <c r="D31" i="48"/>
  <c r="D12" i="74"/>
  <c r="D50" i="48"/>
  <c r="D12" i="48"/>
  <c r="E12" i="75"/>
  <c r="E31" i="48"/>
  <c r="E12" i="74"/>
  <c r="E50" i="48"/>
  <c r="E12" i="48"/>
  <c r="F12" i="75"/>
  <c r="F31" i="48"/>
  <c r="F12" i="74"/>
  <c r="F50" i="48"/>
  <c r="F12" i="48"/>
  <c r="G12" i="75"/>
  <c r="G31" i="48"/>
  <c r="G12" i="74"/>
  <c r="G50" i="48"/>
  <c r="G12" i="48"/>
  <c r="H12" i="75"/>
  <c r="H31" i="48"/>
  <c r="H12" i="74"/>
  <c r="H50" i="48"/>
  <c r="H12" i="48"/>
  <c r="I12" i="75"/>
  <c r="I31" i="48"/>
  <c r="I12" i="74"/>
  <c r="I50" i="48"/>
  <c r="I12" i="48"/>
  <c r="J12" i="75"/>
  <c r="J31" i="48"/>
  <c r="J12" i="74"/>
  <c r="J50" i="48"/>
  <c r="J12" i="48"/>
  <c r="K12" i="75"/>
  <c r="K31" i="48"/>
  <c r="K12" i="74"/>
  <c r="K50" i="48"/>
  <c r="K12" i="48"/>
  <c r="L12" i="75"/>
  <c r="L31" i="48"/>
  <c r="L12" i="74"/>
  <c r="L50" i="48"/>
  <c r="L12" i="48"/>
  <c r="M12" i="75"/>
  <c r="M31" i="48"/>
  <c r="M12" i="74"/>
  <c r="M50" i="48"/>
  <c r="M12" i="48"/>
  <c r="N12" i="75"/>
  <c r="N31" i="48"/>
  <c r="N12" i="74"/>
  <c r="N50" i="48"/>
  <c r="N12" i="48"/>
  <c r="O12" i="75"/>
  <c r="O31" i="48"/>
  <c r="O12" i="74"/>
  <c r="O50" i="48"/>
  <c r="O12" i="48"/>
  <c r="P12" i="75"/>
  <c r="P31" i="48"/>
  <c r="P12" i="74"/>
  <c r="P50" i="48"/>
  <c r="P12" i="48"/>
  <c r="Q12" i="75"/>
  <c r="Q31" i="48"/>
  <c r="Q12" i="74"/>
  <c r="Q50" i="48"/>
  <c r="Q12" i="48"/>
  <c r="R12" i="75"/>
  <c r="R31" i="48"/>
  <c r="R12" i="74"/>
  <c r="R50" i="48"/>
  <c r="R12" i="48"/>
  <c r="S12" i="75"/>
  <c r="S31" i="48"/>
  <c r="S12" i="74"/>
  <c r="S50" i="48"/>
  <c r="S12" i="48"/>
  <c r="T12" i="75"/>
  <c r="T31" i="48"/>
  <c r="T12" i="74"/>
  <c r="T50" i="48"/>
  <c r="T12" i="48"/>
  <c r="U12" i="75"/>
  <c r="U31" i="48"/>
  <c r="U12" i="74"/>
  <c r="U50" i="48"/>
  <c r="U12" i="48"/>
  <c r="V12" i="75"/>
  <c r="V31" i="48"/>
  <c r="V12" i="74"/>
  <c r="V50" i="48"/>
  <c r="V12" i="48"/>
  <c r="W12" i="48"/>
  <c r="J14" i="149"/>
  <c r="B13" i="75"/>
  <c r="B32" i="48"/>
  <c r="B13" i="74"/>
  <c r="B51" i="48"/>
  <c r="B13" i="48"/>
  <c r="C13" i="75"/>
  <c r="C32" i="48"/>
  <c r="C13" i="74"/>
  <c r="C51" i="48"/>
  <c r="C13" i="48"/>
  <c r="D13" i="75"/>
  <c r="D32" i="48"/>
  <c r="D13" i="74"/>
  <c r="D51" i="48"/>
  <c r="D13" i="48"/>
  <c r="E13" i="75"/>
  <c r="E32" i="48"/>
  <c r="E13" i="74"/>
  <c r="E51" i="48"/>
  <c r="E13" i="48"/>
  <c r="F13" i="75"/>
  <c r="F32" i="48"/>
  <c r="F13" i="74"/>
  <c r="F51" i="48"/>
  <c r="F13" i="48"/>
  <c r="G13" i="75"/>
  <c r="G32" i="48"/>
  <c r="G13" i="74"/>
  <c r="G51" i="48"/>
  <c r="G13" i="48"/>
  <c r="H13" i="75"/>
  <c r="H32" i="48"/>
  <c r="H13" i="74"/>
  <c r="H51" i="48"/>
  <c r="H13" i="48"/>
  <c r="I13" i="75"/>
  <c r="I32" i="48"/>
  <c r="I13" i="74"/>
  <c r="I51" i="48"/>
  <c r="I13" i="48"/>
  <c r="J13" i="75"/>
  <c r="J32" i="48"/>
  <c r="J13" i="74"/>
  <c r="J51" i="48"/>
  <c r="J13" i="48"/>
  <c r="K13" i="75"/>
  <c r="K32" i="48"/>
  <c r="K13" i="74"/>
  <c r="K51" i="48"/>
  <c r="K13" i="48"/>
  <c r="L13" i="75"/>
  <c r="L32" i="48"/>
  <c r="L13" i="74"/>
  <c r="L51" i="48"/>
  <c r="L13" i="48"/>
  <c r="M13" i="75"/>
  <c r="M32" i="48"/>
  <c r="M13" i="74"/>
  <c r="M51" i="48"/>
  <c r="M13" i="48"/>
  <c r="N13" i="75"/>
  <c r="N32" i="48"/>
  <c r="N13" i="74"/>
  <c r="N51" i="48"/>
  <c r="N13" i="48"/>
  <c r="O13" i="75"/>
  <c r="O32" i="48"/>
  <c r="O13" i="74"/>
  <c r="O51" i="48"/>
  <c r="O13" i="48"/>
  <c r="P13" i="75"/>
  <c r="P32" i="48"/>
  <c r="P13" i="74"/>
  <c r="P51" i="48"/>
  <c r="P13" i="48"/>
  <c r="Q13" i="75"/>
  <c r="Q32" i="48"/>
  <c r="Q13" i="74"/>
  <c r="Q51" i="48"/>
  <c r="Q13" i="48"/>
  <c r="R13" i="75"/>
  <c r="R32" i="48"/>
  <c r="R13" i="74"/>
  <c r="R51" i="48"/>
  <c r="R13" i="48"/>
  <c r="S13" i="75"/>
  <c r="S32" i="48"/>
  <c r="S13" i="74"/>
  <c r="S51" i="48"/>
  <c r="S13" i="48"/>
  <c r="T13" i="75"/>
  <c r="T32" i="48"/>
  <c r="T13" i="74"/>
  <c r="T51" i="48"/>
  <c r="T13" i="48"/>
  <c r="U13" i="75"/>
  <c r="U32" i="48"/>
  <c r="U13" i="74"/>
  <c r="U51" i="48"/>
  <c r="U13" i="48"/>
  <c r="V13" i="75"/>
  <c r="V32" i="48"/>
  <c r="V13" i="74"/>
  <c r="V51" i="48"/>
  <c r="V13" i="48"/>
  <c r="W13" i="48"/>
  <c r="J15" i="149"/>
  <c r="B14" i="75"/>
  <c r="B33" i="48"/>
  <c r="B14" i="74"/>
  <c r="B52" i="48"/>
  <c r="B14" i="48"/>
  <c r="C14" i="75"/>
  <c r="C33" i="48"/>
  <c r="C14" i="74"/>
  <c r="C52" i="48"/>
  <c r="C14" i="48"/>
  <c r="D14" i="75"/>
  <c r="D33" i="48"/>
  <c r="D14" i="74"/>
  <c r="D52" i="48"/>
  <c r="D14" i="48"/>
  <c r="E14" i="75"/>
  <c r="E33" i="48"/>
  <c r="E14" i="74"/>
  <c r="E52" i="48"/>
  <c r="E14" i="48"/>
  <c r="F14" i="75"/>
  <c r="F33" i="48"/>
  <c r="F14" i="74"/>
  <c r="F52" i="48"/>
  <c r="F14" i="48"/>
  <c r="G14" i="75"/>
  <c r="G33" i="48"/>
  <c r="G14" i="74"/>
  <c r="G52" i="48"/>
  <c r="G14" i="48"/>
  <c r="H14" i="75"/>
  <c r="H33" i="48"/>
  <c r="H14" i="74"/>
  <c r="H52" i="48"/>
  <c r="H14" i="48"/>
  <c r="I14" i="75"/>
  <c r="I33" i="48"/>
  <c r="I14" i="74"/>
  <c r="I52" i="48"/>
  <c r="I14" i="48"/>
  <c r="J14" i="75"/>
  <c r="J33" i="48"/>
  <c r="J14" i="74"/>
  <c r="J52" i="48"/>
  <c r="J14" i="48"/>
  <c r="K14" i="75"/>
  <c r="K33" i="48"/>
  <c r="K14" i="74"/>
  <c r="K52" i="48"/>
  <c r="K14" i="48"/>
  <c r="L14" i="75"/>
  <c r="L33" i="48"/>
  <c r="L14" i="74"/>
  <c r="L52" i="48"/>
  <c r="L14" i="48"/>
  <c r="M14" i="75"/>
  <c r="M33" i="48"/>
  <c r="M14" i="74"/>
  <c r="M52" i="48"/>
  <c r="M14" i="48"/>
  <c r="N14" i="75"/>
  <c r="N33" i="48"/>
  <c r="N14" i="74"/>
  <c r="N52" i="48"/>
  <c r="N14" i="48"/>
  <c r="O14" i="75"/>
  <c r="O33" i="48"/>
  <c r="O14" i="74"/>
  <c r="O52" i="48"/>
  <c r="O14" i="48"/>
  <c r="P14" i="75"/>
  <c r="P33" i="48"/>
  <c r="P14" i="74"/>
  <c r="P52" i="48"/>
  <c r="P14" i="48"/>
  <c r="Q14" i="75"/>
  <c r="Q33" i="48"/>
  <c r="Q14" i="74"/>
  <c r="Q52" i="48"/>
  <c r="Q14" i="48"/>
  <c r="R14" i="75"/>
  <c r="R33" i="48"/>
  <c r="R14" i="74"/>
  <c r="R52" i="48"/>
  <c r="R14" i="48"/>
  <c r="S14" i="75"/>
  <c r="S33" i="48"/>
  <c r="S14" i="74"/>
  <c r="S52" i="48"/>
  <c r="S14" i="48"/>
  <c r="T14" i="75"/>
  <c r="T33" i="48"/>
  <c r="T14" i="74"/>
  <c r="T52" i="48"/>
  <c r="T14" i="48"/>
  <c r="U14" i="75"/>
  <c r="U33" i="48"/>
  <c r="U14" i="74"/>
  <c r="U52" i="48"/>
  <c r="U14" i="48"/>
  <c r="V14" i="75"/>
  <c r="V33" i="48"/>
  <c r="V14" i="74"/>
  <c r="V52" i="48"/>
  <c r="V14" i="48"/>
  <c r="W14" i="48"/>
  <c r="J16" i="149"/>
  <c r="B15" i="75"/>
  <c r="B34" i="48"/>
  <c r="B15" i="74"/>
  <c r="B53" i="48"/>
  <c r="B15" i="48"/>
  <c r="C15" i="75"/>
  <c r="C34" i="48"/>
  <c r="C15" i="74"/>
  <c r="C53" i="48"/>
  <c r="C15" i="48"/>
  <c r="D15" i="75"/>
  <c r="D34" i="48"/>
  <c r="D15" i="74"/>
  <c r="D53" i="48"/>
  <c r="D15" i="48"/>
  <c r="E15" i="75"/>
  <c r="E34" i="48"/>
  <c r="E15" i="74"/>
  <c r="E53" i="48"/>
  <c r="E15" i="48"/>
  <c r="F15" i="75"/>
  <c r="F34" i="48"/>
  <c r="F15" i="74"/>
  <c r="F53" i="48"/>
  <c r="F15" i="48"/>
  <c r="G15" i="75"/>
  <c r="G34" i="48"/>
  <c r="G15" i="74"/>
  <c r="G53" i="48"/>
  <c r="G15" i="48"/>
  <c r="H15" i="75"/>
  <c r="H34" i="48"/>
  <c r="H15" i="74"/>
  <c r="H53" i="48"/>
  <c r="H15" i="48"/>
  <c r="I15" i="75"/>
  <c r="I34" i="48"/>
  <c r="I15" i="74"/>
  <c r="I53" i="48"/>
  <c r="I15" i="48"/>
  <c r="J15" i="75"/>
  <c r="J34" i="48"/>
  <c r="J15" i="74"/>
  <c r="J53" i="48"/>
  <c r="J15" i="48"/>
  <c r="K15" i="75"/>
  <c r="K34" i="48"/>
  <c r="K15" i="74"/>
  <c r="K53" i="48"/>
  <c r="K15" i="48"/>
  <c r="L15" i="75"/>
  <c r="L34" i="48"/>
  <c r="L15" i="74"/>
  <c r="L53" i="48"/>
  <c r="L15" i="48"/>
  <c r="M15" i="75"/>
  <c r="M34" i="48"/>
  <c r="M15" i="74"/>
  <c r="M53" i="48"/>
  <c r="M15" i="48"/>
  <c r="N15" i="75"/>
  <c r="N34" i="48"/>
  <c r="N15" i="74"/>
  <c r="N53" i="48"/>
  <c r="N15" i="48"/>
  <c r="O15" i="75"/>
  <c r="O34" i="48"/>
  <c r="O15" i="74"/>
  <c r="O53" i="48"/>
  <c r="O15" i="48"/>
  <c r="P15" i="75"/>
  <c r="P34" i="48"/>
  <c r="P15" i="74"/>
  <c r="P53" i="48"/>
  <c r="P15" i="48"/>
  <c r="Q15" i="75"/>
  <c r="Q34" i="48"/>
  <c r="Q15" i="74"/>
  <c r="Q53" i="48"/>
  <c r="Q15" i="48"/>
  <c r="R15" i="75"/>
  <c r="R34" i="48"/>
  <c r="R15" i="74"/>
  <c r="R53" i="48"/>
  <c r="R15" i="48"/>
  <c r="S15" i="75"/>
  <c r="S34" i="48"/>
  <c r="S15" i="74"/>
  <c r="S53" i="48"/>
  <c r="S15" i="48"/>
  <c r="T15" i="75"/>
  <c r="T34" i="48"/>
  <c r="T15" i="74"/>
  <c r="T53" i="48"/>
  <c r="T15" i="48"/>
  <c r="U15" i="75"/>
  <c r="U34" i="48"/>
  <c r="U15" i="74"/>
  <c r="U53" i="48"/>
  <c r="U15" i="48"/>
  <c r="V15" i="75"/>
  <c r="V34" i="48"/>
  <c r="V15" i="74"/>
  <c r="V53" i="48"/>
  <c r="V15" i="48"/>
  <c r="W15" i="48"/>
  <c r="J17" i="149"/>
  <c r="B16" i="75"/>
  <c r="B35" i="48"/>
  <c r="B16" i="74"/>
  <c r="B54" i="48"/>
  <c r="B16" i="48"/>
  <c r="C16" i="75"/>
  <c r="C35" i="48"/>
  <c r="C16" i="74"/>
  <c r="C54" i="48"/>
  <c r="C16" i="48"/>
  <c r="D16" i="75"/>
  <c r="D35" i="48"/>
  <c r="D16" i="74"/>
  <c r="D54" i="48"/>
  <c r="D16" i="48"/>
  <c r="E16" i="75"/>
  <c r="E35" i="48"/>
  <c r="E16" i="74"/>
  <c r="E54" i="48"/>
  <c r="E16" i="48"/>
  <c r="F16" i="75"/>
  <c r="F35" i="48"/>
  <c r="F16" i="74"/>
  <c r="F54" i="48"/>
  <c r="F16" i="48"/>
  <c r="G16" i="75"/>
  <c r="G35" i="48"/>
  <c r="G16" i="74"/>
  <c r="G54" i="48"/>
  <c r="G16" i="48"/>
  <c r="H16" i="75"/>
  <c r="H35" i="48"/>
  <c r="H16" i="74"/>
  <c r="H54" i="48"/>
  <c r="H16" i="48"/>
  <c r="I16" i="75"/>
  <c r="I35" i="48"/>
  <c r="I16" i="74"/>
  <c r="I54" i="48"/>
  <c r="I16" i="48"/>
  <c r="J16" i="75"/>
  <c r="J35" i="48"/>
  <c r="J16" i="74"/>
  <c r="J54" i="48"/>
  <c r="J16" i="48"/>
  <c r="K16" i="75"/>
  <c r="K35" i="48"/>
  <c r="K16" i="74"/>
  <c r="K54" i="48"/>
  <c r="K16" i="48"/>
  <c r="L16" i="75"/>
  <c r="L35" i="48"/>
  <c r="L16" i="74"/>
  <c r="L54" i="48"/>
  <c r="L16" i="48"/>
  <c r="M16" i="75"/>
  <c r="M35" i="48"/>
  <c r="M16" i="74"/>
  <c r="M54" i="48"/>
  <c r="M16" i="48"/>
  <c r="N16" i="75"/>
  <c r="N35" i="48"/>
  <c r="N16" i="74"/>
  <c r="N54" i="48"/>
  <c r="N16" i="48"/>
  <c r="O16" i="75"/>
  <c r="O35" i="48"/>
  <c r="O16" i="74"/>
  <c r="O54" i="48"/>
  <c r="O16" i="48"/>
  <c r="P16" i="75"/>
  <c r="P35" i="48"/>
  <c r="P16" i="74"/>
  <c r="P54" i="48"/>
  <c r="P16" i="48"/>
  <c r="Q16" i="75"/>
  <c r="Q35" i="48"/>
  <c r="Q16" i="74"/>
  <c r="Q54" i="48"/>
  <c r="Q16" i="48"/>
  <c r="R16" i="75"/>
  <c r="R35" i="48"/>
  <c r="R16" i="74"/>
  <c r="R54" i="48"/>
  <c r="R16" i="48"/>
  <c r="S16" i="75"/>
  <c r="S35" i="48"/>
  <c r="S16" i="74"/>
  <c r="S54" i="48"/>
  <c r="S16" i="48"/>
  <c r="T16" i="75"/>
  <c r="T35" i="48"/>
  <c r="T16" i="74"/>
  <c r="T54" i="48"/>
  <c r="T16" i="48"/>
  <c r="U16" i="75"/>
  <c r="U35" i="48"/>
  <c r="U16" i="74"/>
  <c r="U54" i="48"/>
  <c r="U16" i="48"/>
  <c r="V16" i="75"/>
  <c r="V35" i="48"/>
  <c r="V16" i="74"/>
  <c r="V54" i="48"/>
  <c r="V16" i="48"/>
  <c r="W16" i="48"/>
  <c r="J18" i="149"/>
  <c r="B17" i="75"/>
  <c r="B36" i="48"/>
  <c r="B17" i="74"/>
  <c r="B55" i="48"/>
  <c r="B17" i="48"/>
  <c r="C17" i="75"/>
  <c r="C36" i="48"/>
  <c r="C17" i="74"/>
  <c r="C55" i="48"/>
  <c r="C17" i="48"/>
  <c r="D17" i="75"/>
  <c r="D36" i="48"/>
  <c r="D17" i="74"/>
  <c r="D55" i="48"/>
  <c r="D17" i="48"/>
  <c r="E17" i="75"/>
  <c r="E36" i="48"/>
  <c r="E17" i="74"/>
  <c r="E55" i="48"/>
  <c r="E17" i="48"/>
  <c r="F17" i="75"/>
  <c r="F36" i="48"/>
  <c r="F17" i="74"/>
  <c r="F55" i="48"/>
  <c r="F17" i="48"/>
  <c r="G17" i="75"/>
  <c r="G36" i="48"/>
  <c r="G17" i="74"/>
  <c r="G55" i="48"/>
  <c r="G17" i="48"/>
  <c r="H17" i="75"/>
  <c r="H36" i="48"/>
  <c r="H17" i="74"/>
  <c r="H55" i="48"/>
  <c r="H17" i="48"/>
  <c r="I17" i="75"/>
  <c r="I36" i="48"/>
  <c r="I17" i="74"/>
  <c r="I55" i="48"/>
  <c r="I17" i="48"/>
  <c r="J17" i="75"/>
  <c r="J36" i="48"/>
  <c r="J17" i="74"/>
  <c r="J55" i="48"/>
  <c r="J17" i="48"/>
  <c r="K17" i="75"/>
  <c r="K36" i="48"/>
  <c r="K17" i="74"/>
  <c r="K55" i="48"/>
  <c r="K17" i="48"/>
  <c r="L17" i="75"/>
  <c r="L36" i="48"/>
  <c r="L17" i="74"/>
  <c r="L55" i="48"/>
  <c r="L17" i="48"/>
  <c r="M17" i="75"/>
  <c r="M36" i="48"/>
  <c r="M17" i="74"/>
  <c r="M55" i="48"/>
  <c r="M17" i="48"/>
  <c r="N17" i="75"/>
  <c r="N36" i="48"/>
  <c r="N17" i="74"/>
  <c r="N55" i="48"/>
  <c r="N17" i="48"/>
  <c r="O17" i="75"/>
  <c r="O36" i="48"/>
  <c r="O17" i="74"/>
  <c r="O55" i="48"/>
  <c r="O17" i="48"/>
  <c r="P17" i="75"/>
  <c r="P36" i="48"/>
  <c r="P17" i="74"/>
  <c r="P55" i="48"/>
  <c r="P17" i="48"/>
  <c r="Q17" i="75"/>
  <c r="Q36" i="48"/>
  <c r="Q17" i="74"/>
  <c r="Q55" i="48"/>
  <c r="Q17" i="48"/>
  <c r="R17" i="75"/>
  <c r="R36" i="48"/>
  <c r="R17" i="74"/>
  <c r="R55" i="48"/>
  <c r="R17" i="48"/>
  <c r="S17" i="75"/>
  <c r="S36" i="48"/>
  <c r="S17" i="74"/>
  <c r="S55" i="48"/>
  <c r="S17" i="48"/>
  <c r="T17" i="75"/>
  <c r="T36" i="48"/>
  <c r="T17" i="74"/>
  <c r="T55" i="48"/>
  <c r="T17" i="48"/>
  <c r="U17" i="75"/>
  <c r="U36" i="48"/>
  <c r="U17" i="74"/>
  <c r="U55" i="48"/>
  <c r="U17" i="48"/>
  <c r="V17" i="75"/>
  <c r="V36" i="48"/>
  <c r="V17" i="74"/>
  <c r="V55" i="48"/>
  <c r="V17" i="48"/>
  <c r="W17" i="48"/>
  <c r="J19" i="149"/>
  <c r="B19" i="48"/>
  <c r="C19" i="48"/>
  <c r="D19" i="48"/>
  <c r="E19" i="48"/>
  <c r="F19" i="48"/>
  <c r="G19" i="48"/>
  <c r="H19" i="48"/>
  <c r="I19" i="48"/>
  <c r="J19" i="48"/>
  <c r="K19" i="48"/>
  <c r="L19" i="48"/>
  <c r="M19" i="48"/>
  <c r="N19" i="48"/>
  <c r="O19" i="48"/>
  <c r="P19" i="48"/>
  <c r="Q19" i="48"/>
  <c r="R19" i="48"/>
  <c r="S19" i="48"/>
  <c r="T19" i="48"/>
  <c r="U19" i="48"/>
  <c r="V19" i="48"/>
  <c r="W19" i="48"/>
  <c r="J20" i="149"/>
  <c r="B18" i="48"/>
  <c r="C18" i="48"/>
  <c r="D18" i="48"/>
  <c r="E18" i="48"/>
  <c r="F18" i="48"/>
  <c r="G18" i="48"/>
  <c r="H18" i="48"/>
  <c r="I18" i="48"/>
  <c r="J18" i="48"/>
  <c r="K18" i="48"/>
  <c r="L18" i="48"/>
  <c r="M18" i="48"/>
  <c r="N18" i="48"/>
  <c r="O18" i="48"/>
  <c r="P18" i="48"/>
  <c r="Q18" i="48"/>
  <c r="R18" i="48"/>
  <c r="S18" i="48"/>
  <c r="T18" i="48"/>
  <c r="U18" i="48"/>
  <c r="V18" i="48"/>
  <c r="W18" i="48"/>
  <c r="J21" i="149"/>
  <c r="J25" i="149"/>
  <c r="W3" i="77"/>
  <c r="H5" i="149"/>
  <c r="W4" i="77"/>
  <c r="H6" i="149"/>
  <c r="W5" i="77"/>
  <c r="H7" i="149"/>
  <c r="W6" i="77"/>
  <c r="H8" i="149"/>
  <c r="W7" i="77"/>
  <c r="H9" i="149"/>
  <c r="W8" i="77"/>
  <c r="H10" i="149"/>
  <c r="W9" i="77"/>
  <c r="H11" i="149"/>
  <c r="W10" i="77"/>
  <c r="H12" i="149"/>
  <c r="W11" i="77"/>
  <c r="H13" i="149"/>
  <c r="W12" i="77"/>
  <c r="H14" i="149"/>
  <c r="W13" i="77"/>
  <c r="H15" i="149"/>
  <c r="W14" i="77"/>
  <c r="H16" i="149"/>
  <c r="W15" i="77"/>
  <c r="H17" i="149"/>
  <c r="W16" i="77"/>
  <c r="H18" i="149"/>
  <c r="W17" i="77"/>
  <c r="H19" i="149"/>
  <c r="W19" i="77"/>
  <c r="H20" i="149"/>
  <c r="W18" i="77"/>
  <c r="H21" i="149"/>
  <c r="H25" i="149"/>
  <c r="S24" i="149"/>
  <c r="P24" i="149"/>
  <c r="N24" i="149"/>
  <c r="K24" i="149"/>
  <c r="K5" i="149"/>
  <c r="K6" i="149"/>
  <c r="K7" i="149"/>
  <c r="K8" i="149"/>
  <c r="K9" i="149"/>
  <c r="K10" i="149"/>
  <c r="K11" i="149"/>
  <c r="K12" i="149"/>
  <c r="K13" i="149"/>
  <c r="K14" i="149"/>
  <c r="K15" i="149"/>
  <c r="K16" i="149"/>
  <c r="K17" i="149"/>
  <c r="K18" i="149"/>
  <c r="K19" i="149"/>
  <c r="K20" i="149"/>
  <c r="K21" i="149"/>
  <c r="K25" i="149"/>
  <c r="G27" i="97"/>
  <c r="I27" i="97"/>
  <c r="R23" i="149"/>
  <c r="G26" i="97"/>
  <c r="I26" i="97"/>
  <c r="R22" i="149"/>
  <c r="E26" i="76"/>
  <c r="J23" i="149"/>
  <c r="E25" i="76"/>
  <c r="J22" i="149"/>
  <c r="H23" i="149"/>
  <c r="H22" i="149"/>
  <c r="K22" i="149"/>
  <c r="K23" i="149"/>
  <c r="Y29" i="112"/>
  <c r="S47" i="144"/>
  <c r="R47" i="144"/>
  <c r="Q47" i="144"/>
  <c r="P47" i="144"/>
  <c r="O47" i="144"/>
  <c r="N47" i="144"/>
  <c r="M47" i="144"/>
  <c r="L47" i="144"/>
  <c r="K47" i="144"/>
  <c r="J47" i="144"/>
  <c r="I47" i="144"/>
  <c r="H47" i="144"/>
  <c r="G47" i="144"/>
  <c r="F47" i="144"/>
  <c r="E47" i="144"/>
  <c r="D47" i="144"/>
  <c r="C47" i="144"/>
  <c r="T46" i="144"/>
  <c r="M23" i="144"/>
  <c r="T45" i="144"/>
  <c r="P22" i="144"/>
  <c r="T44" i="144"/>
  <c r="M21" i="144"/>
  <c r="T43" i="144"/>
  <c r="H20" i="144"/>
  <c r="T42" i="144"/>
  <c r="N19" i="144"/>
  <c r="T41" i="144"/>
  <c r="O18" i="144"/>
  <c r="T40" i="144"/>
  <c r="K17" i="144"/>
  <c r="T39" i="144"/>
  <c r="S16" i="144"/>
  <c r="T38" i="144"/>
  <c r="G15" i="144"/>
  <c r="T37" i="144"/>
  <c r="N14" i="144"/>
  <c r="T36" i="144"/>
  <c r="M13" i="144"/>
  <c r="T35" i="144"/>
  <c r="P12" i="144"/>
  <c r="T34" i="144"/>
  <c r="J11" i="144"/>
  <c r="T33" i="144"/>
  <c r="L10" i="144"/>
  <c r="T32" i="144"/>
  <c r="R9" i="144"/>
  <c r="T31" i="144"/>
  <c r="O8" i="144"/>
  <c r="T30" i="144"/>
  <c r="O7" i="144"/>
  <c r="T29" i="144"/>
  <c r="R6" i="144"/>
  <c r="T28" i="144"/>
  <c r="T27" i="144"/>
  <c r="E4" i="144"/>
  <c r="T26" i="144"/>
  <c r="I3" i="144"/>
  <c r="S47" i="143"/>
  <c r="R47" i="143"/>
  <c r="Q47" i="143"/>
  <c r="P47" i="143"/>
  <c r="O47" i="143"/>
  <c r="N47" i="143"/>
  <c r="M47" i="143"/>
  <c r="L47" i="143"/>
  <c r="K47" i="143"/>
  <c r="J47" i="143"/>
  <c r="I47" i="143"/>
  <c r="H47" i="143"/>
  <c r="G47" i="143"/>
  <c r="F47" i="143"/>
  <c r="E47" i="143"/>
  <c r="D47" i="143"/>
  <c r="C47" i="143"/>
  <c r="T46" i="143"/>
  <c r="N23" i="143"/>
  <c r="T45" i="143"/>
  <c r="T44" i="143"/>
  <c r="I21" i="143"/>
  <c r="T43" i="143"/>
  <c r="T42" i="143"/>
  <c r="O19" i="143"/>
  <c r="T41" i="143"/>
  <c r="M18" i="143"/>
  <c r="T40" i="143"/>
  <c r="T39" i="143"/>
  <c r="L16" i="143"/>
  <c r="T38" i="143"/>
  <c r="N15" i="143"/>
  <c r="T37" i="143"/>
  <c r="T36" i="143"/>
  <c r="M13" i="143"/>
  <c r="T35" i="143"/>
  <c r="T34" i="143"/>
  <c r="O11" i="143"/>
  <c r="T33" i="143"/>
  <c r="J10" i="143"/>
  <c r="T32" i="143"/>
  <c r="E9" i="143"/>
  <c r="T31" i="143"/>
  <c r="T30" i="143"/>
  <c r="M7" i="143"/>
  <c r="T29" i="143"/>
  <c r="I6" i="143"/>
  <c r="T28" i="143"/>
  <c r="L5" i="143"/>
  <c r="T27" i="143"/>
  <c r="T26" i="143"/>
  <c r="G3" i="143"/>
  <c r="R23" i="143"/>
  <c r="E23" i="143"/>
  <c r="R21" i="143"/>
  <c r="L21" i="143"/>
  <c r="Q15" i="143"/>
  <c r="P15" i="143"/>
  <c r="F15" i="143"/>
  <c r="R7" i="143"/>
  <c r="Q7" i="143"/>
  <c r="P7" i="143"/>
  <c r="I7" i="143"/>
  <c r="F15" i="144"/>
  <c r="G7" i="144"/>
  <c r="M7" i="144"/>
  <c r="F23" i="144"/>
  <c r="E23" i="144"/>
  <c r="R23" i="144"/>
  <c r="L12" i="144"/>
  <c r="I17" i="144"/>
  <c r="G9" i="144"/>
  <c r="S18" i="144"/>
  <c r="C17" i="144"/>
  <c r="K21" i="144"/>
  <c r="F9" i="144"/>
  <c r="N9" i="144"/>
  <c r="J15" i="144"/>
  <c r="O9" i="144"/>
  <c r="K22" i="144"/>
  <c r="I6" i="144"/>
  <c r="E7" i="144"/>
  <c r="M15" i="144"/>
  <c r="F7" i="144"/>
  <c r="S9" i="144"/>
  <c r="R15" i="144"/>
  <c r="S22" i="144"/>
  <c r="H14" i="144"/>
  <c r="N7" i="144"/>
  <c r="P14" i="144"/>
  <c r="J17" i="144"/>
  <c r="J23" i="144"/>
  <c r="E15" i="144"/>
  <c r="D18" i="144"/>
  <c r="N23" i="144"/>
  <c r="D3" i="144"/>
  <c r="E3" i="144"/>
  <c r="G4" i="144"/>
  <c r="T9" i="144"/>
  <c r="N17" i="144"/>
  <c r="S4" i="144"/>
  <c r="C9" i="144"/>
  <c r="Q10" i="144"/>
  <c r="Q17" i="144"/>
  <c r="E13" i="144"/>
  <c r="L9" i="144"/>
  <c r="F13" i="144"/>
  <c r="E16" i="144"/>
  <c r="E21" i="144"/>
  <c r="R10" i="144"/>
  <c r="G18" i="144"/>
  <c r="F3" i="144"/>
  <c r="F6" i="144"/>
  <c r="E10" i="144"/>
  <c r="T10" i="144"/>
  <c r="H18" i="144"/>
  <c r="G19" i="144"/>
  <c r="D22" i="144"/>
  <c r="H3" i="144"/>
  <c r="G6" i="144"/>
  <c r="I7" i="144"/>
  <c r="H10" i="144"/>
  <c r="E11" i="144"/>
  <c r="D14" i="144"/>
  <c r="I15" i="144"/>
  <c r="I18" i="144"/>
  <c r="I19" i="144"/>
  <c r="E22" i="144"/>
  <c r="I23" i="144"/>
  <c r="I11" i="144"/>
  <c r="K18" i="144"/>
  <c r="N3" i="144"/>
  <c r="J10" i="144"/>
  <c r="L18" i="144"/>
  <c r="L22" i="144"/>
  <c r="O3" i="144"/>
  <c r="N6" i="144"/>
  <c r="Q7" i="144"/>
  <c r="M10" i="144"/>
  <c r="O11" i="144"/>
  <c r="L14" i="144"/>
  <c r="N15" i="144"/>
  <c r="P18" i="144"/>
  <c r="D20" i="144"/>
  <c r="M22" i="144"/>
  <c r="O23" i="144"/>
  <c r="D10" i="144"/>
  <c r="T18" i="144"/>
  <c r="M3" i="144"/>
  <c r="I10" i="144"/>
  <c r="J19" i="144"/>
  <c r="M6" i="144"/>
  <c r="M11" i="144"/>
  <c r="I14" i="144"/>
  <c r="O19" i="144"/>
  <c r="R3" i="144"/>
  <c r="R7" i="144"/>
  <c r="P10" i="144"/>
  <c r="Q11" i="144"/>
  <c r="Q15" i="144"/>
  <c r="C18" i="144"/>
  <c r="Q18" i="144"/>
  <c r="P20" i="144"/>
  <c r="Q23" i="144"/>
  <c r="R5" i="144"/>
  <c r="C5" i="144"/>
  <c r="N5" i="144"/>
  <c r="F5" i="144"/>
  <c r="I13" i="144"/>
  <c r="E17" i="144"/>
  <c r="R17" i="144"/>
  <c r="T6" i="144"/>
  <c r="L6" i="144"/>
  <c r="D6" i="144"/>
  <c r="S6" i="144"/>
  <c r="K6" i="144"/>
  <c r="C6" i="144"/>
  <c r="P6" i="144"/>
  <c r="H6" i="144"/>
  <c r="S14" i="144"/>
  <c r="K14" i="144"/>
  <c r="C14" i="144"/>
  <c r="R14" i="144"/>
  <c r="J14" i="144"/>
  <c r="O14" i="144"/>
  <c r="G14" i="144"/>
  <c r="R22" i="144"/>
  <c r="J22" i="144"/>
  <c r="Q22" i="144"/>
  <c r="I22" i="144"/>
  <c r="N22" i="144"/>
  <c r="F22" i="144"/>
  <c r="I5" i="144"/>
  <c r="J6" i="144"/>
  <c r="D9" i="144"/>
  <c r="M14" i="144"/>
  <c r="F17" i="144"/>
  <c r="S17" i="144"/>
  <c r="C22" i="144"/>
  <c r="O22" i="144"/>
  <c r="N13" i="144"/>
  <c r="S13" i="144"/>
  <c r="K13" i="144"/>
  <c r="R13" i="144"/>
  <c r="Q9" i="144"/>
  <c r="I9" i="144"/>
  <c r="P9" i="144"/>
  <c r="H9" i="144"/>
  <c r="M9" i="144"/>
  <c r="E9" i="144"/>
  <c r="S5" i="144"/>
  <c r="O6" i="144"/>
  <c r="J9" i="144"/>
  <c r="E14" i="144"/>
  <c r="Q14" i="144"/>
  <c r="G22" i="144"/>
  <c r="T22" i="144"/>
  <c r="O10" i="144"/>
  <c r="G10" i="144"/>
  <c r="N10" i="144"/>
  <c r="F10" i="144"/>
  <c r="S10" i="144"/>
  <c r="K10" i="144"/>
  <c r="C10" i="144"/>
  <c r="N18" i="144"/>
  <c r="F18" i="144"/>
  <c r="M18" i="144"/>
  <c r="E18" i="144"/>
  <c r="R18" i="144"/>
  <c r="J18" i="144"/>
  <c r="N21" i="144"/>
  <c r="R21" i="144"/>
  <c r="Q21" i="144"/>
  <c r="J21" i="144"/>
  <c r="M5" i="144"/>
  <c r="Q5" i="144"/>
  <c r="P17" i="144"/>
  <c r="H17" i="144"/>
  <c r="O17" i="144"/>
  <c r="G17" i="144"/>
  <c r="T17" i="144"/>
  <c r="L17" i="144"/>
  <c r="D17" i="144"/>
  <c r="E6" i="144"/>
  <c r="Q6" i="144"/>
  <c r="K9" i="144"/>
  <c r="F14" i="144"/>
  <c r="T14" i="144"/>
  <c r="M17" i="144"/>
  <c r="C21" i="144"/>
  <c r="H22" i="144"/>
  <c r="K3" i="144"/>
  <c r="C3" i="144"/>
  <c r="J3" i="144"/>
  <c r="Q3" i="144"/>
  <c r="G3" i="144"/>
  <c r="G11" i="144"/>
  <c r="R11" i="144"/>
  <c r="F11" i="144"/>
  <c r="N11" i="144"/>
  <c r="F19" i="144"/>
  <c r="R19" i="144"/>
  <c r="E19" i="144"/>
  <c r="M19" i="144"/>
  <c r="S13" i="143"/>
  <c r="S21" i="143"/>
  <c r="J5" i="143"/>
  <c r="H15" i="143"/>
  <c r="F23" i="143"/>
  <c r="H7" i="143"/>
  <c r="I15" i="143"/>
  <c r="G23" i="143"/>
  <c r="T5" i="143"/>
  <c r="D13" i="143"/>
  <c r="N5" i="143"/>
  <c r="E7" i="143"/>
  <c r="H13" i="143"/>
  <c r="R15" i="143"/>
  <c r="I23" i="143"/>
  <c r="F7" i="143"/>
  <c r="I13" i="143"/>
  <c r="F21" i="143"/>
  <c r="O23" i="143"/>
  <c r="N3" i="143"/>
  <c r="O3" i="143"/>
  <c r="L13" i="143"/>
  <c r="E5" i="143"/>
  <c r="F5" i="143"/>
  <c r="J18" i="143"/>
  <c r="L17" i="143"/>
  <c r="S17" i="143"/>
  <c r="T17" i="143"/>
  <c r="R22" i="143"/>
  <c r="G22" i="143"/>
  <c r="D22" i="143"/>
  <c r="O22" i="143"/>
  <c r="R6" i="143"/>
  <c r="M6" i="143"/>
  <c r="S6" i="143"/>
  <c r="H6" i="143"/>
  <c r="N14" i="143"/>
  <c r="P14" i="143"/>
  <c r="G14" i="143"/>
  <c r="C14" i="143"/>
  <c r="R14" i="143"/>
  <c r="M8" i="143"/>
  <c r="P8" i="143"/>
  <c r="E8" i="143"/>
  <c r="Q4" i="143"/>
  <c r="G4" i="143"/>
  <c r="L12" i="143"/>
  <c r="E12" i="143"/>
  <c r="S20" i="143"/>
  <c r="L20" i="143"/>
  <c r="Q5" i="143"/>
  <c r="S5" i="143"/>
  <c r="C5" i="143"/>
  <c r="O5" i="143"/>
  <c r="K5" i="143"/>
  <c r="T13" i="143"/>
  <c r="R13" i="143"/>
  <c r="C13" i="143"/>
  <c r="Q13" i="143"/>
  <c r="J13" i="143"/>
  <c r="T21" i="143"/>
  <c r="E21" i="143"/>
  <c r="M21" i="143"/>
  <c r="K18" i="143"/>
  <c r="J6" i="143"/>
  <c r="D14" i="143"/>
  <c r="L18" i="143"/>
  <c r="H22" i="143"/>
  <c r="O4" i="143"/>
  <c r="K6" i="143"/>
  <c r="G7" i="143"/>
  <c r="F14" i="143"/>
  <c r="G15" i="143"/>
  <c r="T15" i="143"/>
  <c r="O18" i="143"/>
  <c r="J22" i="143"/>
  <c r="H23" i="143"/>
  <c r="S18" i="143"/>
  <c r="P6" i="143"/>
  <c r="C6" i="143"/>
  <c r="Q6" i="143"/>
  <c r="N7" i="143"/>
  <c r="F12" i="143"/>
  <c r="L14" i="143"/>
  <c r="J15" i="143"/>
  <c r="C18" i="143"/>
  <c r="F19" i="143"/>
  <c r="Q22" i="143"/>
  <c r="P23" i="143"/>
  <c r="I14" i="143"/>
  <c r="T18" i="143"/>
  <c r="P22" i="143"/>
  <c r="E6" i="143"/>
  <c r="O7" i="143"/>
  <c r="O14" i="143"/>
  <c r="O15" i="143"/>
  <c r="F18" i="143"/>
  <c r="G19" i="143"/>
  <c r="T22" i="143"/>
  <c r="Q23" i="143"/>
  <c r="J8" i="143"/>
  <c r="G18" i="143"/>
  <c r="S3" i="143"/>
  <c r="G5" i="143"/>
  <c r="P5" i="143"/>
  <c r="N8" i="143"/>
  <c r="H10" i="143"/>
  <c r="E13" i="143"/>
  <c r="N13" i="143"/>
  <c r="H18" i="143"/>
  <c r="Q18" i="143"/>
  <c r="C21" i="143"/>
  <c r="N21" i="143"/>
  <c r="S9" i="143"/>
  <c r="L8" i="143"/>
  <c r="T9" i="143"/>
  <c r="P18" i="143"/>
  <c r="N20" i="143"/>
  <c r="D4" i="143"/>
  <c r="H5" i="143"/>
  <c r="R5" i="143"/>
  <c r="C8" i="143"/>
  <c r="O8" i="143"/>
  <c r="F13" i="143"/>
  <c r="P13" i="143"/>
  <c r="J16" i="143"/>
  <c r="I18" i="143"/>
  <c r="R18" i="143"/>
  <c r="D21" i="143"/>
  <c r="Q21" i="143"/>
  <c r="F8" i="143"/>
  <c r="R8" i="143"/>
  <c r="G8" i="143"/>
  <c r="S8" i="143"/>
  <c r="M12" i="143"/>
  <c r="D5" i="143"/>
  <c r="M5" i="143"/>
  <c r="H8" i="143"/>
  <c r="C9" i="143"/>
  <c r="N12" i="143"/>
  <c r="K13" i="143"/>
  <c r="D18" i="143"/>
  <c r="N18" i="143"/>
  <c r="K21" i="143"/>
  <c r="D9" i="143"/>
  <c r="C17" i="143"/>
  <c r="O10" i="143"/>
  <c r="G10" i="143"/>
  <c r="N10" i="143"/>
  <c r="F10" i="143"/>
  <c r="M10" i="143"/>
  <c r="E10" i="143"/>
  <c r="T10" i="143"/>
  <c r="L10" i="143"/>
  <c r="D10" i="143"/>
  <c r="S10" i="143"/>
  <c r="K10" i="143"/>
  <c r="C10" i="143"/>
  <c r="I10" i="143"/>
  <c r="D17" i="143"/>
  <c r="K16" i="143"/>
  <c r="T16" i="143"/>
  <c r="F16" i="143"/>
  <c r="P16" i="143"/>
  <c r="E16" i="143"/>
  <c r="O16" i="143"/>
  <c r="D16" i="143"/>
  <c r="N16" i="143"/>
  <c r="C16" i="143"/>
  <c r="M16" i="143"/>
  <c r="Q9" i="143"/>
  <c r="I9" i="143"/>
  <c r="M9" i="143"/>
  <c r="P9" i="143"/>
  <c r="H9" i="143"/>
  <c r="O9" i="143"/>
  <c r="G9" i="143"/>
  <c r="N9" i="143"/>
  <c r="F9" i="143"/>
  <c r="L9" i="143"/>
  <c r="R17" i="143"/>
  <c r="J17" i="143"/>
  <c r="N17" i="143"/>
  <c r="Q17" i="143"/>
  <c r="I17" i="143"/>
  <c r="P17" i="143"/>
  <c r="H17" i="143"/>
  <c r="O17" i="143"/>
  <c r="G17" i="143"/>
  <c r="F17" i="143"/>
  <c r="J9" i="143"/>
  <c r="E17" i="143"/>
  <c r="K9" i="143"/>
  <c r="P10" i="143"/>
  <c r="K17" i="143"/>
  <c r="Q10" i="143"/>
  <c r="R9" i="143"/>
  <c r="R10" i="143"/>
  <c r="G16" i="143"/>
  <c r="M17" i="143"/>
  <c r="J7" i="143"/>
  <c r="T7" i="143"/>
  <c r="L15" i="143"/>
  <c r="J23" i="143"/>
  <c r="I4" i="143"/>
  <c r="C7" i="143"/>
  <c r="L7" i="143"/>
  <c r="H11" i="143"/>
  <c r="D15" i="143"/>
  <c r="M15" i="143"/>
  <c r="D20" i="143"/>
  <c r="M23" i="143"/>
  <c r="N4" i="143"/>
  <c r="I5" i="143"/>
  <c r="D7" i="143"/>
  <c r="L11" i="143"/>
  <c r="E15" i="143"/>
  <c r="G20" i="143"/>
  <c r="J21" i="143"/>
  <c r="R8" i="144"/>
  <c r="J8" i="144"/>
  <c r="Q8" i="144"/>
  <c r="I8" i="144"/>
  <c r="N8" i="144"/>
  <c r="F8" i="144"/>
  <c r="L8" i="144"/>
  <c r="K8" i="144"/>
  <c r="S8" i="144"/>
  <c r="E8" i="144"/>
  <c r="T4" i="144"/>
  <c r="P8" i="144"/>
  <c r="D12" i="144"/>
  <c r="G16" i="144"/>
  <c r="S20" i="144"/>
  <c r="T8" i="144"/>
  <c r="E12" i="144"/>
  <c r="H16" i="144"/>
  <c r="C8" i="144"/>
  <c r="K12" i="144"/>
  <c r="L16" i="144"/>
  <c r="C20" i="144"/>
  <c r="D8" i="144"/>
  <c r="R4" i="144"/>
  <c r="J4" i="144"/>
  <c r="Q4" i="144"/>
  <c r="I4" i="144"/>
  <c r="N4" i="144"/>
  <c r="F4" i="144"/>
  <c r="P4" i="144"/>
  <c r="D4" i="144"/>
  <c r="O4" i="144"/>
  <c r="C4" i="144"/>
  <c r="K4" i="144"/>
  <c r="E20" i="144"/>
  <c r="L4" i="144"/>
  <c r="H8" i="144"/>
  <c r="R16" i="144"/>
  <c r="J16" i="144"/>
  <c r="Q16" i="144"/>
  <c r="I16" i="144"/>
  <c r="N16" i="144"/>
  <c r="F16" i="144"/>
  <c r="P16" i="144"/>
  <c r="D16" i="144"/>
  <c r="O16" i="144"/>
  <c r="C16" i="144"/>
  <c r="M16" i="144"/>
  <c r="K16" i="144"/>
  <c r="R12" i="144"/>
  <c r="J12" i="144"/>
  <c r="Q12" i="144"/>
  <c r="I12" i="144"/>
  <c r="N12" i="144"/>
  <c r="F12" i="144"/>
  <c r="H12" i="144"/>
  <c r="S12" i="144"/>
  <c r="T12" i="144"/>
  <c r="G12" i="144"/>
  <c r="O12" i="144"/>
  <c r="C12" i="144"/>
  <c r="R20" i="144"/>
  <c r="J20" i="144"/>
  <c r="Q20" i="144"/>
  <c r="I20" i="144"/>
  <c r="N20" i="144"/>
  <c r="F20" i="144"/>
  <c r="M20" i="144"/>
  <c r="L20" i="144"/>
  <c r="K20" i="144"/>
  <c r="T20" i="144"/>
  <c r="G20" i="144"/>
  <c r="H4" i="144"/>
  <c r="G8" i="144"/>
  <c r="M12" i="144"/>
  <c r="T16" i="144"/>
  <c r="M4" i="144"/>
  <c r="M8" i="144"/>
  <c r="O20" i="144"/>
  <c r="E5" i="144"/>
  <c r="J7" i="144"/>
  <c r="J13" i="144"/>
  <c r="O15" i="144"/>
  <c r="G23" i="144"/>
  <c r="T3" i="144"/>
  <c r="L3" i="144"/>
  <c r="T47" i="144"/>
  <c r="S3" i="144"/>
  <c r="P3" i="144"/>
  <c r="T11" i="144"/>
  <c r="L11" i="144"/>
  <c r="D11" i="144"/>
  <c r="S11" i="144"/>
  <c r="K11" i="144"/>
  <c r="C11" i="144"/>
  <c r="P11" i="144"/>
  <c r="H11" i="144"/>
  <c r="T19" i="144"/>
  <c r="L19" i="144"/>
  <c r="D19" i="144"/>
  <c r="S19" i="144"/>
  <c r="K19" i="144"/>
  <c r="C19" i="144"/>
  <c r="P19" i="144"/>
  <c r="H19" i="144"/>
  <c r="P5" i="144"/>
  <c r="H5" i="144"/>
  <c r="O5" i="144"/>
  <c r="G5" i="144"/>
  <c r="T5" i="144"/>
  <c r="L5" i="144"/>
  <c r="D5" i="144"/>
  <c r="P21" i="144"/>
  <c r="H21" i="144"/>
  <c r="O21" i="144"/>
  <c r="G21" i="144"/>
  <c r="T21" i="144"/>
  <c r="L21" i="144"/>
  <c r="D21" i="144"/>
  <c r="J5" i="144"/>
  <c r="Q19" i="144"/>
  <c r="F21" i="144"/>
  <c r="S21" i="144"/>
  <c r="P13" i="144"/>
  <c r="H13" i="144"/>
  <c r="O13" i="144"/>
  <c r="G13" i="144"/>
  <c r="T13" i="144"/>
  <c r="L13" i="144"/>
  <c r="D13" i="144"/>
  <c r="K5" i="144"/>
  <c r="C13" i="144"/>
  <c r="Q13" i="144"/>
  <c r="I21" i="144"/>
  <c r="T7" i="144"/>
  <c r="L7" i="144"/>
  <c r="D7" i="144"/>
  <c r="S7" i="144"/>
  <c r="K7" i="144"/>
  <c r="C7" i="144"/>
  <c r="P7" i="144"/>
  <c r="H7" i="144"/>
  <c r="T15" i="144"/>
  <c r="L15" i="144"/>
  <c r="D15" i="144"/>
  <c r="S15" i="144"/>
  <c r="K15" i="144"/>
  <c r="C15" i="144"/>
  <c r="P15" i="144"/>
  <c r="H15" i="144"/>
  <c r="T23" i="144"/>
  <c r="L23" i="144"/>
  <c r="D23" i="144"/>
  <c r="S23" i="144"/>
  <c r="K23" i="144"/>
  <c r="C23" i="144"/>
  <c r="P23" i="144"/>
  <c r="H23" i="144"/>
  <c r="T47" i="143"/>
  <c r="M3" i="143"/>
  <c r="E3" i="143"/>
  <c r="T3" i="143"/>
  <c r="L3" i="143"/>
  <c r="D3" i="143"/>
  <c r="R3" i="143"/>
  <c r="J3" i="143"/>
  <c r="K3" i="143"/>
  <c r="I3" i="143"/>
  <c r="H3" i="143"/>
  <c r="Q3" i="143"/>
  <c r="F3" i="143"/>
  <c r="P3" i="143"/>
  <c r="C3" i="143"/>
  <c r="S11" i="143"/>
  <c r="K11" i="143"/>
  <c r="C11" i="143"/>
  <c r="T11" i="143"/>
  <c r="J11" i="143"/>
  <c r="R11" i="143"/>
  <c r="I11" i="143"/>
  <c r="P11" i="143"/>
  <c r="G11" i="143"/>
  <c r="F11" i="143"/>
  <c r="Q11" i="143"/>
  <c r="D11" i="143"/>
  <c r="E11" i="143"/>
  <c r="N11" i="143"/>
  <c r="M11" i="143"/>
  <c r="T19" i="143"/>
  <c r="L19" i="143"/>
  <c r="D19" i="143"/>
  <c r="S19" i="143"/>
  <c r="K19" i="143"/>
  <c r="C19" i="143"/>
  <c r="N19" i="143"/>
  <c r="M19" i="143"/>
  <c r="I19" i="143"/>
  <c r="R19" i="143"/>
  <c r="E19" i="143"/>
  <c r="Q19" i="143"/>
  <c r="P19" i="143"/>
  <c r="J19" i="143"/>
  <c r="H19" i="143"/>
  <c r="L4" i="143"/>
  <c r="H12" i="143"/>
  <c r="H20" i="143"/>
  <c r="M4" i="143"/>
  <c r="K20" i="143"/>
  <c r="Q12" i="143"/>
  <c r="I12" i="143"/>
  <c r="T12" i="143"/>
  <c r="K12" i="143"/>
  <c r="S12" i="143"/>
  <c r="J12" i="143"/>
  <c r="P12" i="143"/>
  <c r="G12" i="143"/>
  <c r="E4" i="143"/>
  <c r="C12" i="143"/>
  <c r="O12" i="143"/>
  <c r="C22" i="143"/>
  <c r="S4" i="143"/>
  <c r="K4" i="143"/>
  <c r="C4" i="143"/>
  <c r="R4" i="143"/>
  <c r="J4" i="143"/>
  <c r="P4" i="143"/>
  <c r="H4" i="143"/>
  <c r="R20" i="143"/>
  <c r="J20" i="143"/>
  <c r="Q20" i="143"/>
  <c r="I20" i="143"/>
  <c r="P20" i="143"/>
  <c r="F20" i="143"/>
  <c r="O20" i="143"/>
  <c r="E20" i="143"/>
  <c r="M20" i="143"/>
  <c r="C20" i="143"/>
  <c r="F4" i="143"/>
  <c r="T4" i="143"/>
  <c r="D12" i="143"/>
  <c r="R12" i="143"/>
  <c r="T20" i="143"/>
  <c r="O6" i="143"/>
  <c r="G6" i="143"/>
  <c r="N6" i="143"/>
  <c r="F6" i="143"/>
  <c r="T6" i="143"/>
  <c r="L6" i="143"/>
  <c r="D6" i="143"/>
  <c r="M14" i="143"/>
  <c r="E14" i="143"/>
  <c r="T14" i="143"/>
  <c r="K14" i="143"/>
  <c r="S14" i="143"/>
  <c r="J14" i="143"/>
  <c r="Q14" i="143"/>
  <c r="H14" i="143"/>
  <c r="N22" i="143"/>
  <c r="F22" i="143"/>
  <c r="M22" i="143"/>
  <c r="E22" i="143"/>
  <c r="L22" i="143"/>
  <c r="K22" i="143"/>
  <c r="S22" i="143"/>
  <c r="I22" i="143"/>
  <c r="K8" i="143"/>
  <c r="T8" i="143"/>
  <c r="H16" i="143"/>
  <c r="S16" i="143"/>
  <c r="O13" i="143"/>
  <c r="G13" i="143"/>
  <c r="P21" i="143"/>
  <c r="H21" i="143"/>
  <c r="O21" i="143"/>
  <c r="G21" i="143"/>
  <c r="D8" i="143"/>
  <c r="S7" i="143"/>
  <c r="K7" i="143"/>
  <c r="S15" i="143"/>
  <c r="K15" i="143"/>
  <c r="C15" i="143"/>
  <c r="T23" i="143"/>
  <c r="L23" i="143"/>
  <c r="D23" i="143"/>
  <c r="S23" i="143"/>
  <c r="K23" i="143"/>
  <c r="C23" i="143"/>
  <c r="Q8" i="143"/>
  <c r="I8" i="143"/>
  <c r="R16" i="143"/>
  <c r="Q16" i="143"/>
  <c r="I16" i="143"/>
  <c r="E18" i="143"/>
  <c r="C41" i="137"/>
  <c r="S40" i="137"/>
  <c r="J35" i="137"/>
  <c r="I34" i="137"/>
  <c r="J33" i="137"/>
  <c r="E25" i="136"/>
  <c r="E28" i="136"/>
  <c r="E25" i="126"/>
  <c r="F25" i="136"/>
  <c r="F28" i="136"/>
  <c r="G27" i="136"/>
  <c r="H27" i="136"/>
  <c r="G26" i="136"/>
  <c r="H26" i="136"/>
  <c r="D25" i="136"/>
  <c r="D28" i="136"/>
  <c r="C25" i="136"/>
  <c r="C28" i="136"/>
  <c r="G73" i="137"/>
  <c r="H72" i="137"/>
  <c r="H71" i="137"/>
  <c r="I70" i="137"/>
  <c r="R68" i="137"/>
  <c r="L67" i="137"/>
  <c r="N66" i="137"/>
  <c r="E65" i="137"/>
  <c r="C40" i="137"/>
  <c r="E39" i="137"/>
  <c r="F38" i="137"/>
  <c r="S61" i="137"/>
  <c r="D60" i="137"/>
  <c r="K59" i="137"/>
  <c r="D58" i="137"/>
  <c r="M57" i="137"/>
  <c r="F56" i="137"/>
  <c r="O55" i="137"/>
  <c r="G31" i="123"/>
  <c r="G32" i="123"/>
  <c r="M46" i="137"/>
  <c r="E57" i="137"/>
  <c r="H35" i="137"/>
  <c r="F57" i="137"/>
  <c r="E59" i="137"/>
  <c r="S60" i="137"/>
  <c r="P43" i="137"/>
  <c r="P67" i="137"/>
  <c r="P19" i="137"/>
  <c r="P62" i="137"/>
  <c r="P38" i="137"/>
  <c r="P14" i="137"/>
  <c r="C59" i="137"/>
  <c r="Q44" i="137"/>
  <c r="K67" i="137"/>
  <c r="J68" i="137"/>
  <c r="L31" i="137"/>
  <c r="I35" i="137"/>
  <c r="Q42" i="137"/>
  <c r="K48" i="137"/>
  <c r="K72" i="137"/>
  <c r="K24" i="137"/>
  <c r="N64" i="137"/>
  <c r="K68" i="137"/>
  <c r="M31" i="137"/>
  <c r="R42" i="137"/>
  <c r="R66" i="137"/>
  <c r="R18" i="137"/>
  <c r="L48" i="137"/>
  <c r="L72" i="137"/>
  <c r="L24" i="137"/>
  <c r="O64" i="137"/>
  <c r="L68" i="137"/>
  <c r="K32" i="137"/>
  <c r="G36" i="137"/>
  <c r="S42" i="137"/>
  <c r="M48" i="137"/>
  <c r="D59" i="137"/>
  <c r="P64" i="137"/>
  <c r="H70" i="137"/>
  <c r="D39" i="137"/>
  <c r="D63" i="137"/>
  <c r="D15" i="137"/>
  <c r="G55" i="137"/>
  <c r="L66" i="137"/>
  <c r="F72" i="137"/>
  <c r="X22" i="149"/>
  <c r="K33" i="137"/>
  <c r="O44" i="137"/>
  <c r="H55" i="137"/>
  <c r="S59" i="137"/>
  <c r="M66" i="137"/>
  <c r="G72" i="137"/>
  <c r="X23" i="149"/>
  <c r="L33" i="137"/>
  <c r="P44" i="137"/>
  <c r="R60" i="137"/>
  <c r="P69" i="137"/>
  <c r="H69" i="137"/>
  <c r="M45" i="137"/>
  <c r="E45" i="137"/>
  <c r="O69" i="137"/>
  <c r="G69" i="137"/>
  <c r="L45" i="137"/>
  <c r="D45" i="137"/>
  <c r="N69" i="137"/>
  <c r="F69" i="137"/>
  <c r="S45" i="137"/>
  <c r="K45" i="137"/>
  <c r="C45" i="137"/>
  <c r="M69" i="137"/>
  <c r="E69" i="137"/>
  <c r="R45" i="137"/>
  <c r="J45" i="137"/>
  <c r="D69" i="137"/>
  <c r="I45" i="137"/>
  <c r="S69" i="137"/>
  <c r="C69" i="137"/>
  <c r="H45" i="137"/>
  <c r="H21" i="137"/>
  <c r="R69" i="137"/>
  <c r="G45" i="137"/>
  <c r="L69" i="137"/>
  <c r="Q45" i="137"/>
  <c r="F37" i="137"/>
  <c r="O54" i="137"/>
  <c r="G54" i="137"/>
  <c r="L30" i="137"/>
  <c r="D30" i="137"/>
  <c r="N54" i="137"/>
  <c r="F54" i="137"/>
  <c r="S30" i="137"/>
  <c r="K30" i="137"/>
  <c r="C30" i="137"/>
  <c r="M54" i="137"/>
  <c r="E54" i="137"/>
  <c r="E30" i="137"/>
  <c r="E6" i="137"/>
  <c r="R30" i="137"/>
  <c r="R54" i="137"/>
  <c r="R6" i="137"/>
  <c r="J30" i="137"/>
  <c r="L54" i="137"/>
  <c r="L6" i="137"/>
  <c r="D54" i="137"/>
  <c r="Q30" i="137"/>
  <c r="Q54" i="137"/>
  <c r="Q6" i="137"/>
  <c r="I30" i="137"/>
  <c r="S54" i="137"/>
  <c r="C54" i="137"/>
  <c r="H30" i="137"/>
  <c r="H54" i="137"/>
  <c r="H6" i="137"/>
  <c r="G30" i="137"/>
  <c r="G6" i="137"/>
  <c r="F30" i="137"/>
  <c r="K54" i="137"/>
  <c r="P30" i="137"/>
  <c r="Q62" i="137"/>
  <c r="Q38" i="137"/>
  <c r="Q14" i="137"/>
  <c r="N63" i="137"/>
  <c r="F63" i="137"/>
  <c r="S39" i="137"/>
  <c r="K39" i="137"/>
  <c r="C39" i="137"/>
  <c r="M63" i="137"/>
  <c r="E63" i="137"/>
  <c r="R39" i="137"/>
  <c r="J39" i="137"/>
  <c r="L63" i="137"/>
  <c r="Q39" i="137"/>
  <c r="I39" i="137"/>
  <c r="S63" i="137"/>
  <c r="K63" i="137"/>
  <c r="C63" i="137"/>
  <c r="P39" i="137"/>
  <c r="H39" i="137"/>
  <c r="H63" i="137"/>
  <c r="H15" i="137"/>
  <c r="J63" i="137"/>
  <c r="O39" i="137"/>
  <c r="I63" i="137"/>
  <c r="N39" i="137"/>
  <c r="M39" i="137"/>
  <c r="R63" i="137"/>
  <c r="G39" i="137"/>
  <c r="H37" i="137"/>
  <c r="F39" i="137"/>
  <c r="D41" i="137"/>
  <c r="O46" i="137"/>
  <c r="I55" i="137"/>
  <c r="G57" i="137"/>
  <c r="C61" i="137"/>
  <c r="R62" i="137"/>
  <c r="J70" i="137"/>
  <c r="M56" i="137"/>
  <c r="E56" i="137"/>
  <c r="R32" i="137"/>
  <c r="J32" i="137"/>
  <c r="L56" i="137"/>
  <c r="D56" i="137"/>
  <c r="Q32" i="137"/>
  <c r="I32" i="137"/>
  <c r="I56" i="137"/>
  <c r="I8" i="137"/>
  <c r="S56" i="137"/>
  <c r="K56" i="137"/>
  <c r="C56" i="137"/>
  <c r="P32" i="137"/>
  <c r="P56" i="137"/>
  <c r="P8" i="137"/>
  <c r="H32" i="137"/>
  <c r="R56" i="137"/>
  <c r="J56" i="137"/>
  <c r="J8" i="137"/>
  <c r="O32" i="137"/>
  <c r="O56" i="137"/>
  <c r="O8" i="137"/>
  <c r="G32" i="137"/>
  <c r="Q56" i="137"/>
  <c r="F32" i="137"/>
  <c r="F8" i="137"/>
  <c r="E32" i="137"/>
  <c r="D32" i="137"/>
  <c r="N32" i="137"/>
  <c r="M64" i="137"/>
  <c r="E64" i="137"/>
  <c r="R40" i="137"/>
  <c r="J40" i="137"/>
  <c r="L64" i="137"/>
  <c r="D64" i="137"/>
  <c r="Q40" i="137"/>
  <c r="I40" i="137"/>
  <c r="S64" i="137"/>
  <c r="S16" i="137"/>
  <c r="K64" i="137"/>
  <c r="C64" i="137"/>
  <c r="P40" i="137"/>
  <c r="H40" i="137"/>
  <c r="H64" i="137"/>
  <c r="H16" i="137"/>
  <c r="R64" i="137"/>
  <c r="J64" i="137"/>
  <c r="J16" i="137"/>
  <c r="O40" i="137"/>
  <c r="G40" i="137"/>
  <c r="I64" i="137"/>
  <c r="I16" i="137"/>
  <c r="N40" i="137"/>
  <c r="M40" i="137"/>
  <c r="G64" i="137"/>
  <c r="L40" i="137"/>
  <c r="Q64" i="137"/>
  <c r="F40" i="137"/>
  <c r="M72" i="137"/>
  <c r="M24" i="137"/>
  <c r="E72" i="137"/>
  <c r="R48" i="137"/>
  <c r="J48" i="137"/>
  <c r="D72" i="137"/>
  <c r="Q48" i="137"/>
  <c r="I48" i="137"/>
  <c r="S72" i="137"/>
  <c r="C72" i="137"/>
  <c r="P48" i="137"/>
  <c r="H48" i="137"/>
  <c r="H24" i="137"/>
  <c r="R72" i="137"/>
  <c r="J72" i="137"/>
  <c r="O48" i="137"/>
  <c r="G48" i="137"/>
  <c r="G24" i="137"/>
  <c r="Q72" i="137"/>
  <c r="F48" i="137"/>
  <c r="P72" i="137"/>
  <c r="E48" i="137"/>
  <c r="E24" i="137"/>
  <c r="O72" i="137"/>
  <c r="D48" i="137"/>
  <c r="I72" i="137"/>
  <c r="N48" i="137"/>
  <c r="C32" i="137"/>
  <c r="R33" i="137"/>
  <c r="P35" i="137"/>
  <c r="N37" i="137"/>
  <c r="L39" i="137"/>
  <c r="J41" i="137"/>
  <c r="H43" i="137"/>
  <c r="F45" i="137"/>
  <c r="D47" i="137"/>
  <c r="D71" i="137"/>
  <c r="D23" i="137"/>
  <c r="S48" i="137"/>
  <c r="I61" i="137"/>
  <c r="G63" i="137"/>
  <c r="C67" i="137"/>
  <c r="P70" i="137"/>
  <c r="N72" i="137"/>
  <c r="G37" i="137"/>
  <c r="N55" i="137"/>
  <c r="F55" i="137"/>
  <c r="S31" i="137"/>
  <c r="S55" i="137"/>
  <c r="S7" i="137"/>
  <c r="K31" i="137"/>
  <c r="C31" i="137"/>
  <c r="M55" i="137"/>
  <c r="E55" i="137"/>
  <c r="R31" i="137"/>
  <c r="J31" i="137"/>
  <c r="J55" i="137"/>
  <c r="J7" i="137"/>
  <c r="L55" i="137"/>
  <c r="L7" i="137"/>
  <c r="D55" i="137"/>
  <c r="Q31" i="137"/>
  <c r="I31" i="137"/>
  <c r="K55" i="137"/>
  <c r="C55" i="137"/>
  <c r="C7" i="137"/>
  <c r="P31" i="137"/>
  <c r="H31" i="137"/>
  <c r="R55" i="137"/>
  <c r="R7" i="137"/>
  <c r="G31" i="137"/>
  <c r="G7" i="137"/>
  <c r="Q55" i="137"/>
  <c r="F31" i="137"/>
  <c r="P55" i="137"/>
  <c r="E31" i="137"/>
  <c r="O31" i="137"/>
  <c r="O7" i="137"/>
  <c r="N31" i="137"/>
  <c r="N7" i="137"/>
  <c r="L65" i="137"/>
  <c r="D65" i="137"/>
  <c r="Q41" i="137"/>
  <c r="I41" i="137"/>
  <c r="S65" i="137"/>
  <c r="K65" i="137"/>
  <c r="C65" i="137"/>
  <c r="C17" i="137"/>
  <c r="P41" i="137"/>
  <c r="H41" i="137"/>
  <c r="R65" i="137"/>
  <c r="J65" i="137"/>
  <c r="O41" i="137"/>
  <c r="G41" i="137"/>
  <c r="Q65" i="137"/>
  <c r="I65" i="137"/>
  <c r="N41" i="137"/>
  <c r="F41" i="137"/>
  <c r="F65" i="137"/>
  <c r="F17" i="137"/>
  <c r="H65" i="137"/>
  <c r="M41" i="137"/>
  <c r="G65" i="137"/>
  <c r="L41" i="137"/>
  <c r="L17" i="137"/>
  <c r="K41" i="137"/>
  <c r="K17" i="137"/>
  <c r="P65" i="137"/>
  <c r="E41" i="137"/>
  <c r="E17" i="137"/>
  <c r="E38" i="137"/>
  <c r="R41" i="137"/>
  <c r="R17" i="137"/>
  <c r="N45" i="137"/>
  <c r="Q61" i="137"/>
  <c r="E73" i="137"/>
  <c r="S58" i="137"/>
  <c r="K58" i="137"/>
  <c r="C58" i="137"/>
  <c r="P34" i="137"/>
  <c r="H34" i="137"/>
  <c r="R58" i="137"/>
  <c r="J58" i="137"/>
  <c r="O34" i="137"/>
  <c r="O58" i="137"/>
  <c r="O10" i="137"/>
  <c r="G34" i="137"/>
  <c r="G58" i="137"/>
  <c r="G10" i="137"/>
  <c r="Q58" i="137"/>
  <c r="I58" i="137"/>
  <c r="I10" i="137"/>
  <c r="N34" i="137"/>
  <c r="F34" i="137"/>
  <c r="P58" i="137"/>
  <c r="H58" i="137"/>
  <c r="M34" i="137"/>
  <c r="E34" i="137"/>
  <c r="D34" i="137"/>
  <c r="N58" i="137"/>
  <c r="S34" i="137"/>
  <c r="C34" i="137"/>
  <c r="M58" i="137"/>
  <c r="R34" i="137"/>
  <c r="R10" i="137"/>
  <c r="L34" i="137"/>
  <c r="L58" i="137"/>
  <c r="L10" i="137"/>
  <c r="S66" i="137"/>
  <c r="K66" i="137"/>
  <c r="C66" i="137"/>
  <c r="P42" i="137"/>
  <c r="H42" i="137"/>
  <c r="J66" i="137"/>
  <c r="O42" i="137"/>
  <c r="G42" i="137"/>
  <c r="Q66" i="137"/>
  <c r="I66" i="137"/>
  <c r="N42" i="137"/>
  <c r="F42" i="137"/>
  <c r="P66" i="137"/>
  <c r="P18" i="137"/>
  <c r="H66" i="137"/>
  <c r="M42" i="137"/>
  <c r="E42" i="137"/>
  <c r="G66" i="137"/>
  <c r="L42" i="137"/>
  <c r="L18" i="137"/>
  <c r="F66" i="137"/>
  <c r="K42" i="137"/>
  <c r="E66" i="137"/>
  <c r="J42" i="137"/>
  <c r="J18" i="137"/>
  <c r="O66" i="137"/>
  <c r="D42" i="137"/>
  <c r="N30" i="137"/>
  <c r="L32" i="137"/>
  <c r="J34" i="137"/>
  <c r="H36" i="137"/>
  <c r="D40" i="137"/>
  <c r="S41" i="137"/>
  <c r="Q43" i="137"/>
  <c r="O45" i="137"/>
  <c r="M47" i="137"/>
  <c r="K49" i="137"/>
  <c r="I54" i="137"/>
  <c r="G56" i="137"/>
  <c r="E58" i="137"/>
  <c r="C60" i="137"/>
  <c r="C36" i="137"/>
  <c r="C12" i="137"/>
  <c r="R61" i="137"/>
  <c r="P63" i="137"/>
  <c r="N65" i="137"/>
  <c r="J69" i="137"/>
  <c r="F73" i="137"/>
  <c r="O62" i="137"/>
  <c r="G62" i="137"/>
  <c r="G38" i="137"/>
  <c r="G14" i="137"/>
  <c r="L38" i="137"/>
  <c r="D38" i="137"/>
  <c r="N62" i="137"/>
  <c r="F62" i="137"/>
  <c r="F14" i="137"/>
  <c r="S38" i="137"/>
  <c r="K38" i="137"/>
  <c r="C38" i="137"/>
  <c r="M62" i="137"/>
  <c r="E62" i="137"/>
  <c r="R38" i="137"/>
  <c r="R14" i="137"/>
  <c r="J38" i="137"/>
  <c r="L62" i="137"/>
  <c r="D62" i="137"/>
  <c r="I38" i="137"/>
  <c r="K62" i="137"/>
  <c r="K14" i="137"/>
  <c r="J62" i="137"/>
  <c r="O38" i="137"/>
  <c r="I62" i="137"/>
  <c r="N38" i="137"/>
  <c r="N14" i="137"/>
  <c r="S62" i="137"/>
  <c r="C62" i="137"/>
  <c r="H38" i="137"/>
  <c r="N71" i="137"/>
  <c r="F71" i="137"/>
  <c r="S47" i="137"/>
  <c r="K47" i="137"/>
  <c r="C47" i="137"/>
  <c r="M71" i="137"/>
  <c r="E71" i="137"/>
  <c r="R47" i="137"/>
  <c r="R71" i="137"/>
  <c r="R23" i="137"/>
  <c r="J47" i="137"/>
  <c r="J71" i="137"/>
  <c r="J23" i="137"/>
  <c r="L71" i="137"/>
  <c r="Q47" i="137"/>
  <c r="I47" i="137"/>
  <c r="S71" i="137"/>
  <c r="K71" i="137"/>
  <c r="C71" i="137"/>
  <c r="P47" i="137"/>
  <c r="H47" i="137"/>
  <c r="H23" i="137"/>
  <c r="G47" i="137"/>
  <c r="Q71" i="137"/>
  <c r="F47" i="137"/>
  <c r="P71" i="137"/>
  <c r="E47" i="137"/>
  <c r="O47" i="137"/>
  <c r="O71" i="137"/>
  <c r="O23" i="137"/>
  <c r="L57" i="137"/>
  <c r="D57" i="137"/>
  <c r="Q33" i="137"/>
  <c r="I33" i="137"/>
  <c r="S57" i="137"/>
  <c r="K57" i="137"/>
  <c r="C57" i="137"/>
  <c r="P33" i="137"/>
  <c r="H33" i="137"/>
  <c r="R57" i="137"/>
  <c r="J57" i="137"/>
  <c r="J9" i="137"/>
  <c r="O33" i="137"/>
  <c r="O57" i="137"/>
  <c r="O9" i="137"/>
  <c r="G33" i="137"/>
  <c r="G9" i="137"/>
  <c r="Q57" i="137"/>
  <c r="I57" i="137"/>
  <c r="I9" i="137"/>
  <c r="N33" i="137"/>
  <c r="N57" i="137"/>
  <c r="N9" i="137"/>
  <c r="F33" i="137"/>
  <c r="P57" i="137"/>
  <c r="E33" i="137"/>
  <c r="E9" i="137"/>
  <c r="D33" i="137"/>
  <c r="S33" i="137"/>
  <c r="C33" i="137"/>
  <c r="C9" i="137"/>
  <c r="H57" i="137"/>
  <c r="M33" i="137"/>
  <c r="M9" i="137"/>
  <c r="L47" i="137"/>
  <c r="M65" i="137"/>
  <c r="G71" i="137"/>
  <c r="R59" i="137"/>
  <c r="J59" i="137"/>
  <c r="O35" i="137"/>
  <c r="G35" i="137"/>
  <c r="Q59" i="137"/>
  <c r="I59" i="137"/>
  <c r="N35" i="137"/>
  <c r="F35" i="137"/>
  <c r="P59" i="137"/>
  <c r="H59" i="137"/>
  <c r="H11" i="137"/>
  <c r="M35" i="137"/>
  <c r="M59" i="137"/>
  <c r="M11" i="137"/>
  <c r="E35" i="137"/>
  <c r="O59" i="137"/>
  <c r="G59" i="137"/>
  <c r="L35" i="137"/>
  <c r="D35" i="137"/>
  <c r="N59" i="137"/>
  <c r="N11" i="137"/>
  <c r="S35" i="137"/>
  <c r="S11" i="137"/>
  <c r="C35" i="137"/>
  <c r="C11" i="137"/>
  <c r="R35" i="137"/>
  <c r="L59" i="137"/>
  <c r="Q35" i="137"/>
  <c r="F59" i="137"/>
  <c r="K35" i="137"/>
  <c r="K11" i="137"/>
  <c r="R67" i="137"/>
  <c r="J67" i="137"/>
  <c r="O43" i="137"/>
  <c r="G43" i="137"/>
  <c r="Q67" i="137"/>
  <c r="I67" i="137"/>
  <c r="N43" i="137"/>
  <c r="N67" i="137"/>
  <c r="N19" i="137"/>
  <c r="F43" i="137"/>
  <c r="H67" i="137"/>
  <c r="M43" i="137"/>
  <c r="E43" i="137"/>
  <c r="E67" i="137"/>
  <c r="E19" i="137"/>
  <c r="O67" i="137"/>
  <c r="O19" i="137"/>
  <c r="G67" i="137"/>
  <c r="L43" i="137"/>
  <c r="L19" i="137"/>
  <c r="D43" i="137"/>
  <c r="F67" i="137"/>
  <c r="K43" i="137"/>
  <c r="J43" i="137"/>
  <c r="D67" i="137"/>
  <c r="I43" i="137"/>
  <c r="I19" i="137"/>
  <c r="S43" i="137"/>
  <c r="C43" i="137"/>
  <c r="O30" i="137"/>
  <c r="M32" i="137"/>
  <c r="M8" i="137"/>
  <c r="K34" i="137"/>
  <c r="I36" i="137"/>
  <c r="E40" i="137"/>
  <c r="C42" i="137"/>
  <c r="R43" i="137"/>
  <c r="R19" i="137"/>
  <c r="P45" i="137"/>
  <c r="P21" i="137"/>
  <c r="N47" i="137"/>
  <c r="L49" i="137"/>
  <c r="J54" i="137"/>
  <c r="H56" i="137"/>
  <c r="F58" i="137"/>
  <c r="Q63" i="137"/>
  <c r="O65" i="137"/>
  <c r="M67" i="137"/>
  <c r="K69" i="137"/>
  <c r="I71" i="137"/>
  <c r="P61" i="137"/>
  <c r="H61" i="137"/>
  <c r="M37" i="137"/>
  <c r="E37" i="137"/>
  <c r="O61" i="137"/>
  <c r="G61" i="137"/>
  <c r="G13" i="137"/>
  <c r="L37" i="137"/>
  <c r="D37" i="137"/>
  <c r="N61" i="137"/>
  <c r="F61" i="137"/>
  <c r="S37" i="137"/>
  <c r="S13" i="137"/>
  <c r="K37" i="137"/>
  <c r="K61" i="137"/>
  <c r="K13" i="137"/>
  <c r="C37" i="137"/>
  <c r="M61" i="137"/>
  <c r="E61" i="137"/>
  <c r="R37" i="137"/>
  <c r="J37" i="137"/>
  <c r="L61" i="137"/>
  <c r="Q37" i="137"/>
  <c r="Q13" i="137"/>
  <c r="P37" i="137"/>
  <c r="J61" i="137"/>
  <c r="O37" i="137"/>
  <c r="D61" i="137"/>
  <c r="I37" i="137"/>
  <c r="O70" i="137"/>
  <c r="G70" i="137"/>
  <c r="L46" i="137"/>
  <c r="D46" i="137"/>
  <c r="N70" i="137"/>
  <c r="F70" i="137"/>
  <c r="S46" i="137"/>
  <c r="K46" i="137"/>
  <c r="C46" i="137"/>
  <c r="M70" i="137"/>
  <c r="E70" i="137"/>
  <c r="R46" i="137"/>
  <c r="J46" i="137"/>
  <c r="J22" i="137"/>
  <c r="L70" i="137"/>
  <c r="D70" i="137"/>
  <c r="Q46" i="137"/>
  <c r="I46" i="137"/>
  <c r="I22" i="137"/>
  <c r="S70" i="137"/>
  <c r="C70" i="137"/>
  <c r="H46" i="137"/>
  <c r="H22" i="137"/>
  <c r="R70" i="137"/>
  <c r="G46" i="137"/>
  <c r="Q70" i="137"/>
  <c r="F46" i="137"/>
  <c r="F22" i="137"/>
  <c r="K70" i="137"/>
  <c r="P46" i="137"/>
  <c r="N46" i="137"/>
  <c r="L73" i="137"/>
  <c r="D73" i="137"/>
  <c r="Q49" i="137"/>
  <c r="I49" i="137"/>
  <c r="S73" i="137"/>
  <c r="K73" i="137"/>
  <c r="C73" i="137"/>
  <c r="P49" i="137"/>
  <c r="H49" i="137"/>
  <c r="H73" i="137"/>
  <c r="H25" i="137"/>
  <c r="R73" i="137"/>
  <c r="J73" i="137"/>
  <c r="O49" i="137"/>
  <c r="G49" i="137"/>
  <c r="G25" i="137"/>
  <c r="Q73" i="137"/>
  <c r="I73" i="137"/>
  <c r="I25" i="137"/>
  <c r="N49" i="137"/>
  <c r="F49" i="137"/>
  <c r="P73" i="137"/>
  <c r="E49" i="137"/>
  <c r="O73" i="137"/>
  <c r="D49" i="137"/>
  <c r="N73" i="137"/>
  <c r="S49" i="137"/>
  <c r="C49" i="137"/>
  <c r="C25" i="137"/>
  <c r="M49" i="137"/>
  <c r="M30" i="137"/>
  <c r="J49" i="137"/>
  <c r="O63" i="137"/>
  <c r="O15" i="137"/>
  <c r="I69" i="137"/>
  <c r="Q60" i="137"/>
  <c r="I60" i="137"/>
  <c r="N36" i="137"/>
  <c r="F36" i="137"/>
  <c r="P60" i="137"/>
  <c r="H60" i="137"/>
  <c r="M36" i="137"/>
  <c r="E36" i="137"/>
  <c r="O60" i="137"/>
  <c r="G60" i="137"/>
  <c r="G12" i="137"/>
  <c r="L36" i="137"/>
  <c r="L60" i="137"/>
  <c r="L12" i="137"/>
  <c r="D36" i="137"/>
  <c r="D12" i="137"/>
  <c r="N60" i="137"/>
  <c r="F60" i="137"/>
  <c r="S36" i="137"/>
  <c r="K36" i="137"/>
  <c r="M60" i="137"/>
  <c r="R36" i="137"/>
  <c r="R12" i="137"/>
  <c r="Q36" i="137"/>
  <c r="K60" i="137"/>
  <c r="P36" i="137"/>
  <c r="E60" i="137"/>
  <c r="J36" i="137"/>
  <c r="Q68" i="137"/>
  <c r="Q20" i="137"/>
  <c r="I68" i="137"/>
  <c r="N44" i="137"/>
  <c r="F44" i="137"/>
  <c r="P68" i="137"/>
  <c r="H68" i="137"/>
  <c r="M44" i="137"/>
  <c r="E44" i="137"/>
  <c r="O68" i="137"/>
  <c r="G68" i="137"/>
  <c r="L44" i="137"/>
  <c r="L20" i="137"/>
  <c r="D44" i="137"/>
  <c r="N68" i="137"/>
  <c r="F68" i="137"/>
  <c r="F20" i="137"/>
  <c r="S44" i="137"/>
  <c r="K44" i="137"/>
  <c r="C44" i="137"/>
  <c r="E68" i="137"/>
  <c r="E20" i="137"/>
  <c r="J44" i="137"/>
  <c r="J20" i="137"/>
  <c r="D68" i="137"/>
  <c r="I44" i="137"/>
  <c r="S68" i="137"/>
  <c r="C68" i="137"/>
  <c r="H44" i="137"/>
  <c r="M68" i="137"/>
  <c r="M20" i="137"/>
  <c r="R44" i="137"/>
  <c r="R20" i="137"/>
  <c r="D31" i="137"/>
  <c r="D7" i="137"/>
  <c r="S32" i="137"/>
  <c r="S8" i="137"/>
  <c r="Q34" i="137"/>
  <c r="O36" i="137"/>
  <c r="M38" i="137"/>
  <c r="K40" i="137"/>
  <c r="I42" i="137"/>
  <c r="I18" i="137"/>
  <c r="G44" i="137"/>
  <c r="E46" i="137"/>
  <c r="E22" i="137"/>
  <c r="C48" i="137"/>
  <c r="R49" i="137"/>
  <c r="P54" i="137"/>
  <c r="N56" i="137"/>
  <c r="J60" i="137"/>
  <c r="J12" i="137"/>
  <c r="H62" i="137"/>
  <c r="H14" i="137"/>
  <c r="F64" i="137"/>
  <c r="D66" i="137"/>
  <c r="S67" i="137"/>
  <c r="Q69" i="137"/>
  <c r="Q21" i="137"/>
  <c r="M73" i="137"/>
  <c r="H8" i="137"/>
  <c r="R22" i="137"/>
  <c r="R16" i="137"/>
  <c r="R24" i="137"/>
  <c r="F11" i="137"/>
  <c r="C14" i="137"/>
  <c r="H17" i="137"/>
  <c r="I24" i="137"/>
  <c r="P23" i="137"/>
  <c r="K9" i="137"/>
  <c r="E25" i="137"/>
  <c r="M16" i="137"/>
  <c r="J11" i="137"/>
  <c r="C16" i="137"/>
  <c r="G20" i="137"/>
  <c r="P15" i="137"/>
  <c r="C20" i="137"/>
  <c r="C21" i="137"/>
  <c r="M22" i="137"/>
  <c r="P16" i="137"/>
  <c r="C10" i="137"/>
  <c r="D10" i="137"/>
  <c r="E15" i="137"/>
  <c r="S17" i="137"/>
  <c r="K19" i="137"/>
  <c r="E12" i="137"/>
  <c r="D11" i="137"/>
  <c r="N18" i="137"/>
  <c r="R15" i="137"/>
  <c r="G25" i="136"/>
  <c r="G28" i="136"/>
  <c r="T71" i="137"/>
  <c r="E10" i="137"/>
  <c r="R21" i="137"/>
  <c r="P6" i="137"/>
  <c r="O12" i="137"/>
  <c r="H20" i="137"/>
  <c r="S12" i="137"/>
  <c r="M12" i="137"/>
  <c r="T49" i="137"/>
  <c r="S25" i="137"/>
  <c r="Q22" i="137"/>
  <c r="K22" i="137"/>
  <c r="I13" i="137"/>
  <c r="J13" i="137"/>
  <c r="N13" i="137"/>
  <c r="P13" i="137"/>
  <c r="J6" i="137"/>
  <c r="I12" i="137"/>
  <c r="D19" i="137"/>
  <c r="Q19" i="137"/>
  <c r="L11" i="137"/>
  <c r="T59" i="137"/>
  <c r="I11" i="137"/>
  <c r="L23" i="137"/>
  <c r="Q9" i="137"/>
  <c r="I23" i="137"/>
  <c r="C23" i="137"/>
  <c r="T62" i="137"/>
  <c r="S14" i="137"/>
  <c r="J21" i="137"/>
  <c r="L8" i="137"/>
  <c r="C18" i="137"/>
  <c r="S10" i="137"/>
  <c r="N21" i="137"/>
  <c r="G17" i="137"/>
  <c r="O17" i="137"/>
  <c r="I17" i="137"/>
  <c r="P7" i="137"/>
  <c r="E7" i="137"/>
  <c r="H19" i="137"/>
  <c r="S24" i="137"/>
  <c r="K16" i="137"/>
  <c r="T56" i="137"/>
  <c r="O22" i="137"/>
  <c r="S15" i="137"/>
  <c r="M15" i="137"/>
  <c r="C6" i="137"/>
  <c r="O6" i="137"/>
  <c r="K21" i="137"/>
  <c r="E21" i="137"/>
  <c r="M7" i="137"/>
  <c r="P25" i="137"/>
  <c r="F19" i="137"/>
  <c r="P11" i="137"/>
  <c r="H7" i="137"/>
  <c r="R25" i="137"/>
  <c r="I20" i="137"/>
  <c r="N20" i="137"/>
  <c r="P20" i="137"/>
  <c r="K12" i="137"/>
  <c r="H12" i="137"/>
  <c r="D22" i="137"/>
  <c r="S22" i="137"/>
  <c r="R13" i="137"/>
  <c r="L25" i="137"/>
  <c r="K10" i="137"/>
  <c r="J19" i="137"/>
  <c r="G19" i="137"/>
  <c r="R11" i="137"/>
  <c r="Q11" i="137"/>
  <c r="P9" i="137"/>
  <c r="G23" i="137"/>
  <c r="K23" i="137"/>
  <c r="I14" i="137"/>
  <c r="L14" i="137"/>
  <c r="M23" i="137"/>
  <c r="N6" i="137"/>
  <c r="Q18" i="137"/>
  <c r="P10" i="137"/>
  <c r="M17" i="137"/>
  <c r="Q17" i="137"/>
  <c r="F7" i="137"/>
  <c r="P22" i="137"/>
  <c r="O24" i="137"/>
  <c r="F16" i="137"/>
  <c r="Q8" i="137"/>
  <c r="K8" i="137"/>
  <c r="E8" i="137"/>
  <c r="D17" i="137"/>
  <c r="C15" i="137"/>
  <c r="F6" i="137"/>
  <c r="F13" i="137"/>
  <c r="M21" i="137"/>
  <c r="F24" i="137"/>
  <c r="S18" i="137"/>
  <c r="K20" i="137"/>
  <c r="O18" i="137"/>
  <c r="P24" i="137"/>
  <c r="C13" i="137"/>
  <c r="S19" i="137"/>
  <c r="C24" i="137"/>
  <c r="Q12" i="137"/>
  <c r="N12" i="137"/>
  <c r="M6" i="137"/>
  <c r="Q25" i="137"/>
  <c r="G22" i="137"/>
  <c r="O13" i="137"/>
  <c r="E13" i="137"/>
  <c r="N23" i="137"/>
  <c r="E11" i="137"/>
  <c r="F9" i="137"/>
  <c r="L9" i="137"/>
  <c r="S23" i="137"/>
  <c r="O14" i="137"/>
  <c r="O21" i="137"/>
  <c r="E18" i="137"/>
  <c r="G18" i="137"/>
  <c r="E14" i="137"/>
  <c r="I7" i="137"/>
  <c r="D24" i="137"/>
  <c r="Q24" i="137"/>
  <c r="Q16" i="137"/>
  <c r="O16" i="137"/>
  <c r="G8" i="137"/>
  <c r="F15" i="137"/>
  <c r="Q15" i="137"/>
  <c r="K15" i="137"/>
  <c r="S6" i="137"/>
  <c r="F21" i="137"/>
  <c r="M18" i="137"/>
  <c r="N16" i="137"/>
  <c r="O25" i="137"/>
  <c r="D13" i="137"/>
  <c r="Q23" i="137"/>
  <c r="S21" i="137"/>
  <c r="D20" i="137"/>
  <c r="O20" i="137"/>
  <c r="S20" i="137"/>
  <c r="T20" i="137"/>
  <c r="J17" i="137"/>
  <c r="L22" i="137"/>
  <c r="T66" i="137"/>
  <c r="J24" i="137"/>
  <c r="J15" i="137"/>
  <c r="L21" i="137"/>
  <c r="H18" i="137"/>
  <c r="T69" i="137"/>
  <c r="T60" i="137"/>
  <c r="T55" i="137"/>
  <c r="I15" i="137"/>
  <c r="D18" i="137"/>
  <c r="T44" i="137"/>
  <c r="T43" i="137"/>
  <c r="R9" i="137"/>
  <c r="L16" i="137"/>
  <c r="D6" i="137"/>
  <c r="H13" i="137"/>
  <c r="T32" i="137"/>
  <c r="K6" i="137"/>
  <c r="H9" i="137"/>
  <c r="M25" i="137"/>
  <c r="T73" i="137"/>
  <c r="M19" i="137"/>
  <c r="F23" i="137"/>
  <c r="J14" i="137"/>
  <c r="D14" i="137"/>
  <c r="Q7" i="137"/>
  <c r="K7" i="137"/>
  <c r="N24" i="137"/>
  <c r="N10" i="137"/>
  <c r="J25" i="137"/>
  <c r="P17" i="137"/>
  <c r="T31" i="137"/>
  <c r="T48" i="137"/>
  <c r="G16" i="137"/>
  <c r="T64" i="137"/>
  <c r="D16" i="137"/>
  <c r="G15" i="137"/>
  <c r="G21" i="137"/>
  <c r="T45" i="137"/>
  <c r="D21" i="137"/>
  <c r="T63" i="137"/>
  <c r="T35" i="137"/>
  <c r="M13" i="137"/>
  <c r="E16" i="137"/>
  <c r="D9" i="137"/>
  <c r="S9" i="137"/>
  <c r="T9" i="137"/>
  <c r="K18" i="137"/>
  <c r="M10" i="137"/>
  <c r="H10" i="137"/>
  <c r="T47" i="137"/>
  <c r="C8" i="137"/>
  <c r="F12" i="137"/>
  <c r="T70" i="137"/>
  <c r="T65" i="137"/>
  <c r="N15" i="137"/>
  <c r="N25" i="137"/>
  <c r="K25" i="137"/>
  <c r="F25" i="137"/>
  <c r="T34" i="137"/>
  <c r="T42" i="137"/>
  <c r="T46" i="137"/>
  <c r="T58" i="137"/>
  <c r="N22" i="137"/>
  <c r="I6" i="137"/>
  <c r="N8" i="137"/>
  <c r="T39" i="137"/>
  <c r="T36" i="137"/>
  <c r="T40" i="137"/>
  <c r="C19" i="137"/>
  <c r="D25" i="137"/>
  <c r="T68" i="137"/>
  <c r="C22" i="137"/>
  <c r="L13" i="137"/>
  <c r="R8" i="137"/>
  <c r="T33" i="137"/>
  <c r="T41" i="137"/>
  <c r="E23" i="137"/>
  <c r="F10" i="137"/>
  <c r="T38" i="137"/>
  <c r="N17" i="137"/>
  <c r="T72" i="137"/>
  <c r="G11" i="137"/>
  <c r="T30" i="137"/>
  <c r="L15" i="137"/>
  <c r="T61" i="137"/>
  <c r="T54" i="137"/>
  <c r="P12" i="137"/>
  <c r="F18" i="137"/>
  <c r="D8" i="137"/>
  <c r="T67" i="137"/>
  <c r="T57" i="137"/>
  <c r="Q10" i="137"/>
  <c r="O11" i="137"/>
  <c r="J10" i="137"/>
  <c r="I21" i="137"/>
  <c r="T37" i="137"/>
  <c r="M14" i="137"/>
  <c r="T12" i="137"/>
  <c r="T7" i="137"/>
  <c r="H28" i="136"/>
  <c r="T19" i="137"/>
  <c r="T21" i="137"/>
  <c r="T15" i="137"/>
  <c r="T11" i="137"/>
  <c r="T6" i="137"/>
  <c r="T16" i="137"/>
  <c r="T24" i="137"/>
  <c r="T14" i="137"/>
  <c r="T10" i="137"/>
  <c r="T13" i="137"/>
  <c r="T23" i="137"/>
  <c r="T8" i="137"/>
  <c r="T18" i="137"/>
  <c r="T17" i="137"/>
  <c r="T22" i="137"/>
  <c r="T25" i="137"/>
  <c r="P53" i="137"/>
  <c r="H53" i="137"/>
  <c r="M29" i="137"/>
  <c r="E29" i="137"/>
  <c r="O53" i="137"/>
  <c r="G53" i="137"/>
  <c r="L29" i="137"/>
  <c r="D29" i="137"/>
  <c r="N53" i="137"/>
  <c r="F53" i="137"/>
  <c r="S29" i="137"/>
  <c r="K29" i="137"/>
  <c r="C29" i="137"/>
  <c r="M53" i="137"/>
  <c r="E53" i="137"/>
  <c r="R29" i="137"/>
  <c r="J29" i="137"/>
  <c r="D53" i="137"/>
  <c r="I29" i="137"/>
  <c r="S53" i="137"/>
  <c r="C53" i="137"/>
  <c r="H29" i="137"/>
  <c r="R53" i="137"/>
  <c r="G29" i="137"/>
  <c r="L53" i="137"/>
  <c r="Q29" i="137"/>
  <c r="F29" i="137"/>
  <c r="P29" i="137"/>
  <c r="I53" i="137"/>
  <c r="J53" i="137"/>
  <c r="N29" i="137"/>
  <c r="Q53" i="137"/>
  <c r="K53" i="137"/>
  <c r="O29" i="137"/>
  <c r="X24" i="149"/>
  <c r="AA24" i="149"/>
  <c r="N92" i="129"/>
  <c r="S91" i="129"/>
  <c r="D91" i="129"/>
  <c r="Q90" i="129"/>
  <c r="R89" i="129"/>
  <c r="N89" i="129"/>
  <c r="M89" i="129"/>
  <c r="L89" i="129"/>
  <c r="I89" i="129"/>
  <c r="F89" i="129"/>
  <c r="E89" i="129"/>
  <c r="D89" i="129"/>
  <c r="S88" i="129"/>
  <c r="R88" i="129"/>
  <c r="O88" i="129"/>
  <c r="N88" i="129"/>
  <c r="M88" i="129"/>
  <c r="J88" i="129"/>
  <c r="G88" i="129"/>
  <c r="F88" i="129"/>
  <c r="C88" i="129"/>
  <c r="O87" i="129"/>
  <c r="N87" i="129"/>
  <c r="M87" i="129"/>
  <c r="K87" i="129"/>
  <c r="H87" i="129"/>
  <c r="D87" i="129"/>
  <c r="R84" i="129"/>
  <c r="N84" i="129"/>
  <c r="K84" i="129"/>
  <c r="J84" i="129"/>
  <c r="O83" i="129"/>
  <c r="L83" i="129"/>
  <c r="H83" i="129"/>
  <c r="N81" i="129"/>
  <c r="M81" i="129"/>
  <c r="J81" i="129"/>
  <c r="F81" i="129"/>
  <c r="E81" i="129"/>
  <c r="D81" i="129"/>
  <c r="R80" i="129"/>
  <c r="O80" i="129"/>
  <c r="N80" i="129"/>
  <c r="L80" i="129"/>
  <c r="G80" i="129"/>
  <c r="F80" i="129"/>
  <c r="P79" i="129"/>
  <c r="M79" i="129"/>
  <c r="F79" i="129"/>
  <c r="C79" i="129"/>
  <c r="S76" i="129"/>
  <c r="R76" i="129"/>
  <c r="P76" i="129"/>
  <c r="O76" i="129"/>
  <c r="J76" i="129"/>
  <c r="I76" i="129"/>
  <c r="H76" i="129"/>
  <c r="F76" i="129"/>
  <c r="P75" i="129"/>
  <c r="K75" i="129"/>
  <c r="C75" i="129"/>
  <c r="T70" i="129"/>
  <c r="T69" i="129"/>
  <c r="T68" i="129"/>
  <c r="T66" i="129"/>
  <c r="T64" i="129"/>
  <c r="T63" i="129"/>
  <c r="T62" i="129"/>
  <c r="T59" i="129"/>
  <c r="T58" i="129"/>
  <c r="T55" i="129"/>
  <c r="S71" i="129"/>
  <c r="T53" i="129"/>
  <c r="T52" i="129"/>
  <c r="R71" i="129"/>
  <c r="N71" i="129"/>
  <c r="J71" i="129"/>
  <c r="F71" i="129"/>
  <c r="P71" i="129"/>
  <c r="M71" i="129"/>
  <c r="H71" i="129"/>
  <c r="S47" i="129"/>
  <c r="R47" i="129"/>
  <c r="Q47" i="129"/>
  <c r="P47" i="129"/>
  <c r="O47" i="129"/>
  <c r="N47" i="129"/>
  <c r="M47" i="129"/>
  <c r="L47" i="129"/>
  <c r="K47" i="129"/>
  <c r="J47" i="129"/>
  <c r="I47" i="129"/>
  <c r="H47" i="129"/>
  <c r="G47" i="129"/>
  <c r="F47" i="129"/>
  <c r="E47" i="129"/>
  <c r="D47" i="129"/>
  <c r="C47" i="129"/>
  <c r="G93" i="129"/>
  <c r="T21" i="129"/>
  <c r="P91" i="129"/>
  <c r="E90" i="129"/>
  <c r="P85" i="129"/>
  <c r="J82" i="129"/>
  <c r="J77" i="129"/>
  <c r="M76" i="129"/>
  <c r="T4" i="129"/>
  <c r="R94" i="129"/>
  <c r="Q94" i="129"/>
  <c r="O94" i="129"/>
  <c r="N94" i="129"/>
  <c r="I94" i="129"/>
  <c r="E94" i="129"/>
  <c r="K93" i="129"/>
  <c r="S92" i="129"/>
  <c r="R92" i="129"/>
  <c r="Q92" i="129"/>
  <c r="M92" i="129"/>
  <c r="L92" i="129"/>
  <c r="K92" i="129"/>
  <c r="I92" i="129"/>
  <c r="F92" i="129"/>
  <c r="E92" i="129"/>
  <c r="D92" i="129"/>
  <c r="C92" i="129"/>
  <c r="T20" i="129"/>
  <c r="O91" i="129"/>
  <c r="N91" i="129"/>
  <c r="L91" i="129"/>
  <c r="K91" i="129"/>
  <c r="H91" i="129"/>
  <c r="G91" i="129"/>
  <c r="E91" i="129"/>
  <c r="P90" i="129"/>
  <c r="O90" i="129"/>
  <c r="M90" i="129"/>
  <c r="G90" i="129"/>
  <c r="T18" i="129"/>
  <c r="S89" i="129"/>
  <c r="Q89" i="129"/>
  <c r="P89" i="129"/>
  <c r="O89" i="129"/>
  <c r="K89" i="129"/>
  <c r="J89" i="129"/>
  <c r="H89" i="129"/>
  <c r="G89" i="129"/>
  <c r="C89" i="129"/>
  <c r="T17" i="129"/>
  <c r="Q88" i="129"/>
  <c r="P88" i="129"/>
  <c r="L88" i="129"/>
  <c r="K88" i="129"/>
  <c r="I88" i="129"/>
  <c r="H88" i="129"/>
  <c r="E88" i="129"/>
  <c r="D88" i="129"/>
  <c r="T16" i="129"/>
  <c r="S87" i="129"/>
  <c r="P87" i="129"/>
  <c r="L87" i="129"/>
  <c r="G87" i="129"/>
  <c r="F87" i="129"/>
  <c r="E87" i="129"/>
  <c r="C87" i="129"/>
  <c r="R86" i="129"/>
  <c r="O86" i="129"/>
  <c r="N86" i="129"/>
  <c r="M86" i="129"/>
  <c r="E86" i="129"/>
  <c r="K85" i="129"/>
  <c r="T13" i="129"/>
  <c r="S84" i="129"/>
  <c r="Q84" i="129"/>
  <c r="M84" i="129"/>
  <c r="L84" i="129"/>
  <c r="I84" i="129"/>
  <c r="F84" i="129"/>
  <c r="E84" i="129"/>
  <c r="C84" i="129"/>
  <c r="T12" i="129"/>
  <c r="P83" i="129"/>
  <c r="N83" i="129"/>
  <c r="M83" i="129"/>
  <c r="K83" i="129"/>
  <c r="F83" i="129"/>
  <c r="E83" i="129"/>
  <c r="D83" i="129"/>
  <c r="C83" i="129"/>
  <c r="Q82" i="129"/>
  <c r="P82" i="129"/>
  <c r="M82" i="129"/>
  <c r="I82" i="129"/>
  <c r="T10" i="129"/>
  <c r="S81" i="129"/>
  <c r="R81" i="129"/>
  <c r="Q81" i="129"/>
  <c r="P81" i="129"/>
  <c r="O81" i="129"/>
  <c r="L81" i="129"/>
  <c r="K81" i="129"/>
  <c r="I81" i="129"/>
  <c r="H81" i="129"/>
  <c r="G81" i="129"/>
  <c r="C81" i="129"/>
  <c r="T9" i="129"/>
  <c r="S80" i="129"/>
  <c r="Q80" i="129"/>
  <c r="P80" i="129"/>
  <c r="M80" i="129"/>
  <c r="K80" i="129"/>
  <c r="J80" i="129"/>
  <c r="I80" i="129"/>
  <c r="H80" i="129"/>
  <c r="E80" i="129"/>
  <c r="D80" i="129"/>
  <c r="C80" i="129"/>
  <c r="T8" i="129"/>
  <c r="S79" i="129"/>
  <c r="O79" i="129"/>
  <c r="N79" i="129"/>
  <c r="L79" i="129"/>
  <c r="K79" i="129"/>
  <c r="H79" i="129"/>
  <c r="G79" i="129"/>
  <c r="E79" i="129"/>
  <c r="D79" i="129"/>
  <c r="R78" i="129"/>
  <c r="Q78" i="129"/>
  <c r="O78" i="129"/>
  <c r="N78" i="129"/>
  <c r="G78" i="129"/>
  <c r="E78" i="129"/>
  <c r="O77" i="129"/>
  <c r="T5" i="129"/>
  <c r="Q76" i="129"/>
  <c r="N76" i="129"/>
  <c r="L76" i="129"/>
  <c r="K76" i="129"/>
  <c r="G76" i="129"/>
  <c r="D76" i="129"/>
  <c r="C76" i="129"/>
  <c r="S75" i="129"/>
  <c r="R75" i="129"/>
  <c r="Q75" i="129"/>
  <c r="N75" i="129"/>
  <c r="M75" i="129"/>
  <c r="J75" i="129"/>
  <c r="I75" i="129"/>
  <c r="H75" i="129"/>
  <c r="F75" i="129"/>
  <c r="E75" i="129"/>
  <c r="N94" i="128"/>
  <c r="R93" i="128"/>
  <c r="Q93" i="128"/>
  <c r="N93" i="128"/>
  <c r="M93" i="128"/>
  <c r="J93" i="128"/>
  <c r="F93" i="128"/>
  <c r="E93" i="128"/>
  <c r="R90" i="128"/>
  <c r="M90" i="128"/>
  <c r="E90" i="128"/>
  <c r="R89" i="128"/>
  <c r="N89" i="128"/>
  <c r="M89" i="128"/>
  <c r="J89" i="128"/>
  <c r="F89" i="128"/>
  <c r="E89" i="128"/>
  <c r="O88" i="128"/>
  <c r="N88" i="128"/>
  <c r="L88" i="128"/>
  <c r="G88" i="128"/>
  <c r="D88" i="128"/>
  <c r="N86" i="128"/>
  <c r="I86" i="128"/>
  <c r="R85" i="128"/>
  <c r="N85" i="128"/>
  <c r="M85" i="128"/>
  <c r="J85" i="128"/>
  <c r="I85" i="128"/>
  <c r="G85" i="128"/>
  <c r="F85" i="128"/>
  <c r="E85" i="128"/>
  <c r="K84" i="128"/>
  <c r="M82" i="128"/>
  <c r="E82" i="128"/>
  <c r="R81" i="128"/>
  <c r="N81" i="128"/>
  <c r="M81" i="128"/>
  <c r="K81" i="128"/>
  <c r="J81" i="128"/>
  <c r="F81" i="128"/>
  <c r="E81" i="128"/>
  <c r="C81" i="128"/>
  <c r="O80" i="128"/>
  <c r="L80" i="128"/>
  <c r="G80" i="128"/>
  <c r="D80" i="128"/>
  <c r="C80" i="128"/>
  <c r="H79" i="128"/>
  <c r="Q78" i="128"/>
  <c r="I78" i="128"/>
  <c r="E78" i="128"/>
  <c r="R77" i="128"/>
  <c r="Q77" i="128"/>
  <c r="O77" i="128"/>
  <c r="N77" i="128"/>
  <c r="M77" i="128"/>
  <c r="J77" i="128"/>
  <c r="I77" i="128"/>
  <c r="F77" i="128"/>
  <c r="E77" i="128"/>
  <c r="Q74" i="128"/>
  <c r="M74" i="128"/>
  <c r="S70" i="128"/>
  <c r="R70" i="128"/>
  <c r="Q70" i="128"/>
  <c r="P70" i="128"/>
  <c r="O70" i="128"/>
  <c r="N70" i="128"/>
  <c r="M70" i="128"/>
  <c r="L70" i="128"/>
  <c r="K70" i="128"/>
  <c r="J70" i="128"/>
  <c r="I70" i="128"/>
  <c r="H70" i="128"/>
  <c r="G70" i="128"/>
  <c r="F70" i="128"/>
  <c r="E70" i="128"/>
  <c r="D70" i="128"/>
  <c r="C70" i="128"/>
  <c r="T70" i="128"/>
  <c r="S69" i="128"/>
  <c r="R69" i="128"/>
  <c r="Q69" i="128"/>
  <c r="P69" i="128"/>
  <c r="O69" i="128"/>
  <c r="N69" i="128"/>
  <c r="M69" i="128"/>
  <c r="L69" i="128"/>
  <c r="K69" i="128"/>
  <c r="J69" i="128"/>
  <c r="I69" i="128"/>
  <c r="H69" i="128"/>
  <c r="G69" i="128"/>
  <c r="F69" i="128"/>
  <c r="E69" i="128"/>
  <c r="D69" i="128"/>
  <c r="C69" i="128"/>
  <c r="S68" i="128"/>
  <c r="R68" i="128"/>
  <c r="Q68" i="128"/>
  <c r="P68" i="128"/>
  <c r="O68" i="128"/>
  <c r="N68" i="128"/>
  <c r="M68" i="128"/>
  <c r="L68" i="128"/>
  <c r="K68" i="128"/>
  <c r="J68" i="128"/>
  <c r="I68" i="128"/>
  <c r="H68" i="128"/>
  <c r="G68" i="128"/>
  <c r="F68" i="128"/>
  <c r="E68" i="128"/>
  <c r="D68" i="128"/>
  <c r="C68" i="128"/>
  <c r="T68" i="128"/>
  <c r="S67" i="128"/>
  <c r="R67" i="128"/>
  <c r="Q67" i="128"/>
  <c r="P67" i="128"/>
  <c r="O67" i="128"/>
  <c r="N67" i="128"/>
  <c r="M67" i="128"/>
  <c r="L67" i="128"/>
  <c r="K67" i="128"/>
  <c r="J67" i="128"/>
  <c r="I67" i="128"/>
  <c r="H67" i="128"/>
  <c r="G67" i="128"/>
  <c r="F67" i="128"/>
  <c r="E67" i="128"/>
  <c r="D67" i="128"/>
  <c r="C67" i="128"/>
  <c r="T67" i="128"/>
  <c r="S66" i="128"/>
  <c r="R66" i="128"/>
  <c r="Q66" i="128"/>
  <c r="P66" i="128"/>
  <c r="O66" i="128"/>
  <c r="N66" i="128"/>
  <c r="M66" i="128"/>
  <c r="L66" i="128"/>
  <c r="K66" i="128"/>
  <c r="J66" i="128"/>
  <c r="I66" i="128"/>
  <c r="H66" i="128"/>
  <c r="G66" i="128"/>
  <c r="F66" i="128"/>
  <c r="E66" i="128"/>
  <c r="D66" i="128"/>
  <c r="C66" i="128"/>
  <c r="S65" i="128"/>
  <c r="R65" i="128"/>
  <c r="Q65" i="128"/>
  <c r="P65" i="128"/>
  <c r="O65" i="128"/>
  <c r="N65" i="128"/>
  <c r="M65" i="128"/>
  <c r="L65" i="128"/>
  <c r="K65" i="128"/>
  <c r="J65" i="128"/>
  <c r="I65" i="128"/>
  <c r="H65" i="128"/>
  <c r="G65" i="128"/>
  <c r="F65" i="128"/>
  <c r="E65" i="128"/>
  <c r="D65" i="128"/>
  <c r="C65" i="128"/>
  <c r="S64" i="128"/>
  <c r="R64" i="128"/>
  <c r="Q64" i="128"/>
  <c r="P64" i="128"/>
  <c r="O64" i="128"/>
  <c r="N64" i="128"/>
  <c r="M64" i="128"/>
  <c r="L64" i="128"/>
  <c r="K64" i="128"/>
  <c r="J64" i="128"/>
  <c r="I64" i="128"/>
  <c r="H64" i="128"/>
  <c r="G64" i="128"/>
  <c r="F64" i="128"/>
  <c r="E64" i="128"/>
  <c r="D64" i="128"/>
  <c r="C64" i="128"/>
  <c r="S63" i="128"/>
  <c r="R63" i="128"/>
  <c r="Q63" i="128"/>
  <c r="P63" i="128"/>
  <c r="O63" i="128"/>
  <c r="N63" i="128"/>
  <c r="M63" i="128"/>
  <c r="L63" i="128"/>
  <c r="K63" i="128"/>
  <c r="J63" i="128"/>
  <c r="I63" i="128"/>
  <c r="H63" i="128"/>
  <c r="G63" i="128"/>
  <c r="F63" i="128"/>
  <c r="E63" i="128"/>
  <c r="D63" i="128"/>
  <c r="C63" i="128"/>
  <c r="T63" i="128"/>
  <c r="S62" i="128"/>
  <c r="R62" i="128"/>
  <c r="Q62" i="128"/>
  <c r="P62" i="128"/>
  <c r="O62" i="128"/>
  <c r="N62" i="128"/>
  <c r="M62" i="128"/>
  <c r="L62" i="128"/>
  <c r="K62" i="128"/>
  <c r="J62" i="128"/>
  <c r="I62" i="128"/>
  <c r="H62" i="128"/>
  <c r="G62" i="128"/>
  <c r="F62" i="128"/>
  <c r="E62" i="128"/>
  <c r="D62" i="128"/>
  <c r="C62" i="128"/>
  <c r="S61" i="128"/>
  <c r="R61" i="128"/>
  <c r="Q61" i="128"/>
  <c r="P61" i="128"/>
  <c r="O61" i="128"/>
  <c r="N61" i="128"/>
  <c r="M61" i="128"/>
  <c r="L61" i="128"/>
  <c r="K61" i="128"/>
  <c r="J61" i="128"/>
  <c r="I61" i="128"/>
  <c r="H61" i="128"/>
  <c r="G61" i="128"/>
  <c r="F61" i="128"/>
  <c r="E61" i="128"/>
  <c r="D61" i="128"/>
  <c r="C61" i="128"/>
  <c r="T61" i="128"/>
  <c r="S60" i="128"/>
  <c r="R60" i="128"/>
  <c r="Q60" i="128"/>
  <c r="P60" i="128"/>
  <c r="O60" i="128"/>
  <c r="N60" i="128"/>
  <c r="M60" i="128"/>
  <c r="L60" i="128"/>
  <c r="K60" i="128"/>
  <c r="J60" i="128"/>
  <c r="I60" i="128"/>
  <c r="H60" i="128"/>
  <c r="G60" i="128"/>
  <c r="F60" i="128"/>
  <c r="E60" i="128"/>
  <c r="D60" i="128"/>
  <c r="C60" i="128"/>
  <c r="S59" i="128"/>
  <c r="R59" i="128"/>
  <c r="Q59" i="128"/>
  <c r="P59" i="128"/>
  <c r="O59" i="128"/>
  <c r="N59" i="128"/>
  <c r="M59" i="128"/>
  <c r="L59" i="128"/>
  <c r="K59" i="128"/>
  <c r="J59" i="128"/>
  <c r="I59" i="128"/>
  <c r="H59" i="128"/>
  <c r="G59" i="128"/>
  <c r="F59" i="128"/>
  <c r="E59" i="128"/>
  <c r="D59" i="128"/>
  <c r="C59" i="128"/>
  <c r="S58" i="128"/>
  <c r="R58" i="128"/>
  <c r="Q58" i="128"/>
  <c r="P58" i="128"/>
  <c r="O58" i="128"/>
  <c r="N58" i="128"/>
  <c r="M58" i="128"/>
  <c r="L58" i="128"/>
  <c r="K58" i="128"/>
  <c r="J58" i="128"/>
  <c r="I58" i="128"/>
  <c r="H58" i="128"/>
  <c r="G58" i="128"/>
  <c r="F58" i="128"/>
  <c r="E58" i="128"/>
  <c r="D58" i="128"/>
  <c r="C58" i="128"/>
  <c r="T58" i="128"/>
  <c r="S57" i="128"/>
  <c r="R57" i="128"/>
  <c r="Q57" i="128"/>
  <c r="P57" i="128"/>
  <c r="O57" i="128"/>
  <c r="N57" i="128"/>
  <c r="M57" i="128"/>
  <c r="L57" i="128"/>
  <c r="K57" i="128"/>
  <c r="J57" i="128"/>
  <c r="I57" i="128"/>
  <c r="H57" i="128"/>
  <c r="G57" i="128"/>
  <c r="F57" i="128"/>
  <c r="E57" i="128"/>
  <c r="D57" i="128"/>
  <c r="C57" i="128"/>
  <c r="S56" i="128"/>
  <c r="R56" i="128"/>
  <c r="Q56" i="128"/>
  <c r="P56" i="128"/>
  <c r="O56" i="128"/>
  <c r="N56" i="128"/>
  <c r="M56" i="128"/>
  <c r="L56" i="128"/>
  <c r="K56" i="128"/>
  <c r="J56" i="128"/>
  <c r="I56" i="128"/>
  <c r="H56" i="128"/>
  <c r="G56" i="128"/>
  <c r="F56" i="128"/>
  <c r="E56" i="128"/>
  <c r="D56" i="128"/>
  <c r="C56" i="128"/>
  <c r="T56" i="128"/>
  <c r="S55" i="128"/>
  <c r="S50" i="128"/>
  <c r="S51" i="128"/>
  <c r="S52" i="128"/>
  <c r="S53" i="128"/>
  <c r="S54" i="128"/>
  <c r="S71" i="128"/>
  <c r="R55" i="128"/>
  <c r="Q55" i="128"/>
  <c r="P55" i="128"/>
  <c r="O55" i="128"/>
  <c r="N55" i="128"/>
  <c r="M55" i="128"/>
  <c r="L55" i="128"/>
  <c r="K55" i="128"/>
  <c r="J55" i="128"/>
  <c r="I55" i="128"/>
  <c r="H55" i="128"/>
  <c r="G55" i="128"/>
  <c r="F55" i="128"/>
  <c r="E55" i="128"/>
  <c r="D55" i="128"/>
  <c r="C55" i="128"/>
  <c r="R54" i="128"/>
  <c r="Q54" i="128"/>
  <c r="P54" i="128"/>
  <c r="O54" i="128"/>
  <c r="N54" i="128"/>
  <c r="M54" i="128"/>
  <c r="L54" i="128"/>
  <c r="K54" i="128"/>
  <c r="J54" i="128"/>
  <c r="I54" i="128"/>
  <c r="H54" i="128"/>
  <c r="G54" i="128"/>
  <c r="F54" i="128"/>
  <c r="E54" i="128"/>
  <c r="D54" i="128"/>
  <c r="C54" i="128"/>
  <c r="R53" i="128"/>
  <c r="Q53" i="128"/>
  <c r="P53" i="128"/>
  <c r="O53" i="128"/>
  <c r="N53" i="128"/>
  <c r="M53" i="128"/>
  <c r="L53" i="128"/>
  <c r="K53" i="128"/>
  <c r="J53" i="128"/>
  <c r="I53" i="128"/>
  <c r="H53" i="128"/>
  <c r="G53" i="128"/>
  <c r="F53" i="128"/>
  <c r="E53" i="128"/>
  <c r="D53" i="128"/>
  <c r="C53" i="128"/>
  <c r="R52" i="128"/>
  <c r="Q52" i="128"/>
  <c r="P52" i="128"/>
  <c r="O52" i="128"/>
  <c r="N52" i="128"/>
  <c r="M52" i="128"/>
  <c r="L52" i="128"/>
  <c r="K52" i="128"/>
  <c r="J52" i="128"/>
  <c r="J50" i="128"/>
  <c r="J51" i="128"/>
  <c r="J71" i="128"/>
  <c r="I52" i="128"/>
  <c r="H52" i="128"/>
  <c r="G52" i="128"/>
  <c r="F52" i="128"/>
  <c r="E52" i="128"/>
  <c r="D52" i="128"/>
  <c r="C52" i="128"/>
  <c r="R51" i="128"/>
  <c r="Q51" i="128"/>
  <c r="P51" i="128"/>
  <c r="O51" i="128"/>
  <c r="N51" i="128"/>
  <c r="M51" i="128"/>
  <c r="L51" i="128"/>
  <c r="L50" i="128"/>
  <c r="L71" i="128"/>
  <c r="K51" i="128"/>
  <c r="K50" i="128"/>
  <c r="K71" i="128"/>
  <c r="I51" i="128"/>
  <c r="H51" i="128"/>
  <c r="G51" i="128"/>
  <c r="F51" i="128"/>
  <c r="E51" i="128"/>
  <c r="D51" i="128"/>
  <c r="C51" i="128"/>
  <c r="T51" i="128"/>
  <c r="C50" i="128"/>
  <c r="C71" i="128"/>
  <c r="R50" i="128"/>
  <c r="Q50" i="128"/>
  <c r="P50" i="128"/>
  <c r="O50" i="128"/>
  <c r="N50" i="128"/>
  <c r="N71" i="128"/>
  <c r="M50" i="128"/>
  <c r="I50" i="128"/>
  <c r="H50" i="128"/>
  <c r="G50" i="128"/>
  <c r="F50" i="128"/>
  <c r="F71" i="128"/>
  <c r="E50" i="128"/>
  <c r="D50" i="128"/>
  <c r="S47" i="128"/>
  <c r="R47" i="128"/>
  <c r="Q47" i="128"/>
  <c r="P47" i="128"/>
  <c r="O47" i="128"/>
  <c r="N47" i="128"/>
  <c r="M47" i="128"/>
  <c r="L47" i="128"/>
  <c r="K47" i="128"/>
  <c r="J47" i="128"/>
  <c r="I47" i="128"/>
  <c r="H47" i="128"/>
  <c r="G47" i="128"/>
  <c r="F47" i="128"/>
  <c r="E47" i="128"/>
  <c r="D47" i="128"/>
  <c r="C47" i="128"/>
  <c r="M94" i="128"/>
  <c r="E91" i="128"/>
  <c r="M87" i="128"/>
  <c r="M79" i="128"/>
  <c r="E75" i="128"/>
  <c r="R94" i="128"/>
  <c r="Q94" i="128"/>
  <c r="O94" i="128"/>
  <c r="J94" i="128"/>
  <c r="I94" i="128"/>
  <c r="G94" i="128"/>
  <c r="F94" i="128"/>
  <c r="E94" i="128"/>
  <c r="T22" i="128"/>
  <c r="S93" i="128"/>
  <c r="P93" i="128"/>
  <c r="O93" i="128"/>
  <c r="L93" i="128"/>
  <c r="K93" i="128"/>
  <c r="I93" i="128"/>
  <c r="H93" i="128"/>
  <c r="G93" i="128"/>
  <c r="D93" i="128"/>
  <c r="C93" i="128"/>
  <c r="R92" i="128"/>
  <c r="M92" i="128"/>
  <c r="K92" i="128"/>
  <c r="J92" i="128"/>
  <c r="H91" i="128"/>
  <c r="O90" i="128"/>
  <c r="N90" i="128"/>
  <c r="J90" i="128"/>
  <c r="I90" i="128"/>
  <c r="G90" i="128"/>
  <c r="F90" i="128"/>
  <c r="T18" i="128"/>
  <c r="S89" i="128"/>
  <c r="Q89" i="128"/>
  <c r="P89" i="128"/>
  <c r="O89" i="128"/>
  <c r="L89" i="128"/>
  <c r="K89" i="128"/>
  <c r="I89" i="128"/>
  <c r="H89" i="128"/>
  <c r="G89" i="128"/>
  <c r="D89" i="128"/>
  <c r="C89" i="128"/>
  <c r="T17" i="128"/>
  <c r="S88" i="128"/>
  <c r="R88" i="128"/>
  <c r="Q88" i="128"/>
  <c r="P88" i="128"/>
  <c r="M88" i="128"/>
  <c r="K88" i="128"/>
  <c r="J88" i="128"/>
  <c r="I88" i="128"/>
  <c r="H88" i="128"/>
  <c r="F88" i="128"/>
  <c r="E88" i="128"/>
  <c r="C88" i="128"/>
  <c r="T16" i="128"/>
  <c r="L87" i="128"/>
  <c r="H87" i="128"/>
  <c r="E87" i="128"/>
  <c r="R86" i="128"/>
  <c r="Q86" i="128"/>
  <c r="O86" i="128"/>
  <c r="M86" i="128"/>
  <c r="J86" i="128"/>
  <c r="G86" i="128"/>
  <c r="F86" i="128"/>
  <c r="E86" i="128"/>
  <c r="T14" i="128"/>
  <c r="S85" i="128"/>
  <c r="Q85" i="128"/>
  <c r="P85" i="128"/>
  <c r="O85" i="128"/>
  <c r="L85" i="128"/>
  <c r="K85" i="128"/>
  <c r="H85" i="128"/>
  <c r="D85" i="128"/>
  <c r="C85" i="128"/>
  <c r="R84" i="128"/>
  <c r="I84" i="128"/>
  <c r="F84" i="128"/>
  <c r="E83" i="128"/>
  <c r="D83" i="128"/>
  <c r="R82" i="128"/>
  <c r="Q82" i="128"/>
  <c r="O82" i="128"/>
  <c r="N82" i="128"/>
  <c r="J82" i="128"/>
  <c r="I82" i="128"/>
  <c r="G82" i="128"/>
  <c r="F82" i="128"/>
  <c r="T10" i="128"/>
  <c r="S81" i="128"/>
  <c r="Q81" i="128"/>
  <c r="P81" i="128"/>
  <c r="O81" i="128"/>
  <c r="L81" i="128"/>
  <c r="I81" i="128"/>
  <c r="H81" i="128"/>
  <c r="G81" i="128"/>
  <c r="D81" i="128"/>
  <c r="T9" i="128"/>
  <c r="S80" i="128"/>
  <c r="R80" i="128"/>
  <c r="Q80" i="128"/>
  <c r="P80" i="128"/>
  <c r="N80" i="128"/>
  <c r="M80" i="128"/>
  <c r="K80" i="128"/>
  <c r="J80" i="128"/>
  <c r="I80" i="128"/>
  <c r="H80" i="128"/>
  <c r="F80" i="128"/>
  <c r="E80" i="128"/>
  <c r="T8" i="128"/>
  <c r="P79" i="128"/>
  <c r="G79" i="128"/>
  <c r="C79" i="128"/>
  <c r="R78" i="128"/>
  <c r="O78" i="128"/>
  <c r="N78" i="128"/>
  <c r="M78" i="128"/>
  <c r="J78" i="128"/>
  <c r="G78" i="128"/>
  <c r="F78" i="128"/>
  <c r="T6" i="128"/>
  <c r="S77" i="128"/>
  <c r="P77" i="128"/>
  <c r="L77" i="128"/>
  <c r="K77" i="128"/>
  <c r="H77" i="128"/>
  <c r="G77" i="128"/>
  <c r="D77" i="128"/>
  <c r="C77" i="128"/>
  <c r="Q76" i="128"/>
  <c r="M76" i="128"/>
  <c r="I76" i="128"/>
  <c r="F76" i="128"/>
  <c r="G75" i="128"/>
  <c r="R74" i="128"/>
  <c r="O74" i="128"/>
  <c r="N74" i="128"/>
  <c r="L74" i="128"/>
  <c r="K74" i="128"/>
  <c r="J74" i="128"/>
  <c r="I74" i="128"/>
  <c r="H74" i="128"/>
  <c r="G74" i="128"/>
  <c r="F74" i="128"/>
  <c r="E74" i="128"/>
  <c r="D74" i="128"/>
  <c r="C74" i="128"/>
  <c r="F25" i="126"/>
  <c r="F28" i="126"/>
  <c r="C25" i="126"/>
  <c r="C28" i="126"/>
  <c r="E28" i="126"/>
  <c r="G71" i="129"/>
  <c r="T3" i="129"/>
  <c r="H74" i="129"/>
  <c r="C74" i="129"/>
  <c r="N73" i="138"/>
  <c r="E34" i="138"/>
  <c r="O66" i="138"/>
  <c r="F37" i="138"/>
  <c r="F45" i="138"/>
  <c r="O54" i="138"/>
  <c r="S62" i="138"/>
  <c r="T50" i="129"/>
  <c r="D71" i="129"/>
  <c r="K42" i="138"/>
  <c r="P73" i="138"/>
  <c r="F43" i="138"/>
  <c r="R43" i="138"/>
  <c r="E47" i="138"/>
  <c r="J71" i="138"/>
  <c r="R47" i="138"/>
  <c r="H71" i="138"/>
  <c r="P47" i="138"/>
  <c r="S40" i="138"/>
  <c r="L40" i="138"/>
  <c r="Q64" i="138"/>
  <c r="K64" i="138"/>
  <c r="E64" i="138"/>
  <c r="F57" i="138"/>
  <c r="G57" i="138"/>
  <c r="N33" i="138"/>
  <c r="C66" i="138"/>
  <c r="S34" i="138"/>
  <c r="Z22" i="149"/>
  <c r="AA22" i="149"/>
  <c r="K49" i="138"/>
  <c r="D73" i="138"/>
  <c r="Z23" i="149"/>
  <c r="AA23" i="149"/>
  <c r="S56" i="138"/>
  <c r="E32" i="138"/>
  <c r="O56" i="138"/>
  <c r="D32" i="138"/>
  <c r="M56" i="138"/>
  <c r="H56" i="138"/>
  <c r="M32" i="138"/>
  <c r="F32" i="138"/>
  <c r="Q32" i="138"/>
  <c r="O32" i="138"/>
  <c r="I56" i="138"/>
  <c r="I32" i="138"/>
  <c r="G56" i="138"/>
  <c r="L59" i="138"/>
  <c r="H35" i="138"/>
  <c r="J59" i="138"/>
  <c r="R35" i="138"/>
  <c r="H59" i="138"/>
  <c r="R59" i="138"/>
  <c r="E59" i="138"/>
  <c r="N35" i="138"/>
  <c r="J35" i="138"/>
  <c r="D35" i="138"/>
  <c r="I35" i="138"/>
  <c r="P59" i="138"/>
  <c r="N59" i="138"/>
  <c r="M59" i="138"/>
  <c r="Q35" i="138"/>
  <c r="F59" i="138"/>
  <c r="P35" i="138"/>
  <c r="D59" i="138"/>
  <c r="L35" i="138"/>
  <c r="F31" i="138"/>
  <c r="L55" i="138"/>
  <c r="M31" i="138"/>
  <c r="E31" i="138"/>
  <c r="J55" i="138"/>
  <c r="N31" i="138"/>
  <c r="Q63" i="138"/>
  <c r="D63" i="138"/>
  <c r="P63" i="138"/>
  <c r="H39" i="138"/>
  <c r="N63" i="138"/>
  <c r="J63" i="138"/>
  <c r="P39" i="138"/>
  <c r="D39" i="138"/>
  <c r="N39" i="138"/>
  <c r="L39" i="138"/>
  <c r="I63" i="138"/>
  <c r="F39" i="138"/>
  <c r="R63" i="138"/>
  <c r="M39" i="138"/>
  <c r="L63" i="138"/>
  <c r="H63" i="138"/>
  <c r="E39" i="138"/>
  <c r="F63" i="138"/>
  <c r="R39" i="138"/>
  <c r="Q70" i="138"/>
  <c r="K70" i="138"/>
  <c r="F46" i="138"/>
  <c r="E70" i="138"/>
  <c r="M46" i="138"/>
  <c r="G46" i="138"/>
  <c r="R70" i="138"/>
  <c r="M70" i="138"/>
  <c r="S46" i="138"/>
  <c r="K69" i="138"/>
  <c r="P65" i="138"/>
  <c r="J65" i="138"/>
  <c r="H65" i="138"/>
  <c r="N41" i="138"/>
  <c r="G65" i="138"/>
  <c r="J41" i="138"/>
  <c r="D41" i="138"/>
  <c r="S33" i="138"/>
  <c r="R69" i="138"/>
  <c r="D45" i="138"/>
  <c r="H49" i="138"/>
  <c r="D57" i="138"/>
  <c r="N65" i="138"/>
  <c r="K58" i="138"/>
  <c r="R34" i="138"/>
  <c r="G34" i="138"/>
  <c r="J49" i="138"/>
  <c r="O65" i="138"/>
  <c r="L71" i="138"/>
  <c r="P71" i="138"/>
  <c r="N71" i="138"/>
  <c r="I71" i="138"/>
  <c r="D47" i="138"/>
  <c r="D69" i="138"/>
  <c r="C69" i="138"/>
  <c r="R45" i="138"/>
  <c r="S69" i="138"/>
  <c r="P45" i="138"/>
  <c r="P69" i="138"/>
  <c r="L45" i="138"/>
  <c r="C41" i="138"/>
  <c r="O57" i="138"/>
  <c r="R33" i="138"/>
  <c r="D33" i="138"/>
  <c r="N57" i="138"/>
  <c r="P33" i="138"/>
  <c r="C33" i="138"/>
  <c r="L57" i="138"/>
  <c r="H57" i="138"/>
  <c r="K33" i="138"/>
  <c r="H33" i="138"/>
  <c r="H41" i="138"/>
  <c r="J57" i="138"/>
  <c r="G73" i="138"/>
  <c r="N36" i="138"/>
  <c r="J33" i="138"/>
  <c r="R41" i="138"/>
  <c r="P57" i="138"/>
  <c r="F69" i="138"/>
  <c r="J45" i="138"/>
  <c r="R72" i="138"/>
  <c r="L73" i="138"/>
  <c r="S49" i="138"/>
  <c r="F49" i="138"/>
  <c r="J73" i="138"/>
  <c r="R49" i="138"/>
  <c r="H73" i="138"/>
  <c r="P49" i="138"/>
  <c r="C49" i="138"/>
  <c r="R73" i="138"/>
  <c r="F73" i="138"/>
  <c r="N45" i="138"/>
  <c r="N49" i="138"/>
  <c r="L33" i="138"/>
  <c r="J42" i="138"/>
  <c r="R57" i="138"/>
  <c r="J69" i="138"/>
  <c r="O73" i="138"/>
  <c r="H64" i="138"/>
  <c r="I40" i="138"/>
  <c r="G40" i="138"/>
  <c r="M64" i="138"/>
  <c r="Q61" i="138"/>
  <c r="I61" i="138"/>
  <c r="E37" i="138"/>
  <c r="O61" i="138"/>
  <c r="G61" i="138"/>
  <c r="S37" i="138"/>
  <c r="K37" i="138"/>
  <c r="C37" i="138"/>
  <c r="M61" i="138"/>
  <c r="E61" i="138"/>
  <c r="I37" i="138"/>
  <c r="J61" i="138"/>
  <c r="P37" i="138"/>
  <c r="D37" i="138"/>
  <c r="S61" i="138"/>
  <c r="N37" i="138"/>
  <c r="R61" i="138"/>
  <c r="D61" i="138"/>
  <c r="H61" i="138"/>
  <c r="F61" i="138"/>
  <c r="L37" i="138"/>
  <c r="P61" i="138"/>
  <c r="C61" i="138"/>
  <c r="J37" i="138"/>
  <c r="N61" i="138"/>
  <c r="L61" i="138"/>
  <c r="C38" i="138"/>
  <c r="N30" i="138"/>
  <c r="G62" i="138"/>
  <c r="S67" i="138"/>
  <c r="K67" i="138"/>
  <c r="C67" i="138"/>
  <c r="O43" i="138"/>
  <c r="G43" i="138"/>
  <c r="Q67" i="138"/>
  <c r="I67" i="138"/>
  <c r="M43" i="138"/>
  <c r="E43" i="138"/>
  <c r="O67" i="138"/>
  <c r="G67" i="138"/>
  <c r="S43" i="138"/>
  <c r="K43" i="138"/>
  <c r="C43" i="138"/>
  <c r="J67" i="138"/>
  <c r="Q43" i="138"/>
  <c r="D43" i="138"/>
  <c r="F67" i="138"/>
  <c r="H67" i="138"/>
  <c r="P43" i="138"/>
  <c r="R67" i="138"/>
  <c r="E67" i="138"/>
  <c r="L43" i="138"/>
  <c r="P67" i="138"/>
  <c r="D67" i="138"/>
  <c r="J43" i="138"/>
  <c r="N67" i="138"/>
  <c r="I43" i="138"/>
  <c r="M67" i="138"/>
  <c r="O30" i="138"/>
  <c r="H43" i="138"/>
  <c r="P62" i="138"/>
  <c r="H62" i="138"/>
  <c r="D38" i="138"/>
  <c r="N62" i="138"/>
  <c r="F62" i="138"/>
  <c r="R38" i="138"/>
  <c r="J38" i="138"/>
  <c r="L62" i="138"/>
  <c r="D62" i="138"/>
  <c r="H38" i="138"/>
  <c r="R62" i="138"/>
  <c r="E62" i="138"/>
  <c r="M38" i="138"/>
  <c r="O62" i="138"/>
  <c r="G38" i="138"/>
  <c r="Q62" i="138"/>
  <c r="C62" i="138"/>
  <c r="K38" i="138"/>
  <c r="I38" i="138"/>
  <c r="M62" i="138"/>
  <c r="K62" i="138"/>
  <c r="S38" i="138"/>
  <c r="F38" i="138"/>
  <c r="J62" i="138"/>
  <c r="Q38" i="138"/>
  <c r="E38" i="138"/>
  <c r="I62" i="138"/>
  <c r="F30" i="138"/>
  <c r="N38" i="138"/>
  <c r="G37" i="138"/>
  <c r="P54" i="138"/>
  <c r="H54" i="138"/>
  <c r="N54" i="138"/>
  <c r="F54" i="138"/>
  <c r="L54" i="138"/>
  <c r="D54" i="138"/>
  <c r="M54" i="138"/>
  <c r="M30" i="138"/>
  <c r="E30" i="138"/>
  <c r="J54" i="138"/>
  <c r="K30" i="138"/>
  <c r="I54" i="138"/>
  <c r="J30" i="138"/>
  <c r="C54" i="138"/>
  <c r="K54" i="138"/>
  <c r="L30" i="138"/>
  <c r="D30" i="138"/>
  <c r="S30" i="138"/>
  <c r="C30" i="138"/>
  <c r="R30" i="138"/>
  <c r="S54" i="138"/>
  <c r="G54" i="138"/>
  <c r="Q30" i="138"/>
  <c r="I30" i="138"/>
  <c r="R54" i="138"/>
  <c r="E54" i="138"/>
  <c r="H30" i="138"/>
  <c r="Q54" i="138"/>
  <c r="R37" i="138"/>
  <c r="K61" i="138"/>
  <c r="L67" i="138"/>
  <c r="L58" i="138"/>
  <c r="D58" i="138"/>
  <c r="P34" i="138"/>
  <c r="H34" i="138"/>
  <c r="R58" i="138"/>
  <c r="J58" i="138"/>
  <c r="N34" i="138"/>
  <c r="F34" i="138"/>
  <c r="P58" i="138"/>
  <c r="H58" i="138"/>
  <c r="L34" i="138"/>
  <c r="D34" i="138"/>
  <c r="I58" i="138"/>
  <c r="Q34" i="138"/>
  <c r="C34" i="138"/>
  <c r="S58" i="138"/>
  <c r="K34" i="138"/>
  <c r="M58" i="138"/>
  <c r="G58" i="138"/>
  <c r="O34" i="138"/>
  <c r="F58" i="138"/>
  <c r="M34" i="138"/>
  <c r="Q58" i="138"/>
  <c r="E58" i="138"/>
  <c r="O58" i="138"/>
  <c r="C58" i="138"/>
  <c r="N58" i="138"/>
  <c r="I34" i="138"/>
  <c r="L66" i="138"/>
  <c r="D66" i="138"/>
  <c r="R66" i="138"/>
  <c r="J66" i="138"/>
  <c r="N42" i="138"/>
  <c r="F42" i="138"/>
  <c r="P66" i="138"/>
  <c r="H66" i="138"/>
  <c r="N66" i="138"/>
  <c r="I42" i="138"/>
  <c r="R42" i="138"/>
  <c r="I66" i="138"/>
  <c r="Q42" i="138"/>
  <c r="M66" i="138"/>
  <c r="G42" i="138"/>
  <c r="K66" i="138"/>
  <c r="E42" i="138"/>
  <c r="C42" i="138"/>
  <c r="G66" i="138"/>
  <c r="O42" i="138"/>
  <c r="S66" i="138"/>
  <c r="F66" i="138"/>
  <c r="Q66" i="138"/>
  <c r="E66" i="138"/>
  <c r="O55" i="138"/>
  <c r="G55" i="138"/>
  <c r="M55" i="138"/>
  <c r="E55" i="138"/>
  <c r="S55" i="138"/>
  <c r="K55" i="138"/>
  <c r="C55" i="138"/>
  <c r="G31" i="138"/>
  <c r="I46" i="138"/>
  <c r="N55" i="138"/>
  <c r="O64" i="138"/>
  <c r="O70" i="138"/>
  <c r="N56" i="138"/>
  <c r="F56" i="138"/>
  <c r="R32" i="138"/>
  <c r="J32" i="138"/>
  <c r="L56" i="138"/>
  <c r="D56" i="138"/>
  <c r="P32" i="138"/>
  <c r="R56" i="138"/>
  <c r="J56" i="138"/>
  <c r="N32" i="138"/>
  <c r="Q69" i="138"/>
  <c r="I69" i="138"/>
  <c r="M45" i="138"/>
  <c r="E45" i="138"/>
  <c r="O69" i="138"/>
  <c r="G69" i="138"/>
  <c r="S45" i="138"/>
  <c r="M69" i="138"/>
  <c r="E69" i="138"/>
  <c r="Q45" i="138"/>
  <c r="I45" i="138"/>
  <c r="H31" i="138"/>
  <c r="P31" i="138"/>
  <c r="G32" i="138"/>
  <c r="S32" i="138"/>
  <c r="K40" i="138"/>
  <c r="F41" i="138"/>
  <c r="S41" i="138"/>
  <c r="F47" i="138"/>
  <c r="P55" i="138"/>
  <c r="K56" i="138"/>
  <c r="C64" i="138"/>
  <c r="P64" i="138"/>
  <c r="L65" i="138"/>
  <c r="H69" i="138"/>
  <c r="C70" i="138"/>
  <c r="M57" i="138"/>
  <c r="E57" i="138"/>
  <c r="I33" i="138"/>
  <c r="S57" i="138"/>
  <c r="K57" i="138"/>
  <c r="C57" i="138"/>
  <c r="O33" i="138"/>
  <c r="Q57" i="138"/>
  <c r="I57" i="138"/>
  <c r="M33" i="138"/>
  <c r="E33" i="138"/>
  <c r="O63" i="138"/>
  <c r="G63" i="138"/>
  <c r="C39" i="138"/>
  <c r="M63" i="138"/>
  <c r="E63" i="138"/>
  <c r="Q39" i="138"/>
  <c r="I39" i="138"/>
  <c r="S63" i="138"/>
  <c r="K63" i="138"/>
  <c r="C63" i="138"/>
  <c r="O39" i="138"/>
  <c r="Q31" i="138"/>
  <c r="D55" i="138"/>
  <c r="P70" i="138"/>
  <c r="H70" i="138"/>
  <c r="N70" i="138"/>
  <c r="F70" i="138"/>
  <c r="R46" i="138"/>
  <c r="J46" i="138"/>
  <c r="L70" i="138"/>
  <c r="D70" i="138"/>
  <c r="M40" i="138"/>
  <c r="F55" i="138"/>
  <c r="G64" i="138"/>
  <c r="S64" i="138"/>
  <c r="O71" i="138"/>
  <c r="G71" i="138"/>
  <c r="K47" i="138"/>
  <c r="M71" i="138"/>
  <c r="E71" i="138"/>
  <c r="Q47" i="138"/>
  <c r="I47" i="138"/>
  <c r="S71" i="138"/>
  <c r="K71" i="138"/>
  <c r="C71" i="138"/>
  <c r="G47" i="138"/>
  <c r="C31" i="138"/>
  <c r="K31" i="138"/>
  <c r="S31" i="138"/>
  <c r="K32" i="138"/>
  <c r="C40" i="138"/>
  <c r="O40" i="138"/>
  <c r="G45" i="138"/>
  <c r="C46" i="138"/>
  <c r="O46" i="138"/>
  <c r="L47" i="138"/>
  <c r="H55" i="138"/>
  <c r="C56" i="138"/>
  <c r="P56" i="138"/>
  <c r="D65" i="138"/>
  <c r="L69" i="138"/>
  <c r="I70" i="138"/>
  <c r="D71" i="138"/>
  <c r="Q71" i="138"/>
  <c r="S59" i="138"/>
  <c r="K59" i="138"/>
  <c r="C59" i="138"/>
  <c r="O35" i="138"/>
  <c r="G35" i="138"/>
  <c r="Q59" i="138"/>
  <c r="I59" i="138"/>
  <c r="M35" i="138"/>
  <c r="O59" i="138"/>
  <c r="G59" i="138"/>
  <c r="S35" i="138"/>
  <c r="K35" i="138"/>
  <c r="C35" i="138"/>
  <c r="I31" i="138"/>
  <c r="Q55" i="138"/>
  <c r="N64" i="138"/>
  <c r="F64" i="138"/>
  <c r="R40" i="138"/>
  <c r="J40" i="138"/>
  <c r="L64" i="138"/>
  <c r="D64" i="138"/>
  <c r="P40" i="138"/>
  <c r="H40" i="138"/>
  <c r="R64" i="138"/>
  <c r="J64" i="138"/>
  <c r="N40" i="138"/>
  <c r="F40" i="138"/>
  <c r="J31" i="138"/>
  <c r="R31" i="138"/>
  <c r="R55" i="138"/>
  <c r="G70" i="138"/>
  <c r="S70" i="138"/>
  <c r="M65" i="138"/>
  <c r="E65" i="138"/>
  <c r="Q41" i="138"/>
  <c r="I41" i="138"/>
  <c r="S65" i="138"/>
  <c r="K65" i="138"/>
  <c r="C65" i="138"/>
  <c r="G41" i="138"/>
  <c r="Q65" i="138"/>
  <c r="I65" i="138"/>
  <c r="M41" i="138"/>
  <c r="E41" i="138"/>
  <c r="D31" i="138"/>
  <c r="L31" i="138"/>
  <c r="L32" i="138"/>
  <c r="L41" i="138"/>
  <c r="H45" i="138"/>
  <c r="E46" i="138"/>
  <c r="Q46" i="138"/>
  <c r="M47" i="138"/>
  <c r="I55" i="138"/>
  <c r="E56" i="138"/>
  <c r="Q56" i="138"/>
  <c r="I64" i="138"/>
  <c r="F65" i="138"/>
  <c r="R65" i="138"/>
  <c r="N69" i="138"/>
  <c r="J70" i="138"/>
  <c r="F71" i="138"/>
  <c r="R71" i="138"/>
  <c r="F36" i="138"/>
  <c r="M73" i="138"/>
  <c r="E73" i="138"/>
  <c r="S73" i="138"/>
  <c r="K73" i="138"/>
  <c r="C73" i="138"/>
  <c r="O49" i="138"/>
  <c r="Q73" i="138"/>
  <c r="I73" i="138"/>
  <c r="E49" i="138"/>
  <c r="P77" i="129"/>
  <c r="J90" i="129"/>
  <c r="O93" i="129"/>
  <c r="T7" i="129"/>
  <c r="L78" i="129"/>
  <c r="D78" i="129"/>
  <c r="S78" i="129"/>
  <c r="K78" i="129"/>
  <c r="C78" i="129"/>
  <c r="M78" i="129"/>
  <c r="J78" i="129"/>
  <c r="P78" i="129"/>
  <c r="F78" i="129"/>
  <c r="T15" i="129"/>
  <c r="L86" i="129"/>
  <c r="D86" i="129"/>
  <c r="S86" i="129"/>
  <c r="K86" i="129"/>
  <c r="C86" i="129"/>
  <c r="Q86" i="129"/>
  <c r="G86" i="129"/>
  <c r="P86" i="129"/>
  <c r="F86" i="129"/>
  <c r="J86" i="129"/>
  <c r="T23" i="129"/>
  <c r="L94" i="129"/>
  <c r="D94" i="129"/>
  <c r="S94" i="129"/>
  <c r="K94" i="129"/>
  <c r="C94" i="129"/>
  <c r="M94" i="129"/>
  <c r="J94" i="129"/>
  <c r="P94" i="129"/>
  <c r="F94" i="129"/>
  <c r="I71" i="129"/>
  <c r="Q71" i="129"/>
  <c r="N85" i="129"/>
  <c r="F85" i="129"/>
  <c r="M85" i="129"/>
  <c r="E85" i="129"/>
  <c r="O85" i="129"/>
  <c r="C85" i="129"/>
  <c r="L85" i="129"/>
  <c r="R85" i="129"/>
  <c r="H85" i="129"/>
  <c r="E77" i="129"/>
  <c r="D85" i="129"/>
  <c r="L71" i="129"/>
  <c r="T11" i="129"/>
  <c r="L82" i="129"/>
  <c r="D82" i="129"/>
  <c r="S82" i="129"/>
  <c r="K82" i="129"/>
  <c r="C82" i="129"/>
  <c r="O82" i="129"/>
  <c r="E82" i="129"/>
  <c r="N82" i="129"/>
  <c r="R82" i="129"/>
  <c r="H82" i="129"/>
  <c r="K71" i="129"/>
  <c r="T67" i="129"/>
  <c r="H78" i="129"/>
  <c r="F82" i="129"/>
  <c r="I85" i="129"/>
  <c r="H86" i="129"/>
  <c r="G94" i="129"/>
  <c r="T57" i="129"/>
  <c r="N77" i="129"/>
  <c r="F77" i="129"/>
  <c r="M77" i="129"/>
  <c r="S77" i="129"/>
  <c r="I77" i="129"/>
  <c r="R77" i="129"/>
  <c r="H77" i="129"/>
  <c r="L77" i="129"/>
  <c r="C77" i="129"/>
  <c r="N93" i="129"/>
  <c r="F93" i="129"/>
  <c r="M93" i="129"/>
  <c r="E93" i="129"/>
  <c r="S93" i="129"/>
  <c r="I93" i="129"/>
  <c r="R93" i="129"/>
  <c r="H93" i="129"/>
  <c r="L93" i="129"/>
  <c r="Q77" i="129"/>
  <c r="Q85" i="129"/>
  <c r="P93" i="129"/>
  <c r="T54" i="129"/>
  <c r="T60" i="129"/>
  <c r="C71" i="129"/>
  <c r="D77" i="129"/>
  <c r="T6" i="129"/>
  <c r="S85" i="129"/>
  <c r="Q93" i="129"/>
  <c r="T14" i="129"/>
  <c r="C93" i="129"/>
  <c r="T22" i="129"/>
  <c r="G77" i="129"/>
  <c r="G85" i="129"/>
  <c r="D93" i="129"/>
  <c r="T47" i="129"/>
  <c r="T19" i="129"/>
  <c r="L90" i="129"/>
  <c r="D90" i="129"/>
  <c r="S90" i="129"/>
  <c r="K90" i="129"/>
  <c r="C90" i="129"/>
  <c r="I90" i="129"/>
  <c r="R90" i="129"/>
  <c r="H90" i="129"/>
  <c r="N90" i="129"/>
  <c r="E71" i="129"/>
  <c r="T51" i="129"/>
  <c r="T56" i="129"/>
  <c r="K77" i="129"/>
  <c r="I78" i="129"/>
  <c r="G82" i="129"/>
  <c r="J85" i="129"/>
  <c r="I86" i="129"/>
  <c r="F90" i="129"/>
  <c r="J93" i="129"/>
  <c r="H94" i="129"/>
  <c r="O71" i="129"/>
  <c r="G75" i="129"/>
  <c r="O75" i="129"/>
  <c r="E76" i="129"/>
  <c r="D84" i="129"/>
  <c r="F91" i="129"/>
  <c r="J92" i="129"/>
  <c r="R79" i="129"/>
  <c r="J79" i="129"/>
  <c r="Q79" i="129"/>
  <c r="I79" i="129"/>
  <c r="R87" i="129"/>
  <c r="J87" i="129"/>
  <c r="Q87" i="129"/>
  <c r="I87" i="129"/>
  <c r="R83" i="129"/>
  <c r="J83" i="129"/>
  <c r="Q83" i="129"/>
  <c r="I83" i="129"/>
  <c r="R91" i="129"/>
  <c r="J91" i="129"/>
  <c r="Q91" i="129"/>
  <c r="I91" i="129"/>
  <c r="T65" i="129"/>
  <c r="D75" i="129"/>
  <c r="L75" i="129"/>
  <c r="G83" i="129"/>
  <c r="S83" i="129"/>
  <c r="C91" i="129"/>
  <c r="M91" i="129"/>
  <c r="P84" i="129"/>
  <c r="H84" i="129"/>
  <c r="O84" i="129"/>
  <c r="G84" i="129"/>
  <c r="P92" i="129"/>
  <c r="H92" i="129"/>
  <c r="O92" i="129"/>
  <c r="G92" i="129"/>
  <c r="T61" i="129"/>
  <c r="T54" i="128"/>
  <c r="R83" i="128"/>
  <c r="J83" i="128"/>
  <c r="Q83" i="128"/>
  <c r="I83" i="128"/>
  <c r="N83" i="128"/>
  <c r="F83" i="128"/>
  <c r="H83" i="128"/>
  <c r="T12" i="128"/>
  <c r="G83" i="128"/>
  <c r="O83" i="128"/>
  <c r="C83" i="128"/>
  <c r="S83" i="128"/>
  <c r="P83" i="128"/>
  <c r="M83" i="128"/>
  <c r="L83" i="128"/>
  <c r="K83" i="128"/>
  <c r="T59" i="128"/>
  <c r="R75" i="128"/>
  <c r="J75" i="128"/>
  <c r="Q75" i="128"/>
  <c r="I75" i="128"/>
  <c r="N75" i="128"/>
  <c r="F75" i="128"/>
  <c r="P75" i="128"/>
  <c r="D75" i="128"/>
  <c r="O75" i="128"/>
  <c r="C75" i="128"/>
  <c r="K75" i="128"/>
  <c r="S75" i="128"/>
  <c r="T4" i="128"/>
  <c r="M75" i="128"/>
  <c r="L75" i="128"/>
  <c r="H75" i="128"/>
  <c r="R91" i="128"/>
  <c r="J91" i="128"/>
  <c r="Q91" i="128"/>
  <c r="I91" i="128"/>
  <c r="N91" i="128"/>
  <c r="F91" i="128"/>
  <c r="M91" i="128"/>
  <c r="L91" i="128"/>
  <c r="T20" i="128"/>
  <c r="G91" i="128"/>
  <c r="D91" i="128"/>
  <c r="S91" i="128"/>
  <c r="P91" i="128"/>
  <c r="C91" i="128"/>
  <c r="O91" i="128"/>
  <c r="K91" i="128"/>
  <c r="G71" i="128"/>
  <c r="T60" i="128"/>
  <c r="P76" i="128"/>
  <c r="H76" i="128"/>
  <c r="O76" i="128"/>
  <c r="G76" i="128"/>
  <c r="T5" i="128"/>
  <c r="L76" i="128"/>
  <c r="D76" i="128"/>
  <c r="K76" i="128"/>
  <c r="J76" i="128"/>
  <c r="R76" i="128"/>
  <c r="E76" i="128"/>
  <c r="P84" i="128"/>
  <c r="H84" i="128"/>
  <c r="O84" i="128"/>
  <c r="G84" i="128"/>
  <c r="T13" i="128"/>
  <c r="L84" i="128"/>
  <c r="D84" i="128"/>
  <c r="Q84" i="128"/>
  <c r="C84" i="128"/>
  <c r="N84" i="128"/>
  <c r="J84" i="128"/>
  <c r="P92" i="128"/>
  <c r="H92" i="128"/>
  <c r="O92" i="128"/>
  <c r="G92" i="128"/>
  <c r="T21" i="128"/>
  <c r="L92" i="128"/>
  <c r="D92" i="128"/>
  <c r="I92" i="128"/>
  <c r="S92" i="128"/>
  <c r="F92" i="128"/>
  <c r="N92" i="128"/>
  <c r="T62" i="128"/>
  <c r="N76" i="128"/>
  <c r="D79" i="128"/>
  <c r="M84" i="128"/>
  <c r="G87" i="128"/>
  <c r="Q92" i="128"/>
  <c r="T52" i="128"/>
  <c r="S76" i="128"/>
  <c r="T65" i="128"/>
  <c r="C92" i="128"/>
  <c r="T55" i="128"/>
  <c r="O71" i="128"/>
  <c r="S84" i="128"/>
  <c r="R79" i="128"/>
  <c r="J79" i="128"/>
  <c r="Q79" i="128"/>
  <c r="I79" i="128"/>
  <c r="N79" i="128"/>
  <c r="F79" i="128"/>
  <c r="L79" i="128"/>
  <c r="K79" i="128"/>
  <c r="S79" i="128"/>
  <c r="E79" i="128"/>
  <c r="R87" i="128"/>
  <c r="J87" i="128"/>
  <c r="Q87" i="128"/>
  <c r="I87" i="128"/>
  <c r="N87" i="128"/>
  <c r="F87" i="128"/>
  <c r="P87" i="128"/>
  <c r="D87" i="128"/>
  <c r="O87" i="128"/>
  <c r="C87" i="128"/>
  <c r="K87" i="128"/>
  <c r="T64" i="128"/>
  <c r="C76" i="128"/>
  <c r="O79" i="128"/>
  <c r="E84" i="128"/>
  <c r="S87" i="128"/>
  <c r="E92" i="128"/>
  <c r="D71" i="128"/>
  <c r="T50" i="128"/>
  <c r="T53" i="128"/>
  <c r="T57" i="128"/>
  <c r="T66" i="128"/>
  <c r="T69" i="128"/>
  <c r="T71" i="128"/>
  <c r="R71" i="128"/>
  <c r="T3" i="128"/>
  <c r="T47" i="128"/>
  <c r="S74" i="128"/>
  <c r="P74" i="128"/>
  <c r="T11" i="128"/>
  <c r="L82" i="128"/>
  <c r="D82" i="128"/>
  <c r="S82" i="128"/>
  <c r="K82" i="128"/>
  <c r="C82" i="128"/>
  <c r="P82" i="128"/>
  <c r="H82" i="128"/>
  <c r="T19" i="128"/>
  <c r="L90" i="128"/>
  <c r="D90" i="128"/>
  <c r="S90" i="128"/>
  <c r="K90" i="128"/>
  <c r="C90" i="128"/>
  <c r="P90" i="128"/>
  <c r="H90" i="128"/>
  <c r="E71" i="128"/>
  <c r="M71" i="128"/>
  <c r="Q90" i="128"/>
  <c r="H71" i="128"/>
  <c r="P71" i="128"/>
  <c r="T7" i="128"/>
  <c r="L78" i="128"/>
  <c r="D78" i="128"/>
  <c r="S78" i="128"/>
  <c r="K78" i="128"/>
  <c r="C78" i="128"/>
  <c r="P78" i="128"/>
  <c r="H78" i="128"/>
  <c r="T15" i="128"/>
  <c r="L86" i="128"/>
  <c r="D86" i="128"/>
  <c r="S86" i="128"/>
  <c r="K86" i="128"/>
  <c r="C86" i="128"/>
  <c r="P86" i="128"/>
  <c r="H86" i="128"/>
  <c r="T23" i="128"/>
  <c r="L94" i="128"/>
  <c r="D94" i="128"/>
  <c r="S94" i="128"/>
  <c r="K94" i="128"/>
  <c r="C94" i="128"/>
  <c r="P94" i="128"/>
  <c r="H94" i="128"/>
  <c r="I71" i="128"/>
  <c r="Q71" i="128"/>
  <c r="D25" i="126"/>
  <c r="D28" i="126"/>
  <c r="T46" i="122"/>
  <c r="S23" i="122"/>
  <c r="S94" i="122"/>
  <c r="R23" i="122"/>
  <c r="R94" i="122"/>
  <c r="Q23" i="122"/>
  <c r="Q94" i="122"/>
  <c r="P23" i="122"/>
  <c r="P94" i="122"/>
  <c r="O23" i="122"/>
  <c r="O94" i="122"/>
  <c r="N23" i="122"/>
  <c r="N94" i="122"/>
  <c r="M23" i="122"/>
  <c r="M94" i="122"/>
  <c r="L23" i="122"/>
  <c r="L94" i="122"/>
  <c r="K23" i="122"/>
  <c r="K94" i="122"/>
  <c r="J23" i="122"/>
  <c r="J94" i="122"/>
  <c r="I23" i="122"/>
  <c r="I94" i="122"/>
  <c r="H23" i="122"/>
  <c r="H94" i="122"/>
  <c r="G23" i="122"/>
  <c r="G94" i="122"/>
  <c r="F23" i="122"/>
  <c r="F94" i="122"/>
  <c r="E23" i="122"/>
  <c r="E94" i="122"/>
  <c r="D23" i="122"/>
  <c r="D94" i="122"/>
  <c r="C23" i="122"/>
  <c r="C94" i="122"/>
  <c r="T45" i="122"/>
  <c r="S22" i="122"/>
  <c r="S93" i="122"/>
  <c r="R22" i="122"/>
  <c r="R93" i="122"/>
  <c r="Q22" i="122"/>
  <c r="Q93" i="122"/>
  <c r="P22" i="122"/>
  <c r="P93" i="122"/>
  <c r="O22" i="122"/>
  <c r="O93" i="122"/>
  <c r="N22" i="122"/>
  <c r="N93" i="122"/>
  <c r="M22" i="122"/>
  <c r="M93" i="122"/>
  <c r="L22" i="122"/>
  <c r="L93" i="122"/>
  <c r="K22" i="122"/>
  <c r="K93" i="122"/>
  <c r="J22" i="122"/>
  <c r="J93" i="122"/>
  <c r="I22" i="122"/>
  <c r="I93" i="122"/>
  <c r="H22" i="122"/>
  <c r="H93" i="122"/>
  <c r="G22" i="122"/>
  <c r="G93" i="122"/>
  <c r="F22" i="122"/>
  <c r="F93" i="122"/>
  <c r="E22" i="122"/>
  <c r="E93" i="122"/>
  <c r="D22" i="122"/>
  <c r="D93" i="122"/>
  <c r="C22" i="122"/>
  <c r="C93" i="122"/>
  <c r="T44" i="122"/>
  <c r="S21" i="122"/>
  <c r="S92" i="122"/>
  <c r="R21" i="122"/>
  <c r="R92" i="122"/>
  <c r="Q21" i="122"/>
  <c r="Q92" i="122"/>
  <c r="P21" i="122"/>
  <c r="P92" i="122"/>
  <c r="O21" i="122"/>
  <c r="O92" i="122"/>
  <c r="N21" i="122"/>
  <c r="N92" i="122"/>
  <c r="M21" i="122"/>
  <c r="M92" i="122"/>
  <c r="L21" i="122"/>
  <c r="L92" i="122"/>
  <c r="K21" i="122"/>
  <c r="K92" i="122"/>
  <c r="J21" i="122"/>
  <c r="J92" i="122"/>
  <c r="I21" i="122"/>
  <c r="I92" i="122"/>
  <c r="H21" i="122"/>
  <c r="H92" i="122"/>
  <c r="G21" i="122"/>
  <c r="G92" i="122"/>
  <c r="F21" i="122"/>
  <c r="F92" i="122"/>
  <c r="E21" i="122"/>
  <c r="E92" i="122"/>
  <c r="D21" i="122"/>
  <c r="D92" i="122"/>
  <c r="C21" i="122"/>
  <c r="C92" i="122"/>
  <c r="T43" i="122"/>
  <c r="S20" i="122"/>
  <c r="S91" i="122"/>
  <c r="R20" i="122"/>
  <c r="R91" i="122"/>
  <c r="Q20" i="122"/>
  <c r="Q91" i="122"/>
  <c r="P20" i="122"/>
  <c r="P91" i="122"/>
  <c r="O20" i="122"/>
  <c r="O91" i="122"/>
  <c r="N20" i="122"/>
  <c r="N91" i="122"/>
  <c r="M20" i="122"/>
  <c r="M91" i="122"/>
  <c r="L20" i="122"/>
  <c r="L91" i="122"/>
  <c r="K20" i="122"/>
  <c r="K91" i="122"/>
  <c r="J20" i="122"/>
  <c r="J91" i="122"/>
  <c r="I20" i="122"/>
  <c r="I91" i="122"/>
  <c r="H20" i="122"/>
  <c r="H91" i="122"/>
  <c r="G20" i="122"/>
  <c r="G91" i="122"/>
  <c r="F20" i="122"/>
  <c r="F91" i="122"/>
  <c r="E20" i="122"/>
  <c r="E91" i="122"/>
  <c r="D20" i="122"/>
  <c r="D91" i="122"/>
  <c r="C20" i="122"/>
  <c r="C91" i="122"/>
  <c r="T42" i="122"/>
  <c r="S19" i="122"/>
  <c r="S90" i="122"/>
  <c r="R19" i="122"/>
  <c r="R90" i="122"/>
  <c r="Q19" i="122"/>
  <c r="Q90" i="122"/>
  <c r="P19" i="122"/>
  <c r="P90" i="122"/>
  <c r="O19" i="122"/>
  <c r="O90" i="122"/>
  <c r="N19" i="122"/>
  <c r="N90" i="122"/>
  <c r="M19" i="122"/>
  <c r="M90" i="122"/>
  <c r="L19" i="122"/>
  <c r="L90" i="122"/>
  <c r="K19" i="122"/>
  <c r="K90" i="122"/>
  <c r="J19" i="122"/>
  <c r="J90" i="122"/>
  <c r="I19" i="122"/>
  <c r="I90" i="122"/>
  <c r="H19" i="122"/>
  <c r="H90" i="122"/>
  <c r="G19" i="122"/>
  <c r="G90" i="122"/>
  <c r="F19" i="122"/>
  <c r="F90" i="122"/>
  <c r="E19" i="122"/>
  <c r="E90" i="122"/>
  <c r="D19" i="122"/>
  <c r="D90" i="122"/>
  <c r="C19" i="122"/>
  <c r="C90" i="122"/>
  <c r="T41" i="122"/>
  <c r="S18" i="122"/>
  <c r="S89" i="122"/>
  <c r="R18" i="122"/>
  <c r="R89" i="122"/>
  <c r="Q18" i="122"/>
  <c r="Q89" i="122"/>
  <c r="P18" i="122"/>
  <c r="P89" i="122"/>
  <c r="O18" i="122"/>
  <c r="O89" i="122"/>
  <c r="N18" i="122"/>
  <c r="N89" i="122"/>
  <c r="M18" i="122"/>
  <c r="M89" i="122"/>
  <c r="L18" i="122"/>
  <c r="L89" i="122"/>
  <c r="K18" i="122"/>
  <c r="K89" i="122"/>
  <c r="J18" i="122"/>
  <c r="J89" i="122"/>
  <c r="I18" i="122"/>
  <c r="I89" i="122"/>
  <c r="H18" i="122"/>
  <c r="H89" i="122"/>
  <c r="G18" i="122"/>
  <c r="G89" i="122"/>
  <c r="F18" i="122"/>
  <c r="F89" i="122"/>
  <c r="E18" i="122"/>
  <c r="E89" i="122"/>
  <c r="D18" i="122"/>
  <c r="D89" i="122"/>
  <c r="C18" i="122"/>
  <c r="C89" i="122"/>
  <c r="T40" i="122"/>
  <c r="S17" i="122"/>
  <c r="S88" i="122"/>
  <c r="R17" i="122"/>
  <c r="R88" i="122"/>
  <c r="Q17" i="122"/>
  <c r="Q88" i="122"/>
  <c r="P17" i="122"/>
  <c r="P88" i="122"/>
  <c r="O17" i="122"/>
  <c r="O88" i="122"/>
  <c r="N17" i="122"/>
  <c r="N88" i="122"/>
  <c r="M17" i="122"/>
  <c r="M88" i="122"/>
  <c r="L17" i="122"/>
  <c r="L88" i="122"/>
  <c r="K17" i="122"/>
  <c r="K88" i="122"/>
  <c r="J17" i="122"/>
  <c r="J88" i="122"/>
  <c r="I17" i="122"/>
  <c r="I88" i="122"/>
  <c r="H17" i="122"/>
  <c r="H88" i="122"/>
  <c r="G17" i="122"/>
  <c r="G88" i="122"/>
  <c r="F17" i="122"/>
  <c r="F88" i="122"/>
  <c r="E17" i="122"/>
  <c r="E88" i="122"/>
  <c r="D17" i="122"/>
  <c r="D88" i="122"/>
  <c r="C17" i="122"/>
  <c r="C88" i="122"/>
  <c r="T39" i="122"/>
  <c r="S16" i="122"/>
  <c r="S87" i="122"/>
  <c r="R16" i="122"/>
  <c r="R87" i="122"/>
  <c r="Q16" i="122"/>
  <c r="Q87" i="122"/>
  <c r="P16" i="122"/>
  <c r="P87" i="122"/>
  <c r="O16" i="122"/>
  <c r="O87" i="122"/>
  <c r="N16" i="122"/>
  <c r="N87" i="122"/>
  <c r="M16" i="122"/>
  <c r="M87" i="122"/>
  <c r="L16" i="122"/>
  <c r="L87" i="122"/>
  <c r="K16" i="122"/>
  <c r="K87" i="122"/>
  <c r="J16" i="122"/>
  <c r="J87" i="122"/>
  <c r="I16" i="122"/>
  <c r="I87" i="122"/>
  <c r="H16" i="122"/>
  <c r="H87" i="122"/>
  <c r="G16" i="122"/>
  <c r="G87" i="122"/>
  <c r="F16" i="122"/>
  <c r="F87" i="122"/>
  <c r="E16" i="122"/>
  <c r="E87" i="122"/>
  <c r="D16" i="122"/>
  <c r="D87" i="122"/>
  <c r="C16" i="122"/>
  <c r="C87" i="122"/>
  <c r="T38" i="122"/>
  <c r="S15" i="122"/>
  <c r="S86" i="122"/>
  <c r="R15" i="122"/>
  <c r="R86" i="122"/>
  <c r="Q15" i="122"/>
  <c r="Q86" i="122"/>
  <c r="P15" i="122"/>
  <c r="P86" i="122"/>
  <c r="O15" i="122"/>
  <c r="O86" i="122"/>
  <c r="N15" i="122"/>
  <c r="N86" i="122"/>
  <c r="M15" i="122"/>
  <c r="M86" i="122"/>
  <c r="L15" i="122"/>
  <c r="L86" i="122"/>
  <c r="K15" i="122"/>
  <c r="K86" i="122"/>
  <c r="J15" i="122"/>
  <c r="J86" i="122"/>
  <c r="I15" i="122"/>
  <c r="I86" i="122"/>
  <c r="H15" i="122"/>
  <c r="H86" i="122"/>
  <c r="G15" i="122"/>
  <c r="G86" i="122"/>
  <c r="F15" i="122"/>
  <c r="F86" i="122"/>
  <c r="E15" i="122"/>
  <c r="E86" i="122"/>
  <c r="D15" i="122"/>
  <c r="D86" i="122"/>
  <c r="C15" i="122"/>
  <c r="C86" i="122"/>
  <c r="T37" i="122"/>
  <c r="S14" i="122"/>
  <c r="S85" i="122"/>
  <c r="R14" i="122"/>
  <c r="R85" i="122"/>
  <c r="Q14" i="122"/>
  <c r="Q85" i="122"/>
  <c r="P14" i="122"/>
  <c r="P85" i="122"/>
  <c r="O14" i="122"/>
  <c r="O85" i="122"/>
  <c r="N14" i="122"/>
  <c r="N85" i="122"/>
  <c r="M14" i="122"/>
  <c r="M85" i="122"/>
  <c r="L14" i="122"/>
  <c r="L85" i="122"/>
  <c r="K14" i="122"/>
  <c r="K85" i="122"/>
  <c r="J14" i="122"/>
  <c r="J85" i="122"/>
  <c r="I14" i="122"/>
  <c r="I85" i="122"/>
  <c r="H14" i="122"/>
  <c r="H85" i="122"/>
  <c r="G14" i="122"/>
  <c r="G85" i="122"/>
  <c r="F14" i="122"/>
  <c r="F85" i="122"/>
  <c r="E14" i="122"/>
  <c r="E85" i="122"/>
  <c r="D14" i="122"/>
  <c r="D85" i="122"/>
  <c r="C14" i="122"/>
  <c r="C85" i="122"/>
  <c r="T36" i="122"/>
  <c r="S13" i="122"/>
  <c r="S84" i="122"/>
  <c r="R13" i="122"/>
  <c r="R84" i="122"/>
  <c r="Q13" i="122"/>
  <c r="Q84" i="122"/>
  <c r="P13" i="122"/>
  <c r="P84" i="122"/>
  <c r="O13" i="122"/>
  <c r="O84" i="122"/>
  <c r="N13" i="122"/>
  <c r="N84" i="122"/>
  <c r="M13" i="122"/>
  <c r="M84" i="122"/>
  <c r="L13" i="122"/>
  <c r="L84" i="122"/>
  <c r="K13" i="122"/>
  <c r="K84" i="122"/>
  <c r="J13" i="122"/>
  <c r="J84" i="122"/>
  <c r="I13" i="122"/>
  <c r="I84" i="122"/>
  <c r="H13" i="122"/>
  <c r="H84" i="122"/>
  <c r="G13" i="122"/>
  <c r="G84" i="122"/>
  <c r="F13" i="122"/>
  <c r="F84" i="122"/>
  <c r="E13" i="122"/>
  <c r="E84" i="122"/>
  <c r="D13" i="122"/>
  <c r="D84" i="122"/>
  <c r="C13" i="122"/>
  <c r="C84" i="122"/>
  <c r="T35" i="122"/>
  <c r="S12" i="122"/>
  <c r="S83" i="122"/>
  <c r="R12" i="122"/>
  <c r="R83" i="122"/>
  <c r="Q12" i="122"/>
  <c r="Q83" i="122"/>
  <c r="P12" i="122"/>
  <c r="P83" i="122"/>
  <c r="O12" i="122"/>
  <c r="O83" i="122"/>
  <c r="N12" i="122"/>
  <c r="N83" i="122"/>
  <c r="M12" i="122"/>
  <c r="M83" i="122"/>
  <c r="L12" i="122"/>
  <c r="L83" i="122"/>
  <c r="K12" i="122"/>
  <c r="K83" i="122"/>
  <c r="J12" i="122"/>
  <c r="J83" i="122"/>
  <c r="I12" i="122"/>
  <c r="I83" i="122"/>
  <c r="H12" i="122"/>
  <c r="H83" i="122"/>
  <c r="G12" i="122"/>
  <c r="G83" i="122"/>
  <c r="F12" i="122"/>
  <c r="F83" i="122"/>
  <c r="E12" i="122"/>
  <c r="E83" i="122"/>
  <c r="D12" i="122"/>
  <c r="D83" i="122"/>
  <c r="C12" i="122"/>
  <c r="C83" i="122"/>
  <c r="T34" i="122"/>
  <c r="S11" i="122"/>
  <c r="S82" i="122"/>
  <c r="R11" i="122"/>
  <c r="R82" i="122"/>
  <c r="Q11" i="122"/>
  <c r="Q82" i="122"/>
  <c r="P11" i="122"/>
  <c r="P82" i="122"/>
  <c r="O11" i="122"/>
  <c r="O82" i="122"/>
  <c r="N11" i="122"/>
  <c r="N82" i="122"/>
  <c r="M11" i="122"/>
  <c r="M82" i="122"/>
  <c r="L11" i="122"/>
  <c r="L82" i="122"/>
  <c r="K11" i="122"/>
  <c r="K82" i="122"/>
  <c r="J11" i="122"/>
  <c r="J82" i="122"/>
  <c r="I11" i="122"/>
  <c r="I82" i="122"/>
  <c r="H11" i="122"/>
  <c r="H82" i="122"/>
  <c r="G11" i="122"/>
  <c r="G82" i="122"/>
  <c r="F11" i="122"/>
  <c r="F82" i="122"/>
  <c r="E11" i="122"/>
  <c r="E82" i="122"/>
  <c r="D11" i="122"/>
  <c r="D82" i="122"/>
  <c r="C11" i="122"/>
  <c r="C82" i="122"/>
  <c r="T33" i="122"/>
  <c r="S10" i="122"/>
  <c r="S81" i="122"/>
  <c r="R10" i="122"/>
  <c r="R81" i="122"/>
  <c r="Q10" i="122"/>
  <c r="Q81" i="122"/>
  <c r="P10" i="122"/>
  <c r="P81" i="122"/>
  <c r="O10" i="122"/>
  <c r="O81" i="122"/>
  <c r="N10" i="122"/>
  <c r="N81" i="122"/>
  <c r="M10" i="122"/>
  <c r="M81" i="122"/>
  <c r="L10" i="122"/>
  <c r="L81" i="122"/>
  <c r="K10" i="122"/>
  <c r="K81" i="122"/>
  <c r="J10" i="122"/>
  <c r="J81" i="122"/>
  <c r="I10" i="122"/>
  <c r="I81" i="122"/>
  <c r="H10" i="122"/>
  <c r="H81" i="122"/>
  <c r="G10" i="122"/>
  <c r="G81" i="122"/>
  <c r="F10" i="122"/>
  <c r="F81" i="122"/>
  <c r="E10" i="122"/>
  <c r="E81" i="122"/>
  <c r="D10" i="122"/>
  <c r="D81" i="122"/>
  <c r="C10" i="122"/>
  <c r="C81" i="122"/>
  <c r="T32" i="122"/>
  <c r="S9" i="122"/>
  <c r="S80" i="122"/>
  <c r="R9" i="122"/>
  <c r="R80" i="122"/>
  <c r="Q9" i="122"/>
  <c r="Q80" i="122"/>
  <c r="P9" i="122"/>
  <c r="P80" i="122"/>
  <c r="O9" i="122"/>
  <c r="O80" i="122"/>
  <c r="N9" i="122"/>
  <c r="N80" i="122"/>
  <c r="M9" i="122"/>
  <c r="M80" i="122"/>
  <c r="L9" i="122"/>
  <c r="L80" i="122"/>
  <c r="K9" i="122"/>
  <c r="K80" i="122"/>
  <c r="J9" i="122"/>
  <c r="J80" i="122"/>
  <c r="I9" i="122"/>
  <c r="I80" i="122"/>
  <c r="H9" i="122"/>
  <c r="H80" i="122"/>
  <c r="G9" i="122"/>
  <c r="G80" i="122"/>
  <c r="F9" i="122"/>
  <c r="F80" i="122"/>
  <c r="E9" i="122"/>
  <c r="E80" i="122"/>
  <c r="D9" i="122"/>
  <c r="D80" i="122"/>
  <c r="C9" i="122"/>
  <c r="C80" i="122"/>
  <c r="T31" i="122"/>
  <c r="S8" i="122"/>
  <c r="S79" i="122"/>
  <c r="R8" i="122"/>
  <c r="R79" i="122"/>
  <c r="Q8" i="122"/>
  <c r="Q79" i="122"/>
  <c r="P8" i="122"/>
  <c r="P79" i="122"/>
  <c r="O8" i="122"/>
  <c r="O79" i="122"/>
  <c r="N8" i="122"/>
  <c r="N79" i="122"/>
  <c r="M8" i="122"/>
  <c r="M79" i="122"/>
  <c r="L8" i="122"/>
  <c r="L79" i="122"/>
  <c r="K8" i="122"/>
  <c r="K79" i="122"/>
  <c r="J8" i="122"/>
  <c r="J79" i="122"/>
  <c r="I8" i="122"/>
  <c r="I79" i="122"/>
  <c r="H8" i="122"/>
  <c r="H79" i="122"/>
  <c r="G8" i="122"/>
  <c r="G79" i="122"/>
  <c r="F8" i="122"/>
  <c r="F79" i="122"/>
  <c r="E8" i="122"/>
  <c r="E79" i="122"/>
  <c r="D8" i="122"/>
  <c r="D79" i="122"/>
  <c r="C8" i="122"/>
  <c r="C79" i="122"/>
  <c r="T30" i="122"/>
  <c r="S7" i="122"/>
  <c r="S78" i="122"/>
  <c r="R7" i="122"/>
  <c r="R78" i="122"/>
  <c r="Q7" i="122"/>
  <c r="Q78" i="122"/>
  <c r="P7" i="122"/>
  <c r="P78" i="122"/>
  <c r="O7" i="122"/>
  <c r="O78" i="122"/>
  <c r="N7" i="122"/>
  <c r="N78" i="122"/>
  <c r="M7" i="122"/>
  <c r="M78" i="122"/>
  <c r="L7" i="122"/>
  <c r="L78" i="122"/>
  <c r="K7" i="122"/>
  <c r="K78" i="122"/>
  <c r="J7" i="122"/>
  <c r="J78" i="122"/>
  <c r="I7" i="122"/>
  <c r="I78" i="122"/>
  <c r="H7" i="122"/>
  <c r="H78" i="122"/>
  <c r="G7" i="122"/>
  <c r="G78" i="122"/>
  <c r="F7" i="122"/>
  <c r="F78" i="122"/>
  <c r="E7" i="122"/>
  <c r="E78" i="122"/>
  <c r="D7" i="122"/>
  <c r="D78" i="122"/>
  <c r="C7" i="122"/>
  <c r="C78" i="122"/>
  <c r="T29" i="122"/>
  <c r="S6" i="122"/>
  <c r="S77" i="122"/>
  <c r="R6" i="122"/>
  <c r="R77" i="122"/>
  <c r="Q6" i="122"/>
  <c r="Q77" i="122"/>
  <c r="P6" i="122"/>
  <c r="P77" i="122"/>
  <c r="O6" i="122"/>
  <c r="O77" i="122"/>
  <c r="N6" i="122"/>
  <c r="N77" i="122"/>
  <c r="M6" i="122"/>
  <c r="M77" i="122"/>
  <c r="L6" i="122"/>
  <c r="L77" i="122"/>
  <c r="K6" i="122"/>
  <c r="K77" i="122"/>
  <c r="J6" i="122"/>
  <c r="J77" i="122"/>
  <c r="I6" i="122"/>
  <c r="I77" i="122"/>
  <c r="H6" i="122"/>
  <c r="H77" i="122"/>
  <c r="G6" i="122"/>
  <c r="G77" i="122"/>
  <c r="F6" i="122"/>
  <c r="F77" i="122"/>
  <c r="E6" i="122"/>
  <c r="E77" i="122"/>
  <c r="D6" i="122"/>
  <c r="D77" i="122"/>
  <c r="C6" i="122"/>
  <c r="C77" i="122"/>
  <c r="T28" i="122"/>
  <c r="S5" i="122"/>
  <c r="S76" i="122"/>
  <c r="R5" i="122"/>
  <c r="R76" i="122"/>
  <c r="Q5" i="122"/>
  <c r="Q76" i="122"/>
  <c r="P5" i="122"/>
  <c r="P76" i="122"/>
  <c r="O5" i="122"/>
  <c r="O76" i="122"/>
  <c r="N5" i="122"/>
  <c r="N76" i="122"/>
  <c r="M5" i="122"/>
  <c r="M76" i="122"/>
  <c r="L5" i="122"/>
  <c r="L76" i="122"/>
  <c r="K5" i="122"/>
  <c r="K76" i="122"/>
  <c r="J5" i="122"/>
  <c r="J76" i="122"/>
  <c r="I5" i="122"/>
  <c r="I76" i="122"/>
  <c r="H5" i="122"/>
  <c r="H76" i="122"/>
  <c r="G5" i="122"/>
  <c r="G76" i="122"/>
  <c r="F5" i="122"/>
  <c r="F76" i="122"/>
  <c r="E5" i="122"/>
  <c r="E76" i="122"/>
  <c r="D5" i="122"/>
  <c r="D76" i="122"/>
  <c r="C5" i="122"/>
  <c r="C76" i="122"/>
  <c r="T27" i="122"/>
  <c r="S4" i="122"/>
  <c r="S75" i="122"/>
  <c r="R4" i="122"/>
  <c r="R75" i="122"/>
  <c r="Q4" i="122"/>
  <c r="Q75" i="122"/>
  <c r="P4" i="122"/>
  <c r="P75" i="122"/>
  <c r="O4" i="122"/>
  <c r="O75" i="122"/>
  <c r="N4" i="122"/>
  <c r="N75" i="122"/>
  <c r="M4" i="122"/>
  <c r="M75" i="122"/>
  <c r="L4" i="122"/>
  <c r="L75" i="122"/>
  <c r="K4" i="122"/>
  <c r="K75" i="122"/>
  <c r="J4" i="122"/>
  <c r="J75" i="122"/>
  <c r="I4" i="122"/>
  <c r="I75" i="122"/>
  <c r="H4" i="122"/>
  <c r="H75" i="122"/>
  <c r="G4" i="122"/>
  <c r="G75" i="122"/>
  <c r="F4" i="122"/>
  <c r="F75" i="122"/>
  <c r="E4" i="122"/>
  <c r="E75" i="122"/>
  <c r="D4" i="122"/>
  <c r="D75" i="122"/>
  <c r="C4" i="122"/>
  <c r="C75" i="122"/>
  <c r="T26" i="122"/>
  <c r="S3" i="122"/>
  <c r="S74" i="122"/>
  <c r="R3" i="122"/>
  <c r="R74" i="122"/>
  <c r="Q3" i="122"/>
  <c r="Q74" i="122"/>
  <c r="P3" i="122"/>
  <c r="P74" i="122"/>
  <c r="O3" i="122"/>
  <c r="O74" i="122"/>
  <c r="N3" i="122"/>
  <c r="N74" i="122"/>
  <c r="M3" i="122"/>
  <c r="M74" i="122"/>
  <c r="L3" i="122"/>
  <c r="L74" i="122"/>
  <c r="K3" i="122"/>
  <c r="K74" i="122"/>
  <c r="J3" i="122"/>
  <c r="J74" i="122"/>
  <c r="I3" i="122"/>
  <c r="I74" i="122"/>
  <c r="H3" i="122"/>
  <c r="H74" i="122"/>
  <c r="G3" i="122"/>
  <c r="G74" i="122"/>
  <c r="F3" i="122"/>
  <c r="F74" i="122"/>
  <c r="E3" i="122"/>
  <c r="E74" i="122"/>
  <c r="D3" i="122"/>
  <c r="D74" i="122"/>
  <c r="C3" i="122"/>
  <c r="C74" i="122"/>
  <c r="N46" i="138"/>
  <c r="F35" i="138"/>
  <c r="K45" i="138"/>
  <c r="H37" i="138"/>
  <c r="M49" i="138"/>
  <c r="C32" i="138"/>
  <c r="S47" i="138"/>
  <c r="D46" i="138"/>
  <c r="K39" i="138"/>
  <c r="H42" i="138"/>
  <c r="P38" i="138"/>
  <c r="L38" i="138"/>
  <c r="L49" i="138"/>
  <c r="Q49" i="138"/>
  <c r="E35" i="138"/>
  <c r="P46" i="138"/>
  <c r="L46" i="138"/>
  <c r="S39" i="138"/>
  <c r="K46" i="138"/>
  <c r="S42" i="138"/>
  <c r="L42" i="138"/>
  <c r="P42" i="138"/>
  <c r="M37" i="138"/>
  <c r="F33" i="138"/>
  <c r="D40" i="138"/>
  <c r="K41" i="138"/>
  <c r="Q33" i="138"/>
  <c r="C45" i="138"/>
  <c r="J34" i="138"/>
  <c r="J39" i="138"/>
  <c r="I49" i="138"/>
  <c r="O41" i="138"/>
  <c r="H46" i="138"/>
  <c r="G33" i="138"/>
  <c r="M42" i="138"/>
  <c r="D42" i="138"/>
  <c r="P30" i="138"/>
  <c r="Q37" i="138"/>
  <c r="P41" i="138"/>
  <c r="E40" i="138"/>
  <c r="O45" i="138"/>
  <c r="H47" i="138"/>
  <c r="C47" i="138"/>
  <c r="G39" i="138"/>
  <c r="D49" i="138"/>
  <c r="N47" i="138"/>
  <c r="G49" i="138"/>
  <c r="O38" i="138"/>
  <c r="G30" i="138"/>
  <c r="J47" i="138"/>
  <c r="O47" i="138"/>
  <c r="N43" i="138"/>
  <c r="O37" i="138"/>
  <c r="H32" i="138"/>
  <c r="Q40" i="138"/>
  <c r="O31" i="138"/>
  <c r="L74" i="129"/>
  <c r="I74" i="129"/>
  <c r="Q74" i="129"/>
  <c r="K74" i="129"/>
  <c r="E74" i="129"/>
  <c r="P74" i="129"/>
  <c r="R74" i="129"/>
  <c r="F74" i="129"/>
  <c r="O74" i="129"/>
  <c r="J74" i="129"/>
  <c r="D74" i="129"/>
  <c r="G74" i="129"/>
  <c r="S74" i="129"/>
  <c r="M74" i="129"/>
  <c r="N74" i="129"/>
  <c r="N48" i="138"/>
  <c r="H44" i="138"/>
  <c r="H48" i="138"/>
  <c r="F44" i="138"/>
  <c r="J48" i="138"/>
  <c r="S68" i="138"/>
  <c r="R48" i="138"/>
  <c r="N72" i="138"/>
  <c r="L72" i="138"/>
  <c r="F48" i="138"/>
  <c r="H68" i="138"/>
  <c r="Q44" i="138"/>
  <c r="N44" i="138"/>
  <c r="C68" i="138"/>
  <c r="O68" i="138"/>
  <c r="M44" i="138"/>
  <c r="J44" i="138"/>
  <c r="H60" i="138"/>
  <c r="M68" i="138"/>
  <c r="R44" i="138"/>
  <c r="D68" i="138"/>
  <c r="L68" i="138"/>
  <c r="S14" i="127"/>
  <c r="I10" i="127"/>
  <c r="O6" i="127"/>
  <c r="O18" i="127"/>
  <c r="N25" i="127"/>
  <c r="O25" i="127"/>
  <c r="H8" i="127"/>
  <c r="T71" i="129"/>
  <c r="L17" i="127"/>
  <c r="P15" i="127"/>
  <c r="H13" i="127"/>
  <c r="E10" i="127"/>
  <c r="S16" i="127"/>
  <c r="O14" i="127"/>
  <c r="D8" i="127"/>
  <c r="F13" i="127"/>
  <c r="P25" i="127"/>
  <c r="N19" i="127"/>
  <c r="F21" i="127"/>
  <c r="D15" i="127"/>
  <c r="L23" i="127"/>
  <c r="K21" i="127"/>
  <c r="N8" i="127"/>
  <c r="S18" i="127"/>
  <c r="N17" i="127"/>
  <c r="K25" i="127"/>
  <c r="K16" i="127"/>
  <c r="K18" i="127"/>
  <c r="R11" i="127"/>
  <c r="Q14" i="127"/>
  <c r="R8" i="127"/>
  <c r="F19" i="127"/>
  <c r="K19" i="127"/>
  <c r="K7" i="127"/>
  <c r="I23" i="127"/>
  <c r="G9" i="127"/>
  <c r="G8" i="127"/>
  <c r="R19" i="127"/>
  <c r="D21" i="127"/>
  <c r="P17" i="127"/>
  <c r="E23" i="127"/>
  <c r="S21" i="127"/>
  <c r="J15" i="127"/>
  <c r="R22" i="127"/>
  <c r="F9" i="127"/>
  <c r="H23" i="127"/>
  <c r="E16" i="127"/>
  <c r="R23" i="127"/>
  <c r="D9" i="127"/>
  <c r="E15" i="127"/>
  <c r="L16" i="127"/>
  <c r="L9" i="127"/>
  <c r="F7" i="127"/>
  <c r="K6" i="127"/>
  <c r="N15" i="127"/>
  <c r="H11" i="127"/>
  <c r="F25" i="127"/>
  <c r="O8" i="127"/>
  <c r="D11" i="127"/>
  <c r="H17" i="127"/>
  <c r="J23" i="127"/>
  <c r="Q13" i="127"/>
  <c r="R9" i="127"/>
  <c r="H7" i="127"/>
  <c r="M15" i="127"/>
  <c r="R36" i="138"/>
  <c r="F17" i="127"/>
  <c r="M10" i="127"/>
  <c r="D6" i="127"/>
  <c r="C21" i="127"/>
  <c r="H15" i="127"/>
  <c r="S25" i="127"/>
  <c r="P60" i="138"/>
  <c r="C8" i="127"/>
  <c r="D16" i="127"/>
  <c r="C11" i="127"/>
  <c r="C15" i="127"/>
  <c r="S8" i="127"/>
  <c r="Q21" i="127"/>
  <c r="E21" i="127"/>
  <c r="N7" i="127"/>
  <c r="P13" i="127"/>
  <c r="L25" i="127"/>
  <c r="H25" i="127"/>
  <c r="I8" i="127"/>
  <c r="G25" i="126"/>
  <c r="G28" i="126"/>
  <c r="G25" i="127"/>
  <c r="Q8" i="127"/>
  <c r="O11" i="127"/>
  <c r="C6" i="127"/>
  <c r="J19" i="127"/>
  <c r="N9" i="127"/>
  <c r="F11" i="127"/>
  <c r="J11" i="127"/>
  <c r="R60" i="138"/>
  <c r="C9" i="127"/>
  <c r="J36" i="138"/>
  <c r="E8" i="127"/>
  <c r="C23" i="127"/>
  <c r="N22" i="127"/>
  <c r="F22" i="127"/>
  <c r="S9" i="127"/>
  <c r="D18" i="127"/>
  <c r="R21" i="127"/>
  <c r="K10" i="127"/>
  <c r="J17" i="127"/>
  <c r="F15" i="127"/>
  <c r="N11" i="127"/>
  <c r="M8" i="127"/>
  <c r="E7" i="127"/>
  <c r="P18" i="127"/>
  <c r="L18" i="127"/>
  <c r="E6" i="127"/>
  <c r="P6" i="127"/>
  <c r="G14" i="127"/>
  <c r="L14" i="127"/>
  <c r="H16" i="127"/>
  <c r="D25" i="127"/>
  <c r="H9" i="127"/>
  <c r="P23" i="127"/>
  <c r="G17" i="127"/>
  <c r="R15" i="127"/>
  <c r="M11" i="127"/>
  <c r="N21" i="127"/>
  <c r="M23" i="127"/>
  <c r="I17" i="127"/>
  <c r="Q17" i="127"/>
  <c r="P16" i="127"/>
  <c r="I7" i="127"/>
  <c r="I11" i="127"/>
  <c r="S23" i="127"/>
  <c r="H22" i="127"/>
  <c r="D22" i="127"/>
  <c r="G15" i="127"/>
  <c r="Q9" i="127"/>
  <c r="P8" i="127"/>
  <c r="O16" i="127"/>
  <c r="G7" i="127"/>
  <c r="F10" i="127"/>
  <c r="R10" i="127"/>
  <c r="G6" i="127"/>
  <c r="L6" i="127"/>
  <c r="M6" i="127"/>
  <c r="J14" i="127"/>
  <c r="S19" i="127"/>
  <c r="R25" i="127"/>
  <c r="P9" i="127"/>
  <c r="N23" i="127"/>
  <c r="L15" i="127"/>
  <c r="J7" i="127"/>
  <c r="G23" i="127"/>
  <c r="I13" i="127"/>
  <c r="M17" i="127"/>
  <c r="Q25" i="127"/>
  <c r="C22" i="127"/>
  <c r="M21" i="127"/>
  <c r="C10" i="127"/>
  <c r="Q6" i="127"/>
  <c r="S6" i="127"/>
  <c r="D13" i="127"/>
  <c r="T33" i="127"/>
  <c r="P21" i="127"/>
  <c r="E17" i="127"/>
  <c r="J21" i="127"/>
  <c r="I16" i="127"/>
  <c r="G22" i="127"/>
  <c r="D17" i="127"/>
  <c r="G16" i="127"/>
  <c r="J22" i="127"/>
  <c r="H21" i="127"/>
  <c r="K22" i="127"/>
  <c r="L10" i="127"/>
  <c r="H6" i="127"/>
  <c r="H14" i="127"/>
  <c r="D14" i="127"/>
  <c r="L13" i="127"/>
  <c r="T66" i="127"/>
  <c r="M7" i="127"/>
  <c r="O22" i="127"/>
  <c r="E19" i="127"/>
  <c r="Q19" i="127"/>
  <c r="T43" i="127"/>
  <c r="M13" i="127"/>
  <c r="O9" i="127"/>
  <c r="J60" i="138"/>
  <c r="O17" i="127"/>
  <c r="K15" i="127"/>
  <c r="M9" i="127"/>
  <c r="N6" i="127"/>
  <c r="J9" i="127"/>
  <c r="I9" i="127"/>
  <c r="T37" i="127"/>
  <c r="T59" i="127"/>
  <c r="I14" i="127"/>
  <c r="D36" i="138"/>
  <c r="I25" i="127"/>
  <c r="L36" i="138"/>
  <c r="F23" i="127"/>
  <c r="Q16" i="127"/>
  <c r="R16" i="127"/>
  <c r="E11" i="127"/>
  <c r="I15" i="127"/>
  <c r="K9" i="127"/>
  <c r="O21" i="127"/>
  <c r="S10" i="127"/>
  <c r="P14" i="127"/>
  <c r="J13" i="127"/>
  <c r="E13" i="127"/>
  <c r="G13" i="127"/>
  <c r="T65" i="127"/>
  <c r="G21" i="127"/>
  <c r="I21" i="127"/>
  <c r="T47" i="127"/>
  <c r="M22" i="127"/>
  <c r="S15" i="127"/>
  <c r="G18" i="127"/>
  <c r="C25" i="127"/>
  <c r="L11" i="127"/>
  <c r="R7" i="127"/>
  <c r="Q7" i="127"/>
  <c r="M16" i="127"/>
  <c r="Q15" i="127"/>
  <c r="D19" i="127"/>
  <c r="G19" i="127"/>
  <c r="O13" i="127"/>
  <c r="T70" i="127"/>
  <c r="F68" i="138"/>
  <c r="J68" i="138"/>
  <c r="T42" i="127"/>
  <c r="R18" i="127"/>
  <c r="N18" i="127"/>
  <c r="T34" i="127"/>
  <c r="H10" i="127"/>
  <c r="T62" i="127"/>
  <c r="I19" i="127"/>
  <c r="C14" i="127"/>
  <c r="N16" i="127"/>
  <c r="J72" i="138"/>
  <c r="F72" i="138"/>
  <c r="K44" i="138"/>
  <c r="C7" i="127"/>
  <c r="Q23" i="127"/>
  <c r="L22" i="127"/>
  <c r="P22" i="127"/>
  <c r="G44" i="138"/>
  <c r="N68" i="138"/>
  <c r="R68" i="138"/>
  <c r="E18" i="127"/>
  <c r="I18" i="127"/>
  <c r="J18" i="127"/>
  <c r="J10" i="127"/>
  <c r="T58" i="127"/>
  <c r="P10" i="127"/>
  <c r="G60" i="138"/>
  <c r="P36" i="138"/>
  <c r="C36" i="138"/>
  <c r="S60" i="138"/>
  <c r="E60" i="138"/>
  <c r="O36" i="138"/>
  <c r="Q60" i="138"/>
  <c r="D60" i="138"/>
  <c r="M60" i="138"/>
  <c r="I36" i="138"/>
  <c r="K60" i="138"/>
  <c r="M36" i="138"/>
  <c r="C60" i="138"/>
  <c r="I60" i="138"/>
  <c r="K36" i="138"/>
  <c r="H36" i="138"/>
  <c r="E36" i="138"/>
  <c r="O60" i="138"/>
  <c r="L60" i="138"/>
  <c r="Q36" i="138"/>
  <c r="T41" i="127"/>
  <c r="F16" i="127"/>
  <c r="S17" i="127"/>
  <c r="E68" i="138"/>
  <c r="Q11" i="127"/>
  <c r="E9" i="127"/>
  <c r="L44" i="138"/>
  <c r="R6" i="127"/>
  <c r="T67" i="127"/>
  <c r="P72" i="138"/>
  <c r="C72" i="138"/>
  <c r="K48" i="138"/>
  <c r="O72" i="138"/>
  <c r="I48" i="138"/>
  <c r="M72" i="138"/>
  <c r="G48" i="138"/>
  <c r="I72" i="138"/>
  <c r="Q48" i="138"/>
  <c r="D48" i="138"/>
  <c r="G72" i="138"/>
  <c r="M48" i="138"/>
  <c r="C48" i="138"/>
  <c r="E72" i="138"/>
  <c r="L48" i="138"/>
  <c r="E48" i="138"/>
  <c r="O48" i="138"/>
  <c r="S72" i="138"/>
  <c r="Q72" i="138"/>
  <c r="K72" i="138"/>
  <c r="S48" i="138"/>
  <c r="H72" i="138"/>
  <c r="E25" i="127"/>
  <c r="R17" i="127"/>
  <c r="E22" i="127"/>
  <c r="L7" i="127"/>
  <c r="I44" i="138"/>
  <c r="P48" i="138"/>
  <c r="K11" i="127"/>
  <c r="G11" i="127"/>
  <c r="T69" i="127"/>
  <c r="C16" i="127"/>
  <c r="O23" i="127"/>
  <c r="T55" i="127"/>
  <c r="T63" i="127"/>
  <c r="P7" i="127"/>
  <c r="O7" i="127"/>
  <c r="S7" i="127"/>
  <c r="F18" i="127"/>
  <c r="M14" i="127"/>
  <c r="D23" i="127"/>
  <c r="O19" i="127"/>
  <c r="M19" i="127"/>
  <c r="T73" i="127"/>
  <c r="L8" i="127"/>
  <c r="J16" i="127"/>
  <c r="T64" i="127"/>
  <c r="F8" i="127"/>
  <c r="N14" i="127"/>
  <c r="P44" i="138"/>
  <c r="O44" i="138"/>
  <c r="I68" i="138"/>
  <c r="C44" i="138"/>
  <c r="G68" i="138"/>
  <c r="Q22" i="127"/>
  <c r="I22" i="127"/>
  <c r="O15" i="127"/>
  <c r="J8" i="127"/>
  <c r="T54" i="127"/>
  <c r="J25" i="127"/>
  <c r="M25" i="127"/>
  <c r="S22" i="127"/>
  <c r="D72" i="138"/>
  <c r="S11" i="127"/>
  <c r="Q68" i="138"/>
  <c r="T71" i="127"/>
  <c r="K23" i="127"/>
  <c r="K68" i="138"/>
  <c r="P68" i="138"/>
  <c r="M18" i="127"/>
  <c r="H18" i="127"/>
  <c r="N10" i="127"/>
  <c r="K13" i="127"/>
  <c r="F14" i="127"/>
  <c r="L19" i="127"/>
  <c r="C13" i="127"/>
  <c r="N13" i="127"/>
  <c r="P11" i="127"/>
  <c r="T46" i="127"/>
  <c r="D10" i="127"/>
  <c r="K8" i="127"/>
  <c r="R14" i="127"/>
  <c r="H19" i="127"/>
  <c r="T61" i="127"/>
  <c r="T56" i="127"/>
  <c r="T49" i="127"/>
  <c r="C18" i="127"/>
  <c r="O10" i="127"/>
  <c r="E14" i="127"/>
  <c r="K14" i="127"/>
  <c r="R13" i="127"/>
  <c r="T30" i="127"/>
  <c r="T57" i="127"/>
  <c r="G10" i="127"/>
  <c r="T39" i="127"/>
  <c r="L21" i="127"/>
  <c r="K17" i="127"/>
  <c r="Q18" i="127"/>
  <c r="Q10" i="127"/>
  <c r="C17" i="127"/>
  <c r="C19" i="127"/>
  <c r="T40" i="127"/>
  <c r="T45" i="127"/>
  <c r="I6" i="127"/>
  <c r="S13" i="127"/>
  <c r="T32" i="127"/>
  <c r="T35" i="127"/>
  <c r="T31" i="127"/>
  <c r="T38" i="127"/>
  <c r="D7" i="127"/>
  <c r="J6" i="127"/>
  <c r="F6" i="127"/>
  <c r="P19" i="127"/>
  <c r="E31" i="95"/>
  <c r="E32" i="95"/>
  <c r="D33" i="95"/>
  <c r="R24" i="127"/>
  <c r="H30" i="126"/>
  <c r="E44" i="138"/>
  <c r="G36" i="138"/>
  <c r="F60" i="138"/>
  <c r="S44" i="138"/>
  <c r="S36" i="138"/>
  <c r="N60" i="138"/>
  <c r="D44" i="138"/>
  <c r="O74" i="137"/>
  <c r="G74" i="137"/>
  <c r="N74" i="137"/>
  <c r="F74" i="137"/>
  <c r="M74" i="137"/>
  <c r="L74" i="137"/>
  <c r="D74" i="137"/>
  <c r="J74" i="137"/>
  <c r="Q74" i="137"/>
  <c r="P74" i="137"/>
  <c r="E74" i="137"/>
  <c r="S74" i="137"/>
  <c r="K74" i="137"/>
  <c r="R74" i="137"/>
  <c r="I74" i="137"/>
  <c r="H74" i="137"/>
  <c r="N24" i="127"/>
  <c r="D20" i="127"/>
  <c r="H20" i="127"/>
  <c r="M20" i="127"/>
  <c r="H12" i="127"/>
  <c r="L24" i="127"/>
  <c r="L20" i="127"/>
  <c r="S20" i="127"/>
  <c r="O20" i="127"/>
  <c r="G12" i="127"/>
  <c r="J24" i="127"/>
  <c r="F12" i="127"/>
  <c r="J20" i="127"/>
  <c r="F20" i="127"/>
  <c r="Q20" i="127"/>
  <c r="E20" i="127"/>
  <c r="N20" i="127"/>
  <c r="H24" i="127"/>
  <c r="N12" i="127"/>
  <c r="R20" i="127"/>
  <c r="F24" i="127"/>
  <c r="R12" i="127"/>
  <c r="T25" i="127"/>
  <c r="J12" i="127"/>
  <c r="T18" i="127"/>
  <c r="P12" i="127"/>
  <c r="T16" i="127"/>
  <c r="T17" i="127"/>
  <c r="T6" i="127"/>
  <c r="T21" i="127"/>
  <c r="I12" i="127"/>
  <c r="P24" i="127"/>
  <c r="T9" i="127"/>
  <c r="T15" i="127"/>
  <c r="R29" i="138"/>
  <c r="T60" i="127"/>
  <c r="Q29" i="138"/>
  <c r="M29" i="138"/>
  <c r="Q53" i="138"/>
  <c r="J29" i="138"/>
  <c r="N29" i="138"/>
  <c r="D29" i="138"/>
  <c r="T11" i="127"/>
  <c r="T48" i="127"/>
  <c r="I24" i="127"/>
  <c r="F29" i="138"/>
  <c r="R53" i="138"/>
  <c r="G29" i="138"/>
  <c r="O29" i="138"/>
  <c r="L12" i="127"/>
  <c r="D12" i="127"/>
  <c r="T68" i="127"/>
  <c r="M12" i="127"/>
  <c r="E29" i="138"/>
  <c r="K29" i="138"/>
  <c r="I29" i="138"/>
  <c r="T13" i="127"/>
  <c r="T72" i="127"/>
  <c r="L29" i="138"/>
  <c r="C29" i="138"/>
  <c r="P29" i="138"/>
  <c r="T7" i="127"/>
  <c r="H29" i="138"/>
  <c r="S29" i="138"/>
  <c r="T14" i="127"/>
  <c r="T23" i="127"/>
  <c r="T22" i="127"/>
  <c r="O24" i="127"/>
  <c r="Q24" i="127"/>
  <c r="E12" i="127"/>
  <c r="T19" i="127"/>
  <c r="T10" i="127"/>
  <c r="S12" i="127"/>
  <c r="T36" i="127"/>
  <c r="C20" i="127"/>
  <c r="T44" i="127"/>
  <c r="K20" i="127"/>
  <c r="D24" i="127"/>
  <c r="E24" i="127"/>
  <c r="G24" i="127"/>
  <c r="P20" i="127"/>
  <c r="G20" i="127"/>
  <c r="S24" i="127"/>
  <c r="C24" i="127"/>
  <c r="K12" i="127"/>
  <c r="T8" i="127"/>
  <c r="I20" i="127"/>
  <c r="M24" i="127"/>
  <c r="Q12" i="127"/>
  <c r="O12" i="127"/>
  <c r="K24" i="127"/>
  <c r="C12" i="127"/>
  <c r="S70" i="120"/>
  <c r="R70" i="120"/>
  <c r="Q70" i="120"/>
  <c r="P70" i="120"/>
  <c r="O70" i="120"/>
  <c r="N70" i="120"/>
  <c r="M70" i="120"/>
  <c r="L70" i="120"/>
  <c r="K70" i="120"/>
  <c r="J70" i="120"/>
  <c r="I70" i="120"/>
  <c r="H70" i="120"/>
  <c r="G70" i="120"/>
  <c r="F70" i="120"/>
  <c r="E70" i="120"/>
  <c r="D70" i="120"/>
  <c r="S69" i="120"/>
  <c r="R69" i="120"/>
  <c r="Q69" i="120"/>
  <c r="P69" i="120"/>
  <c r="O69" i="120"/>
  <c r="N69" i="120"/>
  <c r="M69" i="120"/>
  <c r="L69" i="120"/>
  <c r="K69" i="120"/>
  <c r="J69" i="120"/>
  <c r="I69" i="120"/>
  <c r="H69" i="120"/>
  <c r="G69" i="120"/>
  <c r="F69" i="120"/>
  <c r="E69" i="120"/>
  <c r="D69" i="120"/>
  <c r="S68" i="120"/>
  <c r="R68" i="120"/>
  <c r="Q68" i="120"/>
  <c r="P68" i="120"/>
  <c r="O68" i="120"/>
  <c r="N68" i="120"/>
  <c r="M68" i="120"/>
  <c r="L68" i="120"/>
  <c r="K68" i="120"/>
  <c r="J68" i="120"/>
  <c r="I68" i="120"/>
  <c r="H68" i="120"/>
  <c r="G68" i="120"/>
  <c r="F68" i="120"/>
  <c r="E68" i="120"/>
  <c r="D68" i="120"/>
  <c r="S67" i="120"/>
  <c r="R67" i="120"/>
  <c r="Q67" i="120"/>
  <c r="P67" i="120"/>
  <c r="O67" i="120"/>
  <c r="N67" i="120"/>
  <c r="M67" i="120"/>
  <c r="L67" i="120"/>
  <c r="K67" i="120"/>
  <c r="J67" i="120"/>
  <c r="I67" i="120"/>
  <c r="H67" i="120"/>
  <c r="G67" i="120"/>
  <c r="F67" i="120"/>
  <c r="E67" i="120"/>
  <c r="D67" i="120"/>
  <c r="S66" i="120"/>
  <c r="R66" i="120"/>
  <c r="Q66" i="120"/>
  <c r="P66" i="120"/>
  <c r="O66" i="120"/>
  <c r="N66" i="120"/>
  <c r="M66" i="120"/>
  <c r="L66" i="120"/>
  <c r="K66" i="120"/>
  <c r="J66" i="120"/>
  <c r="I66" i="120"/>
  <c r="H66" i="120"/>
  <c r="G66" i="120"/>
  <c r="F66" i="120"/>
  <c r="E66" i="120"/>
  <c r="D66" i="120"/>
  <c r="S65" i="120"/>
  <c r="R65" i="120"/>
  <c r="Q65" i="120"/>
  <c r="P65" i="120"/>
  <c r="O65" i="120"/>
  <c r="N65" i="120"/>
  <c r="M65" i="120"/>
  <c r="L65" i="120"/>
  <c r="K65" i="120"/>
  <c r="J65" i="120"/>
  <c r="I65" i="120"/>
  <c r="H65" i="120"/>
  <c r="G65" i="120"/>
  <c r="F65" i="120"/>
  <c r="E65" i="120"/>
  <c r="D65" i="120"/>
  <c r="S64" i="120"/>
  <c r="R64" i="120"/>
  <c r="Q64" i="120"/>
  <c r="P64" i="120"/>
  <c r="O64" i="120"/>
  <c r="N64" i="120"/>
  <c r="M64" i="120"/>
  <c r="L64" i="120"/>
  <c r="K64" i="120"/>
  <c r="J64" i="120"/>
  <c r="I64" i="120"/>
  <c r="H64" i="120"/>
  <c r="G64" i="120"/>
  <c r="F64" i="120"/>
  <c r="E64" i="120"/>
  <c r="D64" i="120"/>
  <c r="S63" i="120"/>
  <c r="R63" i="120"/>
  <c r="Q63" i="120"/>
  <c r="P63" i="120"/>
  <c r="O63" i="120"/>
  <c r="N63" i="120"/>
  <c r="M63" i="120"/>
  <c r="L63" i="120"/>
  <c r="K63" i="120"/>
  <c r="J63" i="120"/>
  <c r="I63" i="120"/>
  <c r="H63" i="120"/>
  <c r="G63" i="120"/>
  <c r="F63" i="120"/>
  <c r="E63" i="120"/>
  <c r="D63" i="120"/>
  <c r="S62" i="120"/>
  <c r="R62" i="120"/>
  <c r="Q62" i="120"/>
  <c r="P62" i="120"/>
  <c r="O62" i="120"/>
  <c r="N62" i="120"/>
  <c r="M62" i="120"/>
  <c r="L62" i="120"/>
  <c r="K62" i="120"/>
  <c r="J62" i="120"/>
  <c r="I62" i="120"/>
  <c r="H62" i="120"/>
  <c r="G62" i="120"/>
  <c r="F62" i="120"/>
  <c r="E62" i="120"/>
  <c r="D62" i="120"/>
  <c r="S61" i="120"/>
  <c r="R61" i="120"/>
  <c r="Q61" i="120"/>
  <c r="P61" i="120"/>
  <c r="O61" i="120"/>
  <c r="N61" i="120"/>
  <c r="M61" i="120"/>
  <c r="L61" i="120"/>
  <c r="K61" i="120"/>
  <c r="J61" i="120"/>
  <c r="I61" i="120"/>
  <c r="H61" i="120"/>
  <c r="G61" i="120"/>
  <c r="F61" i="120"/>
  <c r="E61" i="120"/>
  <c r="D61" i="120"/>
  <c r="S60" i="120"/>
  <c r="R60" i="120"/>
  <c r="Q60" i="120"/>
  <c r="P60" i="120"/>
  <c r="O60" i="120"/>
  <c r="N60" i="120"/>
  <c r="M60" i="120"/>
  <c r="L60" i="120"/>
  <c r="K60" i="120"/>
  <c r="J60" i="120"/>
  <c r="I60" i="120"/>
  <c r="H60" i="120"/>
  <c r="G60" i="120"/>
  <c r="F60" i="120"/>
  <c r="E60" i="120"/>
  <c r="D60" i="120"/>
  <c r="S59" i="120"/>
  <c r="R59" i="120"/>
  <c r="Q59" i="120"/>
  <c r="P59" i="120"/>
  <c r="O59" i="120"/>
  <c r="N59" i="120"/>
  <c r="M59" i="120"/>
  <c r="L59" i="120"/>
  <c r="K59" i="120"/>
  <c r="J59" i="120"/>
  <c r="I59" i="120"/>
  <c r="H59" i="120"/>
  <c r="G59" i="120"/>
  <c r="F59" i="120"/>
  <c r="E59" i="120"/>
  <c r="D59" i="120"/>
  <c r="S58" i="120"/>
  <c r="R58" i="120"/>
  <c r="Q58" i="120"/>
  <c r="P58" i="120"/>
  <c r="O58" i="120"/>
  <c r="N58" i="120"/>
  <c r="M58" i="120"/>
  <c r="L58" i="120"/>
  <c r="K58" i="120"/>
  <c r="J58" i="120"/>
  <c r="I58" i="120"/>
  <c r="H58" i="120"/>
  <c r="G58" i="120"/>
  <c r="F58" i="120"/>
  <c r="E58" i="120"/>
  <c r="D58" i="120"/>
  <c r="S57" i="120"/>
  <c r="R57" i="120"/>
  <c r="Q57" i="120"/>
  <c r="P57" i="120"/>
  <c r="O57" i="120"/>
  <c r="N57" i="120"/>
  <c r="M57" i="120"/>
  <c r="L57" i="120"/>
  <c r="K57" i="120"/>
  <c r="J57" i="120"/>
  <c r="I57" i="120"/>
  <c r="H57" i="120"/>
  <c r="G57" i="120"/>
  <c r="F57" i="120"/>
  <c r="E57" i="120"/>
  <c r="D57" i="120"/>
  <c r="S56" i="120"/>
  <c r="R56" i="120"/>
  <c r="Q56" i="120"/>
  <c r="P56" i="120"/>
  <c r="O56" i="120"/>
  <c r="N56" i="120"/>
  <c r="M56" i="120"/>
  <c r="L56" i="120"/>
  <c r="K56" i="120"/>
  <c r="J56" i="120"/>
  <c r="I56" i="120"/>
  <c r="H56" i="120"/>
  <c r="G56" i="120"/>
  <c r="F56" i="120"/>
  <c r="E56" i="120"/>
  <c r="D56" i="120"/>
  <c r="S55" i="120"/>
  <c r="R55" i="120"/>
  <c r="Q55" i="120"/>
  <c r="P55" i="120"/>
  <c r="O55" i="120"/>
  <c r="N55" i="120"/>
  <c r="M55" i="120"/>
  <c r="L55" i="120"/>
  <c r="K55" i="120"/>
  <c r="J55" i="120"/>
  <c r="I55" i="120"/>
  <c r="H55" i="120"/>
  <c r="G55" i="120"/>
  <c r="F55" i="120"/>
  <c r="E55" i="120"/>
  <c r="D55" i="120"/>
  <c r="S54" i="120"/>
  <c r="R54" i="120"/>
  <c r="Q54" i="120"/>
  <c r="P54" i="120"/>
  <c r="O54" i="120"/>
  <c r="N54" i="120"/>
  <c r="M54" i="120"/>
  <c r="L54" i="120"/>
  <c r="K54" i="120"/>
  <c r="J54" i="120"/>
  <c r="I54" i="120"/>
  <c r="H54" i="120"/>
  <c r="G54" i="120"/>
  <c r="F54" i="120"/>
  <c r="E54" i="120"/>
  <c r="D54" i="120"/>
  <c r="S53" i="120"/>
  <c r="R53" i="120"/>
  <c r="Q53" i="120"/>
  <c r="P53" i="120"/>
  <c r="O53" i="120"/>
  <c r="N53" i="120"/>
  <c r="M53" i="120"/>
  <c r="L53" i="120"/>
  <c r="K53" i="120"/>
  <c r="J53" i="120"/>
  <c r="I53" i="120"/>
  <c r="H53" i="120"/>
  <c r="G53" i="120"/>
  <c r="F53" i="120"/>
  <c r="E53" i="120"/>
  <c r="D53" i="120"/>
  <c r="S52" i="120"/>
  <c r="R52" i="120"/>
  <c r="Q52" i="120"/>
  <c r="P52" i="120"/>
  <c r="O52" i="120"/>
  <c r="N52" i="120"/>
  <c r="M52" i="120"/>
  <c r="L52" i="120"/>
  <c r="K52" i="120"/>
  <c r="J52" i="120"/>
  <c r="I52" i="120"/>
  <c r="H52" i="120"/>
  <c r="G52" i="120"/>
  <c r="F52" i="120"/>
  <c r="E52" i="120"/>
  <c r="D52" i="120"/>
  <c r="S51" i="120"/>
  <c r="R51" i="120"/>
  <c r="Q51" i="120"/>
  <c r="P51" i="120"/>
  <c r="O51" i="120"/>
  <c r="N51" i="120"/>
  <c r="M51" i="120"/>
  <c r="L51" i="120"/>
  <c r="K51" i="120"/>
  <c r="J51" i="120"/>
  <c r="I51" i="120"/>
  <c r="H51" i="120"/>
  <c r="G51" i="120"/>
  <c r="F51" i="120"/>
  <c r="E51" i="120"/>
  <c r="D51" i="120"/>
  <c r="S50" i="120"/>
  <c r="S71" i="120"/>
  <c r="R50" i="120"/>
  <c r="R71" i="120"/>
  <c r="Q50" i="120"/>
  <c r="Q71" i="120"/>
  <c r="P50" i="120"/>
  <c r="P71" i="120"/>
  <c r="O50" i="120"/>
  <c r="O71" i="120"/>
  <c r="N50" i="120"/>
  <c r="M50" i="120"/>
  <c r="M71" i="120"/>
  <c r="L50" i="120"/>
  <c r="L71" i="120"/>
  <c r="K50" i="120"/>
  <c r="J50" i="120"/>
  <c r="I50" i="120"/>
  <c r="H50" i="120"/>
  <c r="H71" i="120"/>
  <c r="G50" i="120"/>
  <c r="G71" i="120"/>
  <c r="F50" i="120"/>
  <c r="F71" i="120"/>
  <c r="E50" i="120"/>
  <c r="E71" i="120"/>
  <c r="D50" i="120"/>
  <c r="C70" i="120"/>
  <c r="C69" i="120"/>
  <c r="C68" i="120"/>
  <c r="C67" i="120"/>
  <c r="C66" i="120"/>
  <c r="C65" i="120"/>
  <c r="C64" i="120"/>
  <c r="C63" i="120"/>
  <c r="C62" i="120"/>
  <c r="C61" i="120"/>
  <c r="C60" i="120"/>
  <c r="C59" i="120"/>
  <c r="C58" i="120"/>
  <c r="C57" i="120"/>
  <c r="C56" i="120"/>
  <c r="C55" i="120"/>
  <c r="C54" i="120"/>
  <c r="C53" i="120"/>
  <c r="C52" i="120"/>
  <c r="C51" i="120"/>
  <c r="C50" i="120"/>
  <c r="N71" i="120"/>
  <c r="K71" i="120"/>
  <c r="J71" i="120"/>
  <c r="K53" i="138"/>
  <c r="C53" i="138"/>
  <c r="M53" i="138"/>
  <c r="D53" i="138"/>
  <c r="F53" i="138"/>
  <c r="E53" i="138"/>
  <c r="L53" i="138"/>
  <c r="O53" i="138"/>
  <c r="P53" i="138"/>
  <c r="N53" i="138"/>
  <c r="G53" i="138"/>
  <c r="H53" i="138"/>
  <c r="I53" i="138"/>
  <c r="S53" i="138"/>
  <c r="J53" i="138"/>
  <c r="S5" i="137"/>
  <c r="S26" i="137"/>
  <c r="X20" i="149"/>
  <c r="S50" i="137"/>
  <c r="E5" i="137"/>
  <c r="E26" i="137"/>
  <c r="X7" i="149"/>
  <c r="E50" i="137"/>
  <c r="I5" i="137"/>
  <c r="I26" i="137"/>
  <c r="X11" i="149"/>
  <c r="I50" i="137"/>
  <c r="P5" i="137"/>
  <c r="P26" i="137"/>
  <c r="X18" i="149"/>
  <c r="P50" i="137"/>
  <c r="D50" i="137"/>
  <c r="D5" i="137"/>
  <c r="D26" i="137"/>
  <c r="X6" i="149"/>
  <c r="T53" i="137"/>
  <c r="C74" i="137"/>
  <c r="T74" i="137"/>
  <c r="L50" i="137"/>
  <c r="L5" i="137"/>
  <c r="L26" i="137"/>
  <c r="X14" i="149"/>
  <c r="J5" i="137"/>
  <c r="J26" i="137"/>
  <c r="X12" i="149"/>
  <c r="J50" i="137"/>
  <c r="H5" i="137"/>
  <c r="H26" i="137"/>
  <c r="X10" i="149"/>
  <c r="H50" i="137"/>
  <c r="N50" i="137"/>
  <c r="N5" i="137"/>
  <c r="N26" i="137"/>
  <c r="X16" i="149"/>
  <c r="M5" i="137"/>
  <c r="M26" i="137"/>
  <c r="X15" i="149"/>
  <c r="M50" i="137"/>
  <c r="G50" i="137"/>
  <c r="G5" i="137"/>
  <c r="G26" i="137"/>
  <c r="X9" i="149"/>
  <c r="T29" i="137"/>
  <c r="C5" i="137"/>
  <c r="C50" i="137"/>
  <c r="Q5" i="137"/>
  <c r="Q26" i="137"/>
  <c r="X19" i="149"/>
  <c r="Q50" i="137"/>
  <c r="F5" i="137"/>
  <c r="F26" i="137"/>
  <c r="X8" i="149"/>
  <c r="F50" i="137"/>
  <c r="R5" i="137"/>
  <c r="R26" i="137"/>
  <c r="X21" i="149"/>
  <c r="R50" i="137"/>
  <c r="O50" i="137"/>
  <c r="O5" i="137"/>
  <c r="O26" i="137"/>
  <c r="X17" i="149"/>
  <c r="K5" i="137"/>
  <c r="K26" i="137"/>
  <c r="X13" i="149"/>
  <c r="K50" i="137"/>
  <c r="J74" i="127"/>
  <c r="L74" i="127"/>
  <c r="S74" i="127"/>
  <c r="E50" i="127"/>
  <c r="J5" i="127"/>
  <c r="J26" i="127"/>
  <c r="Z12" i="149"/>
  <c r="S5" i="127"/>
  <c r="S26" i="127"/>
  <c r="Z20" i="149"/>
  <c r="K50" i="127"/>
  <c r="H50" i="127"/>
  <c r="P74" i="127"/>
  <c r="C50" i="127"/>
  <c r="Q50" i="127"/>
  <c r="L5" i="127"/>
  <c r="L26" i="127"/>
  <c r="Z14" i="149"/>
  <c r="P5" i="127"/>
  <c r="P26" i="127"/>
  <c r="Z18" i="149"/>
  <c r="I50" i="127"/>
  <c r="Q74" i="127"/>
  <c r="D74" i="127"/>
  <c r="G74" i="127"/>
  <c r="K74" i="127"/>
  <c r="C74" i="127"/>
  <c r="F74" i="127"/>
  <c r="E74" i="127"/>
  <c r="N74" i="127"/>
  <c r="H74" i="127"/>
  <c r="I74" i="127"/>
  <c r="G5" i="127"/>
  <c r="G26" i="127"/>
  <c r="Z9" i="149"/>
  <c r="AA9" i="149"/>
  <c r="O74" i="127"/>
  <c r="R74" i="127"/>
  <c r="M74" i="127"/>
  <c r="P50" i="127"/>
  <c r="E5" i="127"/>
  <c r="E26" i="127"/>
  <c r="Z7" i="149"/>
  <c r="AA7" i="149"/>
  <c r="O5" i="127"/>
  <c r="O26" i="127"/>
  <c r="Z17" i="149"/>
  <c r="F5" i="127"/>
  <c r="F26" i="127"/>
  <c r="Z8" i="149"/>
  <c r="I5" i="127"/>
  <c r="I26" i="127"/>
  <c r="Z11" i="149"/>
  <c r="S50" i="127"/>
  <c r="M5" i="127"/>
  <c r="M26" i="127"/>
  <c r="Z15" i="149"/>
  <c r="Q5" i="127"/>
  <c r="Q26" i="127"/>
  <c r="Z19" i="149"/>
  <c r="D5" i="127"/>
  <c r="D26" i="127"/>
  <c r="Z6" i="149"/>
  <c r="N5" i="127"/>
  <c r="N26" i="127"/>
  <c r="Z16" i="149"/>
  <c r="M50" i="127"/>
  <c r="R5" i="127"/>
  <c r="R26" i="127"/>
  <c r="Z21" i="149"/>
  <c r="H5" i="127"/>
  <c r="H26" i="127"/>
  <c r="Z10" i="149"/>
  <c r="R50" i="127"/>
  <c r="C5" i="127"/>
  <c r="D50" i="127"/>
  <c r="N50" i="127"/>
  <c r="J50" i="127"/>
  <c r="T53" i="127"/>
  <c r="O50" i="127"/>
  <c r="G50" i="127"/>
  <c r="F50" i="127"/>
  <c r="T12" i="127"/>
  <c r="T29" i="127"/>
  <c r="L50" i="127"/>
  <c r="K5" i="127"/>
  <c r="K26" i="127"/>
  <c r="Z13" i="149"/>
  <c r="T20" i="127"/>
  <c r="T24" i="127"/>
  <c r="I71" i="120"/>
  <c r="T65" i="120"/>
  <c r="D71" i="120"/>
  <c r="T55" i="120"/>
  <c r="T63" i="120"/>
  <c r="T57" i="120"/>
  <c r="T58" i="120"/>
  <c r="T66" i="120"/>
  <c r="T56" i="120"/>
  <c r="T59" i="120"/>
  <c r="T60" i="120"/>
  <c r="T53" i="120"/>
  <c r="T61" i="120"/>
  <c r="T69" i="120"/>
  <c r="T64" i="120"/>
  <c r="T51" i="120"/>
  <c r="T67" i="120"/>
  <c r="T52" i="120"/>
  <c r="T68" i="120"/>
  <c r="T54" i="120"/>
  <c r="T62" i="120"/>
  <c r="T70" i="120"/>
  <c r="C71" i="120"/>
  <c r="T50" i="120"/>
  <c r="AA10" i="149"/>
  <c r="AA21" i="149"/>
  <c r="AA17" i="149"/>
  <c r="AA6" i="149"/>
  <c r="AA11" i="149"/>
  <c r="AA13" i="149"/>
  <c r="AA16" i="149"/>
  <c r="AA18" i="149"/>
  <c r="AA12" i="149"/>
  <c r="AA19" i="149"/>
  <c r="AA8" i="149"/>
  <c r="AA20" i="149"/>
  <c r="AA14" i="149"/>
  <c r="AA15" i="149"/>
  <c r="T50" i="137"/>
  <c r="T5" i="137"/>
  <c r="C26" i="137"/>
  <c r="T74" i="127"/>
  <c r="T50" i="127"/>
  <c r="T5" i="127"/>
  <c r="C26" i="127"/>
  <c r="T71" i="120"/>
  <c r="T26" i="137"/>
  <c r="X5" i="149"/>
  <c r="T26" i="127"/>
  <c r="Z5" i="149"/>
  <c r="S70" i="122"/>
  <c r="R70" i="122"/>
  <c r="Q70" i="122"/>
  <c r="P70" i="122"/>
  <c r="O70" i="122"/>
  <c r="N70" i="122"/>
  <c r="M70" i="122"/>
  <c r="L70" i="122"/>
  <c r="K70" i="122"/>
  <c r="J70" i="122"/>
  <c r="I70" i="122"/>
  <c r="H70" i="122"/>
  <c r="G70" i="122"/>
  <c r="F70" i="122"/>
  <c r="E70" i="122"/>
  <c r="D70" i="122"/>
  <c r="C70" i="122"/>
  <c r="S69" i="122"/>
  <c r="R69" i="122"/>
  <c r="Q69" i="122"/>
  <c r="P69" i="122"/>
  <c r="O69" i="122"/>
  <c r="N69" i="122"/>
  <c r="M69" i="122"/>
  <c r="L69" i="122"/>
  <c r="K69" i="122"/>
  <c r="J69" i="122"/>
  <c r="I69" i="122"/>
  <c r="H69" i="122"/>
  <c r="G69" i="122"/>
  <c r="F69" i="122"/>
  <c r="E69" i="122"/>
  <c r="D69" i="122"/>
  <c r="C69" i="122"/>
  <c r="S68" i="122"/>
  <c r="R68" i="122"/>
  <c r="Q68" i="122"/>
  <c r="P68" i="122"/>
  <c r="O68" i="122"/>
  <c r="N68" i="122"/>
  <c r="M68" i="122"/>
  <c r="L68" i="122"/>
  <c r="K68" i="122"/>
  <c r="J68" i="122"/>
  <c r="I68" i="122"/>
  <c r="H68" i="122"/>
  <c r="G68" i="122"/>
  <c r="F68" i="122"/>
  <c r="E68" i="122"/>
  <c r="D68" i="122"/>
  <c r="C68" i="122"/>
  <c r="S67" i="122"/>
  <c r="R67" i="122"/>
  <c r="Q67" i="122"/>
  <c r="P67" i="122"/>
  <c r="O67" i="122"/>
  <c r="N67" i="122"/>
  <c r="M67" i="122"/>
  <c r="L67" i="122"/>
  <c r="K67" i="122"/>
  <c r="J67" i="122"/>
  <c r="I67" i="122"/>
  <c r="H67" i="122"/>
  <c r="G67" i="122"/>
  <c r="F67" i="122"/>
  <c r="E67" i="122"/>
  <c r="D67" i="122"/>
  <c r="C67" i="122"/>
  <c r="S66" i="122"/>
  <c r="R66" i="122"/>
  <c r="Q66" i="122"/>
  <c r="P66" i="122"/>
  <c r="O66" i="122"/>
  <c r="N66" i="122"/>
  <c r="M66" i="122"/>
  <c r="L66" i="122"/>
  <c r="K66" i="122"/>
  <c r="J66" i="122"/>
  <c r="I66" i="122"/>
  <c r="H66" i="122"/>
  <c r="G66" i="122"/>
  <c r="F66" i="122"/>
  <c r="E66" i="122"/>
  <c r="D66" i="122"/>
  <c r="C66" i="122"/>
  <c r="S65" i="122"/>
  <c r="R65" i="122"/>
  <c r="Q65" i="122"/>
  <c r="P65" i="122"/>
  <c r="O65" i="122"/>
  <c r="N65" i="122"/>
  <c r="M65" i="122"/>
  <c r="L65" i="122"/>
  <c r="K65" i="122"/>
  <c r="J65" i="122"/>
  <c r="I65" i="122"/>
  <c r="H65" i="122"/>
  <c r="G65" i="122"/>
  <c r="F65" i="122"/>
  <c r="E65" i="122"/>
  <c r="D65" i="122"/>
  <c r="C65" i="122"/>
  <c r="S64" i="122"/>
  <c r="R64" i="122"/>
  <c r="Q64" i="122"/>
  <c r="P64" i="122"/>
  <c r="O64" i="122"/>
  <c r="N64" i="122"/>
  <c r="M64" i="122"/>
  <c r="L64" i="122"/>
  <c r="K64" i="122"/>
  <c r="J64" i="122"/>
  <c r="I64" i="122"/>
  <c r="H64" i="122"/>
  <c r="G64" i="122"/>
  <c r="F64" i="122"/>
  <c r="E64" i="122"/>
  <c r="D64" i="122"/>
  <c r="C64" i="122"/>
  <c r="S63" i="122"/>
  <c r="R63" i="122"/>
  <c r="Q63" i="122"/>
  <c r="P63" i="122"/>
  <c r="O63" i="122"/>
  <c r="N63" i="122"/>
  <c r="M63" i="122"/>
  <c r="L63" i="122"/>
  <c r="K63" i="122"/>
  <c r="J63" i="122"/>
  <c r="I63" i="122"/>
  <c r="H63" i="122"/>
  <c r="G63" i="122"/>
  <c r="F63" i="122"/>
  <c r="E63" i="122"/>
  <c r="D63" i="122"/>
  <c r="C63" i="122"/>
  <c r="S62" i="122"/>
  <c r="R62" i="122"/>
  <c r="Q62" i="122"/>
  <c r="P62" i="122"/>
  <c r="O62" i="122"/>
  <c r="N62" i="122"/>
  <c r="M62" i="122"/>
  <c r="L62" i="122"/>
  <c r="K62" i="122"/>
  <c r="J62" i="122"/>
  <c r="I62" i="122"/>
  <c r="H62" i="122"/>
  <c r="G62" i="122"/>
  <c r="F62" i="122"/>
  <c r="E62" i="122"/>
  <c r="D62" i="122"/>
  <c r="C62" i="122"/>
  <c r="S61" i="122"/>
  <c r="R61" i="122"/>
  <c r="Q61" i="122"/>
  <c r="P61" i="122"/>
  <c r="O61" i="122"/>
  <c r="N61" i="122"/>
  <c r="M61" i="122"/>
  <c r="L61" i="122"/>
  <c r="K61" i="122"/>
  <c r="J61" i="122"/>
  <c r="I61" i="122"/>
  <c r="H61" i="122"/>
  <c r="G61" i="122"/>
  <c r="F61" i="122"/>
  <c r="E61" i="122"/>
  <c r="D61" i="122"/>
  <c r="C61" i="122"/>
  <c r="S60" i="122"/>
  <c r="R60" i="122"/>
  <c r="Q60" i="122"/>
  <c r="P60" i="122"/>
  <c r="O60" i="122"/>
  <c r="N60" i="122"/>
  <c r="M60" i="122"/>
  <c r="L60" i="122"/>
  <c r="K60" i="122"/>
  <c r="J60" i="122"/>
  <c r="I60" i="122"/>
  <c r="H60" i="122"/>
  <c r="G60" i="122"/>
  <c r="F60" i="122"/>
  <c r="E60" i="122"/>
  <c r="D60" i="122"/>
  <c r="C60" i="122"/>
  <c r="S59" i="122"/>
  <c r="R59" i="122"/>
  <c r="Q59" i="122"/>
  <c r="P59" i="122"/>
  <c r="O59" i="122"/>
  <c r="N59" i="122"/>
  <c r="M59" i="122"/>
  <c r="L59" i="122"/>
  <c r="K59" i="122"/>
  <c r="J59" i="122"/>
  <c r="I59" i="122"/>
  <c r="H59" i="122"/>
  <c r="G59" i="122"/>
  <c r="F59" i="122"/>
  <c r="E59" i="122"/>
  <c r="D59" i="122"/>
  <c r="C59" i="122"/>
  <c r="S58" i="122"/>
  <c r="R58" i="122"/>
  <c r="Q58" i="122"/>
  <c r="P58" i="122"/>
  <c r="O58" i="122"/>
  <c r="N58" i="122"/>
  <c r="M58" i="122"/>
  <c r="L58" i="122"/>
  <c r="K58" i="122"/>
  <c r="J58" i="122"/>
  <c r="I58" i="122"/>
  <c r="H58" i="122"/>
  <c r="G58" i="122"/>
  <c r="F58" i="122"/>
  <c r="E58" i="122"/>
  <c r="D58" i="122"/>
  <c r="C58" i="122"/>
  <c r="S57" i="122"/>
  <c r="R57" i="122"/>
  <c r="Q57" i="122"/>
  <c r="P57" i="122"/>
  <c r="O57" i="122"/>
  <c r="N57" i="122"/>
  <c r="M57" i="122"/>
  <c r="L57" i="122"/>
  <c r="K57" i="122"/>
  <c r="J57" i="122"/>
  <c r="I57" i="122"/>
  <c r="H57" i="122"/>
  <c r="G57" i="122"/>
  <c r="F57" i="122"/>
  <c r="E57" i="122"/>
  <c r="D57" i="122"/>
  <c r="C57" i="122"/>
  <c r="S56" i="122"/>
  <c r="R56" i="122"/>
  <c r="Q56" i="122"/>
  <c r="P56" i="122"/>
  <c r="O56" i="122"/>
  <c r="N56" i="122"/>
  <c r="M56" i="122"/>
  <c r="L56" i="122"/>
  <c r="K56" i="122"/>
  <c r="J56" i="122"/>
  <c r="I56" i="122"/>
  <c r="H56" i="122"/>
  <c r="G56" i="122"/>
  <c r="F56" i="122"/>
  <c r="E56" i="122"/>
  <c r="D56" i="122"/>
  <c r="C56" i="122"/>
  <c r="S55" i="122"/>
  <c r="R55" i="122"/>
  <c r="Q55" i="122"/>
  <c r="P55" i="122"/>
  <c r="O55" i="122"/>
  <c r="N55" i="122"/>
  <c r="M55" i="122"/>
  <c r="L55" i="122"/>
  <c r="K55" i="122"/>
  <c r="J55" i="122"/>
  <c r="I55" i="122"/>
  <c r="H55" i="122"/>
  <c r="G55" i="122"/>
  <c r="F55" i="122"/>
  <c r="E55" i="122"/>
  <c r="D55" i="122"/>
  <c r="C55" i="122"/>
  <c r="S54" i="122"/>
  <c r="R54" i="122"/>
  <c r="Q54" i="122"/>
  <c r="P54" i="122"/>
  <c r="O54" i="122"/>
  <c r="N54" i="122"/>
  <c r="M54" i="122"/>
  <c r="L54" i="122"/>
  <c r="K54" i="122"/>
  <c r="J54" i="122"/>
  <c r="I54" i="122"/>
  <c r="H54" i="122"/>
  <c r="G54" i="122"/>
  <c r="F54" i="122"/>
  <c r="E54" i="122"/>
  <c r="D54" i="122"/>
  <c r="C54" i="122"/>
  <c r="S53" i="122"/>
  <c r="R53" i="122"/>
  <c r="Q53" i="122"/>
  <c r="P53" i="122"/>
  <c r="O53" i="122"/>
  <c r="N53" i="122"/>
  <c r="M53" i="122"/>
  <c r="L53" i="122"/>
  <c r="K53" i="122"/>
  <c r="J53" i="122"/>
  <c r="I53" i="122"/>
  <c r="H53" i="122"/>
  <c r="G53" i="122"/>
  <c r="F53" i="122"/>
  <c r="E53" i="122"/>
  <c r="D53" i="122"/>
  <c r="C53" i="122"/>
  <c r="S52" i="122"/>
  <c r="R52" i="122"/>
  <c r="Q52" i="122"/>
  <c r="P52" i="122"/>
  <c r="O52" i="122"/>
  <c r="N52" i="122"/>
  <c r="M52" i="122"/>
  <c r="L52" i="122"/>
  <c r="K52" i="122"/>
  <c r="J52" i="122"/>
  <c r="I52" i="122"/>
  <c r="H52" i="122"/>
  <c r="G52" i="122"/>
  <c r="F52" i="122"/>
  <c r="E52" i="122"/>
  <c r="D52" i="122"/>
  <c r="C52" i="122"/>
  <c r="S51" i="122"/>
  <c r="R51" i="122"/>
  <c r="Q51" i="122"/>
  <c r="P51" i="122"/>
  <c r="O51" i="122"/>
  <c r="N51" i="122"/>
  <c r="M51" i="122"/>
  <c r="L51" i="122"/>
  <c r="K51" i="122"/>
  <c r="J51" i="122"/>
  <c r="I51" i="122"/>
  <c r="H51" i="122"/>
  <c r="G51" i="122"/>
  <c r="F51" i="122"/>
  <c r="E51" i="122"/>
  <c r="D51" i="122"/>
  <c r="C51" i="122"/>
  <c r="S50" i="122"/>
  <c r="R50" i="122"/>
  <c r="Q50" i="122"/>
  <c r="P50" i="122"/>
  <c r="O50" i="122"/>
  <c r="N50" i="122"/>
  <c r="M50" i="122"/>
  <c r="L50" i="122"/>
  <c r="K50" i="122"/>
  <c r="J50" i="122"/>
  <c r="I50" i="122"/>
  <c r="H50" i="122"/>
  <c r="G50" i="122"/>
  <c r="F50" i="122"/>
  <c r="E50" i="122"/>
  <c r="D50" i="122"/>
  <c r="C50" i="122"/>
  <c r="Z25" i="149"/>
  <c r="Z26" i="149"/>
  <c r="X25" i="149"/>
  <c r="X26" i="149"/>
  <c r="AA5" i="149"/>
  <c r="AA25" i="149"/>
  <c r="AA26" i="149"/>
  <c r="S47" i="120"/>
  <c r="R47" i="120"/>
  <c r="Q47" i="120"/>
  <c r="P47" i="120"/>
  <c r="O47" i="120"/>
  <c r="N47" i="120"/>
  <c r="M47" i="120"/>
  <c r="L47" i="120"/>
  <c r="K47" i="120"/>
  <c r="J47" i="120"/>
  <c r="I47" i="120"/>
  <c r="H47" i="120"/>
  <c r="F47" i="120"/>
  <c r="E47" i="120"/>
  <c r="C47" i="120"/>
  <c r="T46" i="120"/>
  <c r="P23" i="120"/>
  <c r="P94" i="120"/>
  <c r="T45" i="120"/>
  <c r="R22" i="120"/>
  <c r="R93" i="120"/>
  <c r="T44" i="120"/>
  <c r="T21" i="120"/>
  <c r="T43" i="120"/>
  <c r="N20" i="120"/>
  <c r="N91" i="120"/>
  <c r="T42" i="120"/>
  <c r="P19" i="120"/>
  <c r="P90" i="120"/>
  <c r="T41" i="120"/>
  <c r="Q18" i="120"/>
  <c r="Q89" i="120"/>
  <c r="T40" i="120"/>
  <c r="S17" i="120"/>
  <c r="S88" i="120"/>
  <c r="T39" i="120"/>
  <c r="N16" i="120"/>
  <c r="N87" i="120"/>
  <c r="T38" i="120"/>
  <c r="P15" i="120"/>
  <c r="P86" i="120"/>
  <c r="T37" i="120"/>
  <c r="R14" i="120"/>
  <c r="R85" i="120"/>
  <c r="T36" i="120"/>
  <c r="T13" i="120"/>
  <c r="T35" i="120"/>
  <c r="N12" i="120"/>
  <c r="N83" i="120"/>
  <c r="T34" i="120"/>
  <c r="P11" i="120"/>
  <c r="P82" i="120"/>
  <c r="T33" i="120"/>
  <c r="Q10" i="120"/>
  <c r="Q81" i="120"/>
  <c r="T32" i="120"/>
  <c r="S9" i="120"/>
  <c r="S80" i="120"/>
  <c r="T31" i="120"/>
  <c r="N8" i="120"/>
  <c r="N79" i="120"/>
  <c r="T30" i="120"/>
  <c r="P7" i="120"/>
  <c r="P78" i="120"/>
  <c r="T29" i="120"/>
  <c r="R6" i="120"/>
  <c r="R77" i="120"/>
  <c r="T28" i="120"/>
  <c r="T5" i="120"/>
  <c r="T27" i="120"/>
  <c r="N4" i="120"/>
  <c r="N75" i="120"/>
  <c r="T26" i="120"/>
  <c r="N14" i="120"/>
  <c r="N85" i="120"/>
  <c r="E14" i="120"/>
  <c r="E85" i="120"/>
  <c r="K12" i="120"/>
  <c r="K83" i="120"/>
  <c r="G5" i="120"/>
  <c r="G76" i="120"/>
  <c r="C71" i="123"/>
  <c r="D71" i="123"/>
  <c r="E71" i="123"/>
  <c r="F71" i="123"/>
  <c r="G71" i="123"/>
  <c r="H71" i="123"/>
  <c r="C63" i="123"/>
  <c r="D63" i="123"/>
  <c r="E63" i="123"/>
  <c r="F63" i="123"/>
  <c r="G63" i="123"/>
  <c r="H63" i="123"/>
  <c r="C55" i="123"/>
  <c r="D55" i="123"/>
  <c r="E55" i="123"/>
  <c r="F55" i="123"/>
  <c r="G55" i="123"/>
  <c r="H55" i="123"/>
  <c r="G27" i="123"/>
  <c r="G26" i="123"/>
  <c r="F25" i="123"/>
  <c r="F28" i="123"/>
  <c r="C25" i="123"/>
  <c r="C28" i="123"/>
  <c r="E25" i="123"/>
  <c r="E28" i="123"/>
  <c r="K67" i="142"/>
  <c r="H43" i="142"/>
  <c r="J43" i="142"/>
  <c r="N43" i="142"/>
  <c r="R43" i="142"/>
  <c r="E43" i="142"/>
  <c r="R67" i="142"/>
  <c r="O67" i="142"/>
  <c r="I67" i="142"/>
  <c r="C67" i="142"/>
  <c r="S67" i="142"/>
  <c r="N67" i="142"/>
  <c r="P67" i="142"/>
  <c r="L67" i="142"/>
  <c r="G67" i="142"/>
  <c r="S43" i="142"/>
  <c r="S19" i="142"/>
  <c r="O43" i="142"/>
  <c r="M43" i="142"/>
  <c r="Q43" i="142"/>
  <c r="F67" i="142"/>
  <c r="D67" i="142"/>
  <c r="C43" i="142"/>
  <c r="C19" i="142"/>
  <c r="P43" i="142"/>
  <c r="P19" i="142"/>
  <c r="D43" i="142"/>
  <c r="D19" i="142"/>
  <c r="M67" i="142"/>
  <c r="F43" i="142"/>
  <c r="L43" i="142"/>
  <c r="H67" i="142"/>
  <c r="I43" i="142"/>
  <c r="I19" i="142"/>
  <c r="J67" i="142"/>
  <c r="E67" i="142"/>
  <c r="K43" i="142"/>
  <c r="K19" i="142"/>
  <c r="G43" i="142"/>
  <c r="Q67" i="142"/>
  <c r="U22" i="149"/>
  <c r="T22" i="149"/>
  <c r="H31" i="136"/>
  <c r="J61" i="142"/>
  <c r="O37" i="142"/>
  <c r="O61" i="142"/>
  <c r="O13" i="142"/>
  <c r="G37" i="142"/>
  <c r="G61" i="142"/>
  <c r="G13" i="142"/>
  <c r="D61" i="142"/>
  <c r="H61" i="142"/>
  <c r="P61" i="142"/>
  <c r="Q37" i="142"/>
  <c r="F37" i="142"/>
  <c r="N37" i="142"/>
  <c r="N61" i="142"/>
  <c r="N13" i="142"/>
  <c r="P37" i="142"/>
  <c r="P13" i="142"/>
  <c r="E37" i="142"/>
  <c r="E61" i="142"/>
  <c r="E13" i="142"/>
  <c r="C61" i="142"/>
  <c r="C37" i="142"/>
  <c r="C13" i="142"/>
  <c r="I61" i="142"/>
  <c r="S37" i="142"/>
  <c r="S61" i="142"/>
  <c r="R37" i="142"/>
  <c r="J37" i="142"/>
  <c r="J13" i="142"/>
  <c r="M61" i="142"/>
  <c r="R61" i="142"/>
  <c r="M37" i="142"/>
  <c r="M13" i="142"/>
  <c r="D37" i="142"/>
  <c r="D13" i="142"/>
  <c r="F61" i="142"/>
  <c r="K37" i="142"/>
  <c r="H37" i="142"/>
  <c r="H13" i="142"/>
  <c r="I37" i="142"/>
  <c r="I13" i="142"/>
  <c r="L37" i="142"/>
  <c r="L61" i="142"/>
  <c r="L13" i="142"/>
  <c r="Q61" i="142"/>
  <c r="K61" i="142"/>
  <c r="P62" i="142"/>
  <c r="M38" i="142"/>
  <c r="N38" i="142"/>
  <c r="I62" i="142"/>
  <c r="D38" i="142"/>
  <c r="F38" i="142"/>
  <c r="Q38" i="142"/>
  <c r="Q62" i="142"/>
  <c r="Q14" i="142"/>
  <c r="F62" i="142"/>
  <c r="P38" i="142"/>
  <c r="P14" i="142"/>
  <c r="S38" i="142"/>
  <c r="M62" i="142"/>
  <c r="E62" i="142"/>
  <c r="K62" i="142"/>
  <c r="E38" i="142"/>
  <c r="K38" i="142"/>
  <c r="K14" i="142"/>
  <c r="G38" i="142"/>
  <c r="G62" i="142"/>
  <c r="G14" i="142"/>
  <c r="J38" i="142"/>
  <c r="J62" i="142"/>
  <c r="J14" i="142"/>
  <c r="C38" i="142"/>
  <c r="H38" i="142"/>
  <c r="L38" i="142"/>
  <c r="D62" i="142"/>
  <c r="O62" i="142"/>
  <c r="I38" i="142"/>
  <c r="I14" i="142"/>
  <c r="O38" i="142"/>
  <c r="O14" i="142"/>
  <c r="N62" i="142"/>
  <c r="H62" i="142"/>
  <c r="L62" i="142"/>
  <c r="R38" i="142"/>
  <c r="C62" i="142"/>
  <c r="S62" i="142"/>
  <c r="R62" i="142"/>
  <c r="H70" i="142"/>
  <c r="H46" i="142"/>
  <c r="N46" i="142"/>
  <c r="N70" i="142"/>
  <c r="N22" i="142"/>
  <c r="C46" i="142"/>
  <c r="F46" i="142"/>
  <c r="J70" i="142"/>
  <c r="F70" i="142"/>
  <c r="S70" i="142"/>
  <c r="I46" i="142"/>
  <c r="P70" i="142"/>
  <c r="M70" i="142"/>
  <c r="D46" i="142"/>
  <c r="D70" i="142"/>
  <c r="D22" i="142"/>
  <c r="S46" i="142"/>
  <c r="S22" i="142"/>
  <c r="G46" i="142"/>
  <c r="G70" i="142"/>
  <c r="G22" i="142"/>
  <c r="E46" i="142"/>
  <c r="R46" i="142"/>
  <c r="J46" i="142"/>
  <c r="Q46" i="142"/>
  <c r="E70" i="142"/>
  <c r="L70" i="142"/>
  <c r="M46" i="142"/>
  <c r="M22" i="142"/>
  <c r="K70" i="142"/>
  <c r="Q70" i="142"/>
  <c r="C70" i="142"/>
  <c r="P46" i="142"/>
  <c r="O46" i="142"/>
  <c r="K46" i="142"/>
  <c r="K22" i="142"/>
  <c r="O70" i="142"/>
  <c r="R70" i="142"/>
  <c r="I70" i="142"/>
  <c r="L46" i="142"/>
  <c r="J36" i="142"/>
  <c r="J60" i="142"/>
  <c r="J12" i="142"/>
  <c r="L60" i="142"/>
  <c r="L36" i="142"/>
  <c r="L12" i="142"/>
  <c r="D60" i="142"/>
  <c r="Q60" i="142"/>
  <c r="H36" i="142"/>
  <c r="C60" i="142"/>
  <c r="C36" i="142"/>
  <c r="K36" i="142"/>
  <c r="K60" i="142"/>
  <c r="K12" i="142"/>
  <c r="I36" i="142"/>
  <c r="Q36" i="142"/>
  <c r="R60" i="142"/>
  <c r="F60" i="142"/>
  <c r="O60" i="142"/>
  <c r="S60" i="142"/>
  <c r="E60" i="142"/>
  <c r="O36" i="142"/>
  <c r="O12" i="142"/>
  <c r="E36" i="142"/>
  <c r="H60" i="142"/>
  <c r="R36" i="142"/>
  <c r="S36" i="142"/>
  <c r="S12" i="142"/>
  <c r="M60" i="142"/>
  <c r="I60" i="142"/>
  <c r="F36" i="142"/>
  <c r="G60" i="142"/>
  <c r="P60" i="142"/>
  <c r="G36" i="142"/>
  <c r="G12" i="142"/>
  <c r="P36" i="142"/>
  <c r="P12" i="142"/>
  <c r="M36" i="142"/>
  <c r="M12" i="142"/>
  <c r="N60" i="142"/>
  <c r="D36" i="142"/>
  <c r="N36" i="142"/>
  <c r="N12" i="142"/>
  <c r="T23" i="149"/>
  <c r="U23" i="149"/>
  <c r="H32" i="136"/>
  <c r="L31" i="142"/>
  <c r="R31" i="142"/>
  <c r="H31" i="142"/>
  <c r="O31" i="142"/>
  <c r="O55" i="142"/>
  <c r="O7" i="142"/>
  <c r="P31" i="142"/>
  <c r="P55" i="142"/>
  <c r="E55" i="142"/>
  <c r="C55" i="142"/>
  <c r="H55" i="142"/>
  <c r="S31" i="142"/>
  <c r="S55" i="142"/>
  <c r="S7" i="142"/>
  <c r="D55" i="142"/>
  <c r="K31" i="142"/>
  <c r="J31" i="142"/>
  <c r="J55" i="142"/>
  <c r="J7" i="142"/>
  <c r="N55" i="142"/>
  <c r="R55" i="142"/>
  <c r="F55" i="142"/>
  <c r="I55" i="142"/>
  <c r="N31" i="142"/>
  <c r="F31" i="142"/>
  <c r="E31" i="142"/>
  <c r="Q31" i="142"/>
  <c r="Q55" i="142"/>
  <c r="Q7" i="142"/>
  <c r="D31" i="142"/>
  <c r="D7" i="142"/>
  <c r="C31" i="142"/>
  <c r="C7" i="142"/>
  <c r="M55" i="142"/>
  <c r="I31" i="142"/>
  <c r="I7" i="142"/>
  <c r="M31" i="142"/>
  <c r="G31" i="142"/>
  <c r="G55" i="142"/>
  <c r="G7" i="142"/>
  <c r="K55" i="142"/>
  <c r="L55" i="142"/>
  <c r="R56" i="142"/>
  <c r="I32" i="142"/>
  <c r="I56" i="142"/>
  <c r="I8" i="142"/>
  <c r="M56" i="142"/>
  <c r="N56" i="142"/>
  <c r="C56" i="142"/>
  <c r="Q56" i="142"/>
  <c r="L56" i="142"/>
  <c r="L32" i="142"/>
  <c r="G56" i="142"/>
  <c r="J56" i="142"/>
  <c r="S32" i="142"/>
  <c r="Q32" i="142"/>
  <c r="Q8" i="142"/>
  <c r="N32" i="142"/>
  <c r="N8" i="142"/>
  <c r="G32" i="142"/>
  <c r="H56" i="142"/>
  <c r="D56" i="142"/>
  <c r="J32" i="142"/>
  <c r="J8" i="142"/>
  <c r="C32" i="142"/>
  <c r="P32" i="142"/>
  <c r="P56" i="142"/>
  <c r="P8" i="142"/>
  <c r="E32" i="142"/>
  <c r="E56" i="142"/>
  <c r="E8" i="142"/>
  <c r="M32" i="142"/>
  <c r="M8" i="142"/>
  <c r="F56" i="142"/>
  <c r="R32" i="142"/>
  <c r="K32" i="142"/>
  <c r="K56" i="142"/>
  <c r="K8" i="142"/>
  <c r="D32" i="142"/>
  <c r="O32" i="142"/>
  <c r="O56" i="142"/>
  <c r="O8" i="142"/>
  <c r="F32" i="142"/>
  <c r="F8" i="142"/>
  <c r="S56" i="142"/>
  <c r="H32" i="142"/>
  <c r="N64" i="142"/>
  <c r="J40" i="142"/>
  <c r="F40" i="142"/>
  <c r="F64" i="142"/>
  <c r="F16" i="142"/>
  <c r="P64" i="142"/>
  <c r="P40" i="142"/>
  <c r="E40" i="142"/>
  <c r="M40" i="142"/>
  <c r="M64" i="142"/>
  <c r="M16" i="142"/>
  <c r="H64" i="142"/>
  <c r="Q40" i="142"/>
  <c r="Q64" i="142"/>
  <c r="Q16" i="142"/>
  <c r="N40" i="142"/>
  <c r="N16" i="142"/>
  <c r="I40" i="142"/>
  <c r="I64" i="142"/>
  <c r="I16" i="142"/>
  <c r="D64" i="142"/>
  <c r="E64" i="142"/>
  <c r="D40" i="142"/>
  <c r="D16" i="142"/>
  <c r="R40" i="142"/>
  <c r="O40" i="142"/>
  <c r="S40" i="142"/>
  <c r="G40" i="142"/>
  <c r="G64" i="142"/>
  <c r="G16" i="142"/>
  <c r="H40" i="142"/>
  <c r="C40" i="142"/>
  <c r="L40" i="142"/>
  <c r="R64" i="142"/>
  <c r="S64" i="142"/>
  <c r="C64" i="142"/>
  <c r="K40" i="142"/>
  <c r="K64" i="142"/>
  <c r="K16" i="142"/>
  <c r="O64" i="142"/>
  <c r="L64" i="142"/>
  <c r="J64" i="142"/>
  <c r="P72" i="142"/>
  <c r="S48" i="142"/>
  <c r="S72" i="142"/>
  <c r="S24" i="142"/>
  <c r="H48" i="142"/>
  <c r="R72" i="142"/>
  <c r="I72" i="142"/>
  <c r="K72" i="142"/>
  <c r="C48" i="142"/>
  <c r="O48" i="142"/>
  <c r="M72" i="142"/>
  <c r="K48" i="142"/>
  <c r="K24" i="142"/>
  <c r="F48" i="142"/>
  <c r="N48" i="142"/>
  <c r="R48" i="142"/>
  <c r="F72" i="142"/>
  <c r="L48" i="142"/>
  <c r="G48" i="142"/>
  <c r="M48" i="142"/>
  <c r="M24" i="142"/>
  <c r="G72" i="142"/>
  <c r="P48" i="142"/>
  <c r="E72" i="142"/>
  <c r="N72" i="142"/>
  <c r="J72" i="142"/>
  <c r="Q72" i="142"/>
  <c r="O72" i="142"/>
  <c r="E48" i="142"/>
  <c r="E24" i="142"/>
  <c r="J48" i="142"/>
  <c r="J24" i="142"/>
  <c r="H72" i="142"/>
  <c r="I48" i="142"/>
  <c r="I24" i="142"/>
  <c r="Q48" i="142"/>
  <c r="D72" i="142"/>
  <c r="D48" i="142"/>
  <c r="D24" i="142"/>
  <c r="L72" i="142"/>
  <c r="C72" i="142"/>
  <c r="E35" i="142"/>
  <c r="R59" i="142"/>
  <c r="G59" i="142"/>
  <c r="J35" i="142"/>
  <c r="J59" i="142"/>
  <c r="J11" i="142"/>
  <c r="P59" i="142"/>
  <c r="Q59" i="142"/>
  <c r="S35" i="142"/>
  <c r="S59" i="142"/>
  <c r="S11" i="142"/>
  <c r="K35" i="142"/>
  <c r="K59" i="142"/>
  <c r="K11" i="142"/>
  <c r="F35" i="142"/>
  <c r="P35" i="142"/>
  <c r="P11" i="142"/>
  <c r="M35" i="142"/>
  <c r="O35" i="142"/>
  <c r="Q35" i="142"/>
  <c r="N59" i="142"/>
  <c r="L35" i="142"/>
  <c r="L59" i="142"/>
  <c r="L11" i="142"/>
  <c r="D59" i="142"/>
  <c r="C35" i="142"/>
  <c r="D35" i="142"/>
  <c r="H35" i="142"/>
  <c r="H59" i="142"/>
  <c r="H11" i="142"/>
  <c r="R35" i="142"/>
  <c r="F59" i="142"/>
  <c r="I35" i="142"/>
  <c r="I59" i="142"/>
  <c r="G35" i="142"/>
  <c r="G11" i="142"/>
  <c r="O59" i="142"/>
  <c r="C59" i="142"/>
  <c r="E59" i="142"/>
  <c r="M59" i="142"/>
  <c r="N35" i="142"/>
  <c r="O68" i="142"/>
  <c r="M44" i="142"/>
  <c r="I68" i="142"/>
  <c r="Q68" i="142"/>
  <c r="P44" i="142"/>
  <c r="D68" i="142"/>
  <c r="R68" i="142"/>
  <c r="F68" i="142"/>
  <c r="F44" i="142"/>
  <c r="I44" i="142"/>
  <c r="I20" i="142"/>
  <c r="N44" i="142"/>
  <c r="L68" i="142"/>
  <c r="G68" i="142"/>
  <c r="Q44" i="142"/>
  <c r="Q20" i="142"/>
  <c r="H44" i="142"/>
  <c r="J68" i="142"/>
  <c r="G44" i="142"/>
  <c r="M68" i="142"/>
  <c r="H68" i="142"/>
  <c r="C68" i="142"/>
  <c r="L44" i="142"/>
  <c r="L20" i="142"/>
  <c r="J44" i="142"/>
  <c r="J20" i="142"/>
  <c r="D44" i="142"/>
  <c r="S44" i="142"/>
  <c r="S68" i="142"/>
  <c r="S20" i="142"/>
  <c r="K44" i="142"/>
  <c r="K68" i="142"/>
  <c r="E44" i="142"/>
  <c r="E68" i="142"/>
  <c r="E20" i="142"/>
  <c r="R44" i="142"/>
  <c r="P68" i="142"/>
  <c r="O44" i="142"/>
  <c r="O20" i="142"/>
  <c r="N68" i="142"/>
  <c r="C44" i="142"/>
  <c r="O45" i="142"/>
  <c r="N69" i="142"/>
  <c r="Q45" i="142"/>
  <c r="Q69" i="142"/>
  <c r="Q21" i="142"/>
  <c r="H45" i="142"/>
  <c r="H69" i="142"/>
  <c r="H21" i="142"/>
  <c r="J45" i="142"/>
  <c r="R69" i="142"/>
  <c r="I69" i="142"/>
  <c r="K69" i="142"/>
  <c r="G45" i="142"/>
  <c r="I45" i="142"/>
  <c r="I21" i="142"/>
  <c r="S45" i="142"/>
  <c r="S69" i="142"/>
  <c r="S21" i="142"/>
  <c r="L45" i="142"/>
  <c r="L69" i="142"/>
  <c r="L21" i="142"/>
  <c r="N45" i="142"/>
  <c r="C45" i="142"/>
  <c r="C69" i="142"/>
  <c r="E45" i="142"/>
  <c r="K45" i="142"/>
  <c r="K21" i="142"/>
  <c r="G69" i="142"/>
  <c r="E69" i="142"/>
  <c r="P69" i="142"/>
  <c r="M45" i="142"/>
  <c r="D69" i="142"/>
  <c r="R45" i="142"/>
  <c r="M69" i="142"/>
  <c r="F69" i="142"/>
  <c r="F45" i="142"/>
  <c r="F21" i="142"/>
  <c r="O69" i="142"/>
  <c r="J69" i="142"/>
  <c r="D45" i="142"/>
  <c r="D21" i="142"/>
  <c r="P45" i="142"/>
  <c r="M63" i="142"/>
  <c r="M39" i="142"/>
  <c r="M15" i="142"/>
  <c r="G39" i="142"/>
  <c r="D39" i="142"/>
  <c r="D63" i="142"/>
  <c r="D15" i="142"/>
  <c r="P63" i="142"/>
  <c r="C63" i="142"/>
  <c r="J63" i="142"/>
  <c r="F39" i="142"/>
  <c r="F63" i="142"/>
  <c r="F15" i="142"/>
  <c r="H39" i="142"/>
  <c r="H63" i="142"/>
  <c r="H15" i="142"/>
  <c r="E39" i="142"/>
  <c r="E63" i="142"/>
  <c r="E15" i="142"/>
  <c r="N39" i="142"/>
  <c r="S39" i="142"/>
  <c r="J39" i="142"/>
  <c r="J15" i="142"/>
  <c r="N63" i="142"/>
  <c r="I63" i="142"/>
  <c r="C39" i="142"/>
  <c r="C15" i="142"/>
  <c r="K39" i="142"/>
  <c r="L63" i="142"/>
  <c r="O63" i="142"/>
  <c r="Q39" i="142"/>
  <c r="O39" i="142"/>
  <c r="O15" i="142"/>
  <c r="L39" i="142"/>
  <c r="L15" i="142"/>
  <c r="I39" i="142"/>
  <c r="I15" i="142"/>
  <c r="Q63" i="142"/>
  <c r="K63" i="142"/>
  <c r="S63" i="142"/>
  <c r="R39" i="142"/>
  <c r="R63" i="142"/>
  <c r="G63" i="142"/>
  <c r="P39" i="142"/>
  <c r="P15" i="142"/>
  <c r="Q33" i="142"/>
  <c r="P33" i="142"/>
  <c r="M33" i="142"/>
  <c r="R33" i="142"/>
  <c r="G57" i="142"/>
  <c r="O57" i="142"/>
  <c r="I33" i="142"/>
  <c r="I57" i="142"/>
  <c r="I9" i="142"/>
  <c r="J33" i="142"/>
  <c r="F57" i="142"/>
  <c r="S57" i="142"/>
  <c r="M57" i="142"/>
  <c r="E57" i="142"/>
  <c r="P57" i="142"/>
  <c r="H57" i="142"/>
  <c r="J57" i="142"/>
  <c r="K33" i="142"/>
  <c r="F33" i="142"/>
  <c r="F9" i="142"/>
  <c r="N57" i="142"/>
  <c r="O33" i="142"/>
  <c r="S33" i="142"/>
  <c r="C33" i="142"/>
  <c r="C57" i="142"/>
  <c r="C9" i="142"/>
  <c r="G33" i="142"/>
  <c r="G9" i="142"/>
  <c r="E33" i="142"/>
  <c r="E9" i="142"/>
  <c r="Q57" i="142"/>
  <c r="H33" i="142"/>
  <c r="R57" i="142"/>
  <c r="N33" i="142"/>
  <c r="N9" i="142"/>
  <c r="L57" i="142"/>
  <c r="D57" i="142"/>
  <c r="D33" i="142"/>
  <c r="D9" i="142"/>
  <c r="K57" i="142"/>
  <c r="L33" i="142"/>
  <c r="N41" i="142"/>
  <c r="G65" i="142"/>
  <c r="F41" i="142"/>
  <c r="P41" i="142"/>
  <c r="Q41" i="142"/>
  <c r="Q65" i="142"/>
  <c r="Q17" i="142"/>
  <c r="I65" i="142"/>
  <c r="H65" i="142"/>
  <c r="K65" i="142"/>
  <c r="D65" i="142"/>
  <c r="M41" i="142"/>
  <c r="G41" i="142"/>
  <c r="F65" i="142"/>
  <c r="E41" i="142"/>
  <c r="E65" i="142"/>
  <c r="E17" i="142"/>
  <c r="O41" i="142"/>
  <c r="O65" i="142"/>
  <c r="O17" i="142"/>
  <c r="J65" i="142"/>
  <c r="S65" i="142"/>
  <c r="C41" i="142"/>
  <c r="N65" i="142"/>
  <c r="D41" i="142"/>
  <c r="M65" i="142"/>
  <c r="I41" i="142"/>
  <c r="R41" i="142"/>
  <c r="K41" i="142"/>
  <c r="K17" i="142"/>
  <c r="L41" i="142"/>
  <c r="R65" i="142"/>
  <c r="H41" i="142"/>
  <c r="H17" i="142"/>
  <c r="P65" i="142"/>
  <c r="C65" i="142"/>
  <c r="J41" i="142"/>
  <c r="J17" i="142"/>
  <c r="S41" i="142"/>
  <c r="S17" i="142"/>
  <c r="L65" i="142"/>
  <c r="E49" i="142"/>
  <c r="R49" i="142"/>
  <c r="N49" i="142"/>
  <c r="N73" i="142"/>
  <c r="N25" i="142"/>
  <c r="F73" i="142"/>
  <c r="M73" i="142"/>
  <c r="P49" i="142"/>
  <c r="L49" i="142"/>
  <c r="I73" i="142"/>
  <c r="R73" i="142"/>
  <c r="J49" i="142"/>
  <c r="O73" i="142"/>
  <c r="K49" i="142"/>
  <c r="K73" i="142"/>
  <c r="K25" i="142"/>
  <c r="E73" i="142"/>
  <c r="D49" i="142"/>
  <c r="C49" i="142"/>
  <c r="Q73" i="142"/>
  <c r="G73" i="142"/>
  <c r="J73" i="142"/>
  <c r="L73" i="142"/>
  <c r="O49" i="142"/>
  <c r="H49" i="142"/>
  <c r="C73" i="142"/>
  <c r="D73" i="142"/>
  <c r="I49" i="142"/>
  <c r="I25" i="142"/>
  <c r="S73" i="142"/>
  <c r="H73" i="142"/>
  <c r="F49" i="142"/>
  <c r="Q49" i="142"/>
  <c r="P73" i="142"/>
  <c r="S49" i="142"/>
  <c r="G49" i="142"/>
  <c r="G25" i="142"/>
  <c r="M49" i="142"/>
  <c r="M25" i="142"/>
  <c r="E54" i="142"/>
  <c r="Q30" i="142"/>
  <c r="Q54" i="142"/>
  <c r="Q6" i="142"/>
  <c r="D54" i="142"/>
  <c r="C54" i="142"/>
  <c r="R54" i="142"/>
  <c r="S30" i="142"/>
  <c r="S54" i="142"/>
  <c r="S6" i="142"/>
  <c r="E30" i="142"/>
  <c r="M54" i="142"/>
  <c r="I54" i="142"/>
  <c r="L30" i="142"/>
  <c r="L54" i="142"/>
  <c r="L6" i="142"/>
  <c r="D30" i="142"/>
  <c r="D6" i="142"/>
  <c r="G30" i="142"/>
  <c r="J30" i="142"/>
  <c r="M30" i="142"/>
  <c r="C30" i="142"/>
  <c r="C6" i="142"/>
  <c r="R30" i="142"/>
  <c r="F30" i="142"/>
  <c r="F54" i="142"/>
  <c r="F6" i="142"/>
  <c r="P30" i="142"/>
  <c r="I30" i="142"/>
  <c r="H30" i="142"/>
  <c r="H54" i="142"/>
  <c r="H6" i="142"/>
  <c r="O30" i="142"/>
  <c r="G54" i="142"/>
  <c r="N54" i="142"/>
  <c r="K54" i="142"/>
  <c r="O54" i="142"/>
  <c r="J54" i="142"/>
  <c r="N30" i="142"/>
  <c r="K30" i="142"/>
  <c r="P54" i="142"/>
  <c r="I47" i="142"/>
  <c r="L47" i="142"/>
  <c r="R47" i="142"/>
  <c r="M71" i="142"/>
  <c r="O47" i="142"/>
  <c r="K71" i="142"/>
  <c r="E71" i="142"/>
  <c r="N71" i="142"/>
  <c r="O71" i="142"/>
  <c r="K47" i="142"/>
  <c r="I71" i="142"/>
  <c r="C47" i="142"/>
  <c r="C71" i="142"/>
  <c r="C23" i="142"/>
  <c r="R71" i="142"/>
  <c r="Q47" i="142"/>
  <c r="Q71" i="142"/>
  <c r="Q23" i="142"/>
  <c r="G47" i="142"/>
  <c r="G71" i="142"/>
  <c r="G23" i="142"/>
  <c r="H71" i="142"/>
  <c r="J71" i="142"/>
  <c r="H47" i="142"/>
  <c r="F47" i="142"/>
  <c r="D47" i="142"/>
  <c r="P71" i="142"/>
  <c r="D71" i="142"/>
  <c r="F71" i="142"/>
  <c r="M47" i="142"/>
  <c r="S71" i="142"/>
  <c r="J47" i="142"/>
  <c r="J23" i="142"/>
  <c r="P47" i="142"/>
  <c r="N47" i="142"/>
  <c r="L71" i="142"/>
  <c r="S47" i="142"/>
  <c r="E47" i="142"/>
  <c r="O58" i="142"/>
  <c r="O34" i="142"/>
  <c r="O10" i="142"/>
  <c r="P34" i="142"/>
  <c r="C34" i="142"/>
  <c r="C58" i="142"/>
  <c r="C10" i="142"/>
  <c r="D34" i="142"/>
  <c r="I58" i="142"/>
  <c r="J34" i="142"/>
  <c r="E58" i="142"/>
  <c r="L34" i="142"/>
  <c r="N34" i="142"/>
  <c r="K34" i="142"/>
  <c r="I34" i="142"/>
  <c r="R34" i="142"/>
  <c r="D58" i="142"/>
  <c r="S58" i="142"/>
  <c r="K58" i="142"/>
  <c r="E34" i="142"/>
  <c r="E10" i="142"/>
  <c r="Q34" i="142"/>
  <c r="Q58" i="142"/>
  <c r="R58" i="142"/>
  <c r="G58" i="142"/>
  <c r="F58" i="142"/>
  <c r="M34" i="142"/>
  <c r="S34" i="142"/>
  <c r="G34" i="142"/>
  <c r="L58" i="142"/>
  <c r="N58" i="142"/>
  <c r="J58" i="142"/>
  <c r="H58" i="142"/>
  <c r="H34" i="142"/>
  <c r="P58" i="142"/>
  <c r="M58" i="142"/>
  <c r="F34" i="142"/>
  <c r="F10" i="142"/>
  <c r="S66" i="142"/>
  <c r="L42" i="142"/>
  <c r="S42" i="142"/>
  <c r="S18" i="142"/>
  <c r="L66" i="142"/>
  <c r="M66" i="142"/>
  <c r="O42" i="142"/>
  <c r="D42" i="142"/>
  <c r="D66" i="142"/>
  <c r="Q66" i="142"/>
  <c r="E42" i="142"/>
  <c r="E66" i="142"/>
  <c r="E18" i="142"/>
  <c r="I42" i="142"/>
  <c r="I66" i="142"/>
  <c r="I18" i="142"/>
  <c r="F42" i="142"/>
  <c r="F66" i="142"/>
  <c r="F18" i="142"/>
  <c r="M42" i="142"/>
  <c r="M18" i="142"/>
  <c r="C42" i="142"/>
  <c r="K42" i="142"/>
  <c r="G42" i="142"/>
  <c r="P42" i="142"/>
  <c r="J66" i="142"/>
  <c r="R66" i="142"/>
  <c r="O66" i="142"/>
  <c r="P66" i="142"/>
  <c r="K66" i="142"/>
  <c r="H66" i="142"/>
  <c r="G66" i="142"/>
  <c r="N66" i="142"/>
  <c r="R42" i="142"/>
  <c r="N42" i="142"/>
  <c r="C66" i="142"/>
  <c r="J42" i="142"/>
  <c r="H42" i="142"/>
  <c r="H18" i="142"/>
  <c r="Q42" i="142"/>
  <c r="Q18" i="142"/>
  <c r="Q4" i="120"/>
  <c r="Q75" i="120"/>
  <c r="K20" i="120"/>
  <c r="K91" i="120"/>
  <c r="O5" i="120"/>
  <c r="O76" i="120"/>
  <c r="E6" i="120"/>
  <c r="E77" i="120"/>
  <c r="H20" i="120"/>
  <c r="H91" i="120"/>
  <c r="M6" i="120"/>
  <c r="M77" i="120"/>
  <c r="O21" i="120"/>
  <c r="O92" i="120"/>
  <c r="I12" i="120"/>
  <c r="I83" i="120"/>
  <c r="N22" i="120"/>
  <c r="N93" i="120"/>
  <c r="T8" i="120"/>
  <c r="L4" i="120"/>
  <c r="L75" i="120"/>
  <c r="J12" i="120"/>
  <c r="J83" i="120"/>
  <c r="O12" i="120"/>
  <c r="O83" i="120"/>
  <c r="Q15" i="120"/>
  <c r="H8" i="120"/>
  <c r="H79" i="120"/>
  <c r="L16" i="120"/>
  <c r="L87" i="120"/>
  <c r="L23" i="120"/>
  <c r="L94" i="120"/>
  <c r="O16" i="120"/>
  <c r="O87" i="120"/>
  <c r="J8" i="120"/>
  <c r="J79" i="120"/>
  <c r="L19" i="120"/>
  <c r="L90" i="120"/>
  <c r="S15" i="120"/>
  <c r="S86" i="120"/>
  <c r="M7" i="120"/>
  <c r="K16" i="120"/>
  <c r="I8" i="120"/>
  <c r="R8" i="120"/>
  <c r="R79" i="120"/>
  <c r="M19" i="120"/>
  <c r="M90" i="120"/>
  <c r="L7" i="120"/>
  <c r="L78" i="120"/>
  <c r="S8" i="120"/>
  <c r="S79" i="120"/>
  <c r="C15" i="120"/>
  <c r="C86" i="120"/>
  <c r="D15" i="120"/>
  <c r="T15" i="120"/>
  <c r="D7" i="120"/>
  <c r="T7" i="120"/>
  <c r="L8" i="120"/>
  <c r="L79" i="120"/>
  <c r="E7" i="120"/>
  <c r="E78" i="120"/>
  <c r="C8" i="120"/>
  <c r="C79" i="120"/>
  <c r="O8" i="120"/>
  <c r="O79" i="120"/>
  <c r="K15" i="120"/>
  <c r="K86" i="120"/>
  <c r="G16" i="120"/>
  <c r="G87" i="120"/>
  <c r="S16" i="120"/>
  <c r="S87" i="120"/>
  <c r="C23" i="120"/>
  <c r="C94" i="120"/>
  <c r="I15" i="120"/>
  <c r="D16" i="120"/>
  <c r="D87" i="120"/>
  <c r="R16" i="120"/>
  <c r="R87" i="120"/>
  <c r="T23" i="120"/>
  <c r="I7" i="120"/>
  <c r="I78" i="120"/>
  <c r="D8" i="120"/>
  <c r="D79" i="120"/>
  <c r="P8" i="120"/>
  <c r="L15" i="120"/>
  <c r="L86" i="120"/>
  <c r="I16" i="120"/>
  <c r="I87" i="120"/>
  <c r="T16" i="120"/>
  <c r="D23" i="120"/>
  <c r="D94" i="120"/>
  <c r="Q7" i="120"/>
  <c r="Q78" i="120"/>
  <c r="M23" i="120"/>
  <c r="C7" i="120"/>
  <c r="C78" i="120"/>
  <c r="S7" i="120"/>
  <c r="S78" i="120"/>
  <c r="K8" i="120"/>
  <c r="K79" i="120"/>
  <c r="E15" i="120"/>
  <c r="E86" i="120"/>
  <c r="C16" i="120"/>
  <c r="C87" i="120"/>
  <c r="Q16" i="120"/>
  <c r="Q87" i="120"/>
  <c r="S23" i="120"/>
  <c r="S94" i="120"/>
  <c r="K7" i="120"/>
  <c r="K78" i="120"/>
  <c r="G8" i="120"/>
  <c r="G79" i="120"/>
  <c r="Q8" i="120"/>
  <c r="Q79" i="120"/>
  <c r="M15" i="120"/>
  <c r="M86" i="120"/>
  <c r="J16" i="120"/>
  <c r="J87" i="120"/>
  <c r="E23" i="120"/>
  <c r="E94" i="120"/>
  <c r="K23" i="120"/>
  <c r="K94" i="120"/>
  <c r="N46" i="121"/>
  <c r="K46" i="121"/>
  <c r="H46" i="121"/>
  <c r="M22" i="120"/>
  <c r="M48" i="121"/>
  <c r="R48" i="121"/>
  <c r="P33" i="121"/>
  <c r="K33" i="121"/>
  <c r="N34" i="121"/>
  <c r="K34" i="121"/>
  <c r="N42" i="121"/>
  <c r="R32" i="121"/>
  <c r="P41" i="121"/>
  <c r="S35" i="121"/>
  <c r="S43" i="121"/>
  <c r="J38" i="121"/>
  <c r="O38" i="121"/>
  <c r="N38" i="121"/>
  <c r="K38" i="121"/>
  <c r="L12" i="120"/>
  <c r="L38" i="121"/>
  <c r="E40" i="121"/>
  <c r="R40" i="121"/>
  <c r="N40" i="121"/>
  <c r="P49" i="121"/>
  <c r="Q36" i="121"/>
  <c r="Q44" i="121"/>
  <c r="Q30" i="121"/>
  <c r="N30" i="121"/>
  <c r="G31" i="121"/>
  <c r="O31" i="121"/>
  <c r="P37" i="121"/>
  <c r="P45" i="121"/>
  <c r="O20" i="120"/>
  <c r="O91" i="120"/>
  <c r="G4" i="120"/>
  <c r="G75" i="120"/>
  <c r="G13" i="120"/>
  <c r="G84" i="120"/>
  <c r="R20" i="120"/>
  <c r="R91" i="120"/>
  <c r="S12" i="120"/>
  <c r="S83" i="120"/>
  <c r="J4" i="120"/>
  <c r="J75" i="120"/>
  <c r="K10" i="120"/>
  <c r="K81" i="120"/>
  <c r="O13" i="120"/>
  <c r="O84" i="120"/>
  <c r="S20" i="120"/>
  <c r="S91" i="120"/>
  <c r="K4" i="120"/>
  <c r="K75" i="120"/>
  <c r="R10" i="120"/>
  <c r="R81" i="120"/>
  <c r="S18" i="120"/>
  <c r="S89" i="120"/>
  <c r="G21" i="120"/>
  <c r="G92" i="120"/>
  <c r="L11" i="120"/>
  <c r="L82" i="120"/>
  <c r="T17" i="120"/>
  <c r="Q19" i="120"/>
  <c r="Q90" i="120"/>
  <c r="O4" i="120"/>
  <c r="O75" i="120"/>
  <c r="L9" i="120"/>
  <c r="L80" i="120"/>
  <c r="M11" i="120"/>
  <c r="M82" i="120"/>
  <c r="R12" i="120"/>
  <c r="R83" i="120"/>
  <c r="C18" i="120"/>
  <c r="C89" i="120"/>
  <c r="C20" i="120"/>
  <c r="C91" i="120"/>
  <c r="T20" i="120"/>
  <c r="D17" i="120"/>
  <c r="D88" i="120"/>
  <c r="L17" i="120"/>
  <c r="L88" i="120"/>
  <c r="D9" i="120"/>
  <c r="D80" i="120"/>
  <c r="T9" i="120"/>
  <c r="J18" i="120"/>
  <c r="J89" i="120"/>
  <c r="T4" i="120"/>
  <c r="C10" i="120"/>
  <c r="C81" i="120"/>
  <c r="C12" i="120"/>
  <c r="C83" i="120"/>
  <c r="T12" i="120"/>
  <c r="K18" i="120"/>
  <c r="K89" i="120"/>
  <c r="I20" i="120"/>
  <c r="I91" i="120"/>
  <c r="S10" i="120"/>
  <c r="S81" i="120"/>
  <c r="Q11" i="120"/>
  <c r="Q82" i="120"/>
  <c r="C4" i="120"/>
  <c r="C75" i="120"/>
  <c r="J10" i="120"/>
  <c r="J81" i="120"/>
  <c r="H12" i="120"/>
  <c r="H83" i="120"/>
  <c r="R18" i="120"/>
  <c r="R89" i="120"/>
  <c r="J20" i="120"/>
  <c r="J91" i="120"/>
  <c r="E22" i="120"/>
  <c r="E93" i="120"/>
  <c r="E17" i="120"/>
  <c r="E88" i="120"/>
  <c r="D10" i="120"/>
  <c r="D81" i="120"/>
  <c r="T10" i="120"/>
  <c r="D18" i="120"/>
  <c r="D89" i="120"/>
  <c r="O9" i="120"/>
  <c r="O80" i="120"/>
  <c r="E10" i="120"/>
  <c r="E81" i="120"/>
  <c r="C11" i="120"/>
  <c r="C82" i="120"/>
  <c r="G17" i="120"/>
  <c r="G88" i="120"/>
  <c r="O17" i="120"/>
  <c r="O88" i="120"/>
  <c r="E18" i="120"/>
  <c r="E89" i="120"/>
  <c r="M18" i="120"/>
  <c r="M89" i="120"/>
  <c r="C19" i="120"/>
  <c r="C90" i="120"/>
  <c r="S19" i="120"/>
  <c r="S90" i="120"/>
  <c r="D4" i="120"/>
  <c r="D75" i="120"/>
  <c r="P4" i="120"/>
  <c r="P75" i="120"/>
  <c r="F6" i="120"/>
  <c r="F77" i="120"/>
  <c r="H9" i="120"/>
  <c r="H80" i="120"/>
  <c r="P9" i="120"/>
  <c r="P80" i="120"/>
  <c r="F10" i="120"/>
  <c r="F81" i="120"/>
  <c r="N10" i="120"/>
  <c r="N81" i="120"/>
  <c r="D11" i="120"/>
  <c r="D82" i="120"/>
  <c r="T11" i="120"/>
  <c r="L83" i="120"/>
  <c r="H17" i="120"/>
  <c r="H88" i="120"/>
  <c r="P17" i="120"/>
  <c r="P88" i="120"/>
  <c r="F18" i="120"/>
  <c r="F89" i="120"/>
  <c r="N18" i="120"/>
  <c r="N89" i="120"/>
  <c r="D19" i="120"/>
  <c r="D90" i="120"/>
  <c r="T19" i="120"/>
  <c r="L20" i="120"/>
  <c r="L91" i="120"/>
  <c r="E9" i="120"/>
  <c r="E80" i="120"/>
  <c r="M17" i="120"/>
  <c r="M88" i="120"/>
  <c r="N9" i="120"/>
  <c r="N80" i="120"/>
  <c r="L10" i="120"/>
  <c r="L81" i="120"/>
  <c r="F17" i="120"/>
  <c r="F88" i="120"/>
  <c r="L18" i="120"/>
  <c r="L89" i="120"/>
  <c r="M10" i="120"/>
  <c r="M81" i="120"/>
  <c r="I9" i="120"/>
  <c r="I80" i="120"/>
  <c r="G10" i="120"/>
  <c r="G81" i="120"/>
  <c r="E11" i="120"/>
  <c r="E82" i="120"/>
  <c r="Q17" i="120"/>
  <c r="Q88" i="120"/>
  <c r="O18" i="120"/>
  <c r="O89" i="120"/>
  <c r="E19" i="120"/>
  <c r="E90" i="120"/>
  <c r="H4" i="120"/>
  <c r="H75" i="120"/>
  <c r="R4" i="120"/>
  <c r="R75" i="120"/>
  <c r="N6" i="120"/>
  <c r="N77" i="120"/>
  <c r="J9" i="120"/>
  <c r="J80" i="120"/>
  <c r="R9" i="120"/>
  <c r="R80" i="120"/>
  <c r="H10" i="120"/>
  <c r="H81" i="120"/>
  <c r="P10" i="120"/>
  <c r="P81" i="120"/>
  <c r="I11" i="120"/>
  <c r="I82" i="120"/>
  <c r="D12" i="120"/>
  <c r="D83" i="120"/>
  <c r="P12" i="120"/>
  <c r="P83" i="120"/>
  <c r="F14" i="120"/>
  <c r="F85" i="120"/>
  <c r="J17" i="120"/>
  <c r="J88" i="120"/>
  <c r="R17" i="120"/>
  <c r="R88" i="120"/>
  <c r="H18" i="120"/>
  <c r="H89" i="120"/>
  <c r="P18" i="120"/>
  <c r="P89" i="120"/>
  <c r="I19" i="120"/>
  <c r="I90" i="120"/>
  <c r="D20" i="120"/>
  <c r="D91" i="120"/>
  <c r="P20" i="120"/>
  <c r="P91" i="120"/>
  <c r="F22" i="120"/>
  <c r="F93" i="120"/>
  <c r="M9" i="120"/>
  <c r="M80" i="120"/>
  <c r="F9" i="120"/>
  <c r="F80" i="120"/>
  <c r="N17" i="120"/>
  <c r="N88" i="120"/>
  <c r="T18" i="120"/>
  <c r="G9" i="120"/>
  <c r="G80" i="120"/>
  <c r="S11" i="120"/>
  <c r="S82" i="120"/>
  <c r="Q9" i="120"/>
  <c r="Q80" i="120"/>
  <c r="O10" i="120"/>
  <c r="O81" i="120"/>
  <c r="I17" i="120"/>
  <c r="I88" i="120"/>
  <c r="G18" i="120"/>
  <c r="G89" i="120"/>
  <c r="I4" i="120"/>
  <c r="I75" i="120"/>
  <c r="S4" i="120"/>
  <c r="S75" i="120"/>
  <c r="C9" i="120"/>
  <c r="C80" i="120"/>
  <c r="K9" i="120"/>
  <c r="K80" i="120"/>
  <c r="I10" i="120"/>
  <c r="I81" i="120"/>
  <c r="K11" i="120"/>
  <c r="K82" i="120"/>
  <c r="G12" i="120"/>
  <c r="G83" i="120"/>
  <c r="Q12" i="120"/>
  <c r="Q83" i="120"/>
  <c r="M14" i="120"/>
  <c r="M85" i="120"/>
  <c r="C17" i="120"/>
  <c r="C88" i="120"/>
  <c r="K17" i="120"/>
  <c r="K88" i="120"/>
  <c r="I18" i="120"/>
  <c r="I89" i="120"/>
  <c r="K19" i="120"/>
  <c r="K90" i="120"/>
  <c r="G20" i="120"/>
  <c r="G91" i="120"/>
  <c r="Q20" i="120"/>
  <c r="Q91" i="120"/>
  <c r="M93" i="120"/>
  <c r="P3" i="120"/>
  <c r="P74" i="120"/>
  <c r="H3" i="120"/>
  <c r="H74" i="120"/>
  <c r="F3" i="120"/>
  <c r="F74" i="120"/>
  <c r="E3" i="120"/>
  <c r="E74" i="120"/>
  <c r="L3" i="120"/>
  <c r="L74" i="120"/>
  <c r="K3" i="120"/>
  <c r="K74" i="120"/>
  <c r="T47" i="120"/>
  <c r="O3" i="120"/>
  <c r="O74" i="120"/>
  <c r="N3" i="120"/>
  <c r="N74" i="120"/>
  <c r="M3" i="120"/>
  <c r="M74" i="120"/>
  <c r="T3" i="120"/>
  <c r="R3" i="120"/>
  <c r="R74" i="120"/>
  <c r="J3" i="120"/>
  <c r="J74" i="120"/>
  <c r="Q3" i="120"/>
  <c r="Q74" i="120"/>
  <c r="I3" i="120"/>
  <c r="I74" i="120"/>
  <c r="D3" i="120"/>
  <c r="D74" i="120"/>
  <c r="S3" i="120"/>
  <c r="S74" i="120"/>
  <c r="C3" i="120"/>
  <c r="C74" i="120"/>
  <c r="G3" i="120"/>
  <c r="G74" i="120"/>
  <c r="P13" i="120"/>
  <c r="P84" i="120"/>
  <c r="H21" i="120"/>
  <c r="H92" i="120"/>
  <c r="E5" i="120"/>
  <c r="E76" i="120"/>
  <c r="M5" i="120"/>
  <c r="M76" i="120"/>
  <c r="C6" i="120"/>
  <c r="C77" i="120"/>
  <c r="K6" i="120"/>
  <c r="K77" i="120"/>
  <c r="S6" i="120"/>
  <c r="S77" i="120"/>
  <c r="E13" i="120"/>
  <c r="E84" i="120"/>
  <c r="M13" i="120"/>
  <c r="M84" i="120"/>
  <c r="C14" i="120"/>
  <c r="C85" i="120"/>
  <c r="K14" i="120"/>
  <c r="K85" i="120"/>
  <c r="S14" i="120"/>
  <c r="S85" i="120"/>
  <c r="E21" i="120"/>
  <c r="E92" i="120"/>
  <c r="M21" i="120"/>
  <c r="M92" i="120"/>
  <c r="C22" i="120"/>
  <c r="C93" i="120"/>
  <c r="K22" i="120"/>
  <c r="K93" i="120"/>
  <c r="S22" i="120"/>
  <c r="S93" i="120"/>
  <c r="I23" i="120"/>
  <c r="I94" i="120"/>
  <c r="Q23" i="120"/>
  <c r="Q94" i="120"/>
  <c r="F5" i="120"/>
  <c r="F76" i="120"/>
  <c r="N5" i="120"/>
  <c r="N76" i="120"/>
  <c r="D6" i="120"/>
  <c r="D77" i="120"/>
  <c r="L6" i="120"/>
  <c r="L77" i="120"/>
  <c r="T6" i="120"/>
  <c r="J7" i="120"/>
  <c r="J78" i="120"/>
  <c r="R7" i="120"/>
  <c r="R78" i="120"/>
  <c r="J11" i="120"/>
  <c r="J82" i="120"/>
  <c r="R11" i="120"/>
  <c r="R82" i="120"/>
  <c r="F13" i="120"/>
  <c r="F84" i="120"/>
  <c r="N13" i="120"/>
  <c r="N84" i="120"/>
  <c r="D14" i="120"/>
  <c r="D85" i="120"/>
  <c r="L14" i="120"/>
  <c r="L85" i="120"/>
  <c r="T14" i="120"/>
  <c r="J15" i="120"/>
  <c r="J86" i="120"/>
  <c r="R15" i="120"/>
  <c r="R86" i="120"/>
  <c r="H16" i="120"/>
  <c r="H87" i="120"/>
  <c r="P16" i="120"/>
  <c r="P87" i="120"/>
  <c r="J19" i="120"/>
  <c r="R19" i="120"/>
  <c r="R90" i="120"/>
  <c r="F21" i="120"/>
  <c r="F92" i="120"/>
  <c r="N21" i="120"/>
  <c r="N92" i="120"/>
  <c r="D22" i="120"/>
  <c r="D93" i="120"/>
  <c r="L22" i="120"/>
  <c r="L93" i="120"/>
  <c r="T22" i="120"/>
  <c r="J23" i="120"/>
  <c r="J94" i="120"/>
  <c r="R23" i="120"/>
  <c r="R94" i="120"/>
  <c r="G47" i="120"/>
  <c r="H5" i="120"/>
  <c r="H76" i="120"/>
  <c r="H13" i="120"/>
  <c r="H84" i="120"/>
  <c r="P21" i="120"/>
  <c r="P92" i="120"/>
  <c r="I5" i="120"/>
  <c r="I76" i="120"/>
  <c r="O6" i="120"/>
  <c r="O77" i="120"/>
  <c r="I13" i="120"/>
  <c r="I84" i="120"/>
  <c r="Q13" i="120"/>
  <c r="Q84" i="120"/>
  <c r="G14" i="120"/>
  <c r="G85" i="120"/>
  <c r="O14" i="120"/>
  <c r="O85" i="120"/>
  <c r="Q21" i="120"/>
  <c r="Q92" i="120"/>
  <c r="O22" i="120"/>
  <c r="O93" i="120"/>
  <c r="J5" i="120"/>
  <c r="J76" i="120"/>
  <c r="P6" i="120"/>
  <c r="P77" i="120"/>
  <c r="H14" i="120"/>
  <c r="H85" i="120"/>
  <c r="F15" i="120"/>
  <c r="F86" i="120"/>
  <c r="N15" i="120"/>
  <c r="N86" i="120"/>
  <c r="N19" i="120"/>
  <c r="N90" i="120"/>
  <c r="R21" i="120"/>
  <c r="R92" i="120"/>
  <c r="P22" i="120"/>
  <c r="P93" i="120"/>
  <c r="E4" i="120"/>
  <c r="E75" i="120"/>
  <c r="M4" i="120"/>
  <c r="M75" i="120"/>
  <c r="C5" i="120"/>
  <c r="C76" i="120"/>
  <c r="K5" i="120"/>
  <c r="K76" i="120"/>
  <c r="S5" i="120"/>
  <c r="S76" i="120"/>
  <c r="I6" i="120"/>
  <c r="I77" i="120"/>
  <c r="Q6" i="120"/>
  <c r="Q77" i="120"/>
  <c r="G7" i="120"/>
  <c r="G78" i="120"/>
  <c r="O7" i="120"/>
  <c r="O78" i="120"/>
  <c r="E8" i="120"/>
  <c r="M8" i="120"/>
  <c r="M79" i="120"/>
  <c r="G11" i="120"/>
  <c r="G82" i="120"/>
  <c r="O11" i="120"/>
  <c r="O82" i="120"/>
  <c r="E12" i="120"/>
  <c r="E83" i="120"/>
  <c r="M12" i="120"/>
  <c r="M83" i="120"/>
  <c r="C13" i="120"/>
  <c r="C84" i="120"/>
  <c r="K13" i="120"/>
  <c r="K84" i="120"/>
  <c r="S13" i="120"/>
  <c r="S84" i="120"/>
  <c r="I14" i="120"/>
  <c r="I85" i="120"/>
  <c r="Q14" i="120"/>
  <c r="Q85" i="120"/>
  <c r="G15" i="120"/>
  <c r="G86" i="120"/>
  <c r="O15" i="120"/>
  <c r="O86" i="120"/>
  <c r="E16" i="120"/>
  <c r="E87" i="120"/>
  <c r="M16" i="120"/>
  <c r="M87" i="120"/>
  <c r="G19" i="120"/>
  <c r="G90" i="120"/>
  <c r="O19" i="120"/>
  <c r="O90" i="120"/>
  <c r="E20" i="120"/>
  <c r="E91" i="120"/>
  <c r="M20" i="120"/>
  <c r="M91" i="120"/>
  <c r="C21" i="120"/>
  <c r="C92" i="120"/>
  <c r="K21" i="120"/>
  <c r="K92" i="120"/>
  <c r="S21" i="120"/>
  <c r="S92" i="120"/>
  <c r="I22" i="120"/>
  <c r="I93" i="120"/>
  <c r="Q22" i="120"/>
  <c r="Q93" i="120"/>
  <c r="G23" i="120"/>
  <c r="G94" i="120"/>
  <c r="O23" i="120"/>
  <c r="O94" i="120"/>
  <c r="D47" i="120"/>
  <c r="P5" i="120"/>
  <c r="P76" i="120"/>
  <c r="Q5" i="120"/>
  <c r="Q76" i="120"/>
  <c r="G6" i="120"/>
  <c r="G77" i="120"/>
  <c r="I21" i="120"/>
  <c r="I92" i="120"/>
  <c r="G22" i="120"/>
  <c r="G93" i="120"/>
  <c r="R5" i="120"/>
  <c r="R76" i="120"/>
  <c r="H6" i="120"/>
  <c r="H77" i="120"/>
  <c r="F7" i="120"/>
  <c r="F78" i="120"/>
  <c r="N7" i="120"/>
  <c r="N78" i="120"/>
  <c r="F11" i="120"/>
  <c r="F82" i="120"/>
  <c r="N11" i="120"/>
  <c r="N82" i="120"/>
  <c r="J13" i="120"/>
  <c r="J84" i="120"/>
  <c r="R13" i="120"/>
  <c r="R84" i="120"/>
  <c r="P14" i="120"/>
  <c r="P85" i="120"/>
  <c r="F19" i="120"/>
  <c r="F90" i="120"/>
  <c r="J21" i="120"/>
  <c r="J92" i="120"/>
  <c r="H22" i="120"/>
  <c r="H93" i="120"/>
  <c r="F23" i="120"/>
  <c r="F94" i="120"/>
  <c r="N23" i="120"/>
  <c r="N94" i="120"/>
  <c r="F4" i="120"/>
  <c r="F75" i="120"/>
  <c r="D5" i="120"/>
  <c r="D76" i="120"/>
  <c r="L5" i="120"/>
  <c r="L76" i="120"/>
  <c r="J6" i="120"/>
  <c r="J77" i="120"/>
  <c r="H7" i="120"/>
  <c r="H78" i="120"/>
  <c r="F8" i="120"/>
  <c r="F79" i="120"/>
  <c r="H11" i="120"/>
  <c r="H82" i="120"/>
  <c r="F12" i="120"/>
  <c r="F83" i="120"/>
  <c r="D13" i="120"/>
  <c r="D84" i="120"/>
  <c r="L13" i="120"/>
  <c r="L84" i="120"/>
  <c r="J14" i="120"/>
  <c r="J85" i="120"/>
  <c r="H15" i="120"/>
  <c r="H86" i="120"/>
  <c r="F16" i="120"/>
  <c r="F87" i="120"/>
  <c r="H19" i="120"/>
  <c r="H90" i="120"/>
  <c r="F20" i="120"/>
  <c r="F91" i="120"/>
  <c r="D21" i="120"/>
  <c r="D92" i="120"/>
  <c r="L21" i="120"/>
  <c r="L92" i="120"/>
  <c r="J22" i="120"/>
  <c r="J93" i="120"/>
  <c r="H23" i="120"/>
  <c r="H94" i="120"/>
  <c r="D25" i="123"/>
  <c r="D28" i="123"/>
  <c r="S71" i="122"/>
  <c r="R71" i="122"/>
  <c r="Q71" i="122"/>
  <c r="P71" i="122"/>
  <c r="O71" i="122"/>
  <c r="N71" i="122"/>
  <c r="M71" i="122"/>
  <c r="L71" i="122"/>
  <c r="K71" i="122"/>
  <c r="J71" i="122"/>
  <c r="I71" i="122"/>
  <c r="H71" i="122"/>
  <c r="G71" i="122"/>
  <c r="F71" i="122"/>
  <c r="E71" i="122"/>
  <c r="D71" i="122"/>
  <c r="C71" i="122"/>
  <c r="T70" i="122"/>
  <c r="T69" i="122"/>
  <c r="T68" i="122"/>
  <c r="T67" i="122"/>
  <c r="T66" i="122"/>
  <c r="T65" i="122"/>
  <c r="T64" i="122"/>
  <c r="T63" i="122"/>
  <c r="T62" i="122"/>
  <c r="T61" i="122"/>
  <c r="T60" i="122"/>
  <c r="T59" i="122"/>
  <c r="T58" i="122"/>
  <c r="T57" i="122"/>
  <c r="T56" i="122"/>
  <c r="T55" i="122"/>
  <c r="T54" i="122"/>
  <c r="T53" i="122"/>
  <c r="T52" i="122"/>
  <c r="T51" i="122"/>
  <c r="T50" i="122"/>
  <c r="S47" i="122"/>
  <c r="R47" i="122"/>
  <c r="Q47" i="122"/>
  <c r="P47" i="122"/>
  <c r="O47" i="122"/>
  <c r="N47" i="122"/>
  <c r="M47" i="122"/>
  <c r="L47" i="122"/>
  <c r="K47" i="122"/>
  <c r="J47" i="122"/>
  <c r="I47" i="122"/>
  <c r="H47" i="122"/>
  <c r="G47" i="122"/>
  <c r="F47" i="122"/>
  <c r="E47" i="122"/>
  <c r="D47" i="122"/>
  <c r="C47" i="122"/>
  <c r="R73" i="121"/>
  <c r="J72" i="121"/>
  <c r="T21" i="122"/>
  <c r="N70" i="121"/>
  <c r="M68" i="121"/>
  <c r="M67" i="121"/>
  <c r="Q66" i="121"/>
  <c r="N65" i="121"/>
  <c r="Q64" i="121"/>
  <c r="P63" i="121"/>
  <c r="N62" i="121"/>
  <c r="O61" i="121"/>
  <c r="T9" i="122"/>
  <c r="Q58" i="121"/>
  <c r="S57" i="121"/>
  <c r="P56" i="121"/>
  <c r="H55" i="121"/>
  <c r="M54" i="121"/>
  <c r="J66" i="121"/>
  <c r="E59" i="121"/>
  <c r="R58" i="121"/>
  <c r="M57" i="121"/>
  <c r="S10" i="142"/>
  <c r="L10" i="142"/>
  <c r="F20" i="142"/>
  <c r="L8" i="142"/>
  <c r="S23" i="142"/>
  <c r="H20" i="142"/>
  <c r="H8" i="142"/>
  <c r="N23" i="142"/>
  <c r="P20" i="142"/>
  <c r="T35" i="142"/>
  <c r="R11" i="142"/>
  <c r="T60" i="142"/>
  <c r="T37" i="142"/>
  <c r="R13" i="142"/>
  <c r="T67" i="142"/>
  <c r="K6" i="142"/>
  <c r="J25" i="142"/>
  <c r="T63" i="142"/>
  <c r="Q11" i="142"/>
  <c r="O24" i="142"/>
  <c r="S16" i="142"/>
  <c r="J16" i="142"/>
  <c r="S8" i="142"/>
  <c r="E7" i="142"/>
  <c r="K7" i="142"/>
  <c r="P7" i="142"/>
  <c r="Q12" i="142"/>
  <c r="O22" i="142"/>
  <c r="F22" i="142"/>
  <c r="T38" i="142"/>
  <c r="R14" i="142"/>
  <c r="E19" i="142"/>
  <c r="P18" i="142"/>
  <c r="Q10" i="142"/>
  <c r="K10" i="142"/>
  <c r="P10" i="142"/>
  <c r="P23" i="142"/>
  <c r="D23" i="142"/>
  <c r="T71" i="142"/>
  <c r="O23" i="142"/>
  <c r="N6" i="142"/>
  <c r="O6" i="142"/>
  <c r="E6" i="142"/>
  <c r="T73" i="142"/>
  <c r="E25" i="142"/>
  <c r="T65" i="142"/>
  <c r="D17" i="142"/>
  <c r="G17" i="142"/>
  <c r="F17" i="142"/>
  <c r="S9" i="142"/>
  <c r="Q15" i="142"/>
  <c r="P21" i="142"/>
  <c r="T45" i="142"/>
  <c r="R21" i="142"/>
  <c r="E21" i="142"/>
  <c r="G21" i="142"/>
  <c r="O21" i="142"/>
  <c r="N20" i="142"/>
  <c r="D11" i="142"/>
  <c r="L24" i="142"/>
  <c r="C24" i="142"/>
  <c r="O16" i="142"/>
  <c r="H16" i="142"/>
  <c r="D8" i="142"/>
  <c r="C8" i="142"/>
  <c r="M7" i="142"/>
  <c r="F7" i="142"/>
  <c r="E12" i="142"/>
  <c r="I12" i="142"/>
  <c r="P22" i="142"/>
  <c r="Q22" i="142"/>
  <c r="C22" i="142"/>
  <c r="E14" i="142"/>
  <c r="F14" i="142"/>
  <c r="S13" i="142"/>
  <c r="F13" i="142"/>
  <c r="T43" i="142"/>
  <c r="R19" i="142"/>
  <c r="J9" i="142"/>
  <c r="T34" i="142"/>
  <c r="R10" i="142"/>
  <c r="T36" i="142"/>
  <c r="R12" i="142"/>
  <c r="R25" i="142"/>
  <c r="T49" i="142"/>
  <c r="P17" i="142"/>
  <c r="G18" i="142"/>
  <c r="G10" i="142"/>
  <c r="N10" i="142"/>
  <c r="F23" i="142"/>
  <c r="S25" i="142"/>
  <c r="T33" i="142"/>
  <c r="R9" i="142"/>
  <c r="C20" i="142"/>
  <c r="C11" i="142"/>
  <c r="T64" i="142"/>
  <c r="Q13" i="142"/>
  <c r="K18" i="142"/>
  <c r="D18" i="142"/>
  <c r="H23" i="142"/>
  <c r="T47" i="142"/>
  <c r="R23" i="142"/>
  <c r="J6" i="142"/>
  <c r="T54" i="142"/>
  <c r="C25" i="142"/>
  <c r="L25" i="142"/>
  <c r="C17" i="142"/>
  <c r="N17" i="142"/>
  <c r="T57" i="142"/>
  <c r="M9" i="142"/>
  <c r="S15" i="142"/>
  <c r="K20" i="142"/>
  <c r="G20" i="142"/>
  <c r="I11" i="142"/>
  <c r="M11" i="142"/>
  <c r="T48" i="142"/>
  <c r="R24" i="142"/>
  <c r="E16" i="142"/>
  <c r="R8" i="142"/>
  <c r="T32" i="142"/>
  <c r="T56" i="142"/>
  <c r="H7" i="142"/>
  <c r="D12" i="142"/>
  <c r="C12" i="142"/>
  <c r="L22" i="142"/>
  <c r="J22" i="142"/>
  <c r="I22" i="142"/>
  <c r="H22" i="142"/>
  <c r="L14" i="142"/>
  <c r="T61" i="142"/>
  <c r="V22" i="149"/>
  <c r="W22" i="149"/>
  <c r="Y22" i="149"/>
  <c r="L19" i="142"/>
  <c r="Q19" i="142"/>
  <c r="J19" i="142"/>
  <c r="T66" i="142"/>
  <c r="T58" i="142"/>
  <c r="T30" i="142"/>
  <c r="R6" i="142"/>
  <c r="I17" i="142"/>
  <c r="T44" i="142"/>
  <c r="R20" i="142"/>
  <c r="L18" i="142"/>
  <c r="G24" i="142"/>
  <c r="L17" i="142"/>
  <c r="Q24" i="142"/>
  <c r="T40" i="142"/>
  <c r="R16" i="142"/>
  <c r="N7" i="142"/>
  <c r="D14" i="142"/>
  <c r="N18" i="142"/>
  <c r="C18" i="142"/>
  <c r="O18" i="142"/>
  <c r="M10" i="142"/>
  <c r="E23" i="142"/>
  <c r="M23" i="142"/>
  <c r="K23" i="142"/>
  <c r="L23" i="142"/>
  <c r="I6" i="142"/>
  <c r="G6" i="142"/>
  <c r="Q25" i="142"/>
  <c r="H25" i="142"/>
  <c r="D25" i="142"/>
  <c r="P25" i="142"/>
  <c r="L9" i="142"/>
  <c r="H9" i="142"/>
  <c r="P9" i="142"/>
  <c r="N15" i="142"/>
  <c r="M21" i="142"/>
  <c r="C21" i="142"/>
  <c r="T69" i="142"/>
  <c r="N11" i="142"/>
  <c r="T59" i="142"/>
  <c r="P24" i="142"/>
  <c r="N24" i="142"/>
  <c r="T72" i="142"/>
  <c r="L16" i="142"/>
  <c r="P16" i="142"/>
  <c r="T31" i="142"/>
  <c r="R7" i="142"/>
  <c r="T46" i="142"/>
  <c r="R22" i="142"/>
  <c r="H14" i="142"/>
  <c r="N14" i="142"/>
  <c r="F19" i="142"/>
  <c r="M19" i="142"/>
  <c r="H19" i="142"/>
  <c r="T41" i="142"/>
  <c r="R17" i="142"/>
  <c r="M68" i="148"/>
  <c r="M68" i="147"/>
  <c r="D10" i="142"/>
  <c r="V23" i="149"/>
  <c r="W23" i="149"/>
  <c r="Y23" i="149"/>
  <c r="K13" i="142"/>
  <c r="I10" i="142"/>
  <c r="J18" i="142"/>
  <c r="M6" i="142"/>
  <c r="M17" i="142"/>
  <c r="O9" i="142"/>
  <c r="T39" i="142"/>
  <c r="R15" i="142"/>
  <c r="M20" i="142"/>
  <c r="O11" i="142"/>
  <c r="F12" i="142"/>
  <c r="N19" i="142"/>
  <c r="Q44" i="148"/>
  <c r="Q44" i="147"/>
  <c r="T42" i="142"/>
  <c r="R18" i="142"/>
  <c r="H10" i="142"/>
  <c r="J10" i="142"/>
  <c r="I23" i="142"/>
  <c r="P6" i="142"/>
  <c r="F25" i="142"/>
  <c r="O25" i="142"/>
  <c r="K9" i="142"/>
  <c r="Q9" i="142"/>
  <c r="K15" i="142"/>
  <c r="G15" i="142"/>
  <c r="N21" i="142"/>
  <c r="J21" i="142"/>
  <c r="D20" i="142"/>
  <c r="T68" i="142"/>
  <c r="F11" i="142"/>
  <c r="E11" i="142"/>
  <c r="F24" i="142"/>
  <c r="H24" i="142"/>
  <c r="C16" i="142"/>
  <c r="G8" i="142"/>
  <c r="T55" i="142"/>
  <c r="L7" i="142"/>
  <c r="H12" i="142"/>
  <c r="T70" i="142"/>
  <c r="E22" i="142"/>
  <c r="T62" i="142"/>
  <c r="C14" i="142"/>
  <c r="S14" i="142"/>
  <c r="M14" i="142"/>
  <c r="G19" i="142"/>
  <c r="O19" i="142"/>
  <c r="P49" i="145"/>
  <c r="P49" i="148"/>
  <c r="P49" i="147"/>
  <c r="O61" i="145"/>
  <c r="O61" i="148"/>
  <c r="O61" i="147"/>
  <c r="P37" i="145"/>
  <c r="P37" i="148"/>
  <c r="P37" i="147"/>
  <c r="N70" i="145"/>
  <c r="N70" i="148"/>
  <c r="N70" i="147"/>
  <c r="R40" i="145"/>
  <c r="R40" i="148"/>
  <c r="R40" i="147"/>
  <c r="P63" i="145"/>
  <c r="P63" i="148"/>
  <c r="P63" i="147"/>
  <c r="G31" i="145"/>
  <c r="G31" i="148"/>
  <c r="G31" i="147"/>
  <c r="R73" i="145"/>
  <c r="R73" i="148"/>
  <c r="R73" i="147"/>
  <c r="R58" i="145"/>
  <c r="R58" i="148"/>
  <c r="R58" i="147"/>
  <c r="M67" i="145"/>
  <c r="M67" i="148"/>
  <c r="M67" i="147"/>
  <c r="Q36" i="145"/>
  <c r="Q36" i="148"/>
  <c r="Q36" i="147"/>
  <c r="O38" i="145"/>
  <c r="O38" i="148"/>
  <c r="O38" i="147"/>
  <c r="N34" i="145"/>
  <c r="N34" i="148"/>
  <c r="N34" i="147"/>
  <c r="M68" i="145"/>
  <c r="K33" i="145"/>
  <c r="K33" i="148"/>
  <c r="K33" i="147"/>
  <c r="P33" i="145"/>
  <c r="P33" i="148"/>
  <c r="P33" i="147"/>
  <c r="M54" i="145"/>
  <c r="M54" i="148"/>
  <c r="M54" i="147"/>
  <c r="R48" i="145"/>
  <c r="R48" i="148"/>
  <c r="R48" i="147"/>
  <c r="M48" i="145"/>
  <c r="M48" i="148"/>
  <c r="M48" i="147"/>
  <c r="P56" i="145"/>
  <c r="P56" i="148"/>
  <c r="P56" i="147"/>
  <c r="Q64" i="145"/>
  <c r="Q64" i="148"/>
  <c r="Q64" i="147"/>
  <c r="J72" i="145"/>
  <c r="J72" i="148"/>
  <c r="J72" i="147"/>
  <c r="N30" i="145"/>
  <c r="N30" i="148"/>
  <c r="N30" i="147"/>
  <c r="L38" i="145"/>
  <c r="L38" i="148"/>
  <c r="L38" i="147"/>
  <c r="R32" i="145"/>
  <c r="R32" i="148"/>
  <c r="R32" i="147"/>
  <c r="H46" i="145"/>
  <c r="H46" i="148"/>
  <c r="H46" i="147"/>
  <c r="J38" i="145"/>
  <c r="J38" i="148"/>
  <c r="J38" i="147"/>
  <c r="S43" i="145"/>
  <c r="S43" i="148"/>
  <c r="S43" i="147"/>
  <c r="O31" i="145"/>
  <c r="O31" i="148"/>
  <c r="O31" i="147"/>
  <c r="H55" i="145"/>
  <c r="H55" i="148"/>
  <c r="H55" i="147"/>
  <c r="P41" i="145"/>
  <c r="P41" i="148"/>
  <c r="P41" i="147"/>
  <c r="N65" i="145"/>
  <c r="N65" i="148"/>
  <c r="N65" i="147"/>
  <c r="Q30" i="145"/>
  <c r="Q30" i="148"/>
  <c r="Q30" i="147"/>
  <c r="K38" i="145"/>
  <c r="K38" i="148"/>
  <c r="K38" i="147"/>
  <c r="N42" i="145"/>
  <c r="N42" i="148"/>
  <c r="N42" i="147"/>
  <c r="K46" i="145"/>
  <c r="K46" i="148"/>
  <c r="K46" i="147"/>
  <c r="E59" i="145"/>
  <c r="E59" i="148"/>
  <c r="E59" i="147"/>
  <c r="P45" i="145"/>
  <c r="P45" i="148"/>
  <c r="P45" i="147"/>
  <c r="J66" i="145"/>
  <c r="J66" i="148"/>
  <c r="J66" i="147"/>
  <c r="N40" i="145"/>
  <c r="N40" i="148"/>
  <c r="N40" i="147"/>
  <c r="N62" i="145"/>
  <c r="N62" i="148"/>
  <c r="N62" i="147"/>
  <c r="S35" i="145"/>
  <c r="S35" i="148"/>
  <c r="S35" i="147"/>
  <c r="E40" i="145"/>
  <c r="E40" i="148"/>
  <c r="E40" i="147"/>
  <c r="S57" i="145"/>
  <c r="S57" i="148"/>
  <c r="S57" i="147"/>
  <c r="M57" i="145"/>
  <c r="M57" i="148"/>
  <c r="M57" i="147"/>
  <c r="Q58" i="145"/>
  <c r="Q58" i="148"/>
  <c r="Q58" i="147"/>
  <c r="Q66" i="145"/>
  <c r="Q66" i="148"/>
  <c r="Q66" i="147"/>
  <c r="G29" i="142"/>
  <c r="O53" i="142"/>
  <c r="O74" i="142"/>
  <c r="I53" i="142"/>
  <c r="I74" i="142"/>
  <c r="D29" i="142"/>
  <c r="N29" i="142"/>
  <c r="R29" i="142"/>
  <c r="M53" i="142"/>
  <c r="M74" i="142"/>
  <c r="K53" i="142"/>
  <c r="K74" i="142"/>
  <c r="I29" i="142"/>
  <c r="S53" i="142"/>
  <c r="S74" i="142"/>
  <c r="M29" i="142"/>
  <c r="P29" i="142"/>
  <c r="G53" i="142"/>
  <c r="G74" i="142"/>
  <c r="F29" i="142"/>
  <c r="K29" i="142"/>
  <c r="N53" i="142"/>
  <c r="N74" i="142"/>
  <c r="R53" i="142"/>
  <c r="J53" i="142"/>
  <c r="J74" i="142"/>
  <c r="C53" i="142"/>
  <c r="C74" i="142"/>
  <c r="P53" i="142"/>
  <c r="P74" i="142"/>
  <c r="H29" i="142"/>
  <c r="E29" i="142"/>
  <c r="F53" i="142"/>
  <c r="F74" i="142"/>
  <c r="L53" i="142"/>
  <c r="L74" i="142"/>
  <c r="H53" i="142"/>
  <c r="H74" i="142"/>
  <c r="J29" i="142"/>
  <c r="Q53" i="142"/>
  <c r="Q74" i="142"/>
  <c r="Q29" i="142"/>
  <c r="C29" i="142"/>
  <c r="D53" i="142"/>
  <c r="D74" i="142"/>
  <c r="L29" i="142"/>
  <c r="O29" i="142"/>
  <c r="E53" i="142"/>
  <c r="E74" i="142"/>
  <c r="S29" i="142"/>
  <c r="Q44" i="145"/>
  <c r="N38" i="145"/>
  <c r="N14" i="145"/>
  <c r="N38" i="148"/>
  <c r="N38" i="147"/>
  <c r="K34" i="145"/>
  <c r="K34" i="148"/>
  <c r="K34" i="147"/>
  <c r="N46" i="145"/>
  <c r="N22" i="145"/>
  <c r="N46" i="148"/>
  <c r="N46" i="147"/>
  <c r="N14" i="138"/>
  <c r="N22" i="138"/>
  <c r="C63" i="121"/>
  <c r="P34" i="121"/>
  <c r="P79" i="120"/>
  <c r="D33" i="121"/>
  <c r="D78" i="120"/>
  <c r="M49" i="121"/>
  <c r="M94" i="120"/>
  <c r="D41" i="121"/>
  <c r="D86" i="120"/>
  <c r="M33" i="121"/>
  <c r="M78" i="120"/>
  <c r="Q41" i="121"/>
  <c r="Q86" i="120"/>
  <c r="K41" i="121"/>
  <c r="C33" i="121"/>
  <c r="I34" i="121"/>
  <c r="I79" i="120"/>
  <c r="K42" i="121"/>
  <c r="K87" i="120"/>
  <c r="J45" i="121"/>
  <c r="J90" i="120"/>
  <c r="D32" i="121"/>
  <c r="I33" i="121"/>
  <c r="I41" i="121"/>
  <c r="I86" i="120"/>
  <c r="E34" i="121"/>
  <c r="E79" i="120"/>
  <c r="M32" i="121"/>
  <c r="J31" i="121"/>
  <c r="E32" i="121"/>
  <c r="D34" i="121"/>
  <c r="I31" i="121"/>
  <c r="C49" i="121"/>
  <c r="D42" i="121"/>
  <c r="G34" i="121"/>
  <c r="L30" i="121"/>
  <c r="I38" i="121"/>
  <c r="M41" i="121"/>
  <c r="G42" i="121"/>
  <c r="R34" i="121"/>
  <c r="O47" i="121"/>
  <c r="N48" i="121"/>
  <c r="H40" i="121"/>
  <c r="J43" i="121"/>
  <c r="H34" i="121"/>
  <c r="C34" i="121"/>
  <c r="R42" i="121"/>
  <c r="J34" i="121"/>
  <c r="L49" i="121"/>
  <c r="L45" i="121"/>
  <c r="O49" i="121"/>
  <c r="G39" i="121"/>
  <c r="L33" i="121"/>
  <c r="I46" i="121"/>
  <c r="E49" i="121"/>
  <c r="E33" i="121"/>
  <c r="I42" i="121"/>
  <c r="H32" i="121"/>
  <c r="E46" i="121"/>
  <c r="H45" i="121"/>
  <c r="R31" i="121"/>
  <c r="G36" i="121"/>
  <c r="G38" i="121"/>
  <c r="D35" i="121"/>
  <c r="L41" i="121"/>
  <c r="L42" i="121"/>
  <c r="S42" i="121"/>
  <c r="Q34" i="121"/>
  <c r="S33" i="121"/>
  <c r="J46" i="121"/>
  <c r="Q37" i="121"/>
  <c r="G40" i="121"/>
  <c r="I30" i="121"/>
  <c r="H35" i="121"/>
  <c r="C42" i="121"/>
  <c r="N31" i="121"/>
  <c r="E35" i="121"/>
  <c r="F41" i="121"/>
  <c r="O42" i="121"/>
  <c r="F42" i="121"/>
  <c r="G61" i="121"/>
  <c r="K55" i="121"/>
  <c r="O65" i="121"/>
  <c r="J55" i="121"/>
  <c r="S56" i="121"/>
  <c r="P65" i="121"/>
  <c r="D70" i="121"/>
  <c r="F55" i="121"/>
  <c r="M59" i="121"/>
  <c r="C71" i="121"/>
  <c r="E54" i="121"/>
  <c r="G58" i="121"/>
  <c r="P62" i="121"/>
  <c r="L66" i="121"/>
  <c r="C73" i="121"/>
  <c r="H58" i="121"/>
  <c r="R62" i="121"/>
  <c r="M66" i="121"/>
  <c r="M73" i="121"/>
  <c r="N57" i="121"/>
  <c r="P72" i="121"/>
  <c r="J58" i="121"/>
  <c r="T17" i="122"/>
  <c r="N73" i="121"/>
  <c r="T8" i="122"/>
  <c r="R64" i="121"/>
  <c r="E70" i="121"/>
  <c r="T14" i="122"/>
  <c r="N66" i="121"/>
  <c r="T6" i="122"/>
  <c r="D57" i="121"/>
  <c r="O57" i="121"/>
  <c r="C56" i="121"/>
  <c r="E57" i="121"/>
  <c r="R57" i="121"/>
  <c r="L58" i="121"/>
  <c r="G65" i="121"/>
  <c r="R65" i="121"/>
  <c r="E73" i="121"/>
  <c r="S73" i="121"/>
  <c r="D56" i="121"/>
  <c r="F57" i="121"/>
  <c r="T7" i="122"/>
  <c r="M58" i="121"/>
  <c r="F61" i="121"/>
  <c r="D64" i="121"/>
  <c r="H65" i="121"/>
  <c r="D66" i="121"/>
  <c r="P66" i="121"/>
  <c r="F73" i="121"/>
  <c r="T23" i="122"/>
  <c r="Q73" i="121"/>
  <c r="I56" i="121"/>
  <c r="G57" i="121"/>
  <c r="N58" i="121"/>
  <c r="F64" i="121"/>
  <c r="I65" i="121"/>
  <c r="E66" i="121"/>
  <c r="R66" i="121"/>
  <c r="H72" i="121"/>
  <c r="I73" i="121"/>
  <c r="E58" i="121"/>
  <c r="J65" i="121"/>
  <c r="I72" i="121"/>
  <c r="E65" i="121"/>
  <c r="Q65" i="121"/>
  <c r="D73" i="121"/>
  <c r="D58" i="121"/>
  <c r="J56" i="121"/>
  <c r="J57" i="121"/>
  <c r="O58" i="121"/>
  <c r="H61" i="121"/>
  <c r="H64" i="121"/>
  <c r="F66" i="121"/>
  <c r="T16" i="122"/>
  <c r="K73" i="121"/>
  <c r="K56" i="121"/>
  <c r="L57" i="121"/>
  <c r="F58" i="121"/>
  <c r="P58" i="121"/>
  <c r="I64" i="121"/>
  <c r="M65" i="121"/>
  <c r="H66" i="121"/>
  <c r="K67" i="121"/>
  <c r="L73" i="121"/>
  <c r="P47" i="121"/>
  <c r="P48" i="121"/>
  <c r="M45" i="121"/>
  <c r="D31" i="121"/>
  <c r="G30" i="121"/>
  <c r="P36" i="121"/>
  <c r="D49" i="121"/>
  <c r="G43" i="121"/>
  <c r="N35" i="121"/>
  <c r="L34" i="121"/>
  <c r="H47" i="121"/>
  <c r="J41" i="121"/>
  <c r="O48" i="121"/>
  <c r="C37" i="121"/>
  <c r="P31" i="121"/>
  <c r="G44" i="121"/>
  <c r="G49" i="121"/>
  <c r="E43" i="121"/>
  <c r="M35" i="121"/>
  <c r="K32" i="121"/>
  <c r="C39" i="121"/>
  <c r="J42" i="121"/>
  <c r="S34" i="121"/>
  <c r="H48" i="121"/>
  <c r="Q46" i="121"/>
  <c r="R33" i="121"/>
  <c r="M36" i="121"/>
  <c r="C41" i="121"/>
  <c r="S45" i="121"/>
  <c r="H44" i="121"/>
  <c r="I49" i="121"/>
  <c r="H49" i="121"/>
  <c r="Q40" i="121"/>
  <c r="P38" i="121"/>
  <c r="I43" i="121"/>
  <c r="E41" i="121"/>
  <c r="F32" i="121"/>
  <c r="S39" i="121"/>
  <c r="Q42" i="121"/>
  <c r="M34" i="121"/>
  <c r="E47" i="121"/>
  <c r="O37" i="121"/>
  <c r="K49" i="121"/>
  <c r="S49" i="121"/>
  <c r="P43" i="121"/>
  <c r="S41" i="121"/>
  <c r="J39" i="121"/>
  <c r="J47" i="121"/>
  <c r="P44" i="121"/>
  <c r="K36" i="121"/>
  <c r="O34" i="121"/>
  <c r="D37" i="121"/>
  <c r="P30" i="121"/>
  <c r="K44" i="121"/>
  <c r="C38" i="121"/>
  <c r="I35" i="121"/>
  <c r="Q39" i="121"/>
  <c r="Q33" i="121"/>
  <c r="I48" i="121"/>
  <c r="M46" i="121"/>
  <c r="F45" i="121"/>
  <c r="C45" i="121"/>
  <c r="M37" i="121"/>
  <c r="J37" i="121"/>
  <c r="C31" i="121"/>
  <c r="S31" i="121"/>
  <c r="M30" i="121"/>
  <c r="H30" i="121"/>
  <c r="E44" i="121"/>
  <c r="N44" i="121"/>
  <c r="L44" i="121"/>
  <c r="R36" i="121"/>
  <c r="D36" i="121"/>
  <c r="Q49" i="121"/>
  <c r="C40" i="121"/>
  <c r="F40" i="121"/>
  <c r="S38" i="121"/>
  <c r="N43" i="121"/>
  <c r="D43" i="121"/>
  <c r="F35" i="121"/>
  <c r="J35" i="121"/>
  <c r="O41" i="121"/>
  <c r="I32" i="121"/>
  <c r="G32" i="121"/>
  <c r="O39" i="121"/>
  <c r="N39" i="121"/>
  <c r="H42" i="121"/>
  <c r="E42" i="121"/>
  <c r="H33" i="121"/>
  <c r="P46" i="121"/>
  <c r="R47" i="121"/>
  <c r="L47" i="121"/>
  <c r="Q47" i="121"/>
  <c r="C36" i="121"/>
  <c r="O40" i="121"/>
  <c r="D46" i="121"/>
  <c r="E45" i="121"/>
  <c r="I37" i="121"/>
  <c r="Q31" i="121"/>
  <c r="L39" i="121"/>
  <c r="J33" i="121"/>
  <c r="I45" i="121"/>
  <c r="K45" i="121"/>
  <c r="R37" i="121"/>
  <c r="L31" i="121"/>
  <c r="F31" i="121"/>
  <c r="K30" i="121"/>
  <c r="F44" i="121"/>
  <c r="O44" i="121"/>
  <c r="N36" i="121"/>
  <c r="H36" i="121"/>
  <c r="L36" i="121"/>
  <c r="K40" i="121"/>
  <c r="S40" i="121"/>
  <c r="D38" i="121"/>
  <c r="M38" i="121"/>
  <c r="R38" i="121"/>
  <c r="O43" i="121"/>
  <c r="L43" i="121"/>
  <c r="Q35" i="121"/>
  <c r="R35" i="121"/>
  <c r="O32" i="121"/>
  <c r="D39" i="121"/>
  <c r="H39" i="121"/>
  <c r="P42" i="121"/>
  <c r="M42" i="121"/>
  <c r="F33" i="121"/>
  <c r="D48" i="121"/>
  <c r="E48" i="121"/>
  <c r="L46" i="121"/>
  <c r="F46" i="121"/>
  <c r="S47" i="121"/>
  <c r="C47" i="121"/>
  <c r="F37" i="121"/>
  <c r="N45" i="121"/>
  <c r="G45" i="121"/>
  <c r="N37" i="121"/>
  <c r="D30" i="121"/>
  <c r="M44" i="121"/>
  <c r="I44" i="121"/>
  <c r="O36" i="121"/>
  <c r="J36" i="121"/>
  <c r="F49" i="121"/>
  <c r="E38" i="121"/>
  <c r="F43" i="121"/>
  <c r="R41" i="121"/>
  <c r="S32" i="121"/>
  <c r="R39" i="121"/>
  <c r="P39" i="121"/>
  <c r="N33" i="121"/>
  <c r="G46" i="121"/>
  <c r="D47" i="121"/>
  <c r="O45" i="121"/>
  <c r="L37" i="121"/>
  <c r="E37" i="121"/>
  <c r="K37" i="121"/>
  <c r="M31" i="121"/>
  <c r="H31" i="121"/>
  <c r="F30" i="121"/>
  <c r="O30" i="121"/>
  <c r="R44" i="121"/>
  <c r="E36" i="121"/>
  <c r="I36" i="121"/>
  <c r="J49" i="121"/>
  <c r="R49" i="121"/>
  <c r="N49" i="121"/>
  <c r="I40" i="121"/>
  <c r="M40" i="121"/>
  <c r="K43" i="121"/>
  <c r="Q43" i="121"/>
  <c r="M43" i="121"/>
  <c r="P35" i="121"/>
  <c r="L35" i="121"/>
  <c r="H41" i="121"/>
  <c r="C32" i="121"/>
  <c r="J32" i="121"/>
  <c r="P32" i="121"/>
  <c r="E39" i="121"/>
  <c r="I39" i="121"/>
  <c r="G33" i="121"/>
  <c r="F48" i="121"/>
  <c r="G48" i="121"/>
  <c r="C46" i="121"/>
  <c r="O46" i="121"/>
  <c r="G47" i="121"/>
  <c r="F47" i="121"/>
  <c r="D45" i="121"/>
  <c r="S37" i="121"/>
  <c r="C44" i="121"/>
  <c r="L40" i="121"/>
  <c r="C35" i="121"/>
  <c r="L32" i="121"/>
  <c r="O33" i="121"/>
  <c r="S48" i="121"/>
  <c r="N47" i="121"/>
  <c r="C30" i="121"/>
  <c r="F38" i="121"/>
  <c r="G35" i="121"/>
  <c r="N32" i="121"/>
  <c r="Q48" i="121"/>
  <c r="H37" i="121"/>
  <c r="E30" i="121"/>
  <c r="J30" i="121"/>
  <c r="S44" i="121"/>
  <c r="D40" i="121"/>
  <c r="C43" i="121"/>
  <c r="N41" i="121"/>
  <c r="K39" i="121"/>
  <c r="L48" i="121"/>
  <c r="J48" i="121"/>
  <c r="K47" i="121"/>
  <c r="Q45" i="121"/>
  <c r="R45" i="121"/>
  <c r="G37" i="121"/>
  <c r="K31" i="121"/>
  <c r="E31" i="121"/>
  <c r="S30" i="121"/>
  <c r="R30" i="121"/>
  <c r="J44" i="121"/>
  <c r="D44" i="121"/>
  <c r="F36" i="121"/>
  <c r="S36" i="121"/>
  <c r="J40" i="121"/>
  <c r="P40" i="121"/>
  <c r="H38" i="121"/>
  <c r="Q38" i="121"/>
  <c r="H43" i="121"/>
  <c r="R43" i="121"/>
  <c r="K35" i="121"/>
  <c r="O35" i="121"/>
  <c r="G41" i="121"/>
  <c r="Q32" i="121"/>
  <c r="M39" i="121"/>
  <c r="F39" i="121"/>
  <c r="F34" i="121"/>
  <c r="C48" i="121"/>
  <c r="K48" i="121"/>
  <c r="S46" i="121"/>
  <c r="R46" i="121"/>
  <c r="M47" i="121"/>
  <c r="I47" i="121"/>
  <c r="Q68" i="121"/>
  <c r="M55" i="121"/>
  <c r="T5" i="122"/>
  <c r="E55" i="121"/>
  <c r="P55" i="121"/>
  <c r="S55" i="121"/>
  <c r="R55" i="121"/>
  <c r="N63" i="121"/>
  <c r="L63" i="121"/>
  <c r="K63" i="121"/>
  <c r="J63" i="121"/>
  <c r="L71" i="121"/>
  <c r="S71" i="121"/>
  <c r="J71" i="121"/>
  <c r="D71" i="121"/>
  <c r="F71" i="121"/>
  <c r="F70" i="121"/>
  <c r="M60" i="121"/>
  <c r="P60" i="121"/>
  <c r="N60" i="121"/>
  <c r="C60" i="121"/>
  <c r="D60" i="121"/>
  <c r="D68" i="121"/>
  <c r="S61" i="121"/>
  <c r="P61" i="121"/>
  <c r="Q61" i="121"/>
  <c r="S69" i="121"/>
  <c r="T19" i="122"/>
  <c r="H69" i="121"/>
  <c r="L69" i="121"/>
  <c r="J69" i="121"/>
  <c r="P68" i="121"/>
  <c r="J54" i="121"/>
  <c r="P54" i="121"/>
  <c r="O54" i="121"/>
  <c r="N54" i="121"/>
  <c r="F62" i="121"/>
  <c r="G62" i="121"/>
  <c r="E62" i="121"/>
  <c r="L56" i="121"/>
  <c r="J64" i="121"/>
  <c r="N56" i="121"/>
  <c r="L64" i="121"/>
  <c r="T71" i="122"/>
  <c r="S29" i="121"/>
  <c r="K29" i="121"/>
  <c r="C29" i="121"/>
  <c r="R29" i="121"/>
  <c r="J29" i="121"/>
  <c r="P29" i="121"/>
  <c r="H29" i="121"/>
  <c r="N29" i="121"/>
  <c r="M29" i="121"/>
  <c r="I29" i="121"/>
  <c r="Q29" i="121"/>
  <c r="O29" i="121"/>
  <c r="F29" i="121"/>
  <c r="D29" i="121"/>
  <c r="L29" i="121"/>
  <c r="G29" i="121"/>
  <c r="E29" i="121"/>
  <c r="N14" i="121"/>
  <c r="N22" i="121"/>
  <c r="F59" i="121"/>
  <c r="C67" i="121"/>
  <c r="G59" i="121"/>
  <c r="D67" i="121"/>
  <c r="R68" i="121"/>
  <c r="T47" i="122"/>
  <c r="H59" i="121"/>
  <c r="H60" i="121"/>
  <c r="I61" i="121"/>
  <c r="F67" i="121"/>
  <c r="H68" i="121"/>
  <c r="M69" i="121"/>
  <c r="H57" i="121"/>
  <c r="P57" i="121"/>
  <c r="I59" i="121"/>
  <c r="Q59" i="121"/>
  <c r="I60" i="121"/>
  <c r="S60" i="121"/>
  <c r="J61" i="121"/>
  <c r="T11" i="122"/>
  <c r="T12" i="122"/>
  <c r="C65" i="121"/>
  <c r="K65" i="121"/>
  <c r="S65" i="121"/>
  <c r="G67" i="121"/>
  <c r="P67" i="121"/>
  <c r="I68" i="121"/>
  <c r="D69" i="121"/>
  <c r="N69" i="121"/>
  <c r="H70" i="121"/>
  <c r="G73" i="121"/>
  <c r="O73" i="121"/>
  <c r="N59" i="121"/>
  <c r="L67" i="121"/>
  <c r="F60" i="121"/>
  <c r="Q60" i="121"/>
  <c r="F68" i="121"/>
  <c r="P59" i="121"/>
  <c r="R60" i="121"/>
  <c r="R61" i="121"/>
  <c r="O67" i="121"/>
  <c r="T18" i="122"/>
  <c r="D54" i="121"/>
  <c r="I57" i="121"/>
  <c r="Q57" i="121"/>
  <c r="J59" i="121"/>
  <c r="R59" i="121"/>
  <c r="J60" i="121"/>
  <c r="T10" i="122"/>
  <c r="L61" i="121"/>
  <c r="D62" i="121"/>
  <c r="D65" i="121"/>
  <c r="L65" i="121"/>
  <c r="T15" i="122"/>
  <c r="H67" i="121"/>
  <c r="Q67" i="121"/>
  <c r="J68" i="121"/>
  <c r="E69" i="121"/>
  <c r="O69" i="121"/>
  <c r="T20" i="122"/>
  <c r="H73" i="121"/>
  <c r="P73" i="121"/>
  <c r="O59" i="121"/>
  <c r="N67" i="121"/>
  <c r="C59" i="121"/>
  <c r="K59" i="121"/>
  <c r="S59" i="121"/>
  <c r="K60" i="121"/>
  <c r="D61" i="121"/>
  <c r="M61" i="121"/>
  <c r="I67" i="121"/>
  <c r="R67" i="121"/>
  <c r="L68" i="121"/>
  <c r="F69" i="121"/>
  <c r="P69" i="121"/>
  <c r="F54" i="121"/>
  <c r="C57" i="121"/>
  <c r="K57" i="121"/>
  <c r="D59" i="121"/>
  <c r="L59" i="121"/>
  <c r="L60" i="121"/>
  <c r="E61" i="121"/>
  <c r="N61" i="121"/>
  <c r="F65" i="121"/>
  <c r="J67" i="121"/>
  <c r="S67" i="121"/>
  <c r="N68" i="121"/>
  <c r="G69" i="121"/>
  <c r="R69" i="121"/>
  <c r="J73" i="121"/>
  <c r="O53" i="121"/>
  <c r="D53" i="121"/>
  <c r="L53" i="121"/>
  <c r="N53" i="121"/>
  <c r="T3" i="122"/>
  <c r="F53" i="121"/>
  <c r="R53" i="121"/>
  <c r="G53" i="121"/>
  <c r="J53" i="121"/>
  <c r="H53" i="121"/>
  <c r="P53" i="121"/>
  <c r="I53" i="121"/>
  <c r="Q53" i="121"/>
  <c r="C53" i="121"/>
  <c r="K53" i="121"/>
  <c r="S53" i="121"/>
  <c r="E53" i="121"/>
  <c r="M53" i="121"/>
  <c r="Q62" i="121"/>
  <c r="I62" i="121"/>
  <c r="O62" i="121"/>
  <c r="S62" i="121"/>
  <c r="K62" i="121"/>
  <c r="C62" i="121"/>
  <c r="G54" i="121"/>
  <c r="L70" i="121"/>
  <c r="O63" i="121"/>
  <c r="G63" i="121"/>
  <c r="M63" i="121"/>
  <c r="E63" i="121"/>
  <c r="Q63" i="121"/>
  <c r="I63" i="121"/>
  <c r="H54" i="121"/>
  <c r="L55" i="121"/>
  <c r="J62" i="121"/>
  <c r="D63" i="121"/>
  <c r="M70" i="121"/>
  <c r="K71" i="121"/>
  <c r="M56" i="121"/>
  <c r="E56" i="121"/>
  <c r="O56" i="121"/>
  <c r="G56" i="121"/>
  <c r="M64" i="121"/>
  <c r="E64" i="121"/>
  <c r="S64" i="121"/>
  <c r="K64" i="121"/>
  <c r="C64" i="121"/>
  <c r="O64" i="121"/>
  <c r="G64" i="121"/>
  <c r="M72" i="121"/>
  <c r="E72" i="121"/>
  <c r="T22" i="122"/>
  <c r="L72" i="121"/>
  <c r="D72" i="121"/>
  <c r="S72" i="121"/>
  <c r="K72" i="121"/>
  <c r="C72" i="121"/>
  <c r="O72" i="121"/>
  <c r="G72" i="121"/>
  <c r="N72" i="121"/>
  <c r="F72" i="121"/>
  <c r="C55" i="121"/>
  <c r="F56" i="121"/>
  <c r="Q56" i="121"/>
  <c r="L62" i="121"/>
  <c r="F63" i="121"/>
  <c r="S63" i="121"/>
  <c r="N64" i="121"/>
  <c r="Q72" i="121"/>
  <c r="Q54" i="121"/>
  <c r="I54" i="121"/>
  <c r="S54" i="121"/>
  <c r="K54" i="121"/>
  <c r="C54" i="121"/>
  <c r="Q70" i="121"/>
  <c r="I70" i="121"/>
  <c r="O70" i="121"/>
  <c r="G70" i="121"/>
  <c r="S70" i="121"/>
  <c r="K70" i="121"/>
  <c r="C70" i="121"/>
  <c r="R70" i="121"/>
  <c r="J70" i="121"/>
  <c r="R54" i="121"/>
  <c r="H62" i="121"/>
  <c r="O55" i="121"/>
  <c r="G55" i="121"/>
  <c r="Q55" i="121"/>
  <c r="I55" i="121"/>
  <c r="O71" i="121"/>
  <c r="G71" i="121"/>
  <c r="N71" i="121"/>
  <c r="M71" i="121"/>
  <c r="E71" i="121"/>
  <c r="Q71" i="121"/>
  <c r="I71" i="121"/>
  <c r="P71" i="121"/>
  <c r="H71" i="121"/>
  <c r="T4" i="122"/>
  <c r="R63" i="121"/>
  <c r="L54" i="121"/>
  <c r="D55" i="121"/>
  <c r="N55" i="121"/>
  <c r="H56" i="121"/>
  <c r="R56" i="121"/>
  <c r="M62" i="121"/>
  <c r="H63" i="121"/>
  <c r="T13" i="122"/>
  <c r="P64" i="121"/>
  <c r="P70" i="121"/>
  <c r="R71" i="121"/>
  <c r="R72" i="121"/>
  <c r="C58" i="121"/>
  <c r="K58" i="121"/>
  <c r="S58" i="121"/>
  <c r="G60" i="121"/>
  <c r="O60" i="121"/>
  <c r="C66" i="121"/>
  <c r="K66" i="121"/>
  <c r="S66" i="121"/>
  <c r="G68" i="121"/>
  <c r="O68" i="121"/>
  <c r="G66" i="121"/>
  <c r="O66" i="121"/>
  <c r="E67" i="121"/>
  <c r="C68" i="121"/>
  <c r="K68" i="121"/>
  <c r="S68" i="121"/>
  <c r="I69" i="121"/>
  <c r="Q69" i="121"/>
  <c r="I58" i="121"/>
  <c r="E60" i="121"/>
  <c r="C61" i="121"/>
  <c r="K61" i="121"/>
  <c r="I66" i="121"/>
  <c r="E68" i="121"/>
  <c r="C69" i="121"/>
  <c r="K69" i="121"/>
  <c r="T7" i="142"/>
  <c r="T9" i="142"/>
  <c r="T6" i="142"/>
  <c r="T8" i="142"/>
  <c r="T15" i="142"/>
  <c r="T23" i="142"/>
  <c r="T10" i="142"/>
  <c r="T13" i="142"/>
  <c r="T21" i="142"/>
  <c r="T19" i="142"/>
  <c r="J62" i="148"/>
  <c r="J62" i="147"/>
  <c r="S63" i="148"/>
  <c r="S63" i="147"/>
  <c r="N41" i="148"/>
  <c r="N41" i="147"/>
  <c r="D58" i="148"/>
  <c r="D58" i="147"/>
  <c r="Q34" i="148"/>
  <c r="Q34" i="147"/>
  <c r="R57" i="148"/>
  <c r="R57" i="147"/>
  <c r="C47" i="148"/>
  <c r="C47" i="147"/>
  <c r="R64" i="148"/>
  <c r="R64" i="147"/>
  <c r="C71" i="148"/>
  <c r="C71" i="147"/>
  <c r="K55" i="148"/>
  <c r="K55" i="147"/>
  <c r="M33" i="148"/>
  <c r="M33" i="147"/>
  <c r="T12" i="142"/>
  <c r="R72" i="148"/>
  <c r="R72" i="147"/>
  <c r="K70" i="148"/>
  <c r="K70" i="147"/>
  <c r="Q45" i="148"/>
  <c r="Q45" i="147"/>
  <c r="E41" i="148"/>
  <c r="E41" i="147"/>
  <c r="D31" i="148"/>
  <c r="D31" i="147"/>
  <c r="M59" i="148"/>
  <c r="M59" i="147"/>
  <c r="C49" i="148"/>
  <c r="C49" i="147"/>
  <c r="C63" i="148"/>
  <c r="C63" i="147"/>
  <c r="T14" i="142"/>
  <c r="T17" i="142"/>
  <c r="T22" i="142"/>
  <c r="Q42" i="148"/>
  <c r="Q42" i="147"/>
  <c r="F63" i="148"/>
  <c r="F63" i="147"/>
  <c r="G37" i="148"/>
  <c r="G37" i="147"/>
  <c r="H31" i="148"/>
  <c r="H31" i="147"/>
  <c r="O53" i="148"/>
  <c r="O53" i="147"/>
  <c r="S59" i="148"/>
  <c r="S59" i="147"/>
  <c r="P42" i="148"/>
  <c r="P42" i="147"/>
  <c r="C64" i="148"/>
  <c r="C64" i="147"/>
  <c r="K62" i="148"/>
  <c r="K62" i="147"/>
  <c r="K63" i="148"/>
  <c r="K63" i="147"/>
  <c r="M43" i="148"/>
  <c r="M43" i="147"/>
  <c r="M44" i="148"/>
  <c r="M44" i="147"/>
  <c r="D55" i="148"/>
  <c r="D55" i="147"/>
  <c r="O55" i="148"/>
  <c r="O55" i="147"/>
  <c r="Q54" i="148"/>
  <c r="Q54" i="147"/>
  <c r="P61" i="148"/>
  <c r="P61" i="147"/>
  <c r="L63" i="148"/>
  <c r="L63" i="147"/>
  <c r="Q68" i="148"/>
  <c r="Q68" i="147"/>
  <c r="J48" i="148"/>
  <c r="J48" i="147"/>
  <c r="E30" i="148"/>
  <c r="E30" i="147"/>
  <c r="L37" i="148"/>
  <c r="L37" i="147"/>
  <c r="O41" i="148"/>
  <c r="O41" i="147"/>
  <c r="O37" i="148"/>
  <c r="O37" i="147"/>
  <c r="N58" i="148"/>
  <c r="N58" i="147"/>
  <c r="Q37" i="148"/>
  <c r="Q37" i="147"/>
  <c r="T25" i="142"/>
  <c r="I40" i="148"/>
  <c r="I40" i="147"/>
  <c r="N45" i="148"/>
  <c r="N45" i="147"/>
  <c r="H42" i="148"/>
  <c r="H42" i="147"/>
  <c r="D53" i="148"/>
  <c r="D53" i="147"/>
  <c r="Q60" i="148"/>
  <c r="Q60" i="147"/>
  <c r="F37" i="148"/>
  <c r="F37" i="147"/>
  <c r="H29" i="148"/>
  <c r="H29" i="147"/>
  <c r="S45" i="148"/>
  <c r="S45" i="147"/>
  <c r="K66" i="148"/>
  <c r="K66" i="147"/>
  <c r="G55" i="148"/>
  <c r="G55" i="147"/>
  <c r="D45" i="148"/>
  <c r="D45" i="147"/>
  <c r="I36" i="148"/>
  <c r="I36" i="147"/>
  <c r="S32" i="148"/>
  <c r="S32" i="147"/>
  <c r="I48" i="148"/>
  <c r="I48" i="147"/>
  <c r="D66" i="148"/>
  <c r="D66" i="147"/>
  <c r="O60" i="148"/>
  <c r="O60" i="147"/>
  <c r="O62" i="148"/>
  <c r="O62" i="147"/>
  <c r="K65" i="148"/>
  <c r="K65" i="147"/>
  <c r="F71" i="148"/>
  <c r="F71" i="147"/>
  <c r="N63" i="148"/>
  <c r="N63" i="147"/>
  <c r="G47" i="148"/>
  <c r="G47" i="147"/>
  <c r="P32" i="148"/>
  <c r="P32" i="147"/>
  <c r="K43" i="148"/>
  <c r="K43" i="147"/>
  <c r="O45" i="148"/>
  <c r="O45" i="147"/>
  <c r="N37" i="148"/>
  <c r="N37" i="147"/>
  <c r="E48" i="148"/>
  <c r="E48" i="147"/>
  <c r="R35" i="148"/>
  <c r="R35" i="147"/>
  <c r="L31" i="148"/>
  <c r="L31" i="147"/>
  <c r="H33" i="148"/>
  <c r="H33" i="147"/>
  <c r="J35" i="148"/>
  <c r="J35" i="147"/>
  <c r="D36" i="148"/>
  <c r="D36" i="147"/>
  <c r="Q40" i="148"/>
  <c r="Q40" i="147"/>
  <c r="Q46" i="148"/>
  <c r="Q46" i="147"/>
  <c r="P47" i="148"/>
  <c r="P47" i="147"/>
  <c r="G57" i="148"/>
  <c r="G57" i="147"/>
  <c r="P65" i="148"/>
  <c r="P65" i="147"/>
  <c r="F41" i="148"/>
  <c r="F41" i="147"/>
  <c r="J46" i="148"/>
  <c r="J46" i="147"/>
  <c r="G36" i="148"/>
  <c r="G36" i="147"/>
  <c r="I46" i="148"/>
  <c r="I46" i="147"/>
  <c r="C34" i="148"/>
  <c r="C34" i="147"/>
  <c r="M41" i="148"/>
  <c r="M41" i="147"/>
  <c r="M49" i="148"/>
  <c r="M49" i="147"/>
  <c r="T11" i="142"/>
  <c r="T24" i="142"/>
  <c r="K31" i="148"/>
  <c r="K31" i="147"/>
  <c r="D49" i="148"/>
  <c r="D49" i="147"/>
  <c r="H72" i="148"/>
  <c r="H72" i="147"/>
  <c r="K58" i="148"/>
  <c r="K58" i="147"/>
  <c r="M72" i="148"/>
  <c r="M72" i="147"/>
  <c r="O43" i="148"/>
  <c r="O43" i="147"/>
  <c r="J42" i="148"/>
  <c r="J42" i="147"/>
  <c r="L62" i="148"/>
  <c r="L62" i="147"/>
  <c r="P69" i="148"/>
  <c r="P69" i="147"/>
  <c r="D54" i="148"/>
  <c r="D54" i="147"/>
  <c r="N54" i="148"/>
  <c r="N54" i="147"/>
  <c r="P39" i="148"/>
  <c r="P39" i="147"/>
  <c r="I66" i="148"/>
  <c r="I66" i="147"/>
  <c r="S70" i="148"/>
  <c r="S70" i="147"/>
  <c r="K30" i="148"/>
  <c r="K30" i="147"/>
  <c r="M30" i="148"/>
  <c r="M30" i="147"/>
  <c r="H58" i="148"/>
  <c r="H58" i="147"/>
  <c r="T16" i="142"/>
  <c r="T18" i="142"/>
  <c r="N64" i="148"/>
  <c r="N64" i="147"/>
  <c r="E64" i="148"/>
  <c r="E64" i="147"/>
  <c r="S67" i="148"/>
  <c r="S67" i="147"/>
  <c r="K57" i="148"/>
  <c r="K57" i="147"/>
  <c r="P73" i="148"/>
  <c r="P73" i="147"/>
  <c r="H70" i="148"/>
  <c r="H70" i="147"/>
  <c r="P57" i="148"/>
  <c r="P57" i="147"/>
  <c r="E62" i="148"/>
  <c r="E62" i="147"/>
  <c r="J32" i="148"/>
  <c r="J32" i="147"/>
  <c r="O30" i="148"/>
  <c r="O30" i="147"/>
  <c r="D47" i="148"/>
  <c r="D47" i="147"/>
  <c r="R37" i="148"/>
  <c r="R37" i="147"/>
  <c r="E42" i="148"/>
  <c r="E42" i="147"/>
  <c r="M34" i="148"/>
  <c r="M34" i="147"/>
  <c r="K56" i="148"/>
  <c r="K56" i="147"/>
  <c r="J56" i="148"/>
  <c r="J56" i="147"/>
  <c r="I73" i="148"/>
  <c r="I73" i="147"/>
  <c r="N66" i="148"/>
  <c r="N66" i="147"/>
  <c r="E35" i="148"/>
  <c r="E35" i="147"/>
  <c r="S33" i="148"/>
  <c r="S33" i="147"/>
  <c r="I38" i="148"/>
  <c r="I38" i="147"/>
  <c r="T20" i="142"/>
  <c r="O60" i="145"/>
  <c r="H62" i="145"/>
  <c r="H62" i="148"/>
  <c r="H62" i="147"/>
  <c r="F72" i="145"/>
  <c r="F72" i="148"/>
  <c r="F72" i="147"/>
  <c r="M63" i="145"/>
  <c r="M63" i="148"/>
  <c r="M63" i="147"/>
  <c r="I67" i="145"/>
  <c r="I67" i="148"/>
  <c r="I67" i="147"/>
  <c r="R59" i="145"/>
  <c r="R59" i="148"/>
  <c r="R59" i="147"/>
  <c r="I59" i="145"/>
  <c r="I59" i="148"/>
  <c r="I59" i="147"/>
  <c r="Q29" i="145"/>
  <c r="Q29" i="148"/>
  <c r="Q29" i="147"/>
  <c r="S61" i="145"/>
  <c r="S61" i="148"/>
  <c r="S61" i="147"/>
  <c r="M39" i="145"/>
  <c r="M39" i="148"/>
  <c r="M39" i="147"/>
  <c r="H37" i="145"/>
  <c r="H37" i="148"/>
  <c r="H37" i="147"/>
  <c r="E47" i="145"/>
  <c r="E47" i="148"/>
  <c r="E47" i="147"/>
  <c r="G49" i="145"/>
  <c r="G49" i="148"/>
  <c r="G49" i="147"/>
  <c r="J57" i="145"/>
  <c r="J57" i="148"/>
  <c r="J57" i="147"/>
  <c r="R65" i="145"/>
  <c r="R65" i="148"/>
  <c r="R65" i="147"/>
  <c r="K41" i="145"/>
  <c r="K41" i="148"/>
  <c r="K41" i="147"/>
  <c r="I50" i="142"/>
  <c r="I5" i="142"/>
  <c r="I26" i="142"/>
  <c r="T11" i="149"/>
  <c r="O66" i="145"/>
  <c r="O66" i="148"/>
  <c r="O66" i="147"/>
  <c r="I70" i="145"/>
  <c r="I70" i="148"/>
  <c r="I70" i="147"/>
  <c r="D63" i="145"/>
  <c r="D63" i="148"/>
  <c r="D63" i="147"/>
  <c r="J59" i="145"/>
  <c r="J59" i="148"/>
  <c r="J59" i="147"/>
  <c r="E62" i="145"/>
  <c r="M47" i="145"/>
  <c r="M47" i="148"/>
  <c r="M47" i="147"/>
  <c r="E31" i="145"/>
  <c r="E31" i="148"/>
  <c r="E31" i="147"/>
  <c r="L32" i="145"/>
  <c r="L56" i="145"/>
  <c r="L8" i="145"/>
  <c r="L32" i="148"/>
  <c r="L32" i="147"/>
  <c r="O30" i="145"/>
  <c r="E38" i="145"/>
  <c r="E38" i="148"/>
  <c r="E38" i="147"/>
  <c r="D46" i="145"/>
  <c r="D46" i="148"/>
  <c r="D46" i="147"/>
  <c r="J37" i="145"/>
  <c r="J61" i="145"/>
  <c r="J13" i="145"/>
  <c r="J37" i="148"/>
  <c r="J37" i="147"/>
  <c r="L73" i="145"/>
  <c r="L73" i="148"/>
  <c r="L73" i="147"/>
  <c r="I56" i="145"/>
  <c r="I56" i="148"/>
  <c r="I56" i="147"/>
  <c r="G65" i="145"/>
  <c r="G65" i="148"/>
  <c r="G65" i="147"/>
  <c r="I38" i="145"/>
  <c r="S58" i="145"/>
  <c r="S58" i="148"/>
  <c r="S58" i="147"/>
  <c r="Q70" i="145"/>
  <c r="Q70" i="148"/>
  <c r="Q70" i="147"/>
  <c r="J67" i="145"/>
  <c r="J67" i="148"/>
  <c r="J67" i="147"/>
  <c r="L65" i="145"/>
  <c r="L65" i="148"/>
  <c r="L65" i="147"/>
  <c r="R68" i="145"/>
  <c r="R68" i="148"/>
  <c r="R68" i="147"/>
  <c r="M29" i="145"/>
  <c r="M29" i="148"/>
  <c r="M29" i="147"/>
  <c r="J71" i="145"/>
  <c r="J71" i="148"/>
  <c r="J71" i="147"/>
  <c r="I40" i="145"/>
  <c r="N45" i="145"/>
  <c r="H36" i="145"/>
  <c r="H36" i="148"/>
  <c r="H36" i="147"/>
  <c r="D43" i="145"/>
  <c r="D43" i="148"/>
  <c r="D43" i="147"/>
  <c r="K67" i="145"/>
  <c r="K67" i="148"/>
  <c r="K67" i="147"/>
  <c r="D58" i="145"/>
  <c r="L58" i="145"/>
  <c r="L58" i="148"/>
  <c r="L58" i="147"/>
  <c r="J55" i="145"/>
  <c r="J55" i="148"/>
  <c r="J55" i="147"/>
  <c r="G39" i="145"/>
  <c r="G63" i="145"/>
  <c r="G15" i="145"/>
  <c r="G39" i="148"/>
  <c r="G39" i="147"/>
  <c r="Q41" i="145"/>
  <c r="Q41" i="148"/>
  <c r="Q41" i="147"/>
  <c r="L50" i="142"/>
  <c r="L5" i="142"/>
  <c r="L26" i="142"/>
  <c r="T14" i="149"/>
  <c r="K69" i="145"/>
  <c r="K69" i="148"/>
  <c r="K69" i="147"/>
  <c r="M62" i="145"/>
  <c r="M62" i="148"/>
  <c r="M62" i="147"/>
  <c r="O72" i="145"/>
  <c r="O72" i="148"/>
  <c r="O72" i="147"/>
  <c r="L55" i="145"/>
  <c r="L55" i="148"/>
  <c r="L55" i="147"/>
  <c r="H53" i="145"/>
  <c r="H53" i="148"/>
  <c r="H53" i="147"/>
  <c r="K60" i="145"/>
  <c r="K36" i="145"/>
  <c r="K12" i="145"/>
  <c r="K60" i="148"/>
  <c r="K60" i="147"/>
  <c r="D69" i="145"/>
  <c r="D69" i="148"/>
  <c r="D69" i="147"/>
  <c r="G29" i="145"/>
  <c r="G29" i="148"/>
  <c r="G29" i="147"/>
  <c r="S71" i="145"/>
  <c r="S71" i="148"/>
  <c r="S71" i="147"/>
  <c r="S36" i="145"/>
  <c r="S36" i="148"/>
  <c r="S36" i="147"/>
  <c r="G35" i="145"/>
  <c r="G35" i="148"/>
  <c r="G35" i="147"/>
  <c r="H41" i="145"/>
  <c r="H41" i="148"/>
  <c r="H41" i="147"/>
  <c r="J36" i="145"/>
  <c r="J36" i="148"/>
  <c r="J36" i="147"/>
  <c r="I45" i="145"/>
  <c r="I45" i="148"/>
  <c r="I45" i="147"/>
  <c r="N43" i="145"/>
  <c r="N43" i="148"/>
  <c r="N43" i="147"/>
  <c r="S41" i="145"/>
  <c r="S41" i="148"/>
  <c r="S41" i="147"/>
  <c r="C37" i="145"/>
  <c r="C37" i="148"/>
  <c r="C37" i="147"/>
  <c r="R66" i="145"/>
  <c r="R66" i="148"/>
  <c r="R66" i="147"/>
  <c r="O65" i="145"/>
  <c r="O65" i="148"/>
  <c r="O65" i="147"/>
  <c r="O49" i="145"/>
  <c r="O49" i="148"/>
  <c r="O49" i="147"/>
  <c r="E50" i="142"/>
  <c r="E5" i="142"/>
  <c r="E26" i="142"/>
  <c r="T7" i="149"/>
  <c r="S68" i="145"/>
  <c r="S68" i="148"/>
  <c r="S68" i="147"/>
  <c r="K61" i="145"/>
  <c r="K61" i="148"/>
  <c r="K61" i="147"/>
  <c r="C68" i="145"/>
  <c r="C68" i="148"/>
  <c r="C68" i="147"/>
  <c r="C66" i="145"/>
  <c r="C66" i="148"/>
  <c r="C66" i="147"/>
  <c r="P70" i="145"/>
  <c r="P70" i="148"/>
  <c r="P70" i="147"/>
  <c r="D55" i="145"/>
  <c r="E71" i="145"/>
  <c r="E71" i="148"/>
  <c r="E71" i="147"/>
  <c r="G70" i="145"/>
  <c r="G70" i="148"/>
  <c r="G70" i="147"/>
  <c r="C55" i="145"/>
  <c r="C55" i="148"/>
  <c r="C55" i="147"/>
  <c r="D72" i="145"/>
  <c r="D72" i="148"/>
  <c r="D72" i="147"/>
  <c r="K64" i="145"/>
  <c r="K64" i="148"/>
  <c r="K64" i="147"/>
  <c r="K71" i="145"/>
  <c r="K71" i="148"/>
  <c r="K71" i="147"/>
  <c r="E63" i="145"/>
  <c r="E63" i="148"/>
  <c r="E63" i="147"/>
  <c r="S62" i="145"/>
  <c r="S62" i="148"/>
  <c r="S62" i="147"/>
  <c r="C53" i="145"/>
  <c r="C53" i="148"/>
  <c r="C53" i="147"/>
  <c r="F53" i="145"/>
  <c r="F53" i="148"/>
  <c r="F53" i="147"/>
  <c r="G69" i="145"/>
  <c r="G69" i="148"/>
  <c r="G69" i="147"/>
  <c r="L59" i="145"/>
  <c r="L59" i="148"/>
  <c r="L59" i="147"/>
  <c r="R67" i="145"/>
  <c r="R67" i="148"/>
  <c r="R67" i="147"/>
  <c r="N67" i="145"/>
  <c r="N19" i="145"/>
  <c r="N67" i="148"/>
  <c r="N67" i="147"/>
  <c r="Q67" i="145"/>
  <c r="Q67" i="148"/>
  <c r="Q67" i="147"/>
  <c r="J60" i="145"/>
  <c r="J60" i="148"/>
  <c r="J60" i="147"/>
  <c r="R61" i="145"/>
  <c r="R61" i="148"/>
  <c r="R61" i="147"/>
  <c r="O73" i="145"/>
  <c r="O73" i="148"/>
  <c r="O73" i="147"/>
  <c r="S65" i="145"/>
  <c r="S65" i="148"/>
  <c r="S65" i="147"/>
  <c r="Q59" i="145"/>
  <c r="Q59" i="148"/>
  <c r="Q59" i="147"/>
  <c r="H60" i="145"/>
  <c r="H12" i="145"/>
  <c r="H60" i="148"/>
  <c r="H60" i="147"/>
  <c r="O29" i="145"/>
  <c r="O29" i="148"/>
  <c r="O29" i="147"/>
  <c r="R29" i="145"/>
  <c r="R29" i="148"/>
  <c r="R29" i="147"/>
  <c r="J64" i="145"/>
  <c r="J64" i="148"/>
  <c r="J64" i="147"/>
  <c r="J54" i="145"/>
  <c r="J54" i="148"/>
  <c r="J54" i="147"/>
  <c r="F70" i="145"/>
  <c r="F70" i="148"/>
  <c r="F70" i="147"/>
  <c r="L63" i="145"/>
  <c r="F39" i="145"/>
  <c r="F39" i="148"/>
  <c r="F39" i="147"/>
  <c r="Q38" i="145"/>
  <c r="Q38" i="148"/>
  <c r="Q38" i="147"/>
  <c r="R30" i="145"/>
  <c r="R30" i="148"/>
  <c r="R30" i="147"/>
  <c r="S48" i="145"/>
  <c r="S48" i="148"/>
  <c r="S48" i="147"/>
  <c r="F47" i="145"/>
  <c r="F47" i="148"/>
  <c r="F47" i="147"/>
  <c r="E39" i="145"/>
  <c r="E39" i="148"/>
  <c r="E39" i="147"/>
  <c r="Q43" i="145"/>
  <c r="Q43" i="148"/>
  <c r="Q43" i="147"/>
  <c r="E36" i="145"/>
  <c r="E36" i="148"/>
  <c r="E36" i="147"/>
  <c r="L37" i="145"/>
  <c r="R41" i="145"/>
  <c r="R17" i="145"/>
  <c r="R41" i="148"/>
  <c r="R41" i="147"/>
  <c r="D30" i="145"/>
  <c r="D30" i="148"/>
  <c r="D30" i="147"/>
  <c r="L46" i="145"/>
  <c r="L46" i="148"/>
  <c r="L46" i="147"/>
  <c r="O32" i="145"/>
  <c r="O32" i="148"/>
  <c r="O32" i="147"/>
  <c r="S40" i="145"/>
  <c r="S40" i="148"/>
  <c r="S40" i="147"/>
  <c r="F31" i="145"/>
  <c r="F31" i="148"/>
  <c r="F31" i="147"/>
  <c r="I37" i="145"/>
  <c r="I37" i="148"/>
  <c r="I37" i="147"/>
  <c r="P46" i="145"/>
  <c r="P46" i="148"/>
  <c r="P46" i="147"/>
  <c r="Q49" i="145"/>
  <c r="Q49" i="148"/>
  <c r="Q49" i="147"/>
  <c r="S31" i="145"/>
  <c r="S31" i="148"/>
  <c r="S31" i="147"/>
  <c r="Q33" i="145"/>
  <c r="Q57" i="145"/>
  <c r="Q9" i="145"/>
  <c r="Q33" i="148"/>
  <c r="Q33" i="147"/>
  <c r="K36" i="148"/>
  <c r="K36" i="147"/>
  <c r="P38" i="145"/>
  <c r="P38" i="148"/>
  <c r="P38" i="147"/>
  <c r="R33" i="145"/>
  <c r="R33" i="148"/>
  <c r="R33" i="147"/>
  <c r="E43" i="145"/>
  <c r="E43" i="148"/>
  <c r="E43" i="147"/>
  <c r="L34" i="145"/>
  <c r="L34" i="148"/>
  <c r="L34" i="147"/>
  <c r="P48" i="145"/>
  <c r="P48" i="148"/>
  <c r="P48" i="147"/>
  <c r="F58" i="145"/>
  <c r="F58" i="148"/>
  <c r="F58" i="147"/>
  <c r="O58" i="145"/>
  <c r="O58" i="148"/>
  <c r="O58" i="147"/>
  <c r="J65" i="145"/>
  <c r="J65" i="148"/>
  <c r="J65" i="147"/>
  <c r="H65" i="145"/>
  <c r="H65" i="148"/>
  <c r="H65" i="147"/>
  <c r="E73" i="145"/>
  <c r="E73" i="148"/>
  <c r="E73" i="147"/>
  <c r="D57" i="145"/>
  <c r="D57" i="148"/>
  <c r="D57" i="147"/>
  <c r="C73" i="145"/>
  <c r="C73" i="148"/>
  <c r="C73" i="147"/>
  <c r="D70" i="145"/>
  <c r="D70" i="148"/>
  <c r="D70" i="147"/>
  <c r="O42" i="145"/>
  <c r="O18" i="145"/>
  <c r="O42" i="148"/>
  <c r="O42" i="147"/>
  <c r="Q37" i="145"/>
  <c r="G38" i="145"/>
  <c r="G38" i="148"/>
  <c r="G38" i="147"/>
  <c r="E49" i="145"/>
  <c r="E49" i="148"/>
  <c r="E49" i="147"/>
  <c r="R42" i="145"/>
  <c r="R42" i="148"/>
  <c r="R42" i="147"/>
  <c r="G42" i="145"/>
  <c r="G42" i="148"/>
  <c r="G42" i="147"/>
  <c r="D34" i="145"/>
  <c r="D10" i="145"/>
  <c r="D34" i="148"/>
  <c r="D34" i="147"/>
  <c r="I33" i="145"/>
  <c r="I33" i="148"/>
  <c r="I33" i="147"/>
  <c r="C33" i="145"/>
  <c r="C33" i="148"/>
  <c r="C33" i="147"/>
  <c r="S50" i="142"/>
  <c r="S5" i="142"/>
  <c r="S26" i="142"/>
  <c r="T20" i="149"/>
  <c r="J50" i="142"/>
  <c r="J5" i="142"/>
  <c r="J26" i="142"/>
  <c r="T12" i="149"/>
  <c r="E67" i="145"/>
  <c r="E67" i="148"/>
  <c r="E67" i="147"/>
  <c r="L54" i="145"/>
  <c r="L54" i="148"/>
  <c r="L54" i="147"/>
  <c r="Q72" i="145"/>
  <c r="Q48" i="145"/>
  <c r="Q24" i="145"/>
  <c r="Q72" i="148"/>
  <c r="Q72" i="147"/>
  <c r="M70" i="145"/>
  <c r="M70" i="148"/>
  <c r="M70" i="147"/>
  <c r="Q53" i="145"/>
  <c r="Q53" i="148"/>
  <c r="Q53" i="147"/>
  <c r="H67" i="145"/>
  <c r="H67" i="148"/>
  <c r="H67" i="147"/>
  <c r="K65" i="145"/>
  <c r="P68" i="145"/>
  <c r="P68" i="148"/>
  <c r="P68" i="147"/>
  <c r="I47" i="145"/>
  <c r="I47" i="148"/>
  <c r="I47" i="147"/>
  <c r="L48" i="145"/>
  <c r="L48" i="148"/>
  <c r="L48" i="147"/>
  <c r="F43" i="145"/>
  <c r="F43" i="148"/>
  <c r="F43" i="147"/>
  <c r="E45" i="145"/>
  <c r="E45" i="148"/>
  <c r="E45" i="147"/>
  <c r="C31" i="145"/>
  <c r="C31" i="148"/>
  <c r="C31" i="147"/>
  <c r="G60" i="145"/>
  <c r="G60" i="148"/>
  <c r="G60" i="147"/>
  <c r="R54" i="145"/>
  <c r="R54" i="148"/>
  <c r="R54" i="147"/>
  <c r="I53" i="145"/>
  <c r="I53" i="148"/>
  <c r="I53" i="147"/>
  <c r="C65" i="145"/>
  <c r="C65" i="148"/>
  <c r="C65" i="147"/>
  <c r="J69" i="145"/>
  <c r="J69" i="148"/>
  <c r="J69" i="147"/>
  <c r="R55" i="145"/>
  <c r="R55" i="148"/>
  <c r="R55" i="147"/>
  <c r="Q48" i="148"/>
  <c r="Q48" i="147"/>
  <c r="M40" i="145"/>
  <c r="M40" i="148"/>
  <c r="M40" i="147"/>
  <c r="G45" i="145"/>
  <c r="G45" i="148"/>
  <c r="G45" i="147"/>
  <c r="R37" i="145"/>
  <c r="R36" i="145"/>
  <c r="R36" i="148"/>
  <c r="R36" i="147"/>
  <c r="H49" i="145"/>
  <c r="H49" i="148"/>
  <c r="H49" i="147"/>
  <c r="G43" i="145"/>
  <c r="G43" i="148"/>
  <c r="G43" i="147"/>
  <c r="J56" i="145"/>
  <c r="P72" i="145"/>
  <c r="P72" i="148"/>
  <c r="P72" i="147"/>
  <c r="H34" i="145"/>
  <c r="H34" i="148"/>
  <c r="H34" i="147"/>
  <c r="I58" i="145"/>
  <c r="I58" i="148"/>
  <c r="I58" i="147"/>
  <c r="H63" i="145"/>
  <c r="H63" i="148"/>
  <c r="H63" i="147"/>
  <c r="G72" i="145"/>
  <c r="G72" i="148"/>
  <c r="G72" i="147"/>
  <c r="O63" i="145"/>
  <c r="O63" i="148"/>
  <c r="O63" i="147"/>
  <c r="L53" i="145"/>
  <c r="L53" i="148"/>
  <c r="L53" i="147"/>
  <c r="H73" i="145"/>
  <c r="H73" i="148"/>
  <c r="H73" i="147"/>
  <c r="N69" i="145"/>
  <c r="N69" i="148"/>
  <c r="N69" i="147"/>
  <c r="S29" i="145"/>
  <c r="S29" i="148"/>
  <c r="S29" i="147"/>
  <c r="R46" i="145"/>
  <c r="R46" i="148"/>
  <c r="R46" i="147"/>
  <c r="J40" i="145"/>
  <c r="J16" i="145"/>
  <c r="J40" i="148"/>
  <c r="J40" i="147"/>
  <c r="C35" i="145"/>
  <c r="C35" i="148"/>
  <c r="C35" i="147"/>
  <c r="G46" i="145"/>
  <c r="G46" i="148"/>
  <c r="G46" i="147"/>
  <c r="L43" i="145"/>
  <c r="L43" i="148"/>
  <c r="L43" i="147"/>
  <c r="C38" i="145"/>
  <c r="C38" i="148"/>
  <c r="C38" i="147"/>
  <c r="Q73" i="145"/>
  <c r="Q73" i="148"/>
  <c r="Q73" i="147"/>
  <c r="G58" i="145"/>
  <c r="G58" i="148"/>
  <c r="G58" i="147"/>
  <c r="H45" i="145"/>
  <c r="H45" i="148"/>
  <c r="H45" i="147"/>
  <c r="J45" i="145"/>
  <c r="J45" i="148"/>
  <c r="J45" i="147"/>
  <c r="O68" i="145"/>
  <c r="O68" i="148"/>
  <c r="O68" i="147"/>
  <c r="O71" i="145"/>
  <c r="O71" i="148"/>
  <c r="O71" i="147"/>
  <c r="C54" i="145"/>
  <c r="C54" i="148"/>
  <c r="C54" i="147"/>
  <c r="L70" i="145"/>
  <c r="L70" i="148"/>
  <c r="L70" i="147"/>
  <c r="D53" i="145"/>
  <c r="F54" i="145"/>
  <c r="F54" i="148"/>
  <c r="F54" i="147"/>
  <c r="N29" i="145"/>
  <c r="N29" i="148"/>
  <c r="N29" i="147"/>
  <c r="C60" i="145"/>
  <c r="C60" i="148"/>
  <c r="C60" i="147"/>
  <c r="O35" i="145"/>
  <c r="O35" i="148"/>
  <c r="O35" i="147"/>
  <c r="G48" i="145"/>
  <c r="G48" i="148"/>
  <c r="G48" i="147"/>
  <c r="N33" i="145"/>
  <c r="N33" i="148"/>
  <c r="N33" i="147"/>
  <c r="O43" i="145"/>
  <c r="C36" i="145"/>
  <c r="C36" i="148"/>
  <c r="C36" i="147"/>
  <c r="C45" i="145"/>
  <c r="C45" i="148"/>
  <c r="C45" i="147"/>
  <c r="H44" i="145"/>
  <c r="H44" i="148"/>
  <c r="H44" i="147"/>
  <c r="D73" i="145"/>
  <c r="D73" i="148"/>
  <c r="D73" i="147"/>
  <c r="R57" i="145"/>
  <c r="E54" i="145"/>
  <c r="E54" i="148"/>
  <c r="E54" i="147"/>
  <c r="E46" i="145"/>
  <c r="E46" i="148"/>
  <c r="E46" i="147"/>
  <c r="F5" i="142"/>
  <c r="F26" i="142"/>
  <c r="T8" i="149"/>
  <c r="F50" i="142"/>
  <c r="C69" i="145"/>
  <c r="C69" i="148"/>
  <c r="C69" i="147"/>
  <c r="I69" i="145"/>
  <c r="I69" i="148"/>
  <c r="I69" i="147"/>
  <c r="G68" i="145"/>
  <c r="G68" i="148"/>
  <c r="G68" i="147"/>
  <c r="C58" i="145"/>
  <c r="C58" i="148"/>
  <c r="C58" i="147"/>
  <c r="R56" i="145"/>
  <c r="R8" i="145"/>
  <c r="R56" i="148"/>
  <c r="R56" i="147"/>
  <c r="P71" i="145"/>
  <c r="P71" i="148"/>
  <c r="P71" i="147"/>
  <c r="I55" i="145"/>
  <c r="I55" i="148"/>
  <c r="I55" i="147"/>
  <c r="C70" i="145"/>
  <c r="C70" i="148"/>
  <c r="C70" i="147"/>
  <c r="K54" i="145"/>
  <c r="K54" i="148"/>
  <c r="K54" i="147"/>
  <c r="C72" i="145"/>
  <c r="C72" i="148"/>
  <c r="C72" i="147"/>
  <c r="G64" i="145"/>
  <c r="G64" i="148"/>
  <c r="G64" i="147"/>
  <c r="O56" i="145"/>
  <c r="O56" i="148"/>
  <c r="O56" i="147"/>
  <c r="H54" i="145"/>
  <c r="H54" i="148"/>
  <c r="H54" i="147"/>
  <c r="G54" i="145"/>
  <c r="G54" i="148"/>
  <c r="G54" i="147"/>
  <c r="E53" i="145"/>
  <c r="E53" i="148"/>
  <c r="E53" i="147"/>
  <c r="J53" i="145"/>
  <c r="J53" i="148"/>
  <c r="J53" i="147"/>
  <c r="O53" i="145"/>
  <c r="N61" i="145"/>
  <c r="N61" i="148"/>
  <c r="N61" i="147"/>
  <c r="O69" i="145"/>
  <c r="O69" i="148"/>
  <c r="O69" i="147"/>
  <c r="D62" i="145"/>
  <c r="D62" i="148"/>
  <c r="D62" i="147"/>
  <c r="D54" i="145"/>
  <c r="F60" i="145"/>
  <c r="F60" i="148"/>
  <c r="F60" i="147"/>
  <c r="I68" i="145"/>
  <c r="I68" i="148"/>
  <c r="I68" i="147"/>
  <c r="J61" i="148"/>
  <c r="J61" i="147"/>
  <c r="H68" i="145"/>
  <c r="H68" i="148"/>
  <c r="H68" i="147"/>
  <c r="G59" i="145"/>
  <c r="G59" i="148"/>
  <c r="G59" i="147"/>
  <c r="L29" i="145"/>
  <c r="L5" i="145"/>
  <c r="L29" i="148"/>
  <c r="L29" i="147"/>
  <c r="H29" i="145"/>
  <c r="N60" i="145"/>
  <c r="N60" i="148"/>
  <c r="N60" i="147"/>
  <c r="L71" i="145"/>
  <c r="L71" i="148"/>
  <c r="L71" i="147"/>
  <c r="E55" i="145"/>
  <c r="E55" i="148"/>
  <c r="E55" i="147"/>
  <c r="K48" i="145"/>
  <c r="K48" i="148"/>
  <c r="K48" i="147"/>
  <c r="K35" i="145"/>
  <c r="K35" i="148"/>
  <c r="K35" i="147"/>
  <c r="F36" i="145"/>
  <c r="F36" i="148"/>
  <c r="F36" i="147"/>
  <c r="R45" i="145"/>
  <c r="R45" i="148"/>
  <c r="R45" i="147"/>
  <c r="D40" i="145"/>
  <c r="D40" i="148"/>
  <c r="D40" i="147"/>
  <c r="F38" i="145"/>
  <c r="F38" i="148"/>
  <c r="F38" i="147"/>
  <c r="C44" i="145"/>
  <c r="C20" i="145"/>
  <c r="C44" i="148"/>
  <c r="C44" i="147"/>
  <c r="F48" i="145"/>
  <c r="F48" i="148"/>
  <c r="F48" i="147"/>
  <c r="L35" i="145"/>
  <c r="L11" i="145"/>
  <c r="L35" i="148"/>
  <c r="L35" i="147"/>
  <c r="R49" i="145"/>
  <c r="R25" i="145"/>
  <c r="R49" i="148"/>
  <c r="R49" i="147"/>
  <c r="M31" i="145"/>
  <c r="M31" i="148"/>
  <c r="M31" i="147"/>
  <c r="O36" i="145"/>
  <c r="O36" i="148"/>
  <c r="O36" i="147"/>
  <c r="P42" i="145"/>
  <c r="R38" i="145"/>
  <c r="R38" i="148"/>
  <c r="R38" i="147"/>
  <c r="O44" i="145"/>
  <c r="O20" i="145"/>
  <c r="O44" i="148"/>
  <c r="O44" i="147"/>
  <c r="J33" i="145"/>
  <c r="J9" i="145"/>
  <c r="J33" i="148"/>
  <c r="J33" i="147"/>
  <c r="Q47" i="145"/>
  <c r="Q47" i="148"/>
  <c r="Q47" i="147"/>
  <c r="O39" i="145"/>
  <c r="O39" i="148"/>
  <c r="O39" i="147"/>
  <c r="S38" i="145"/>
  <c r="S38" i="148"/>
  <c r="S38" i="147"/>
  <c r="E44" i="145"/>
  <c r="E44" i="148"/>
  <c r="E44" i="147"/>
  <c r="F45" i="145"/>
  <c r="F69" i="145"/>
  <c r="F21" i="145"/>
  <c r="F45" i="148"/>
  <c r="F45" i="147"/>
  <c r="P30" i="145"/>
  <c r="P30" i="148"/>
  <c r="P30" i="147"/>
  <c r="P43" i="145"/>
  <c r="P43" i="148"/>
  <c r="P43" i="147"/>
  <c r="F32" i="145"/>
  <c r="F32" i="148"/>
  <c r="F32" i="147"/>
  <c r="S45" i="145"/>
  <c r="C39" i="145"/>
  <c r="C39" i="148"/>
  <c r="C39" i="147"/>
  <c r="O48" i="145"/>
  <c r="O48" i="148"/>
  <c r="O48" i="147"/>
  <c r="G30" i="145"/>
  <c r="G30" i="148"/>
  <c r="G30" i="147"/>
  <c r="M65" i="145"/>
  <c r="M65" i="148"/>
  <c r="M65" i="147"/>
  <c r="F66" i="145"/>
  <c r="F66" i="148"/>
  <c r="F66" i="147"/>
  <c r="Q65" i="145"/>
  <c r="Q65" i="148"/>
  <c r="Q65" i="147"/>
  <c r="E66" i="145"/>
  <c r="E66" i="148"/>
  <c r="E66" i="147"/>
  <c r="F73" i="145"/>
  <c r="F73" i="148"/>
  <c r="F73" i="147"/>
  <c r="F57" i="145"/>
  <c r="F57" i="148"/>
  <c r="F57" i="147"/>
  <c r="E57" i="145"/>
  <c r="E57" i="148"/>
  <c r="E57" i="147"/>
  <c r="M66" i="145"/>
  <c r="M66" i="148"/>
  <c r="M66" i="147"/>
  <c r="C71" i="145"/>
  <c r="K55" i="145"/>
  <c r="H35" i="145"/>
  <c r="H35" i="148"/>
  <c r="H35" i="147"/>
  <c r="L42" i="145"/>
  <c r="L42" i="148"/>
  <c r="L42" i="147"/>
  <c r="H32" i="145"/>
  <c r="H32" i="148"/>
  <c r="H32" i="147"/>
  <c r="L45" i="145"/>
  <c r="L45" i="148"/>
  <c r="L45" i="147"/>
  <c r="N48" i="145"/>
  <c r="N48" i="148"/>
  <c r="N48" i="147"/>
  <c r="D42" i="145"/>
  <c r="D42" i="148"/>
  <c r="D42" i="147"/>
  <c r="E34" i="145"/>
  <c r="E34" i="148"/>
  <c r="E34" i="147"/>
  <c r="K42" i="145"/>
  <c r="K42" i="148"/>
  <c r="K42" i="147"/>
  <c r="P34" i="145"/>
  <c r="P34" i="148"/>
  <c r="P34" i="147"/>
  <c r="C50" i="142"/>
  <c r="C5" i="142"/>
  <c r="H50" i="142"/>
  <c r="H5" i="142"/>
  <c r="H26" i="142"/>
  <c r="T10" i="149"/>
  <c r="N50" i="142"/>
  <c r="N5" i="142"/>
  <c r="N26" i="142"/>
  <c r="T16" i="149"/>
  <c r="P64" i="145"/>
  <c r="P64" i="148"/>
  <c r="P64" i="147"/>
  <c r="O70" i="145"/>
  <c r="O70" i="148"/>
  <c r="O70" i="147"/>
  <c r="S64" i="145"/>
  <c r="S64" i="148"/>
  <c r="S64" i="147"/>
  <c r="N68" i="145"/>
  <c r="N68" i="148"/>
  <c r="N68" i="147"/>
  <c r="O59" i="145"/>
  <c r="O59" i="148"/>
  <c r="O59" i="147"/>
  <c r="G73" i="145"/>
  <c r="G73" i="148"/>
  <c r="G73" i="147"/>
  <c r="L56" i="148"/>
  <c r="L56" i="147"/>
  <c r="N63" i="145"/>
  <c r="S30" i="145"/>
  <c r="S30" i="148"/>
  <c r="S30" i="147"/>
  <c r="R35" i="145"/>
  <c r="R11" i="145"/>
  <c r="Q39" i="145"/>
  <c r="Q39" i="148"/>
  <c r="Q39" i="147"/>
  <c r="N35" i="145"/>
  <c r="N35" i="148"/>
  <c r="N35" i="147"/>
  <c r="E58" i="145"/>
  <c r="E58" i="148"/>
  <c r="E58" i="147"/>
  <c r="G57" i="145"/>
  <c r="J58" i="145"/>
  <c r="J58" i="148"/>
  <c r="J58" i="147"/>
  <c r="E32" i="145"/>
  <c r="E32" i="148"/>
  <c r="E32" i="147"/>
  <c r="D32" i="145"/>
  <c r="D32" i="148"/>
  <c r="D32" i="147"/>
  <c r="G50" i="142"/>
  <c r="G5" i="142"/>
  <c r="G26" i="142"/>
  <c r="T9" i="149"/>
  <c r="N71" i="145"/>
  <c r="N71" i="148"/>
  <c r="N71" i="147"/>
  <c r="N72" i="145"/>
  <c r="N72" i="148"/>
  <c r="N72" i="147"/>
  <c r="I62" i="145"/>
  <c r="I62" i="148"/>
  <c r="I62" i="147"/>
  <c r="K29" i="145"/>
  <c r="K29" i="148"/>
  <c r="K29" i="147"/>
  <c r="D68" i="145"/>
  <c r="D68" i="148"/>
  <c r="D68" i="147"/>
  <c r="Q32" i="145"/>
  <c r="Q32" i="148"/>
  <c r="Q32" i="147"/>
  <c r="K39" i="145"/>
  <c r="K39" i="148"/>
  <c r="K39" i="147"/>
  <c r="D48" i="145"/>
  <c r="D24" i="145"/>
  <c r="D48" i="148"/>
  <c r="D48" i="147"/>
  <c r="L36" i="145"/>
  <c r="L60" i="145"/>
  <c r="L12" i="145"/>
  <c r="L36" i="148"/>
  <c r="L36" i="147"/>
  <c r="F35" i="145"/>
  <c r="F35" i="148"/>
  <c r="F35" i="147"/>
  <c r="J47" i="145"/>
  <c r="J47" i="148"/>
  <c r="J47" i="147"/>
  <c r="G44" i="145"/>
  <c r="G20" i="145"/>
  <c r="G44" i="148"/>
  <c r="G44" i="147"/>
  <c r="K56" i="145"/>
  <c r="F61" i="145"/>
  <c r="F61" i="148"/>
  <c r="F61" i="147"/>
  <c r="P62" i="145"/>
  <c r="P62" i="148"/>
  <c r="P62" i="147"/>
  <c r="R31" i="145"/>
  <c r="R31" i="148"/>
  <c r="R31" i="147"/>
  <c r="J31" i="145"/>
  <c r="J31" i="148"/>
  <c r="J31" i="147"/>
  <c r="O5" i="142"/>
  <c r="O26" i="142"/>
  <c r="T17" i="149"/>
  <c r="O50" i="142"/>
  <c r="G66" i="145"/>
  <c r="G66" i="148"/>
  <c r="G66" i="147"/>
  <c r="J70" i="145"/>
  <c r="J70" i="148"/>
  <c r="J70" i="147"/>
  <c r="E72" i="145"/>
  <c r="E72" i="148"/>
  <c r="E72" i="147"/>
  <c r="Q62" i="145"/>
  <c r="Q62" i="148"/>
  <c r="Q62" i="147"/>
  <c r="C57" i="145"/>
  <c r="C57" i="148"/>
  <c r="C57" i="147"/>
  <c r="F68" i="145"/>
  <c r="F68" i="148"/>
  <c r="F68" i="147"/>
  <c r="E29" i="145"/>
  <c r="E29" i="148"/>
  <c r="E29" i="147"/>
  <c r="L69" i="145"/>
  <c r="L69" i="148"/>
  <c r="L69" i="147"/>
  <c r="S55" i="145"/>
  <c r="S55" i="148"/>
  <c r="S55" i="147"/>
  <c r="C46" i="145"/>
  <c r="C46" i="148"/>
  <c r="C46" i="147"/>
  <c r="F49" i="145"/>
  <c r="F25" i="145"/>
  <c r="F49" i="148"/>
  <c r="F49" i="147"/>
  <c r="K45" i="145"/>
  <c r="K45" i="148"/>
  <c r="K45" i="147"/>
  <c r="L44" i="145"/>
  <c r="L44" i="148"/>
  <c r="L44" i="147"/>
  <c r="J39" i="145"/>
  <c r="J39" i="148"/>
  <c r="J39" i="147"/>
  <c r="S34" i="145"/>
  <c r="S34" i="148"/>
  <c r="S34" i="147"/>
  <c r="K73" i="145"/>
  <c r="K73" i="148"/>
  <c r="K73" i="147"/>
  <c r="M58" i="145"/>
  <c r="M58" i="148"/>
  <c r="M58" i="147"/>
  <c r="N31" i="145"/>
  <c r="N31" i="148"/>
  <c r="N31" i="147"/>
  <c r="J43" i="145"/>
  <c r="J43" i="148"/>
  <c r="J43" i="147"/>
  <c r="M32" i="145"/>
  <c r="M32" i="148"/>
  <c r="M32" i="147"/>
  <c r="Q69" i="145"/>
  <c r="Q69" i="148"/>
  <c r="Q69" i="147"/>
  <c r="H71" i="145"/>
  <c r="H71" i="148"/>
  <c r="H71" i="147"/>
  <c r="F63" i="145"/>
  <c r="G56" i="145"/>
  <c r="G56" i="148"/>
  <c r="G56" i="147"/>
  <c r="F65" i="145"/>
  <c r="F65" i="148"/>
  <c r="F65" i="147"/>
  <c r="I57" i="145"/>
  <c r="I57" i="148"/>
  <c r="I57" i="147"/>
  <c r="D67" i="145"/>
  <c r="D67" i="148"/>
  <c r="D67" i="147"/>
  <c r="F62" i="145"/>
  <c r="F62" i="148"/>
  <c r="F62" i="147"/>
  <c r="S46" i="145"/>
  <c r="S46" i="148"/>
  <c r="S46" i="147"/>
  <c r="C43" i="145"/>
  <c r="C43" i="148"/>
  <c r="C43" i="147"/>
  <c r="N49" i="145"/>
  <c r="N49" i="148"/>
  <c r="N49" i="147"/>
  <c r="F37" i="145"/>
  <c r="N36" i="145"/>
  <c r="N36" i="148"/>
  <c r="N36" i="147"/>
  <c r="N44" i="145"/>
  <c r="N20" i="145"/>
  <c r="N44" i="148"/>
  <c r="N44" i="147"/>
  <c r="P36" i="145"/>
  <c r="P36" i="148"/>
  <c r="P36" i="147"/>
  <c r="E70" i="145"/>
  <c r="E70" i="148"/>
  <c r="E70" i="147"/>
  <c r="S42" i="145"/>
  <c r="S42" i="148"/>
  <c r="S42" i="147"/>
  <c r="G34" i="145"/>
  <c r="G34" i="148"/>
  <c r="G34" i="147"/>
  <c r="E68" i="145"/>
  <c r="E68" i="148"/>
  <c r="E68" i="147"/>
  <c r="R72" i="145"/>
  <c r="R24" i="145"/>
  <c r="H56" i="145"/>
  <c r="H56" i="148"/>
  <c r="H56" i="147"/>
  <c r="I71" i="145"/>
  <c r="I71" i="148"/>
  <c r="I71" i="147"/>
  <c r="Q55" i="145"/>
  <c r="Q55" i="148"/>
  <c r="Q55" i="147"/>
  <c r="S54" i="145"/>
  <c r="S54" i="148"/>
  <c r="S54" i="147"/>
  <c r="Q56" i="145"/>
  <c r="Q56" i="148"/>
  <c r="Q56" i="147"/>
  <c r="K72" i="145"/>
  <c r="K72" i="148"/>
  <c r="K72" i="147"/>
  <c r="O64" i="145"/>
  <c r="O64" i="148"/>
  <c r="O64" i="147"/>
  <c r="E56" i="145"/>
  <c r="E56" i="148"/>
  <c r="E56" i="147"/>
  <c r="I63" i="145"/>
  <c r="I63" i="148"/>
  <c r="I63" i="147"/>
  <c r="C62" i="145"/>
  <c r="C62" i="148"/>
  <c r="C62" i="147"/>
  <c r="S53" i="145"/>
  <c r="S53" i="148"/>
  <c r="S53" i="147"/>
  <c r="G53" i="145"/>
  <c r="G53" i="148"/>
  <c r="G53" i="147"/>
  <c r="J73" i="145"/>
  <c r="J73" i="148"/>
  <c r="J73" i="147"/>
  <c r="E61" i="145"/>
  <c r="E61" i="148"/>
  <c r="E61" i="147"/>
  <c r="F69" i="148"/>
  <c r="F69" i="147"/>
  <c r="K59" i="145"/>
  <c r="K59" i="148"/>
  <c r="K59" i="147"/>
  <c r="E69" i="145"/>
  <c r="E69" i="148"/>
  <c r="E69" i="147"/>
  <c r="L61" i="145"/>
  <c r="L13" i="145"/>
  <c r="L61" i="148"/>
  <c r="L61" i="147"/>
  <c r="L67" i="145"/>
  <c r="L67" i="148"/>
  <c r="L67" i="147"/>
  <c r="P67" i="145"/>
  <c r="P67" i="148"/>
  <c r="P67" i="147"/>
  <c r="S60" i="145"/>
  <c r="S60" i="148"/>
  <c r="S60" i="147"/>
  <c r="F67" i="145"/>
  <c r="F67" i="148"/>
  <c r="F67" i="147"/>
  <c r="C67" i="145"/>
  <c r="C67" i="148"/>
  <c r="C67" i="147"/>
  <c r="D29" i="145"/>
  <c r="D5" i="145"/>
  <c r="D29" i="148"/>
  <c r="D29" i="147"/>
  <c r="P29" i="145"/>
  <c r="P29" i="148"/>
  <c r="P29" i="147"/>
  <c r="L64" i="145"/>
  <c r="L64" i="148"/>
  <c r="L64" i="147"/>
  <c r="O54" i="145"/>
  <c r="O6" i="145"/>
  <c r="O54" i="148"/>
  <c r="O54" i="147"/>
  <c r="S69" i="145"/>
  <c r="S69" i="148"/>
  <c r="S69" i="147"/>
  <c r="P60" i="145"/>
  <c r="P60" i="148"/>
  <c r="P60" i="147"/>
  <c r="J63" i="145"/>
  <c r="J63" i="148"/>
  <c r="J63" i="147"/>
  <c r="C48" i="145"/>
  <c r="C48" i="148"/>
  <c r="C48" i="147"/>
  <c r="R43" i="145"/>
  <c r="R43" i="148"/>
  <c r="R43" i="147"/>
  <c r="D44" i="145"/>
  <c r="D44" i="148"/>
  <c r="D44" i="147"/>
  <c r="Q45" i="145"/>
  <c r="S44" i="145"/>
  <c r="S44" i="148"/>
  <c r="S44" i="147"/>
  <c r="C30" i="145"/>
  <c r="C30" i="148"/>
  <c r="C30" i="147"/>
  <c r="S37" i="145"/>
  <c r="S37" i="148"/>
  <c r="S37" i="147"/>
  <c r="G33" i="145"/>
  <c r="G9" i="145"/>
  <c r="G33" i="148"/>
  <c r="G33" i="147"/>
  <c r="P35" i="145"/>
  <c r="P35" i="148"/>
  <c r="P35" i="147"/>
  <c r="J49" i="145"/>
  <c r="J49" i="148"/>
  <c r="J49" i="147"/>
  <c r="K37" i="145"/>
  <c r="K37" i="148"/>
  <c r="K37" i="147"/>
  <c r="R39" i="145"/>
  <c r="R39" i="148"/>
  <c r="R39" i="147"/>
  <c r="I44" i="145"/>
  <c r="I44" i="148"/>
  <c r="I44" i="147"/>
  <c r="S47" i="145"/>
  <c r="S47" i="148"/>
  <c r="S47" i="147"/>
  <c r="H39" i="145"/>
  <c r="H39" i="148"/>
  <c r="H39" i="147"/>
  <c r="M38" i="145"/>
  <c r="M38" i="148"/>
  <c r="M38" i="147"/>
  <c r="F44" i="145"/>
  <c r="F44" i="148"/>
  <c r="F44" i="147"/>
  <c r="L39" i="145"/>
  <c r="L39" i="148"/>
  <c r="L39" i="147"/>
  <c r="L47" i="145"/>
  <c r="L23" i="145"/>
  <c r="L47" i="148"/>
  <c r="L47" i="147"/>
  <c r="G32" i="145"/>
  <c r="G8" i="145"/>
  <c r="G32" i="148"/>
  <c r="G32" i="147"/>
  <c r="F40" i="145"/>
  <c r="F40" i="148"/>
  <c r="F40" i="147"/>
  <c r="H30" i="145"/>
  <c r="H30" i="148"/>
  <c r="H30" i="147"/>
  <c r="M46" i="145"/>
  <c r="M46" i="148"/>
  <c r="M46" i="147"/>
  <c r="D37" i="145"/>
  <c r="D37" i="148"/>
  <c r="D37" i="147"/>
  <c r="S49" i="145"/>
  <c r="S49" i="148"/>
  <c r="S49" i="147"/>
  <c r="C41" i="145"/>
  <c r="C41" i="148"/>
  <c r="C41" i="147"/>
  <c r="K32" i="145"/>
  <c r="K32" i="148"/>
  <c r="K32" i="147"/>
  <c r="J41" i="145"/>
  <c r="J17" i="145"/>
  <c r="J41" i="148"/>
  <c r="J41" i="147"/>
  <c r="D31" i="145"/>
  <c r="D7" i="145"/>
  <c r="I64" i="145"/>
  <c r="I64" i="148"/>
  <c r="I64" i="147"/>
  <c r="H64" i="145"/>
  <c r="H64" i="148"/>
  <c r="H64" i="147"/>
  <c r="E65" i="145"/>
  <c r="E65" i="148"/>
  <c r="E65" i="147"/>
  <c r="I65" i="145"/>
  <c r="I65" i="148"/>
  <c r="I65" i="147"/>
  <c r="P66" i="145"/>
  <c r="P66" i="148"/>
  <c r="P66" i="147"/>
  <c r="D56" i="145"/>
  <c r="D56" i="148"/>
  <c r="D56" i="147"/>
  <c r="C56" i="145"/>
  <c r="C56" i="148"/>
  <c r="C56" i="147"/>
  <c r="R62" i="145"/>
  <c r="R62" i="148"/>
  <c r="R62" i="147"/>
  <c r="M59" i="145"/>
  <c r="G61" i="145"/>
  <c r="G61" i="148"/>
  <c r="G61" i="147"/>
  <c r="I30" i="145"/>
  <c r="I30" i="148"/>
  <c r="I30" i="147"/>
  <c r="L41" i="145"/>
  <c r="L41" i="148"/>
  <c r="L41" i="147"/>
  <c r="I42" i="145"/>
  <c r="I42" i="148"/>
  <c r="I42" i="147"/>
  <c r="L49" i="145"/>
  <c r="L49" i="148"/>
  <c r="L49" i="147"/>
  <c r="O47" i="145"/>
  <c r="O47" i="148"/>
  <c r="O47" i="147"/>
  <c r="C49" i="145"/>
  <c r="C25" i="145"/>
  <c r="C63" i="145"/>
  <c r="Q50" i="142"/>
  <c r="Q5" i="142"/>
  <c r="Q26" i="142"/>
  <c r="T19" i="149"/>
  <c r="P50" i="142"/>
  <c r="P5" i="142"/>
  <c r="P26" i="142"/>
  <c r="T18" i="149"/>
  <c r="D50" i="142"/>
  <c r="D5" i="142"/>
  <c r="D26" i="142"/>
  <c r="T6" i="149"/>
  <c r="C61" i="145"/>
  <c r="C61" i="148"/>
  <c r="C61" i="147"/>
  <c r="M71" i="145"/>
  <c r="M71" i="148"/>
  <c r="M71" i="147"/>
  <c r="L72" i="145"/>
  <c r="L72" i="148"/>
  <c r="L72" i="147"/>
  <c r="D59" i="145"/>
  <c r="D59" i="148"/>
  <c r="D59" i="147"/>
  <c r="R60" i="145"/>
  <c r="R60" i="148"/>
  <c r="R60" i="147"/>
  <c r="H59" i="145"/>
  <c r="H59" i="148"/>
  <c r="H59" i="147"/>
  <c r="C29" i="145"/>
  <c r="C29" i="148"/>
  <c r="C29" i="147"/>
  <c r="F71" i="145"/>
  <c r="F23" i="145"/>
  <c r="H38" i="145"/>
  <c r="H38" i="148"/>
  <c r="H38" i="147"/>
  <c r="O33" i="145"/>
  <c r="O33" i="148"/>
  <c r="O33" i="147"/>
  <c r="R44" i="145"/>
  <c r="R20" i="145"/>
  <c r="R44" i="148"/>
  <c r="R44" i="147"/>
  <c r="K40" i="145"/>
  <c r="K40" i="148"/>
  <c r="K40" i="147"/>
  <c r="P44" i="145"/>
  <c r="P20" i="145"/>
  <c r="P44" i="148"/>
  <c r="P44" i="147"/>
  <c r="L57" i="145"/>
  <c r="L57" i="148"/>
  <c r="L57" i="147"/>
  <c r="D64" i="145"/>
  <c r="D64" i="148"/>
  <c r="D64" i="147"/>
  <c r="L66" i="145"/>
  <c r="L66" i="148"/>
  <c r="L66" i="147"/>
  <c r="R74" i="142"/>
  <c r="T74" i="142"/>
  <c r="T53" i="142"/>
  <c r="E60" i="145"/>
  <c r="E60" i="148"/>
  <c r="E60" i="147"/>
  <c r="R63" i="145"/>
  <c r="R63" i="148"/>
  <c r="R63" i="147"/>
  <c r="G63" i="148"/>
  <c r="G63" i="147"/>
  <c r="N53" i="145"/>
  <c r="N53" i="148"/>
  <c r="N53" i="147"/>
  <c r="M61" i="145"/>
  <c r="M61" i="148"/>
  <c r="M61" i="147"/>
  <c r="P59" i="145"/>
  <c r="P59" i="148"/>
  <c r="P59" i="147"/>
  <c r="I29" i="145"/>
  <c r="I5" i="145"/>
  <c r="I29" i="148"/>
  <c r="I29" i="147"/>
  <c r="D71" i="145"/>
  <c r="D71" i="148"/>
  <c r="D71" i="147"/>
  <c r="P40" i="145"/>
  <c r="P40" i="148"/>
  <c r="P40" i="147"/>
  <c r="O46" i="145"/>
  <c r="O22" i="145"/>
  <c r="O46" i="148"/>
  <c r="O46" i="147"/>
  <c r="D47" i="145"/>
  <c r="Q35" i="145"/>
  <c r="Q11" i="145"/>
  <c r="Q35" i="148"/>
  <c r="Q35" i="147"/>
  <c r="I35" i="145"/>
  <c r="I11" i="145"/>
  <c r="I35" i="148"/>
  <c r="I35" i="147"/>
  <c r="H48" i="145"/>
  <c r="H48" i="148"/>
  <c r="H48" i="147"/>
  <c r="I73" i="145"/>
  <c r="S56" i="145"/>
  <c r="S56" i="148"/>
  <c r="S56" i="147"/>
  <c r="L33" i="145"/>
  <c r="L9" i="145"/>
  <c r="L33" i="148"/>
  <c r="L33" i="147"/>
  <c r="G71" i="145"/>
  <c r="G71" i="148"/>
  <c r="G71" i="147"/>
  <c r="S63" i="145"/>
  <c r="S39" i="145"/>
  <c r="S15" i="145"/>
  <c r="M64" i="145"/>
  <c r="M64" i="148"/>
  <c r="M64" i="147"/>
  <c r="P53" i="145"/>
  <c r="P53" i="148"/>
  <c r="P53" i="147"/>
  <c r="D61" i="145"/>
  <c r="D61" i="148"/>
  <c r="D61" i="147"/>
  <c r="Q57" i="148"/>
  <c r="Q57" i="147"/>
  <c r="H57" i="145"/>
  <c r="H57" i="148"/>
  <c r="H57" i="147"/>
  <c r="G62" i="145"/>
  <c r="G62" i="148"/>
  <c r="G62" i="147"/>
  <c r="D60" i="145"/>
  <c r="D60" i="148"/>
  <c r="D60" i="147"/>
  <c r="G41" i="145"/>
  <c r="G41" i="148"/>
  <c r="G41" i="147"/>
  <c r="N32" i="145"/>
  <c r="N32" i="148"/>
  <c r="N32" i="147"/>
  <c r="C32" i="145"/>
  <c r="C32" i="148"/>
  <c r="C32" i="147"/>
  <c r="F30" i="145"/>
  <c r="F30" i="148"/>
  <c r="F30" i="147"/>
  <c r="F33" i="145"/>
  <c r="F9" i="145"/>
  <c r="F33" i="148"/>
  <c r="F33" i="147"/>
  <c r="O40" i="145"/>
  <c r="O40" i="148"/>
  <c r="O40" i="147"/>
  <c r="M37" i="145"/>
  <c r="M13" i="145"/>
  <c r="M37" i="148"/>
  <c r="M37" i="147"/>
  <c r="I49" i="145"/>
  <c r="I49" i="148"/>
  <c r="I49" i="147"/>
  <c r="P31" i="145"/>
  <c r="P31" i="148"/>
  <c r="P31" i="147"/>
  <c r="H72" i="145"/>
  <c r="N57" i="145"/>
  <c r="N57" i="148"/>
  <c r="N57" i="147"/>
  <c r="L30" i="145"/>
  <c r="L6" i="145"/>
  <c r="L30" i="148"/>
  <c r="L30" i="147"/>
  <c r="D33" i="145"/>
  <c r="D9" i="145"/>
  <c r="D33" i="148"/>
  <c r="D33" i="147"/>
  <c r="K50" i="142"/>
  <c r="K5" i="142"/>
  <c r="K26" i="142"/>
  <c r="T13" i="149"/>
  <c r="R70" i="145"/>
  <c r="R70" i="148"/>
  <c r="R70" i="147"/>
  <c r="M53" i="145"/>
  <c r="M53" i="148"/>
  <c r="M53" i="147"/>
  <c r="D65" i="145"/>
  <c r="D65" i="148"/>
  <c r="D65" i="147"/>
  <c r="M69" i="145"/>
  <c r="M69" i="148"/>
  <c r="M69" i="147"/>
  <c r="H69" i="145"/>
  <c r="H69" i="148"/>
  <c r="H69" i="147"/>
  <c r="P55" i="145"/>
  <c r="P55" i="148"/>
  <c r="P55" i="147"/>
  <c r="G37" i="145"/>
  <c r="L40" i="145"/>
  <c r="L40" i="148"/>
  <c r="L40" i="147"/>
  <c r="M42" i="145"/>
  <c r="M42" i="148"/>
  <c r="M42" i="147"/>
  <c r="N39" i="145"/>
  <c r="N15" i="145"/>
  <c r="N39" i="148"/>
  <c r="N39" i="147"/>
  <c r="K44" i="145"/>
  <c r="K44" i="148"/>
  <c r="K44" i="147"/>
  <c r="S39" i="148"/>
  <c r="S39" i="147"/>
  <c r="H66" i="145"/>
  <c r="H66" i="148"/>
  <c r="H66" i="147"/>
  <c r="M73" i="145"/>
  <c r="M73" i="148"/>
  <c r="M73" i="147"/>
  <c r="C42" i="145"/>
  <c r="C42" i="148"/>
  <c r="C42" i="147"/>
  <c r="H40" i="145"/>
  <c r="H40" i="148"/>
  <c r="H40" i="147"/>
  <c r="R50" i="142"/>
  <c r="T29" i="142"/>
  <c r="R5" i="142"/>
  <c r="R26" i="142"/>
  <c r="T21" i="149"/>
  <c r="S66" i="145"/>
  <c r="S66" i="148"/>
  <c r="S66" i="147"/>
  <c r="I66" i="145"/>
  <c r="K68" i="145"/>
  <c r="K68" i="148"/>
  <c r="K68" i="147"/>
  <c r="K66" i="145"/>
  <c r="R71" i="145"/>
  <c r="R71" i="148"/>
  <c r="R71" i="147"/>
  <c r="N55" i="145"/>
  <c r="N55" i="148"/>
  <c r="N55" i="147"/>
  <c r="Q71" i="145"/>
  <c r="Q71" i="148"/>
  <c r="Q71" i="147"/>
  <c r="S70" i="145"/>
  <c r="I54" i="145"/>
  <c r="I54" i="148"/>
  <c r="I54" i="147"/>
  <c r="F56" i="145"/>
  <c r="F56" i="148"/>
  <c r="F56" i="147"/>
  <c r="S72" i="145"/>
  <c r="S72" i="148"/>
  <c r="S72" i="147"/>
  <c r="C64" i="145"/>
  <c r="M56" i="145"/>
  <c r="M56" i="148"/>
  <c r="M56" i="147"/>
  <c r="Q63" i="145"/>
  <c r="Q63" i="148"/>
  <c r="Q63" i="147"/>
  <c r="K53" i="145"/>
  <c r="K53" i="148"/>
  <c r="K53" i="147"/>
  <c r="R53" i="145"/>
  <c r="R53" i="148"/>
  <c r="R53" i="147"/>
  <c r="R69" i="145"/>
  <c r="R21" i="145"/>
  <c r="R69" i="148"/>
  <c r="R69" i="147"/>
  <c r="L60" i="148"/>
  <c r="L60" i="147"/>
  <c r="L68" i="145"/>
  <c r="L68" i="148"/>
  <c r="L68" i="147"/>
  <c r="C59" i="145"/>
  <c r="C59" i="148"/>
  <c r="C59" i="147"/>
  <c r="J68" i="145"/>
  <c r="J68" i="148"/>
  <c r="J68" i="147"/>
  <c r="O67" i="145"/>
  <c r="O67" i="148"/>
  <c r="O67" i="147"/>
  <c r="N59" i="145"/>
  <c r="N59" i="148"/>
  <c r="N59" i="147"/>
  <c r="G67" i="145"/>
  <c r="G67" i="148"/>
  <c r="G67" i="147"/>
  <c r="I60" i="145"/>
  <c r="I60" i="148"/>
  <c r="I60" i="147"/>
  <c r="I61" i="145"/>
  <c r="I61" i="148"/>
  <c r="I61" i="147"/>
  <c r="F59" i="145"/>
  <c r="F59" i="148"/>
  <c r="F59" i="147"/>
  <c r="F29" i="145"/>
  <c r="F29" i="148"/>
  <c r="F29" i="147"/>
  <c r="J29" i="145"/>
  <c r="J29" i="148"/>
  <c r="J29" i="147"/>
  <c r="N56" i="145"/>
  <c r="N8" i="145"/>
  <c r="N56" i="148"/>
  <c r="N56" i="147"/>
  <c r="P54" i="145"/>
  <c r="P6" i="145"/>
  <c r="P54" i="148"/>
  <c r="P54" i="147"/>
  <c r="Q61" i="145"/>
  <c r="Q61" i="148"/>
  <c r="Q61" i="147"/>
  <c r="M60" i="145"/>
  <c r="M60" i="148"/>
  <c r="M60" i="147"/>
  <c r="K63" i="145"/>
  <c r="M55" i="145"/>
  <c r="M55" i="148"/>
  <c r="M55" i="147"/>
  <c r="F34" i="145"/>
  <c r="F34" i="148"/>
  <c r="F34" i="147"/>
  <c r="H43" i="145"/>
  <c r="H43" i="148"/>
  <c r="H43" i="147"/>
  <c r="J44" i="145"/>
  <c r="J44" i="148"/>
  <c r="J44" i="147"/>
  <c r="K47" i="145"/>
  <c r="K47" i="148"/>
  <c r="K47" i="147"/>
  <c r="J30" i="145"/>
  <c r="J30" i="148"/>
  <c r="J30" i="147"/>
  <c r="N47" i="145"/>
  <c r="N47" i="148"/>
  <c r="N47" i="147"/>
  <c r="D45" i="145"/>
  <c r="I39" i="145"/>
  <c r="I39" i="148"/>
  <c r="I39" i="147"/>
  <c r="I36" i="145"/>
  <c r="E37" i="145"/>
  <c r="E37" i="148"/>
  <c r="E37" i="147"/>
  <c r="S32" i="145"/>
  <c r="S8" i="145"/>
  <c r="F46" i="145"/>
  <c r="F46" i="148"/>
  <c r="F46" i="147"/>
  <c r="D39" i="145"/>
  <c r="D39" i="148"/>
  <c r="D39" i="147"/>
  <c r="D38" i="145"/>
  <c r="D38" i="148"/>
  <c r="D38" i="147"/>
  <c r="K30" i="145"/>
  <c r="Q31" i="145"/>
  <c r="Q31" i="148"/>
  <c r="Q31" i="147"/>
  <c r="R47" i="145"/>
  <c r="R47" i="148"/>
  <c r="R47" i="147"/>
  <c r="I32" i="145"/>
  <c r="I32" i="148"/>
  <c r="I32" i="147"/>
  <c r="C40" i="145"/>
  <c r="C40" i="148"/>
  <c r="C40" i="147"/>
  <c r="O34" i="145"/>
  <c r="O34" i="148"/>
  <c r="O34" i="147"/>
  <c r="K49" i="145"/>
  <c r="K49" i="148"/>
  <c r="K49" i="147"/>
  <c r="I43" i="145"/>
  <c r="I43" i="148"/>
  <c r="I43" i="147"/>
  <c r="M36" i="145"/>
  <c r="M36" i="148"/>
  <c r="M36" i="147"/>
  <c r="M35" i="145"/>
  <c r="M35" i="148"/>
  <c r="M35" i="147"/>
  <c r="H47" i="145"/>
  <c r="H47" i="148"/>
  <c r="H47" i="147"/>
  <c r="M45" i="145"/>
  <c r="M21" i="145"/>
  <c r="M45" i="148"/>
  <c r="M45" i="147"/>
  <c r="P58" i="145"/>
  <c r="P58" i="148"/>
  <c r="P58" i="147"/>
  <c r="H61" i="145"/>
  <c r="H61" i="148"/>
  <c r="H61" i="147"/>
  <c r="I72" i="145"/>
  <c r="I72" i="148"/>
  <c r="I72" i="147"/>
  <c r="F64" i="145"/>
  <c r="F64" i="148"/>
  <c r="F64" i="147"/>
  <c r="D66" i="145"/>
  <c r="S73" i="145"/>
  <c r="S73" i="148"/>
  <c r="S73" i="147"/>
  <c r="O57" i="145"/>
  <c r="O57" i="148"/>
  <c r="O57" i="147"/>
  <c r="N73" i="145"/>
  <c r="N73" i="148"/>
  <c r="N73" i="147"/>
  <c r="H58" i="145"/>
  <c r="F55" i="145"/>
  <c r="F55" i="148"/>
  <c r="F55" i="147"/>
  <c r="F42" i="145"/>
  <c r="F42" i="148"/>
  <c r="F42" i="147"/>
  <c r="G40" i="145"/>
  <c r="G40" i="148"/>
  <c r="G40" i="147"/>
  <c r="D35" i="145"/>
  <c r="D11" i="145"/>
  <c r="D35" i="148"/>
  <c r="D35" i="147"/>
  <c r="E33" i="145"/>
  <c r="E33" i="148"/>
  <c r="E33" i="147"/>
  <c r="J34" i="145"/>
  <c r="J34" i="148"/>
  <c r="J34" i="147"/>
  <c r="R34" i="145"/>
  <c r="R10" i="145"/>
  <c r="R34" i="148"/>
  <c r="R34" i="147"/>
  <c r="I31" i="145"/>
  <c r="I31" i="148"/>
  <c r="I31" i="147"/>
  <c r="I41" i="145"/>
  <c r="I41" i="148"/>
  <c r="I41" i="147"/>
  <c r="I34" i="145"/>
  <c r="I34" i="148"/>
  <c r="I34" i="147"/>
  <c r="D41" i="145"/>
  <c r="D41" i="148"/>
  <c r="D41" i="147"/>
  <c r="M50" i="142"/>
  <c r="M5" i="142"/>
  <c r="M26" i="142"/>
  <c r="T15" i="149"/>
  <c r="I18" i="145"/>
  <c r="F13" i="145"/>
  <c r="L17" i="145"/>
  <c r="J18" i="138"/>
  <c r="J42" i="145"/>
  <c r="J18" i="145"/>
  <c r="L14" i="138"/>
  <c r="L62" i="145"/>
  <c r="L14" i="145"/>
  <c r="S11" i="138"/>
  <c r="S59" i="145"/>
  <c r="S11" i="145"/>
  <c r="N6" i="138"/>
  <c r="N54" i="145"/>
  <c r="N6" i="145"/>
  <c r="E17" i="138"/>
  <c r="E41" i="145"/>
  <c r="C15" i="145"/>
  <c r="I24" i="138"/>
  <c r="I48" i="145"/>
  <c r="Q6" i="138"/>
  <c r="Q54" i="145"/>
  <c r="Q6" i="145"/>
  <c r="O17" i="138"/>
  <c r="O41" i="145"/>
  <c r="O14" i="138"/>
  <c r="O62" i="145"/>
  <c r="O14" i="145"/>
  <c r="H14" i="145"/>
  <c r="G23" i="138"/>
  <c r="G47" i="145"/>
  <c r="P8" i="138"/>
  <c r="P32" i="145"/>
  <c r="P8" i="145"/>
  <c r="K19" i="138"/>
  <c r="K43" i="145"/>
  <c r="O21" i="138"/>
  <c r="O45" i="145"/>
  <c r="N13" i="138"/>
  <c r="N37" i="145"/>
  <c r="E24" i="138"/>
  <c r="E48" i="145"/>
  <c r="L7" i="138"/>
  <c r="L31" i="145"/>
  <c r="H9" i="138"/>
  <c r="H33" i="145"/>
  <c r="H9" i="145"/>
  <c r="J11" i="138"/>
  <c r="J35" i="145"/>
  <c r="D12" i="138"/>
  <c r="D36" i="145"/>
  <c r="Q16" i="138"/>
  <c r="Q40" i="145"/>
  <c r="Q16" i="145"/>
  <c r="Q22" i="138"/>
  <c r="Q46" i="145"/>
  <c r="P23" i="138"/>
  <c r="P47" i="145"/>
  <c r="P17" i="138"/>
  <c r="P65" i="145"/>
  <c r="P17" i="145"/>
  <c r="F17" i="138"/>
  <c r="F41" i="145"/>
  <c r="J22" i="138"/>
  <c r="J46" i="145"/>
  <c r="G12" i="138"/>
  <c r="G36" i="145"/>
  <c r="I22" i="138"/>
  <c r="I46" i="145"/>
  <c r="C10" i="138"/>
  <c r="C34" i="145"/>
  <c r="M17" i="138"/>
  <c r="M41" i="145"/>
  <c r="M17" i="145"/>
  <c r="E8" i="145"/>
  <c r="M25" i="138"/>
  <c r="M49" i="145"/>
  <c r="M24" i="138"/>
  <c r="M72" i="145"/>
  <c r="M24" i="145"/>
  <c r="Q12" i="138"/>
  <c r="Q60" i="145"/>
  <c r="Q12" i="145"/>
  <c r="P15" i="138"/>
  <c r="P39" i="145"/>
  <c r="P15" i="145"/>
  <c r="R16" i="138"/>
  <c r="R64" i="145"/>
  <c r="R16" i="145"/>
  <c r="M9" i="138"/>
  <c r="M33" i="145"/>
  <c r="M9" i="145"/>
  <c r="K14" i="138"/>
  <c r="K62" i="145"/>
  <c r="K14" i="145"/>
  <c r="M20" i="138"/>
  <c r="M44" i="145"/>
  <c r="M20" i="145"/>
  <c r="J24" i="138"/>
  <c r="J48" i="145"/>
  <c r="J24" i="145"/>
  <c r="O13" i="138"/>
  <c r="O37" i="145"/>
  <c r="O13" i="145"/>
  <c r="N16" i="138"/>
  <c r="N64" i="145"/>
  <c r="N16" i="145"/>
  <c r="E16" i="138"/>
  <c r="E64" i="145"/>
  <c r="S19" i="138"/>
  <c r="S67" i="145"/>
  <c r="S19" i="145"/>
  <c r="K9" i="138"/>
  <c r="K57" i="145"/>
  <c r="K9" i="145"/>
  <c r="P25" i="138"/>
  <c r="P73" i="145"/>
  <c r="P25" i="145"/>
  <c r="H22" i="138"/>
  <c r="H70" i="145"/>
  <c r="H22" i="145"/>
  <c r="P9" i="138"/>
  <c r="P57" i="145"/>
  <c r="P9" i="145"/>
  <c r="J8" i="138"/>
  <c r="J32" i="145"/>
  <c r="E18" i="138"/>
  <c r="E42" i="145"/>
  <c r="R12" i="145"/>
  <c r="M10" i="138"/>
  <c r="M34" i="145"/>
  <c r="N18" i="138"/>
  <c r="N66" i="145"/>
  <c r="N18" i="145"/>
  <c r="E11" i="138"/>
  <c r="E35" i="145"/>
  <c r="E11" i="145"/>
  <c r="S9" i="138"/>
  <c r="S33" i="145"/>
  <c r="S9" i="145"/>
  <c r="K10" i="138"/>
  <c r="K58" i="145"/>
  <c r="H7" i="138"/>
  <c r="H31" i="145"/>
  <c r="H7" i="145"/>
  <c r="P21" i="138"/>
  <c r="P69" i="145"/>
  <c r="P21" i="145"/>
  <c r="C23" i="138"/>
  <c r="C47" i="145"/>
  <c r="K22" i="138"/>
  <c r="K70" i="145"/>
  <c r="K22" i="145"/>
  <c r="S20" i="145"/>
  <c r="H6" i="145"/>
  <c r="G7" i="138"/>
  <c r="G55" i="145"/>
  <c r="G7" i="145"/>
  <c r="M19" i="138"/>
  <c r="M43" i="145"/>
  <c r="M19" i="145"/>
  <c r="M6" i="138"/>
  <c r="M30" i="145"/>
  <c r="M6" i="145"/>
  <c r="O7" i="138"/>
  <c r="O55" i="145"/>
  <c r="O7" i="145"/>
  <c r="P13" i="138"/>
  <c r="P61" i="145"/>
  <c r="P13" i="145"/>
  <c r="Q20" i="138"/>
  <c r="Q68" i="145"/>
  <c r="Q20" i="145"/>
  <c r="E6" i="138"/>
  <c r="E30" i="145"/>
  <c r="L22" i="145"/>
  <c r="N10" i="138"/>
  <c r="N58" i="145"/>
  <c r="N10" i="145"/>
  <c r="J14" i="138"/>
  <c r="J62" i="145"/>
  <c r="J14" i="145"/>
  <c r="K7" i="138"/>
  <c r="K31" i="145"/>
  <c r="K7" i="145"/>
  <c r="N17" i="138"/>
  <c r="N41" i="145"/>
  <c r="N17" i="145"/>
  <c r="N21" i="145"/>
  <c r="H18" i="138"/>
  <c r="H42" i="145"/>
  <c r="Q18" i="138"/>
  <c r="Q42" i="145"/>
  <c r="Q18" i="145"/>
  <c r="D25" i="138"/>
  <c r="D49" i="145"/>
  <c r="Q10" i="138"/>
  <c r="Q34" i="145"/>
  <c r="Q10" i="145"/>
  <c r="D14" i="138"/>
  <c r="F18" i="138"/>
  <c r="E9" i="138"/>
  <c r="F25" i="138"/>
  <c r="F9" i="138"/>
  <c r="S6" i="138"/>
  <c r="E21" i="138"/>
  <c r="E8" i="138"/>
  <c r="D8" i="138"/>
  <c r="Q8" i="138"/>
  <c r="E7" i="138"/>
  <c r="M16" i="138"/>
  <c r="O6" i="138"/>
  <c r="J13" i="138"/>
  <c r="J23" i="138"/>
  <c r="H25" i="138"/>
  <c r="H24" i="138"/>
  <c r="G20" i="138"/>
  <c r="J7" i="138"/>
  <c r="M11" i="138"/>
  <c r="C8" i="138"/>
  <c r="I16" i="138"/>
  <c r="F6" i="138"/>
  <c r="L19" i="138"/>
  <c r="K21" i="138"/>
  <c r="O16" i="138"/>
  <c r="D19" i="138"/>
  <c r="C14" i="138"/>
  <c r="J15" i="138"/>
  <c r="P7" i="138"/>
  <c r="H21" i="138"/>
  <c r="I23" i="138"/>
  <c r="F19" i="138"/>
  <c r="G13" i="138"/>
  <c r="I15" i="138"/>
  <c r="E13" i="138"/>
  <c r="P18" i="138"/>
  <c r="C15" i="138"/>
  <c r="H13" i="138"/>
  <c r="Q15" i="138"/>
  <c r="K15" i="138"/>
  <c r="H10" i="138"/>
  <c r="C22" i="138"/>
  <c r="Q17" i="138"/>
  <c r="M18" i="138"/>
  <c r="O9" i="138"/>
  <c r="N11" i="138"/>
  <c r="T32" i="138"/>
  <c r="T73" i="138"/>
  <c r="F74" i="138"/>
  <c r="T67" i="138"/>
  <c r="F15" i="138"/>
  <c r="Q14" i="138"/>
  <c r="S24" i="138"/>
  <c r="F23" i="138"/>
  <c r="E12" i="138"/>
  <c r="L13" i="138"/>
  <c r="D6" i="138"/>
  <c r="L22" i="138"/>
  <c r="O8" i="138"/>
  <c r="S16" i="138"/>
  <c r="F7" i="138"/>
  <c r="I13" i="138"/>
  <c r="Q25" i="138"/>
  <c r="S7" i="138"/>
  <c r="Q9" i="138"/>
  <c r="K12" i="138"/>
  <c r="P14" i="138"/>
  <c r="E19" i="138"/>
  <c r="L10" i="138"/>
  <c r="P24" i="138"/>
  <c r="T58" i="138"/>
  <c r="O18" i="138"/>
  <c r="Q13" i="138"/>
  <c r="G14" i="138"/>
  <c r="G18" i="138"/>
  <c r="D10" i="138"/>
  <c r="I9" i="138"/>
  <c r="C9" i="138"/>
  <c r="N8" i="138"/>
  <c r="L20" i="138"/>
  <c r="N7" i="138"/>
  <c r="M8" i="138"/>
  <c r="S22" i="138"/>
  <c r="S12" i="138"/>
  <c r="C19" i="138"/>
  <c r="G11" i="138"/>
  <c r="L16" i="138"/>
  <c r="N25" i="138"/>
  <c r="O19" i="138"/>
  <c r="N12" i="138"/>
  <c r="I21" i="138"/>
  <c r="C21" i="138"/>
  <c r="K20" i="138"/>
  <c r="H20" i="138"/>
  <c r="P12" i="138"/>
  <c r="S18" i="138"/>
  <c r="H16" i="138"/>
  <c r="L12" i="138"/>
  <c r="G19" i="138"/>
  <c r="C11" i="138"/>
  <c r="F11" i="138"/>
  <c r="R50" i="138"/>
  <c r="T29" i="138"/>
  <c r="R5" i="138"/>
  <c r="T30" i="138"/>
  <c r="R6" i="138"/>
  <c r="E15" i="138"/>
  <c r="P22" i="138"/>
  <c r="E25" i="138"/>
  <c r="T60" i="138"/>
  <c r="M15" i="138"/>
  <c r="T35" i="138"/>
  <c r="R11" i="138"/>
  <c r="P20" i="138"/>
  <c r="T65" i="138"/>
  <c r="K17" i="138"/>
  <c r="T54" i="138"/>
  <c r="I5" i="138"/>
  <c r="I50" i="138"/>
  <c r="O22" i="138"/>
  <c r="D23" i="138"/>
  <c r="D24" i="138"/>
  <c r="T37" i="138"/>
  <c r="R13" i="138"/>
  <c r="I14" i="138"/>
  <c r="T68" i="138"/>
  <c r="T46" i="138"/>
  <c r="R22" i="138"/>
  <c r="G15" i="138"/>
  <c r="D9" i="138"/>
  <c r="T70" i="138"/>
  <c r="D74" i="138"/>
  <c r="N50" i="138"/>
  <c r="N5" i="138"/>
  <c r="O11" i="138"/>
  <c r="G24" i="138"/>
  <c r="N15" i="138"/>
  <c r="S15" i="138"/>
  <c r="C13" i="138"/>
  <c r="T57" i="138"/>
  <c r="C18" i="138"/>
  <c r="E22" i="138"/>
  <c r="T56" i="138"/>
  <c r="E74" i="138"/>
  <c r="J74" i="138"/>
  <c r="O74" i="138"/>
  <c r="L50" i="138"/>
  <c r="L5" i="138"/>
  <c r="H50" i="138"/>
  <c r="H5" i="138"/>
  <c r="K24" i="138"/>
  <c r="K11" i="138"/>
  <c r="F12" i="138"/>
  <c r="R21" i="138"/>
  <c r="T45" i="138"/>
  <c r="D16" i="138"/>
  <c r="F14" i="138"/>
  <c r="C20" i="138"/>
  <c r="F24" i="138"/>
  <c r="L11" i="138"/>
  <c r="T49" i="138"/>
  <c r="R25" i="138"/>
  <c r="M7" i="138"/>
  <c r="O12" i="138"/>
  <c r="R14" i="138"/>
  <c r="T38" i="138"/>
  <c r="O20" i="138"/>
  <c r="J9" i="138"/>
  <c r="Q23" i="138"/>
  <c r="O15" i="138"/>
  <c r="S14" i="138"/>
  <c r="E20" i="138"/>
  <c r="F21" i="138"/>
  <c r="P6" i="138"/>
  <c r="P19" i="138"/>
  <c r="F8" i="138"/>
  <c r="S21" i="138"/>
  <c r="O24" i="138"/>
  <c r="G6" i="138"/>
  <c r="T64" i="138"/>
  <c r="H11" i="138"/>
  <c r="L18" i="138"/>
  <c r="H8" i="138"/>
  <c r="L21" i="138"/>
  <c r="N24" i="138"/>
  <c r="D18" i="138"/>
  <c r="E10" i="138"/>
  <c r="K18" i="138"/>
  <c r="P10" i="138"/>
  <c r="C74" i="138"/>
  <c r="T42" i="138"/>
  <c r="R18" i="138"/>
  <c r="C50" i="138"/>
  <c r="C5" i="138"/>
  <c r="L24" i="138"/>
  <c r="T44" i="138"/>
  <c r="R20" i="138"/>
  <c r="T63" i="138"/>
  <c r="N74" i="138"/>
  <c r="K50" i="138"/>
  <c r="K5" i="138"/>
  <c r="M23" i="138"/>
  <c r="L8" i="138"/>
  <c r="E14" i="138"/>
  <c r="Q11" i="138"/>
  <c r="D22" i="138"/>
  <c r="T36" i="138"/>
  <c r="R12" i="138"/>
  <c r="I11" i="138"/>
  <c r="T31" i="138"/>
  <c r="R7" i="138"/>
  <c r="P74" i="138"/>
  <c r="E5" i="138"/>
  <c r="E50" i="138"/>
  <c r="S50" i="138"/>
  <c r="S5" i="138"/>
  <c r="G17" i="138"/>
  <c r="G22" i="138"/>
  <c r="I25" i="138"/>
  <c r="L6" i="138"/>
  <c r="T40" i="138"/>
  <c r="H74" i="138"/>
  <c r="H17" i="138"/>
  <c r="N9" i="138"/>
  <c r="F13" i="138"/>
  <c r="N19" i="138"/>
  <c r="T66" i="138"/>
  <c r="O25" i="138"/>
  <c r="G10" i="138"/>
  <c r="T72" i="138"/>
  <c r="S74" i="138"/>
  <c r="G74" i="138"/>
  <c r="D50" i="138"/>
  <c r="D5" i="138"/>
  <c r="P50" i="138"/>
  <c r="P5" i="138"/>
  <c r="C24" i="138"/>
  <c r="T43" i="138"/>
  <c r="R19" i="138"/>
  <c r="D20" i="138"/>
  <c r="Q21" i="138"/>
  <c r="S20" i="138"/>
  <c r="C6" i="138"/>
  <c r="S13" i="138"/>
  <c r="G9" i="138"/>
  <c r="P11" i="138"/>
  <c r="J25" i="138"/>
  <c r="K13" i="138"/>
  <c r="T39" i="138"/>
  <c r="R15" i="138"/>
  <c r="I20" i="138"/>
  <c r="S23" i="138"/>
  <c r="H15" i="138"/>
  <c r="M14" i="138"/>
  <c r="F20" i="138"/>
  <c r="L15" i="138"/>
  <c r="L23" i="138"/>
  <c r="G8" i="138"/>
  <c r="F16" i="138"/>
  <c r="H6" i="138"/>
  <c r="M22" i="138"/>
  <c r="D13" i="138"/>
  <c r="S25" i="138"/>
  <c r="C17" i="138"/>
  <c r="K8" i="138"/>
  <c r="J17" i="138"/>
  <c r="D7" i="138"/>
  <c r="T62" i="138"/>
  <c r="I6" i="138"/>
  <c r="L17" i="138"/>
  <c r="I18" i="138"/>
  <c r="L25" i="138"/>
  <c r="O23" i="138"/>
  <c r="C25" i="138"/>
  <c r="T61" i="138"/>
  <c r="O50" i="138"/>
  <c r="O5" i="138"/>
  <c r="Q19" i="138"/>
  <c r="T41" i="138"/>
  <c r="R17" i="138"/>
  <c r="T33" i="138"/>
  <c r="R9" i="138"/>
  <c r="T48" i="138"/>
  <c r="Q74" i="138"/>
  <c r="T59" i="138"/>
  <c r="Q5" i="138"/>
  <c r="Q50" i="138"/>
  <c r="H14" i="138"/>
  <c r="K16" i="138"/>
  <c r="C7" i="138"/>
  <c r="E23" i="138"/>
  <c r="G25" i="138"/>
  <c r="I74" i="138"/>
  <c r="T55" i="138"/>
  <c r="P16" i="138"/>
  <c r="Q24" i="138"/>
  <c r="G21" i="138"/>
  <c r="L9" i="138"/>
  <c r="L74" i="138"/>
  <c r="M50" i="138"/>
  <c r="M5" i="138"/>
  <c r="J16" i="138"/>
  <c r="N21" i="138"/>
  <c r="H12" i="138"/>
  <c r="M13" i="138"/>
  <c r="S10" i="138"/>
  <c r="J19" i="138"/>
  <c r="J21" i="138"/>
  <c r="M74" i="138"/>
  <c r="G50" i="138"/>
  <c r="G5" i="138"/>
  <c r="J12" i="138"/>
  <c r="C12" i="138"/>
  <c r="N20" i="138"/>
  <c r="S17" i="138"/>
  <c r="T71" i="138"/>
  <c r="K74" i="138"/>
  <c r="R74" i="138"/>
  <c r="T53" i="138"/>
  <c r="T69" i="138"/>
  <c r="F50" i="138"/>
  <c r="F5" i="138"/>
  <c r="J5" i="138"/>
  <c r="J50" i="138"/>
  <c r="F10" i="138"/>
  <c r="H19" i="138"/>
  <c r="J20" i="138"/>
  <c r="K23" i="138"/>
  <c r="J6" i="138"/>
  <c r="N23" i="138"/>
  <c r="D21" i="138"/>
  <c r="I12" i="138"/>
  <c r="S8" i="138"/>
  <c r="F22" i="138"/>
  <c r="D15" i="138"/>
  <c r="K6" i="138"/>
  <c r="Q7" i="138"/>
  <c r="T47" i="138"/>
  <c r="R23" i="138"/>
  <c r="I8" i="138"/>
  <c r="C16" i="138"/>
  <c r="O10" i="138"/>
  <c r="K25" i="138"/>
  <c r="I19" i="138"/>
  <c r="M12" i="138"/>
  <c r="H23" i="138"/>
  <c r="M21" i="138"/>
  <c r="G16" i="138"/>
  <c r="D11" i="138"/>
  <c r="J10" i="138"/>
  <c r="T34" i="138"/>
  <c r="R10" i="138"/>
  <c r="I7" i="138"/>
  <c r="I17" i="138"/>
  <c r="I10" i="138"/>
  <c r="D17" i="138"/>
  <c r="R24" i="138"/>
  <c r="R8" i="138"/>
  <c r="Q10" i="121"/>
  <c r="M25" i="121"/>
  <c r="E11" i="121"/>
  <c r="S9" i="121"/>
  <c r="M9" i="121"/>
  <c r="I24" i="121"/>
  <c r="R10" i="121"/>
  <c r="Q16" i="121"/>
  <c r="P17" i="121"/>
  <c r="J7" i="121"/>
  <c r="D10" i="121"/>
  <c r="L18" i="121"/>
  <c r="G10" i="121"/>
  <c r="H10" i="121"/>
  <c r="C25" i="121"/>
  <c r="D16" i="121"/>
  <c r="J10" i="121"/>
  <c r="R16" i="121"/>
  <c r="E22" i="121"/>
  <c r="P10" i="121"/>
  <c r="D11" i="121"/>
  <c r="J9" i="121"/>
  <c r="M19" i="121"/>
  <c r="C23" i="121"/>
  <c r="K25" i="121"/>
  <c r="R14" i="121"/>
  <c r="K8" i="121"/>
  <c r="C15" i="121"/>
  <c r="M11" i="121"/>
  <c r="P15" i="121"/>
  <c r="J18" i="121"/>
  <c r="G9" i="121"/>
  <c r="D8" i="121"/>
  <c r="L9" i="121"/>
  <c r="N10" i="121"/>
  <c r="Q17" i="121"/>
  <c r="E10" i="121"/>
  <c r="F10" i="121"/>
  <c r="M17" i="121"/>
  <c r="P18" i="121"/>
  <c r="E25" i="121"/>
  <c r="O10" i="121"/>
  <c r="R18" i="121"/>
  <c r="D9" i="121"/>
  <c r="J17" i="121"/>
  <c r="F13" i="121"/>
  <c r="N18" i="121"/>
  <c r="I17" i="121"/>
  <c r="S25" i="121"/>
  <c r="R9" i="121"/>
  <c r="E9" i="121"/>
  <c r="L25" i="121"/>
  <c r="F18" i="121"/>
  <c r="D18" i="121"/>
  <c r="H16" i="121"/>
  <c r="E17" i="121"/>
  <c r="L10" i="121"/>
  <c r="O13" i="121"/>
  <c r="O17" i="121"/>
  <c r="O9" i="121"/>
  <c r="P14" i="121"/>
  <c r="D25" i="121"/>
  <c r="T49" i="121"/>
  <c r="P24" i="121"/>
  <c r="H18" i="121"/>
  <c r="H17" i="121"/>
  <c r="N25" i="121"/>
  <c r="M18" i="121"/>
  <c r="G17" i="121"/>
  <c r="T42" i="121"/>
  <c r="T36" i="121"/>
  <c r="C8" i="121"/>
  <c r="I16" i="121"/>
  <c r="E18" i="121"/>
  <c r="N17" i="121"/>
  <c r="R25" i="121"/>
  <c r="T30" i="121"/>
  <c r="D22" i="121"/>
  <c r="T35" i="121"/>
  <c r="M10" i="121"/>
  <c r="N9" i="121"/>
  <c r="H24" i="121"/>
  <c r="F25" i="121"/>
  <c r="Q18" i="121"/>
  <c r="T34" i="121"/>
  <c r="T38" i="121"/>
  <c r="K7" i="121"/>
  <c r="I25" i="121"/>
  <c r="T41" i="121"/>
  <c r="F22" i="121"/>
  <c r="R17" i="121"/>
  <c r="T46" i="121"/>
  <c r="T45" i="121"/>
  <c r="F16" i="121"/>
  <c r="T40" i="121"/>
  <c r="M6" i="121"/>
  <c r="S8" i="121"/>
  <c r="H7" i="121"/>
  <c r="T32" i="121"/>
  <c r="T31" i="121"/>
  <c r="I8" i="121"/>
  <c r="M20" i="121"/>
  <c r="J8" i="121"/>
  <c r="F7" i="121"/>
  <c r="T48" i="121"/>
  <c r="T39" i="121"/>
  <c r="T44" i="121"/>
  <c r="J24" i="121"/>
  <c r="E6" i="121"/>
  <c r="K19" i="121"/>
  <c r="H13" i="121"/>
  <c r="T33" i="121"/>
  <c r="T47" i="121"/>
  <c r="T37" i="121"/>
  <c r="T43" i="121"/>
  <c r="Q25" i="121"/>
  <c r="F9" i="121"/>
  <c r="G13" i="121"/>
  <c r="P8" i="121"/>
  <c r="S16" i="121"/>
  <c r="O14" i="121"/>
  <c r="Q8" i="121"/>
  <c r="F17" i="121"/>
  <c r="R24" i="121"/>
  <c r="L15" i="121"/>
  <c r="R12" i="121"/>
  <c r="P23" i="121"/>
  <c r="I11" i="121"/>
  <c r="R11" i="121"/>
  <c r="G25" i="121"/>
  <c r="M12" i="121"/>
  <c r="K24" i="121"/>
  <c r="P9" i="121"/>
  <c r="Q12" i="121"/>
  <c r="J11" i="121"/>
  <c r="K21" i="121"/>
  <c r="P25" i="121"/>
  <c r="I9" i="121"/>
  <c r="I20" i="121"/>
  <c r="D14" i="121"/>
  <c r="G11" i="121"/>
  <c r="S13" i="121"/>
  <c r="S21" i="121"/>
  <c r="N13" i="121"/>
  <c r="O21" i="121"/>
  <c r="S20" i="121"/>
  <c r="J23" i="121"/>
  <c r="P21" i="121"/>
  <c r="G6" i="121"/>
  <c r="O7" i="121"/>
  <c r="O22" i="121"/>
  <c r="G22" i="121"/>
  <c r="D6" i="121"/>
  <c r="J13" i="121"/>
  <c r="S24" i="121"/>
  <c r="Q20" i="121"/>
  <c r="K12" i="121"/>
  <c r="C10" i="121"/>
  <c r="Q7" i="121"/>
  <c r="C11" i="121"/>
  <c r="S14" i="121"/>
  <c r="C16" i="121"/>
  <c r="R19" i="121"/>
  <c r="L11" i="121"/>
  <c r="C17" i="121"/>
  <c r="K9" i="121"/>
  <c r="K13" i="121"/>
  <c r="K14" i="121"/>
  <c r="J21" i="121"/>
  <c r="E7" i="121"/>
  <c r="D15" i="121"/>
  <c r="F6" i="121"/>
  <c r="D20" i="121"/>
  <c r="E15" i="121"/>
  <c r="R22" i="121"/>
  <c r="M8" i="121"/>
  <c r="T56" i="121"/>
  <c r="E19" i="121"/>
  <c r="C18" i="121"/>
  <c r="S23" i="121"/>
  <c r="G18" i="121"/>
  <c r="Q19" i="121"/>
  <c r="K22" i="121"/>
  <c r="N12" i="121"/>
  <c r="I23" i="121"/>
  <c r="I10" i="121"/>
  <c r="T63" i="121"/>
  <c r="H14" i="121"/>
  <c r="Q24" i="121"/>
  <c r="O24" i="121"/>
  <c r="O12" i="121"/>
  <c r="O6" i="121"/>
  <c r="T71" i="121"/>
  <c r="Q14" i="121"/>
  <c r="I15" i="121"/>
  <c r="F12" i="121"/>
  <c r="C21" i="121"/>
  <c r="G15" i="121"/>
  <c r="P6" i="121"/>
  <c r="Q22" i="121"/>
  <c r="G24" i="121"/>
  <c r="E12" i="121"/>
  <c r="F21" i="121"/>
  <c r="O18" i="121"/>
  <c r="P7" i="121"/>
  <c r="O19" i="121"/>
  <c r="N19" i="121"/>
  <c r="C24" i="121"/>
  <c r="L12" i="121"/>
  <c r="J15" i="121"/>
  <c r="C12" i="121"/>
  <c r="S17" i="121"/>
  <c r="I7" i="121"/>
  <c r="L6" i="121"/>
  <c r="N24" i="121"/>
  <c r="N15" i="121"/>
  <c r="K11" i="121"/>
  <c r="R8" i="121"/>
  <c r="L23" i="121"/>
  <c r="J6" i="121"/>
  <c r="G14" i="121"/>
  <c r="S15" i="121"/>
  <c r="L13" i="121"/>
  <c r="M23" i="121"/>
  <c r="K17" i="121"/>
  <c r="F23" i="121"/>
  <c r="L21" i="121"/>
  <c r="R13" i="121"/>
  <c r="G16" i="121"/>
  <c r="Q23" i="121"/>
  <c r="I6" i="121"/>
  <c r="T73" i="121"/>
  <c r="H25" i="121"/>
  <c r="F20" i="121"/>
  <c r="H9" i="121"/>
  <c r="D12" i="121"/>
  <c r="H21" i="121"/>
  <c r="S22" i="121"/>
  <c r="T70" i="121"/>
  <c r="J19" i="121"/>
  <c r="D13" i="121"/>
  <c r="Q9" i="121"/>
  <c r="R20" i="121"/>
  <c r="M15" i="121"/>
  <c r="P20" i="121"/>
  <c r="M7" i="121"/>
  <c r="T67" i="121"/>
  <c r="Q21" i="121"/>
  <c r="M14" i="121"/>
  <c r="L14" i="121"/>
  <c r="T62" i="121"/>
  <c r="D24" i="121"/>
  <c r="K23" i="121"/>
  <c r="T55" i="121"/>
  <c r="G7" i="121"/>
  <c r="T57" i="121"/>
  <c r="C9" i="121"/>
  <c r="L17" i="121"/>
  <c r="T65" i="121"/>
  <c r="N21" i="121"/>
  <c r="T64" i="121"/>
  <c r="J16" i="121"/>
  <c r="K15" i="121"/>
  <c r="E20" i="121"/>
  <c r="T68" i="121"/>
  <c r="O20" i="121"/>
  <c r="T58" i="121"/>
  <c r="K10" i="121"/>
  <c r="K16" i="121"/>
  <c r="G19" i="121"/>
  <c r="E14" i="121"/>
  <c r="D7" i="121"/>
  <c r="E13" i="121"/>
  <c r="L22" i="121"/>
  <c r="R15" i="121"/>
  <c r="G8" i="121"/>
  <c r="O8" i="121"/>
  <c r="S19" i="121"/>
  <c r="H15" i="121"/>
  <c r="H20" i="121"/>
  <c r="Q11" i="121"/>
  <c r="N6" i="121"/>
  <c r="J14" i="121"/>
  <c r="P16" i="121"/>
  <c r="H8" i="121"/>
  <c r="M13" i="121"/>
  <c r="D21" i="121"/>
  <c r="C6" i="121"/>
  <c r="H19" i="121"/>
  <c r="H11" i="121"/>
  <c r="C19" i="121"/>
  <c r="S18" i="121"/>
  <c r="J12" i="121"/>
  <c r="E16" i="121"/>
  <c r="F8" i="121"/>
  <c r="H6" i="121"/>
  <c r="T61" i="121"/>
  <c r="D17" i="121"/>
  <c r="E23" i="121"/>
  <c r="N23" i="121"/>
  <c r="C13" i="121"/>
  <c r="M21" i="121"/>
  <c r="I18" i="121"/>
  <c r="G20" i="121"/>
  <c r="N7" i="121"/>
  <c r="J22" i="121"/>
  <c r="P13" i="121"/>
  <c r="E21" i="121"/>
  <c r="R23" i="121"/>
  <c r="O15" i="121"/>
  <c r="S12" i="121"/>
  <c r="S11" i="121"/>
  <c r="Q6" i="121"/>
  <c r="F14" i="121"/>
  <c r="K6" i="121"/>
  <c r="E8" i="121"/>
  <c r="N20" i="121"/>
  <c r="O11" i="121"/>
  <c r="C14" i="121"/>
  <c r="N8" i="121"/>
  <c r="H22" i="121"/>
  <c r="P22" i="121"/>
  <c r="R7" i="121"/>
  <c r="I22" i="121"/>
  <c r="J25" i="121"/>
  <c r="Q13" i="121"/>
  <c r="F24" i="121"/>
  <c r="M22" i="121"/>
  <c r="T60" i="121"/>
  <c r="I12" i="121"/>
  <c r="C20" i="121"/>
  <c r="N16" i="121"/>
  <c r="S7" i="121"/>
  <c r="K20" i="121"/>
  <c r="H23" i="121"/>
  <c r="G21" i="121"/>
  <c r="P12" i="121"/>
  <c r="F15" i="121"/>
  <c r="L20" i="121"/>
  <c r="F19" i="121"/>
  <c r="C22" i="121"/>
  <c r="F11" i="121"/>
  <c r="G12" i="121"/>
  <c r="O23" i="121"/>
  <c r="L8" i="121"/>
  <c r="I13" i="121"/>
  <c r="I19" i="121"/>
  <c r="T66" i="121"/>
  <c r="R6" i="121"/>
  <c r="K18" i="121"/>
  <c r="M16" i="121"/>
  <c r="T69" i="121"/>
  <c r="D23" i="121"/>
  <c r="N11" i="121"/>
  <c r="G23" i="121"/>
  <c r="T59" i="121"/>
  <c r="L7" i="121"/>
  <c r="T54" i="121"/>
  <c r="D19" i="121"/>
  <c r="C7" i="121"/>
  <c r="O16" i="121"/>
  <c r="T72" i="121"/>
  <c r="L19" i="121"/>
  <c r="I14" i="121"/>
  <c r="R21" i="121"/>
  <c r="L24" i="121"/>
  <c r="L16" i="121"/>
  <c r="H12" i="121"/>
  <c r="Q15" i="121"/>
  <c r="S10" i="121"/>
  <c r="O25" i="121"/>
  <c r="S6" i="121"/>
  <c r="P19" i="121"/>
  <c r="P11" i="121"/>
  <c r="I21" i="121"/>
  <c r="J20" i="121"/>
  <c r="M24" i="121"/>
  <c r="E24" i="121"/>
  <c r="L74" i="121"/>
  <c r="I74" i="121"/>
  <c r="D74" i="121"/>
  <c r="E74" i="121"/>
  <c r="C74" i="121"/>
  <c r="G28" i="123"/>
  <c r="K74" i="121"/>
  <c r="O74" i="121"/>
  <c r="R74" i="121"/>
  <c r="Q74" i="121"/>
  <c r="S74" i="121"/>
  <c r="P74" i="121"/>
  <c r="M74" i="121"/>
  <c r="N74" i="121"/>
  <c r="H74" i="121"/>
  <c r="F74" i="121"/>
  <c r="T53" i="121"/>
  <c r="J74" i="121"/>
  <c r="G74" i="121"/>
  <c r="E27" i="95"/>
  <c r="I19" i="145"/>
  <c r="I25" i="145"/>
  <c r="P11" i="145"/>
  <c r="D16" i="145"/>
  <c r="M14" i="145"/>
  <c r="F19" i="145"/>
  <c r="C14" i="145"/>
  <c r="K24" i="145"/>
  <c r="C22" i="145"/>
  <c r="R7" i="145"/>
  <c r="G25" i="145"/>
  <c r="O12" i="145"/>
  <c r="G21" i="145"/>
  <c r="R18" i="145"/>
  <c r="Q19" i="145"/>
  <c r="J10" i="145"/>
  <c r="J6" i="145"/>
  <c r="Q13" i="145"/>
  <c r="C16" i="145"/>
  <c r="D17" i="145"/>
  <c r="D14" i="145"/>
  <c r="K19" i="145"/>
  <c r="P7" i="145"/>
  <c r="H15" i="145"/>
  <c r="P12" i="145"/>
  <c r="H8" i="145"/>
  <c r="C7" i="145"/>
  <c r="I17" i="145"/>
  <c r="O10" i="145"/>
  <c r="I15" i="145"/>
  <c r="S24" i="145"/>
  <c r="Q23" i="145"/>
  <c r="K20" i="145"/>
  <c r="N23" i="145"/>
  <c r="S13" i="145"/>
  <c r="E10" i="145"/>
  <c r="E19" i="145"/>
  <c r="E15" i="145"/>
  <c r="J11" i="145"/>
  <c r="O16" i="145"/>
  <c r="P18" i="145"/>
  <c r="I16" i="145"/>
  <c r="L15" i="145"/>
  <c r="S21" i="145"/>
  <c r="P22" i="145"/>
  <c r="J5" i="145"/>
  <c r="D25" i="145"/>
  <c r="E24" i="145"/>
  <c r="E12" i="145"/>
  <c r="K8" i="145"/>
  <c r="D20" i="145"/>
  <c r="G18" i="145"/>
  <c r="I14" i="145"/>
  <c r="I13" i="145"/>
  <c r="F17" i="145"/>
  <c r="Q15" i="145"/>
  <c r="U24" i="149"/>
  <c r="M12" i="145"/>
  <c r="H24" i="145"/>
  <c r="F20" i="145"/>
  <c r="H5" i="145"/>
  <c r="L20" i="145"/>
  <c r="P19" i="145"/>
  <c r="H25" i="145"/>
  <c r="C12" i="145"/>
  <c r="J15" i="145"/>
  <c r="D23" i="145"/>
  <c r="R19" i="145"/>
  <c r="G5" i="145"/>
  <c r="M8" i="145"/>
  <c r="N11" i="145"/>
  <c r="L21" i="145"/>
  <c r="R14" i="145"/>
  <c r="F14" i="145"/>
  <c r="K11" i="145"/>
  <c r="K6" i="145"/>
  <c r="O8" i="145"/>
  <c r="F15" i="145"/>
  <c r="D21" i="145"/>
  <c r="H23" i="145"/>
  <c r="K25" i="145"/>
  <c r="R23" i="145"/>
  <c r="I12" i="145"/>
  <c r="F10" i="145"/>
  <c r="C11" i="145"/>
  <c r="K18" i="145"/>
  <c r="R22" i="145"/>
  <c r="C8" i="145"/>
  <c r="G14" i="145"/>
  <c r="L25" i="145"/>
  <c r="D74" i="145"/>
  <c r="H16" i="145"/>
  <c r="M22" i="145"/>
  <c r="K13" i="145"/>
  <c r="E21" i="145"/>
  <c r="J25" i="145"/>
  <c r="Q8" i="145"/>
  <c r="S18" i="145"/>
  <c r="N12" i="145"/>
  <c r="J23" i="145"/>
  <c r="K15" i="145"/>
  <c r="S6" i="145"/>
  <c r="O11" i="145"/>
  <c r="P10" i="145"/>
  <c r="N24" i="145"/>
  <c r="H11" i="145"/>
  <c r="Q17" i="145"/>
  <c r="O24" i="145"/>
  <c r="S14" i="145"/>
  <c r="M7" i="145"/>
  <c r="C24" i="145"/>
  <c r="C21" i="145"/>
  <c r="G24" i="145"/>
  <c r="G22" i="145"/>
  <c r="S5" i="145"/>
  <c r="O15" i="145"/>
  <c r="H10" i="145"/>
  <c r="M16" i="145"/>
  <c r="C17" i="145"/>
  <c r="I23" i="145"/>
  <c r="I9" i="145"/>
  <c r="P24" i="145"/>
  <c r="Q25" i="145"/>
  <c r="S16" i="145"/>
  <c r="Q14" i="145"/>
  <c r="R13" i="145"/>
  <c r="K16" i="145"/>
  <c r="O25" i="145"/>
  <c r="S17" i="145"/>
  <c r="H17" i="145"/>
  <c r="L10" i="145"/>
  <c r="I8" i="145"/>
  <c r="E14" i="145"/>
  <c r="H13" i="145"/>
  <c r="I10" i="145"/>
  <c r="D15" i="145"/>
  <c r="T53" i="145"/>
  <c r="O17" i="145"/>
  <c r="M11" i="145"/>
  <c r="F22" i="145"/>
  <c r="F11" i="145"/>
  <c r="Q22" i="145"/>
  <c r="M5" i="145"/>
  <c r="F6" i="145"/>
  <c r="T63" i="145"/>
  <c r="T29" i="145"/>
  <c r="O23" i="145"/>
  <c r="I6" i="145"/>
  <c r="T56" i="145"/>
  <c r="D13" i="145"/>
  <c r="T38" i="145"/>
  <c r="R15" i="145"/>
  <c r="E13" i="145"/>
  <c r="G10" i="145"/>
  <c r="C19" i="145"/>
  <c r="N7" i="145"/>
  <c r="K5" i="145"/>
  <c r="D18" i="145"/>
  <c r="L18" i="145"/>
  <c r="G6" i="145"/>
  <c r="F8" i="145"/>
  <c r="E20" i="145"/>
  <c r="F24" i="145"/>
  <c r="T45" i="145"/>
  <c r="I20" i="145"/>
  <c r="E5" i="145"/>
  <c r="G16" i="145"/>
  <c r="I7" i="145"/>
  <c r="E22" i="145"/>
  <c r="H20" i="145"/>
  <c r="N9" i="145"/>
  <c r="N5" i="145"/>
  <c r="C6" i="145"/>
  <c r="H21" i="145"/>
  <c r="L19" i="145"/>
  <c r="L74" i="145"/>
  <c r="G19" i="145"/>
  <c r="J21" i="145"/>
  <c r="L24" i="145"/>
  <c r="H19" i="145"/>
  <c r="C9" i="145"/>
  <c r="E25" i="145"/>
  <c r="R9" i="145"/>
  <c r="S7" i="145"/>
  <c r="F7" i="145"/>
  <c r="D6" i="145"/>
  <c r="R6" i="145"/>
  <c r="O5" i="145"/>
  <c r="F74" i="145"/>
  <c r="K23" i="145"/>
  <c r="C18" i="145"/>
  <c r="C13" i="145"/>
  <c r="J12" i="145"/>
  <c r="S23" i="145"/>
  <c r="K21" i="145"/>
  <c r="J7" i="145"/>
  <c r="D19" i="145"/>
  <c r="J19" i="145"/>
  <c r="G17" i="145"/>
  <c r="D22" i="145"/>
  <c r="E7" i="145"/>
  <c r="K17" i="145"/>
  <c r="E23" i="145"/>
  <c r="Q5" i="145"/>
  <c r="M15" i="145"/>
  <c r="O9" i="145"/>
  <c r="P14" i="145"/>
  <c r="C74" i="145"/>
  <c r="R5" i="145"/>
  <c r="M23" i="145"/>
  <c r="C5" i="145"/>
  <c r="E6" i="145"/>
  <c r="P5" i="145"/>
  <c r="D8" i="145"/>
  <c r="R50" i="145"/>
  <c r="E9" i="145"/>
  <c r="L7" i="145"/>
  <c r="T71" i="145"/>
  <c r="M25" i="145"/>
  <c r="O21" i="145"/>
  <c r="T59" i="145"/>
  <c r="F12" i="145"/>
  <c r="I50" i="145"/>
  <c r="J22" i="145"/>
  <c r="N13" i="145"/>
  <c r="J20" i="145"/>
  <c r="T5" i="142"/>
  <c r="C26" i="142"/>
  <c r="G23" i="145"/>
  <c r="F5" i="145"/>
  <c r="D12" i="145"/>
  <c r="T58" i="145"/>
  <c r="I24" i="145"/>
  <c r="L16" i="145"/>
  <c r="F18" i="145"/>
  <c r="G11" i="145"/>
  <c r="S10" i="145"/>
  <c r="T50" i="142"/>
  <c r="Q21" i="145"/>
  <c r="P16" i="145"/>
  <c r="E74" i="145"/>
  <c r="H18" i="145"/>
  <c r="G12" i="145"/>
  <c r="E17" i="145"/>
  <c r="E18" i="145"/>
  <c r="I74" i="145"/>
  <c r="M18" i="145"/>
  <c r="S22" i="145"/>
  <c r="M10" i="145"/>
  <c r="I22" i="145"/>
  <c r="P23" i="145"/>
  <c r="G13" i="145"/>
  <c r="S25" i="145"/>
  <c r="F16" i="145"/>
  <c r="Q7" i="145"/>
  <c r="N25" i="145"/>
  <c r="O19" i="145"/>
  <c r="I21" i="145"/>
  <c r="S12" i="145"/>
  <c r="H74" i="145"/>
  <c r="L50" i="145"/>
  <c r="F50" i="145"/>
  <c r="T40" i="145"/>
  <c r="O50" i="145"/>
  <c r="T32" i="145"/>
  <c r="T35" i="145"/>
  <c r="T33" i="145"/>
  <c r="N74" i="145"/>
  <c r="G50" i="145"/>
  <c r="J8" i="145"/>
  <c r="T42" i="145"/>
  <c r="T54" i="145"/>
  <c r="O74" i="145"/>
  <c r="J74" i="145"/>
  <c r="T31" i="145"/>
  <c r="Q74" i="145"/>
  <c r="T68" i="145"/>
  <c r="T57" i="145"/>
  <c r="T70" i="145"/>
  <c r="T44" i="145"/>
  <c r="P74" i="145"/>
  <c r="T37" i="145"/>
  <c r="T66" i="145"/>
  <c r="H50" i="145"/>
  <c r="T62" i="145"/>
  <c r="K74" i="145"/>
  <c r="K10" i="145"/>
  <c r="T39" i="145"/>
  <c r="J50" i="145"/>
  <c r="D50" i="145"/>
  <c r="P50" i="145"/>
  <c r="T73" i="145"/>
  <c r="N50" i="145"/>
  <c r="T49" i="145"/>
  <c r="C23" i="145"/>
  <c r="T47" i="145"/>
  <c r="R74" i="145"/>
  <c r="C10" i="145"/>
  <c r="T34" i="145"/>
  <c r="S74" i="145"/>
  <c r="T43" i="145"/>
  <c r="M50" i="145"/>
  <c r="T41" i="145"/>
  <c r="T30" i="145"/>
  <c r="C50" i="145"/>
  <c r="T61" i="145"/>
  <c r="T48" i="145"/>
  <c r="T36" i="145"/>
  <c r="S50" i="145"/>
  <c r="T67" i="145"/>
  <c r="T64" i="145"/>
  <c r="E16" i="145"/>
  <c r="T72" i="145"/>
  <c r="T55" i="145"/>
  <c r="G74" i="145"/>
  <c r="K50" i="145"/>
  <c r="M74" i="145"/>
  <c r="T46" i="145"/>
  <c r="E50" i="145"/>
  <c r="T69" i="145"/>
  <c r="T65" i="145"/>
  <c r="Q50" i="145"/>
  <c r="T60" i="145"/>
  <c r="T19" i="138"/>
  <c r="F26" i="138"/>
  <c r="T9" i="138"/>
  <c r="J26" i="138"/>
  <c r="T23" i="138"/>
  <c r="T22" i="138"/>
  <c r="T10" i="138"/>
  <c r="T21" i="138"/>
  <c r="T14" i="138"/>
  <c r="T8" i="138"/>
  <c r="T11" i="138"/>
  <c r="P26" i="138"/>
  <c r="T15" i="138"/>
  <c r="T6" i="138"/>
  <c r="E26" i="138"/>
  <c r="T12" i="138"/>
  <c r="T7" i="138"/>
  <c r="T25" i="138"/>
  <c r="D26" i="138"/>
  <c r="T20" i="138"/>
  <c r="C26" i="138"/>
  <c r="T5" i="138"/>
  <c r="T18" i="138"/>
  <c r="T16" i="138"/>
  <c r="Q26" i="138"/>
  <c r="S26" i="138"/>
  <c r="T50" i="138"/>
  <c r="L26" i="138"/>
  <c r="N26" i="138"/>
  <c r="G26" i="138"/>
  <c r="T17" i="138"/>
  <c r="H26" i="138"/>
  <c r="T74" i="138"/>
  <c r="K26" i="138"/>
  <c r="R26" i="138"/>
  <c r="M26" i="138"/>
  <c r="O26" i="138"/>
  <c r="T24" i="138"/>
  <c r="T13" i="138"/>
  <c r="I26" i="138"/>
  <c r="T10" i="121"/>
  <c r="T21" i="121"/>
  <c r="T17" i="121"/>
  <c r="T22" i="121"/>
  <c r="T15" i="121"/>
  <c r="T13" i="121"/>
  <c r="T12" i="121"/>
  <c r="T20" i="121"/>
  <c r="T19" i="121"/>
  <c r="T6" i="121"/>
  <c r="T25" i="121"/>
  <c r="T16" i="121"/>
  <c r="T14" i="121"/>
  <c r="T23" i="121"/>
  <c r="T11" i="121"/>
  <c r="T8" i="121"/>
  <c r="T7" i="121"/>
  <c r="T18" i="121"/>
  <c r="T9" i="121"/>
  <c r="T24" i="121"/>
  <c r="T74" i="121"/>
  <c r="S9" i="115"/>
  <c r="R9" i="115"/>
  <c r="Q9" i="115"/>
  <c r="P9" i="115"/>
  <c r="O9" i="115"/>
  <c r="N9" i="115"/>
  <c r="M9" i="115"/>
  <c r="L9" i="115"/>
  <c r="K9" i="115"/>
  <c r="J9" i="115"/>
  <c r="I9" i="115"/>
  <c r="H9" i="115"/>
  <c r="G9" i="115"/>
  <c r="C9" i="115"/>
  <c r="F33" i="115"/>
  <c r="G33" i="115"/>
  <c r="H33" i="115"/>
  <c r="J32" i="115"/>
  <c r="I32" i="115"/>
  <c r="J31" i="115"/>
  <c r="I31" i="115"/>
  <c r="J30" i="115"/>
  <c r="I30" i="115"/>
  <c r="J29" i="115"/>
  <c r="I29" i="115"/>
  <c r="J28" i="115"/>
  <c r="I28" i="115"/>
  <c r="J27" i="115"/>
  <c r="I27" i="115"/>
  <c r="J26" i="115"/>
  <c r="I26" i="115"/>
  <c r="J25" i="115"/>
  <c r="I25" i="115"/>
  <c r="J24" i="115"/>
  <c r="I24" i="115"/>
  <c r="J23" i="115"/>
  <c r="I23" i="115"/>
  <c r="J22" i="115"/>
  <c r="I22" i="115"/>
  <c r="J21" i="115"/>
  <c r="I21" i="115"/>
  <c r="J20" i="115"/>
  <c r="I20" i="115"/>
  <c r="J19" i="115"/>
  <c r="I19" i="115"/>
  <c r="J18" i="115"/>
  <c r="I18" i="115"/>
  <c r="J17" i="115"/>
  <c r="I17" i="115"/>
  <c r="J16" i="115"/>
  <c r="J33" i="115"/>
  <c r="I16" i="115"/>
  <c r="I33" i="115"/>
  <c r="E16" i="115"/>
  <c r="K16" i="115"/>
  <c r="E17" i="115"/>
  <c r="K17" i="115"/>
  <c r="E18" i="115"/>
  <c r="K18" i="115"/>
  <c r="E19" i="115"/>
  <c r="K19" i="115"/>
  <c r="E20" i="115"/>
  <c r="K20" i="115"/>
  <c r="E21" i="115"/>
  <c r="K21" i="115"/>
  <c r="E22" i="115"/>
  <c r="K22" i="115"/>
  <c r="E23" i="115"/>
  <c r="K23" i="115"/>
  <c r="E24" i="115"/>
  <c r="K24" i="115"/>
  <c r="E25" i="115"/>
  <c r="K25" i="115"/>
  <c r="E26" i="115"/>
  <c r="K26" i="115"/>
  <c r="E27" i="115"/>
  <c r="K27" i="115"/>
  <c r="E28" i="115"/>
  <c r="K28" i="115"/>
  <c r="E29" i="115"/>
  <c r="K29" i="115"/>
  <c r="E30" i="115"/>
  <c r="K30" i="115"/>
  <c r="E31" i="115"/>
  <c r="K31" i="115"/>
  <c r="E32" i="115"/>
  <c r="K32" i="115"/>
  <c r="K33" i="115"/>
  <c r="C33" i="115"/>
  <c r="D33" i="115"/>
  <c r="V24" i="149"/>
  <c r="W24" i="149"/>
  <c r="Y24" i="149"/>
  <c r="T14" i="145"/>
  <c r="R26" i="145"/>
  <c r="T8" i="145"/>
  <c r="T15" i="145"/>
  <c r="H26" i="145"/>
  <c r="T6" i="145"/>
  <c r="T9" i="145"/>
  <c r="K26" i="145"/>
  <c r="T17" i="145"/>
  <c r="G26" i="145"/>
  <c r="J26" i="145"/>
  <c r="D26" i="145"/>
  <c r="T20" i="145"/>
  <c r="P26" i="145"/>
  <c r="T23" i="145"/>
  <c r="T21" i="145"/>
  <c r="L26" i="145"/>
  <c r="T26" i="142"/>
  <c r="T5" i="149"/>
  <c r="T11" i="145"/>
  <c r="T19" i="145"/>
  <c r="M26" i="145"/>
  <c r="T24" i="145"/>
  <c r="N26" i="145"/>
  <c r="T25" i="145"/>
  <c r="S26" i="145"/>
  <c r="T22" i="145"/>
  <c r="Q26" i="145"/>
  <c r="T12" i="145"/>
  <c r="T5" i="145"/>
  <c r="T18" i="145"/>
  <c r="T13" i="145"/>
  <c r="O26" i="145"/>
  <c r="I26" i="145"/>
  <c r="T7" i="145"/>
  <c r="F26" i="145"/>
  <c r="T10" i="145"/>
  <c r="T16" i="145"/>
  <c r="T50" i="145"/>
  <c r="C26" i="145"/>
  <c r="T74" i="145"/>
  <c r="E26" i="145"/>
  <c r="T26" i="138"/>
  <c r="E33" i="115"/>
  <c r="T25" i="149"/>
  <c r="T26" i="149"/>
  <c r="T26" i="145"/>
  <c r="V55" i="101"/>
  <c r="S70" i="101"/>
  <c r="R70" i="101"/>
  <c r="Q70" i="101"/>
  <c r="P70" i="101"/>
  <c r="O70" i="101"/>
  <c r="N70" i="101"/>
  <c r="M70" i="101"/>
  <c r="L70" i="101"/>
  <c r="K70" i="101"/>
  <c r="J70" i="101"/>
  <c r="I70" i="101"/>
  <c r="H70" i="101"/>
  <c r="G70" i="101"/>
  <c r="F70" i="101"/>
  <c r="E70" i="101"/>
  <c r="D70" i="101"/>
  <c r="C70" i="101"/>
  <c r="T70" i="101"/>
  <c r="S69" i="101"/>
  <c r="R69" i="101"/>
  <c r="Q69" i="101"/>
  <c r="P69" i="101"/>
  <c r="O69" i="101"/>
  <c r="N69" i="101"/>
  <c r="M69" i="101"/>
  <c r="L69" i="101"/>
  <c r="K69" i="101"/>
  <c r="J69" i="101"/>
  <c r="I69" i="101"/>
  <c r="H69" i="101"/>
  <c r="G69" i="101"/>
  <c r="F69" i="101"/>
  <c r="E69" i="101"/>
  <c r="D69" i="101"/>
  <c r="C69" i="101"/>
  <c r="T69" i="101"/>
  <c r="S68" i="101"/>
  <c r="R68" i="101"/>
  <c r="Q68" i="101"/>
  <c r="P68" i="101"/>
  <c r="O68" i="101"/>
  <c r="N68" i="101"/>
  <c r="M68" i="101"/>
  <c r="L68" i="101"/>
  <c r="K68" i="101"/>
  <c r="J68" i="101"/>
  <c r="I68" i="101"/>
  <c r="H68" i="101"/>
  <c r="G68" i="101"/>
  <c r="F68" i="101"/>
  <c r="E68" i="101"/>
  <c r="D68" i="101"/>
  <c r="S67" i="101"/>
  <c r="R67" i="101"/>
  <c r="Q67" i="101"/>
  <c r="P67" i="101"/>
  <c r="O67" i="101"/>
  <c r="N67" i="101"/>
  <c r="M67" i="101"/>
  <c r="L67" i="101"/>
  <c r="K67" i="101"/>
  <c r="J67" i="101"/>
  <c r="I67" i="101"/>
  <c r="H67" i="101"/>
  <c r="G67" i="101"/>
  <c r="F67" i="101"/>
  <c r="E67" i="101"/>
  <c r="D67" i="101"/>
  <c r="S66" i="101"/>
  <c r="R66" i="101"/>
  <c r="Q66" i="101"/>
  <c r="P66" i="101"/>
  <c r="O66" i="101"/>
  <c r="N66" i="101"/>
  <c r="M66" i="101"/>
  <c r="L66" i="101"/>
  <c r="K66" i="101"/>
  <c r="J66" i="101"/>
  <c r="I66" i="101"/>
  <c r="H66" i="101"/>
  <c r="G66" i="101"/>
  <c r="F66" i="101"/>
  <c r="E66" i="101"/>
  <c r="D66" i="101"/>
  <c r="S65" i="101"/>
  <c r="R65" i="101"/>
  <c r="Q65" i="101"/>
  <c r="P65" i="101"/>
  <c r="O65" i="101"/>
  <c r="N65" i="101"/>
  <c r="M65" i="101"/>
  <c r="L65" i="101"/>
  <c r="K65" i="101"/>
  <c r="J65" i="101"/>
  <c r="I65" i="101"/>
  <c r="H65" i="101"/>
  <c r="G65" i="101"/>
  <c r="F65" i="101"/>
  <c r="E65" i="101"/>
  <c r="D65" i="101"/>
  <c r="C65" i="101"/>
  <c r="T65" i="101"/>
  <c r="S64" i="101"/>
  <c r="R64" i="101"/>
  <c r="Q64" i="101"/>
  <c r="P64" i="101"/>
  <c r="O64" i="101"/>
  <c r="N64" i="101"/>
  <c r="M64" i="101"/>
  <c r="L64" i="101"/>
  <c r="K64" i="101"/>
  <c r="J64" i="101"/>
  <c r="I64" i="101"/>
  <c r="H64" i="101"/>
  <c r="G64" i="101"/>
  <c r="F64" i="101"/>
  <c r="E64" i="101"/>
  <c r="D64" i="101"/>
  <c r="C64" i="101"/>
  <c r="T64" i="101"/>
  <c r="S63" i="101"/>
  <c r="R63" i="101"/>
  <c r="Q63" i="101"/>
  <c r="P63" i="101"/>
  <c r="O63" i="101"/>
  <c r="N63" i="101"/>
  <c r="M63" i="101"/>
  <c r="L63" i="101"/>
  <c r="K63" i="101"/>
  <c r="J63" i="101"/>
  <c r="I63" i="101"/>
  <c r="H63" i="101"/>
  <c r="G63" i="101"/>
  <c r="F63" i="101"/>
  <c r="E63" i="101"/>
  <c r="D63" i="101"/>
  <c r="S62" i="101"/>
  <c r="R62" i="101"/>
  <c r="Q62" i="101"/>
  <c r="P62" i="101"/>
  <c r="O62" i="101"/>
  <c r="N62" i="101"/>
  <c r="M62" i="101"/>
  <c r="L62" i="101"/>
  <c r="K62" i="101"/>
  <c r="J62" i="101"/>
  <c r="I62" i="101"/>
  <c r="H62" i="101"/>
  <c r="G62" i="101"/>
  <c r="F62" i="101"/>
  <c r="E62" i="101"/>
  <c r="D62" i="101"/>
  <c r="C62" i="101"/>
  <c r="T62" i="101"/>
  <c r="S61" i="101"/>
  <c r="R61" i="101"/>
  <c r="Q61" i="101"/>
  <c r="P61" i="101"/>
  <c r="O61" i="101"/>
  <c r="N61" i="101"/>
  <c r="M61" i="101"/>
  <c r="L61" i="101"/>
  <c r="K61" i="101"/>
  <c r="J61" i="101"/>
  <c r="I61" i="101"/>
  <c r="H61" i="101"/>
  <c r="G61" i="101"/>
  <c r="F61" i="101"/>
  <c r="E61" i="101"/>
  <c r="D61" i="101"/>
  <c r="C61" i="101"/>
  <c r="T61" i="101"/>
  <c r="S60" i="101"/>
  <c r="R60" i="101"/>
  <c r="Q60" i="101"/>
  <c r="P60" i="101"/>
  <c r="O60" i="101"/>
  <c r="N60" i="101"/>
  <c r="M60" i="101"/>
  <c r="L60" i="101"/>
  <c r="K60" i="101"/>
  <c r="J60" i="101"/>
  <c r="I60" i="101"/>
  <c r="H60" i="101"/>
  <c r="G60" i="101"/>
  <c r="F60" i="101"/>
  <c r="E60" i="101"/>
  <c r="D60" i="101"/>
  <c r="C60" i="101"/>
  <c r="T60" i="101"/>
  <c r="S59" i="101"/>
  <c r="R59" i="101"/>
  <c r="Q59" i="101"/>
  <c r="P59" i="101"/>
  <c r="O59" i="101"/>
  <c r="N59" i="101"/>
  <c r="M59" i="101"/>
  <c r="L59" i="101"/>
  <c r="K59" i="101"/>
  <c r="J59" i="101"/>
  <c r="I59" i="101"/>
  <c r="H59" i="101"/>
  <c r="G59" i="101"/>
  <c r="F59" i="101"/>
  <c r="E59" i="101"/>
  <c r="D59" i="101"/>
  <c r="S58" i="101"/>
  <c r="R58" i="101"/>
  <c r="Q58" i="101"/>
  <c r="P58" i="101"/>
  <c r="O58" i="101"/>
  <c r="N58" i="101"/>
  <c r="M58" i="101"/>
  <c r="L58" i="101"/>
  <c r="K58" i="101"/>
  <c r="J58" i="101"/>
  <c r="I58" i="101"/>
  <c r="H58" i="101"/>
  <c r="G58" i="101"/>
  <c r="F58" i="101"/>
  <c r="E58" i="101"/>
  <c r="D58" i="101"/>
  <c r="S57" i="101"/>
  <c r="R57" i="101"/>
  <c r="Q57" i="101"/>
  <c r="P57" i="101"/>
  <c r="O57" i="101"/>
  <c r="N57" i="101"/>
  <c r="M57" i="101"/>
  <c r="L57" i="101"/>
  <c r="K57" i="101"/>
  <c r="J57" i="101"/>
  <c r="I57" i="101"/>
  <c r="H57" i="101"/>
  <c r="G57" i="101"/>
  <c r="F57" i="101"/>
  <c r="E57" i="101"/>
  <c r="D57" i="101"/>
  <c r="S56" i="101"/>
  <c r="R56" i="101"/>
  <c r="Q56" i="101"/>
  <c r="P56" i="101"/>
  <c r="O56" i="101"/>
  <c r="N56" i="101"/>
  <c r="M56" i="101"/>
  <c r="L56" i="101"/>
  <c r="K56" i="101"/>
  <c r="J56" i="101"/>
  <c r="I56" i="101"/>
  <c r="H56" i="101"/>
  <c r="G56" i="101"/>
  <c r="F56" i="101"/>
  <c r="E56" i="101"/>
  <c r="D56" i="101"/>
  <c r="C56" i="101"/>
  <c r="T56" i="101"/>
  <c r="S55" i="101"/>
  <c r="R55" i="101"/>
  <c r="Q55" i="101"/>
  <c r="P55" i="101"/>
  <c r="O55" i="101"/>
  <c r="N55" i="101"/>
  <c r="M55" i="101"/>
  <c r="L55" i="101"/>
  <c r="K55" i="101"/>
  <c r="J55" i="101"/>
  <c r="I55" i="101"/>
  <c r="H55" i="101"/>
  <c r="G55" i="101"/>
  <c r="F55" i="101"/>
  <c r="E55" i="101"/>
  <c r="D55" i="101"/>
  <c r="S54" i="101"/>
  <c r="R54" i="101"/>
  <c r="Q54" i="101"/>
  <c r="P54" i="101"/>
  <c r="O54" i="101"/>
  <c r="N54" i="101"/>
  <c r="M54" i="101"/>
  <c r="L54" i="101"/>
  <c r="K54" i="101"/>
  <c r="J54" i="101"/>
  <c r="I54" i="101"/>
  <c r="H54" i="101"/>
  <c r="G54" i="101"/>
  <c r="F54" i="101"/>
  <c r="E54" i="101"/>
  <c r="D54" i="101"/>
  <c r="C54" i="101"/>
  <c r="T54" i="101"/>
  <c r="S53" i="101"/>
  <c r="R53" i="101"/>
  <c r="Q53" i="101"/>
  <c r="P53" i="101"/>
  <c r="O53" i="101"/>
  <c r="N53" i="101"/>
  <c r="M53" i="101"/>
  <c r="L53" i="101"/>
  <c r="K53" i="101"/>
  <c r="J53" i="101"/>
  <c r="I53" i="101"/>
  <c r="H53" i="101"/>
  <c r="G53" i="101"/>
  <c r="F53" i="101"/>
  <c r="E53" i="101"/>
  <c r="D53" i="101"/>
  <c r="C53" i="101"/>
  <c r="T53" i="101"/>
  <c r="S52" i="101"/>
  <c r="R52" i="101"/>
  <c r="Q52" i="101"/>
  <c r="P52" i="101"/>
  <c r="O52" i="101"/>
  <c r="N52" i="101"/>
  <c r="M52" i="101"/>
  <c r="L52" i="101"/>
  <c r="K52" i="101"/>
  <c r="J52" i="101"/>
  <c r="I52" i="101"/>
  <c r="H52" i="101"/>
  <c r="G52" i="101"/>
  <c r="F52" i="101"/>
  <c r="E52" i="101"/>
  <c r="D52" i="101"/>
  <c r="C52" i="101"/>
  <c r="T52" i="101"/>
  <c r="S51" i="101"/>
  <c r="R51" i="101"/>
  <c r="Q51" i="101"/>
  <c r="P51" i="101"/>
  <c r="O51" i="101"/>
  <c r="N51" i="101"/>
  <c r="M51" i="101"/>
  <c r="L51" i="101"/>
  <c r="K51" i="101"/>
  <c r="J51" i="101"/>
  <c r="I51" i="101"/>
  <c r="H51" i="101"/>
  <c r="G51" i="101"/>
  <c r="F51" i="101"/>
  <c r="E51" i="101"/>
  <c r="D51" i="101"/>
  <c r="S50" i="101"/>
  <c r="R50" i="101"/>
  <c r="Q50" i="101"/>
  <c r="P50" i="101"/>
  <c r="P71" i="101"/>
  <c r="O50" i="101"/>
  <c r="O71" i="101"/>
  <c r="N50" i="101"/>
  <c r="N71" i="101"/>
  <c r="M50" i="101"/>
  <c r="M71" i="101"/>
  <c r="L50" i="101"/>
  <c r="L71" i="101"/>
  <c r="K50" i="101"/>
  <c r="J50" i="101"/>
  <c r="I50" i="101"/>
  <c r="H50" i="101"/>
  <c r="H71" i="101"/>
  <c r="G50" i="101"/>
  <c r="G71" i="101"/>
  <c r="F50" i="101"/>
  <c r="F71" i="101"/>
  <c r="E50" i="101"/>
  <c r="E71" i="101"/>
  <c r="D50" i="101"/>
  <c r="C68" i="101"/>
  <c r="C67" i="101"/>
  <c r="C66" i="101"/>
  <c r="C63" i="101"/>
  <c r="T63" i="101"/>
  <c r="C59" i="101"/>
  <c r="C58" i="101"/>
  <c r="C57" i="101"/>
  <c r="T57" i="101"/>
  <c r="C55" i="101"/>
  <c r="T55" i="101"/>
  <c r="C51" i="101"/>
  <c r="C50" i="101"/>
  <c r="S71" i="101"/>
  <c r="R71" i="101"/>
  <c r="Q71" i="101"/>
  <c r="K71" i="101"/>
  <c r="J71" i="101"/>
  <c r="I71" i="101"/>
  <c r="T68" i="101"/>
  <c r="S70" i="100"/>
  <c r="R70" i="100"/>
  <c r="Q70" i="100"/>
  <c r="P70" i="100"/>
  <c r="O70" i="100"/>
  <c r="N70" i="100"/>
  <c r="M70" i="100"/>
  <c r="L70" i="100"/>
  <c r="K70" i="100"/>
  <c r="J70" i="100"/>
  <c r="I70" i="100"/>
  <c r="H70" i="100"/>
  <c r="G70" i="100"/>
  <c r="F70" i="100"/>
  <c r="E70" i="100"/>
  <c r="D70" i="100"/>
  <c r="S69" i="100"/>
  <c r="R69" i="100"/>
  <c r="Q69" i="100"/>
  <c r="P69" i="100"/>
  <c r="O69" i="100"/>
  <c r="N69" i="100"/>
  <c r="M69" i="100"/>
  <c r="L69" i="100"/>
  <c r="K69" i="100"/>
  <c r="J69" i="100"/>
  <c r="I69" i="100"/>
  <c r="H69" i="100"/>
  <c r="G69" i="100"/>
  <c r="F69" i="100"/>
  <c r="E69" i="100"/>
  <c r="D69" i="100"/>
  <c r="S68" i="100"/>
  <c r="R68" i="100"/>
  <c r="Q68" i="100"/>
  <c r="P68" i="100"/>
  <c r="O68" i="100"/>
  <c r="N68" i="100"/>
  <c r="M68" i="100"/>
  <c r="L68" i="100"/>
  <c r="K68" i="100"/>
  <c r="J68" i="100"/>
  <c r="I68" i="100"/>
  <c r="H68" i="100"/>
  <c r="G68" i="100"/>
  <c r="F68" i="100"/>
  <c r="E68" i="100"/>
  <c r="D68" i="100"/>
  <c r="S67" i="100"/>
  <c r="R67" i="100"/>
  <c r="Q67" i="100"/>
  <c r="P67" i="100"/>
  <c r="O67" i="100"/>
  <c r="N67" i="100"/>
  <c r="M67" i="100"/>
  <c r="L67" i="100"/>
  <c r="K67" i="100"/>
  <c r="J67" i="100"/>
  <c r="I67" i="100"/>
  <c r="H67" i="100"/>
  <c r="G67" i="100"/>
  <c r="F67" i="100"/>
  <c r="E67" i="100"/>
  <c r="D67" i="100"/>
  <c r="S66" i="100"/>
  <c r="R66" i="100"/>
  <c r="Q66" i="100"/>
  <c r="P66" i="100"/>
  <c r="O66" i="100"/>
  <c r="N66" i="100"/>
  <c r="M66" i="100"/>
  <c r="L66" i="100"/>
  <c r="K66" i="100"/>
  <c r="J66" i="100"/>
  <c r="I66" i="100"/>
  <c r="H66" i="100"/>
  <c r="G66" i="100"/>
  <c r="F66" i="100"/>
  <c r="E66" i="100"/>
  <c r="D66" i="100"/>
  <c r="S65" i="100"/>
  <c r="R65" i="100"/>
  <c r="Q65" i="100"/>
  <c r="P65" i="100"/>
  <c r="O65" i="100"/>
  <c r="N65" i="100"/>
  <c r="M65" i="100"/>
  <c r="L65" i="100"/>
  <c r="K65" i="100"/>
  <c r="J65" i="100"/>
  <c r="I65" i="100"/>
  <c r="H65" i="100"/>
  <c r="G65" i="100"/>
  <c r="F65" i="100"/>
  <c r="E65" i="100"/>
  <c r="D65" i="100"/>
  <c r="S64" i="100"/>
  <c r="R64" i="100"/>
  <c r="Q64" i="100"/>
  <c r="P64" i="100"/>
  <c r="O64" i="100"/>
  <c r="N64" i="100"/>
  <c r="M64" i="100"/>
  <c r="L64" i="100"/>
  <c r="K64" i="100"/>
  <c r="J64" i="100"/>
  <c r="I64" i="100"/>
  <c r="H64" i="100"/>
  <c r="G64" i="100"/>
  <c r="F64" i="100"/>
  <c r="E64" i="100"/>
  <c r="D64" i="100"/>
  <c r="S63" i="100"/>
  <c r="R63" i="100"/>
  <c r="Q63" i="100"/>
  <c r="P63" i="100"/>
  <c r="O63" i="100"/>
  <c r="N63" i="100"/>
  <c r="M63" i="100"/>
  <c r="L63" i="100"/>
  <c r="K63" i="100"/>
  <c r="J63" i="100"/>
  <c r="I63" i="100"/>
  <c r="H63" i="100"/>
  <c r="G63" i="100"/>
  <c r="F63" i="100"/>
  <c r="E63" i="100"/>
  <c r="D63" i="100"/>
  <c r="S62" i="100"/>
  <c r="R62" i="100"/>
  <c r="Q62" i="100"/>
  <c r="P62" i="100"/>
  <c r="O62" i="100"/>
  <c r="N62" i="100"/>
  <c r="M62" i="100"/>
  <c r="L62" i="100"/>
  <c r="K62" i="100"/>
  <c r="J62" i="100"/>
  <c r="I62" i="100"/>
  <c r="H62" i="100"/>
  <c r="G62" i="100"/>
  <c r="F62" i="100"/>
  <c r="E62" i="100"/>
  <c r="D62" i="100"/>
  <c r="S61" i="100"/>
  <c r="R61" i="100"/>
  <c r="Q61" i="100"/>
  <c r="P61" i="100"/>
  <c r="O61" i="100"/>
  <c r="N61" i="100"/>
  <c r="M61" i="100"/>
  <c r="L61" i="100"/>
  <c r="K61" i="100"/>
  <c r="J61" i="100"/>
  <c r="I61" i="100"/>
  <c r="H61" i="100"/>
  <c r="G61" i="100"/>
  <c r="F61" i="100"/>
  <c r="E61" i="100"/>
  <c r="D61" i="100"/>
  <c r="S60" i="100"/>
  <c r="R60" i="100"/>
  <c r="Q60" i="100"/>
  <c r="P60" i="100"/>
  <c r="O60" i="100"/>
  <c r="N60" i="100"/>
  <c r="M60" i="100"/>
  <c r="L60" i="100"/>
  <c r="K60" i="100"/>
  <c r="J60" i="100"/>
  <c r="I60" i="100"/>
  <c r="H60" i="100"/>
  <c r="G60" i="100"/>
  <c r="F60" i="100"/>
  <c r="E60" i="100"/>
  <c r="D60" i="100"/>
  <c r="S59" i="100"/>
  <c r="R59" i="100"/>
  <c r="Q59" i="100"/>
  <c r="P59" i="100"/>
  <c r="O59" i="100"/>
  <c r="N59" i="100"/>
  <c r="M59" i="100"/>
  <c r="L59" i="100"/>
  <c r="K59" i="100"/>
  <c r="J59" i="100"/>
  <c r="I59" i="100"/>
  <c r="H59" i="100"/>
  <c r="G59" i="100"/>
  <c r="F59" i="100"/>
  <c r="E59" i="100"/>
  <c r="D59" i="100"/>
  <c r="S58" i="100"/>
  <c r="R58" i="100"/>
  <c r="Q58" i="100"/>
  <c r="P58" i="100"/>
  <c r="O58" i="100"/>
  <c r="N58" i="100"/>
  <c r="M58" i="100"/>
  <c r="L58" i="100"/>
  <c r="K58" i="100"/>
  <c r="J58" i="100"/>
  <c r="I58" i="100"/>
  <c r="H58" i="100"/>
  <c r="G58" i="100"/>
  <c r="F58" i="100"/>
  <c r="E58" i="100"/>
  <c r="D58" i="100"/>
  <c r="S57" i="100"/>
  <c r="R57" i="100"/>
  <c r="Q57" i="100"/>
  <c r="P57" i="100"/>
  <c r="O57" i="100"/>
  <c r="N57" i="100"/>
  <c r="M57" i="100"/>
  <c r="L57" i="100"/>
  <c r="K57" i="100"/>
  <c r="J57" i="100"/>
  <c r="I57" i="100"/>
  <c r="H57" i="100"/>
  <c r="G57" i="100"/>
  <c r="F57" i="100"/>
  <c r="E57" i="100"/>
  <c r="D57" i="100"/>
  <c r="S56" i="100"/>
  <c r="R56" i="100"/>
  <c r="Q56" i="100"/>
  <c r="P56" i="100"/>
  <c r="O56" i="100"/>
  <c r="N56" i="100"/>
  <c r="M56" i="100"/>
  <c r="L56" i="100"/>
  <c r="K56" i="100"/>
  <c r="J56" i="100"/>
  <c r="I56" i="100"/>
  <c r="H56" i="100"/>
  <c r="G56" i="100"/>
  <c r="F56" i="100"/>
  <c r="E56" i="100"/>
  <c r="D56" i="100"/>
  <c r="S55" i="100"/>
  <c r="R55" i="100"/>
  <c r="Q55" i="100"/>
  <c r="P55" i="100"/>
  <c r="O55" i="100"/>
  <c r="N55" i="100"/>
  <c r="M55" i="100"/>
  <c r="L55" i="100"/>
  <c r="K55" i="100"/>
  <c r="J55" i="100"/>
  <c r="I55" i="100"/>
  <c r="H55" i="100"/>
  <c r="G55" i="100"/>
  <c r="F55" i="100"/>
  <c r="E55" i="100"/>
  <c r="D55" i="100"/>
  <c r="S54" i="100"/>
  <c r="R54" i="100"/>
  <c r="Q54" i="100"/>
  <c r="P54" i="100"/>
  <c r="O54" i="100"/>
  <c r="N54" i="100"/>
  <c r="M54" i="100"/>
  <c r="L54" i="100"/>
  <c r="K54" i="100"/>
  <c r="J54" i="100"/>
  <c r="I54" i="100"/>
  <c r="H54" i="100"/>
  <c r="G54" i="100"/>
  <c r="F54" i="100"/>
  <c r="E54" i="100"/>
  <c r="D54" i="100"/>
  <c r="S53" i="100"/>
  <c r="R53" i="100"/>
  <c r="Q53" i="100"/>
  <c r="P53" i="100"/>
  <c r="O53" i="100"/>
  <c r="N53" i="100"/>
  <c r="M53" i="100"/>
  <c r="L53" i="100"/>
  <c r="K53" i="100"/>
  <c r="J53" i="100"/>
  <c r="I53" i="100"/>
  <c r="H53" i="100"/>
  <c r="G53" i="100"/>
  <c r="F53" i="100"/>
  <c r="E53" i="100"/>
  <c r="D53" i="100"/>
  <c r="S52" i="100"/>
  <c r="R52" i="100"/>
  <c r="Q52" i="100"/>
  <c r="P52" i="100"/>
  <c r="O52" i="100"/>
  <c r="N52" i="100"/>
  <c r="M52" i="100"/>
  <c r="L52" i="100"/>
  <c r="K52" i="100"/>
  <c r="J52" i="100"/>
  <c r="I52" i="100"/>
  <c r="H52" i="100"/>
  <c r="G52" i="100"/>
  <c r="F52" i="100"/>
  <c r="E52" i="100"/>
  <c r="D52" i="100"/>
  <c r="S51" i="100"/>
  <c r="R51" i="100"/>
  <c r="Q51" i="100"/>
  <c r="P51" i="100"/>
  <c r="O51" i="100"/>
  <c r="N51" i="100"/>
  <c r="M51" i="100"/>
  <c r="L51" i="100"/>
  <c r="K51" i="100"/>
  <c r="J51" i="100"/>
  <c r="I51" i="100"/>
  <c r="H51" i="100"/>
  <c r="G51" i="100"/>
  <c r="F51" i="100"/>
  <c r="E51" i="100"/>
  <c r="D51" i="100"/>
  <c r="S50" i="100"/>
  <c r="R50" i="100"/>
  <c r="Q50" i="100"/>
  <c r="P50" i="100"/>
  <c r="O50" i="100"/>
  <c r="N50" i="100"/>
  <c r="M50" i="100"/>
  <c r="M71" i="100"/>
  <c r="L50" i="100"/>
  <c r="K50" i="100"/>
  <c r="K71" i="100"/>
  <c r="J50" i="100"/>
  <c r="J71" i="100"/>
  <c r="I50" i="100"/>
  <c r="I71" i="100"/>
  <c r="H50" i="100"/>
  <c r="G50" i="100"/>
  <c r="G71" i="100"/>
  <c r="F50" i="100"/>
  <c r="F71" i="100"/>
  <c r="E50" i="100"/>
  <c r="E71" i="100"/>
  <c r="D50" i="100"/>
  <c r="D71" i="100"/>
  <c r="C70" i="100"/>
  <c r="C69" i="100"/>
  <c r="C68" i="100"/>
  <c r="C67" i="100"/>
  <c r="C66" i="100"/>
  <c r="C65" i="100"/>
  <c r="C64" i="100"/>
  <c r="C63" i="100"/>
  <c r="S71" i="100"/>
  <c r="R71" i="100"/>
  <c r="Q71" i="100"/>
  <c r="P71" i="100"/>
  <c r="O71" i="100"/>
  <c r="N71" i="100"/>
  <c r="L71" i="100"/>
  <c r="H71" i="100"/>
  <c r="C62" i="100"/>
  <c r="C61" i="100"/>
  <c r="C60" i="100"/>
  <c r="C59" i="100"/>
  <c r="C58" i="100"/>
  <c r="C57" i="100"/>
  <c r="C56" i="100"/>
  <c r="C55" i="100"/>
  <c r="C54" i="100"/>
  <c r="C53" i="100"/>
  <c r="C52" i="100"/>
  <c r="C51" i="100"/>
  <c r="C50" i="100"/>
  <c r="T50" i="101"/>
  <c r="T58" i="101"/>
  <c r="T66" i="101"/>
  <c r="T51" i="101"/>
  <c r="D71" i="101"/>
  <c r="T59" i="101"/>
  <c r="T67" i="101"/>
  <c r="C71" i="101"/>
  <c r="T56" i="100"/>
  <c r="T68" i="100"/>
  <c r="T52" i="100"/>
  <c r="T53" i="100"/>
  <c r="T54" i="100"/>
  <c r="T55" i="100"/>
  <c r="T57" i="100"/>
  <c r="T60" i="100"/>
  <c r="T61" i="100"/>
  <c r="T62" i="100"/>
  <c r="T63" i="100"/>
  <c r="T64" i="100"/>
  <c r="T65" i="100"/>
  <c r="T69" i="100"/>
  <c r="T70" i="100"/>
  <c r="C71" i="100"/>
  <c r="T66" i="100"/>
  <c r="T67" i="100"/>
  <c r="T58" i="100"/>
  <c r="T51" i="100"/>
  <c r="T59" i="100"/>
  <c r="T50" i="100"/>
  <c r="T71" i="101"/>
  <c r="T71" i="100"/>
  <c r="S47" i="99"/>
  <c r="R47" i="99"/>
  <c r="Q47" i="99"/>
  <c r="P47" i="99"/>
  <c r="O47" i="99"/>
  <c r="N47" i="99"/>
  <c r="M47" i="99"/>
  <c r="L47" i="99"/>
  <c r="K47" i="99"/>
  <c r="J47" i="99"/>
  <c r="I47" i="99"/>
  <c r="H47" i="99"/>
  <c r="G47" i="99"/>
  <c r="F47" i="99"/>
  <c r="E47" i="99"/>
  <c r="D47" i="99"/>
  <c r="C47" i="99"/>
  <c r="T4" i="99"/>
  <c r="T15" i="99"/>
  <c r="T8" i="99"/>
  <c r="S47" i="98"/>
  <c r="R47" i="98"/>
  <c r="Q47" i="98"/>
  <c r="P47" i="98"/>
  <c r="O47" i="98"/>
  <c r="N47" i="98"/>
  <c r="M47" i="98"/>
  <c r="L47" i="98"/>
  <c r="K47" i="98"/>
  <c r="J47" i="98"/>
  <c r="I47" i="98"/>
  <c r="H47" i="98"/>
  <c r="G47" i="98"/>
  <c r="F47" i="98"/>
  <c r="E47" i="98"/>
  <c r="D47" i="98"/>
  <c r="C47" i="98"/>
  <c r="T20" i="98"/>
  <c r="T12" i="98"/>
  <c r="T4" i="98"/>
  <c r="J14" i="148"/>
  <c r="K7" i="148"/>
  <c r="O18" i="148"/>
  <c r="F10" i="148"/>
  <c r="C7" i="148"/>
  <c r="H23" i="148"/>
  <c r="M9" i="148"/>
  <c r="L7" i="115"/>
  <c r="D9" i="115"/>
  <c r="T16" i="99"/>
  <c r="T23" i="99"/>
  <c r="T9" i="99"/>
  <c r="T7" i="99"/>
  <c r="T9" i="98"/>
  <c r="T17" i="98"/>
  <c r="T7" i="98"/>
  <c r="T15" i="98"/>
  <c r="T23" i="98"/>
  <c r="T6" i="98"/>
  <c r="T8" i="98"/>
  <c r="T16" i="98"/>
  <c r="T47" i="98"/>
  <c r="T3" i="98"/>
  <c r="T11" i="98"/>
  <c r="T19" i="98"/>
  <c r="T17" i="99"/>
  <c r="T3" i="99"/>
  <c r="T11" i="99"/>
  <c r="T20" i="99"/>
  <c r="T10" i="99"/>
  <c r="T18" i="99"/>
  <c r="T12" i="99"/>
  <c r="T47" i="99"/>
  <c r="T13" i="99"/>
  <c r="T21" i="99"/>
  <c r="T5" i="99"/>
  <c r="T19" i="99"/>
  <c r="T6" i="99"/>
  <c r="T14" i="99"/>
  <c r="T22" i="99"/>
  <c r="T5" i="98"/>
  <c r="T13" i="98"/>
  <c r="T21" i="98"/>
  <c r="T10" i="98"/>
  <c r="T14" i="98"/>
  <c r="T18" i="98"/>
  <c r="T22" i="98"/>
  <c r="D20" i="148"/>
  <c r="K20" i="148"/>
  <c r="L14" i="148"/>
  <c r="L21" i="148"/>
  <c r="M10" i="148"/>
  <c r="Q25" i="148"/>
  <c r="M19" i="148"/>
  <c r="T41" i="148"/>
  <c r="M6" i="148"/>
  <c r="E6" i="148"/>
  <c r="H8" i="148"/>
  <c r="T39" i="148"/>
  <c r="R15" i="148"/>
  <c r="H15" i="148"/>
  <c r="C15" i="148"/>
  <c r="F19" i="148"/>
  <c r="P9" i="148"/>
  <c r="O23" i="148"/>
  <c r="J25" i="148"/>
  <c r="M17" i="148"/>
  <c r="N14" i="148"/>
  <c r="F21" i="148"/>
  <c r="N21" i="148"/>
  <c r="E23" i="148"/>
  <c r="P13" i="148"/>
  <c r="T55" i="148"/>
  <c r="Q19" i="148"/>
  <c r="D21" i="148"/>
  <c r="P8" i="148"/>
  <c r="H16" i="148"/>
  <c r="E25" i="148"/>
  <c r="N12" i="148"/>
  <c r="S23" i="148"/>
  <c r="G19" i="148"/>
  <c r="E17" i="148"/>
  <c r="P7" i="148"/>
  <c r="H7" i="148"/>
  <c r="C13" i="148"/>
  <c r="P12" i="148"/>
  <c r="H22" i="148"/>
  <c r="D16" i="148"/>
  <c r="L12" i="148"/>
  <c r="K16" i="148"/>
  <c r="P20" i="148"/>
  <c r="S8" i="148"/>
  <c r="I7" i="148"/>
  <c r="L6" i="148"/>
  <c r="E21" i="148"/>
  <c r="I8" i="148"/>
  <c r="F25" i="148"/>
  <c r="L17" i="148"/>
  <c r="S9" i="148"/>
  <c r="I11" i="148"/>
  <c r="F12" i="148"/>
  <c r="P10" i="148"/>
  <c r="S10" i="148"/>
  <c r="R14" i="148"/>
  <c r="P18" i="148"/>
  <c r="D14" i="148"/>
  <c r="R7" i="148"/>
  <c r="I23" i="148"/>
  <c r="S15" i="148"/>
  <c r="J6" i="148"/>
  <c r="S22" i="148"/>
  <c r="E14" i="148"/>
  <c r="J7" i="148"/>
  <c r="D25" i="148"/>
  <c r="N9" i="148"/>
  <c r="H17" i="148"/>
  <c r="M12" i="148"/>
  <c r="E24" i="148"/>
  <c r="P16" i="148"/>
  <c r="S17" i="148"/>
  <c r="E19" i="148"/>
  <c r="P25" i="148"/>
  <c r="E12" i="148"/>
  <c r="N15" i="148"/>
  <c r="H13" i="148"/>
  <c r="G22" i="148"/>
  <c r="K12" i="148"/>
  <c r="F13" i="148"/>
  <c r="J17" i="148"/>
  <c r="K23" i="148"/>
  <c r="K22" i="148"/>
  <c r="M21" i="148"/>
  <c r="D8" i="148"/>
  <c r="N25" i="148"/>
  <c r="G10" i="148"/>
  <c r="K15" i="148"/>
  <c r="Q6" i="148"/>
  <c r="Q15" i="148"/>
  <c r="S18" i="148"/>
  <c r="G24" i="148"/>
  <c r="G7" i="148"/>
  <c r="C12" i="148"/>
  <c r="O15" i="148"/>
  <c r="L10" i="148"/>
  <c r="G25" i="148"/>
  <c r="L9" i="148"/>
  <c r="H25" i="148"/>
  <c r="C11" i="148"/>
  <c r="F18" i="148"/>
  <c r="H9" i="148"/>
  <c r="I19" i="148"/>
  <c r="M25" i="148"/>
  <c r="D6" i="148"/>
  <c r="C6" i="148"/>
  <c r="I6" i="148"/>
  <c r="Q20" i="148"/>
  <c r="L24" i="148"/>
  <c r="F7" i="148"/>
  <c r="S24" i="148"/>
  <c r="I21" i="148"/>
  <c r="E15" i="148"/>
  <c r="N6" i="148"/>
  <c r="O12" i="148"/>
  <c r="P23" i="148"/>
  <c r="L22" i="148"/>
  <c r="K6" i="148"/>
  <c r="Q22" i="148"/>
  <c r="T69" i="148"/>
  <c r="T60" i="148"/>
  <c r="S21" i="148"/>
  <c r="J8" i="148"/>
  <c r="E18" i="148"/>
  <c r="M8" i="148"/>
  <c r="O25" i="148"/>
  <c r="N17" i="148"/>
  <c r="M16" i="148"/>
  <c r="K11" i="148"/>
  <c r="Q17" i="148"/>
  <c r="I9" i="148"/>
  <c r="T66" i="148"/>
  <c r="L13" i="148"/>
  <c r="Q7" i="148"/>
  <c r="N10" i="148"/>
  <c r="T46" i="148"/>
  <c r="M20" i="148"/>
  <c r="J22" i="148"/>
  <c r="S14" i="148"/>
  <c r="P17" i="148"/>
  <c r="I12" i="148"/>
  <c r="C24" i="148"/>
  <c r="E22" i="148"/>
  <c r="T68" i="148"/>
  <c r="N20" i="148"/>
  <c r="Q18" i="148"/>
  <c r="N8" i="148"/>
  <c r="F24" i="148"/>
  <c r="C18" i="148"/>
  <c r="O10" i="148"/>
  <c r="I14" i="148"/>
  <c r="L15" i="148"/>
  <c r="J18" i="148"/>
  <c r="M24" i="148"/>
  <c r="I17" i="148"/>
  <c r="G8" i="148"/>
  <c r="S6" i="148"/>
  <c r="K21" i="148"/>
  <c r="N13" i="148"/>
  <c r="C16" i="148"/>
  <c r="F14" i="148"/>
  <c r="O20" i="148"/>
  <c r="D10" i="148"/>
  <c r="Q8" i="148"/>
  <c r="D9" i="148"/>
  <c r="K10" i="148"/>
  <c r="H10" i="148"/>
  <c r="O7" i="148"/>
  <c r="C21" i="148"/>
  <c r="D7" i="148"/>
  <c r="G20" i="148"/>
  <c r="O21" i="148"/>
  <c r="J23" i="148"/>
  <c r="K14" i="148"/>
  <c r="J16" i="148"/>
  <c r="F17" i="148"/>
  <c r="H24" i="148"/>
  <c r="H11" i="148"/>
  <c r="S19" i="148"/>
  <c r="H19" i="148"/>
  <c r="C10" i="148"/>
  <c r="R6" i="148"/>
  <c r="N19" i="148"/>
  <c r="E16" i="148"/>
  <c r="O13" i="148"/>
  <c r="D24" i="148"/>
  <c r="L20" i="148"/>
  <c r="P6" i="148"/>
  <c r="K24" i="148"/>
  <c r="O14" i="148"/>
  <c r="E7" i="148"/>
  <c r="J20" i="148"/>
  <c r="M14" i="148"/>
  <c r="J15" i="148"/>
  <c r="I15" i="148"/>
  <c r="T63" i="148"/>
  <c r="D13" i="148"/>
  <c r="E10" i="148"/>
  <c r="F8" i="148"/>
  <c r="S25" i="148"/>
  <c r="G17" i="148"/>
  <c r="F9" i="148"/>
  <c r="L11" i="148"/>
  <c r="L19" i="148"/>
  <c r="S11" i="148"/>
  <c r="Q16" i="148"/>
  <c r="I25" i="148"/>
  <c r="K18" i="148"/>
  <c r="G18" i="148"/>
  <c r="D22" i="148"/>
  <c r="H18" i="148"/>
  <c r="P15" i="148"/>
  <c r="C22" i="148"/>
  <c r="S7" i="148"/>
  <c r="Q14" i="148"/>
  <c r="E9" i="148"/>
  <c r="R16" i="148"/>
  <c r="N18" i="148"/>
  <c r="Q23" i="148"/>
  <c r="C14" i="148"/>
  <c r="S7" i="115"/>
  <c r="S5" i="115"/>
  <c r="H7" i="115"/>
  <c r="K7" i="115"/>
  <c r="O7" i="115"/>
  <c r="Q7" i="115"/>
  <c r="G7" i="115"/>
  <c r="I7" i="115"/>
  <c r="F7" i="115"/>
  <c r="M7" i="115"/>
  <c r="M5" i="115"/>
  <c r="R7" i="115"/>
  <c r="R5" i="115"/>
  <c r="J7" i="115"/>
  <c r="J5" i="115"/>
  <c r="N7" i="115"/>
  <c r="N5" i="115"/>
  <c r="D7" i="115"/>
  <c r="L5" i="121"/>
  <c r="L26" i="121"/>
  <c r="U14" i="149"/>
  <c r="L50" i="121"/>
  <c r="C7" i="115"/>
  <c r="C5" i="115"/>
  <c r="P7" i="115"/>
  <c r="E7" i="115"/>
  <c r="F9" i="115"/>
  <c r="E9" i="115"/>
  <c r="L5" i="115"/>
  <c r="Y14" i="149"/>
  <c r="V14" i="149"/>
  <c r="T71" i="148"/>
  <c r="J19" i="148"/>
  <c r="T33" i="148"/>
  <c r="R9" i="148"/>
  <c r="K17" i="148"/>
  <c r="J24" i="148"/>
  <c r="S13" i="148"/>
  <c r="G23" i="148"/>
  <c r="F23" i="148"/>
  <c r="G21" i="148"/>
  <c r="T64" i="148"/>
  <c r="P21" i="148"/>
  <c r="D12" i="148"/>
  <c r="L25" i="148"/>
  <c r="I24" i="148"/>
  <c r="O11" i="148"/>
  <c r="G9" i="148"/>
  <c r="T67" i="148"/>
  <c r="F22" i="148"/>
  <c r="O22" i="148"/>
  <c r="T36" i="148"/>
  <c r="R12" i="148"/>
  <c r="O9" i="148"/>
  <c r="F16" i="148"/>
  <c r="O19" i="148"/>
  <c r="T57" i="148"/>
  <c r="H6" i="148"/>
  <c r="R23" i="148"/>
  <c r="M11" i="148"/>
  <c r="C17" i="148"/>
  <c r="M18" i="148"/>
  <c r="C25" i="148"/>
  <c r="J12" i="148"/>
  <c r="F15" i="148"/>
  <c r="L8" i="148"/>
  <c r="G11" i="148"/>
  <c r="M7" i="148"/>
  <c r="O16" i="148"/>
  <c r="E8" i="148"/>
  <c r="T54" i="148"/>
  <c r="Q21" i="148"/>
  <c r="L18" i="148"/>
  <c r="G12" i="148"/>
  <c r="D23" i="148"/>
  <c r="D11" i="148"/>
  <c r="I10" i="148"/>
  <c r="N23" i="148"/>
  <c r="E11" i="148"/>
  <c r="T34" i="148"/>
  <c r="R10" i="148"/>
  <c r="T62" i="148"/>
  <c r="T58" i="148"/>
  <c r="K9" i="148"/>
  <c r="N22" i="148"/>
  <c r="G13" i="148"/>
  <c r="T32" i="148"/>
  <c r="R8" i="148"/>
  <c r="T37" i="148"/>
  <c r="R13" i="148"/>
  <c r="T40" i="148"/>
  <c r="T61" i="148"/>
  <c r="T31" i="148"/>
  <c r="I18" i="148"/>
  <c r="P11" i="148"/>
  <c r="G6" i="148"/>
  <c r="C20" i="148"/>
  <c r="T65" i="148"/>
  <c r="Q9" i="148"/>
  <c r="N16" i="148"/>
  <c r="T45" i="148"/>
  <c r="R21" i="148"/>
  <c r="L23" i="148"/>
  <c r="D18" i="148"/>
  <c r="H20" i="148"/>
  <c r="L16" i="148"/>
  <c r="T35" i="148"/>
  <c r="R11" i="148"/>
  <c r="E13" i="148"/>
  <c r="S20" i="148"/>
  <c r="H14" i="148"/>
  <c r="F6" i="148"/>
  <c r="L7" i="148"/>
  <c r="M23" i="148"/>
  <c r="T73" i="148"/>
  <c r="R20" i="148"/>
  <c r="T44" i="148"/>
  <c r="P14" i="148"/>
  <c r="E20" i="148"/>
  <c r="T72" i="148"/>
  <c r="H21" i="148"/>
  <c r="J13" i="148"/>
  <c r="T56" i="148"/>
  <c r="J9" i="148"/>
  <c r="G14" i="148"/>
  <c r="R25" i="148"/>
  <c r="T43" i="148"/>
  <c r="R19" i="148"/>
  <c r="Q24" i="148"/>
  <c r="D15" i="148"/>
  <c r="I22" i="148"/>
  <c r="J11" i="148"/>
  <c r="D17" i="148"/>
  <c r="R18" i="148"/>
  <c r="T42" i="148"/>
  <c r="I13" i="148"/>
  <c r="K13" i="148"/>
  <c r="M13" i="148"/>
  <c r="T59" i="148"/>
  <c r="C23" i="148"/>
  <c r="T47" i="148"/>
  <c r="T70" i="148"/>
  <c r="I20" i="148"/>
  <c r="N7" i="148"/>
  <c r="T38" i="148"/>
  <c r="J10" i="148"/>
  <c r="P24" i="148"/>
  <c r="N24" i="148"/>
  <c r="T30" i="148"/>
  <c r="M15" i="148"/>
  <c r="T48" i="148"/>
  <c r="R24" i="148"/>
  <c r="F20" i="148"/>
  <c r="K19" i="148"/>
  <c r="C8" i="148"/>
  <c r="Q11" i="148"/>
  <c r="Q13" i="148"/>
  <c r="D19" i="148"/>
  <c r="Q12" i="148"/>
  <c r="C19" i="148"/>
  <c r="F11" i="148"/>
  <c r="P19" i="148"/>
  <c r="O17" i="148"/>
  <c r="R22" i="148"/>
  <c r="N11" i="148"/>
  <c r="K25" i="148"/>
  <c r="J21" i="148"/>
  <c r="M22" i="148"/>
  <c r="Q10" i="148"/>
  <c r="T49" i="148"/>
  <c r="G16" i="148"/>
  <c r="I16" i="148"/>
  <c r="S12" i="148"/>
  <c r="O8" i="148"/>
  <c r="K8" i="148"/>
  <c r="H12" i="148"/>
  <c r="S16" i="148"/>
  <c r="P22" i="148"/>
  <c r="C9" i="148"/>
  <c r="R17" i="148"/>
  <c r="O24" i="148"/>
  <c r="O6" i="148"/>
  <c r="G15" i="148"/>
  <c r="T7" i="115"/>
  <c r="P5" i="121"/>
  <c r="P26" i="121"/>
  <c r="U18" i="149"/>
  <c r="P50" i="121"/>
  <c r="H50" i="121"/>
  <c r="H5" i="121"/>
  <c r="H26" i="121"/>
  <c r="U10" i="149"/>
  <c r="I5" i="121"/>
  <c r="I26" i="121"/>
  <c r="U11" i="149"/>
  <c r="I50" i="121"/>
  <c r="J50" i="121"/>
  <c r="J5" i="121"/>
  <c r="J26" i="121"/>
  <c r="U12" i="149"/>
  <c r="F5" i="121"/>
  <c r="F26" i="121"/>
  <c r="U8" i="149"/>
  <c r="F50" i="121"/>
  <c r="Q50" i="121"/>
  <c r="Q5" i="121"/>
  <c r="Q26" i="121"/>
  <c r="U19" i="149"/>
  <c r="D5" i="115"/>
  <c r="C5" i="121"/>
  <c r="C50" i="121"/>
  <c r="T29" i="121"/>
  <c r="N5" i="121"/>
  <c r="N26" i="121"/>
  <c r="U16" i="149"/>
  <c r="N50" i="121"/>
  <c r="O5" i="121"/>
  <c r="O26" i="121"/>
  <c r="U17" i="149"/>
  <c r="O50" i="121"/>
  <c r="K5" i="121"/>
  <c r="K26" i="121"/>
  <c r="U13" i="149"/>
  <c r="K50" i="121"/>
  <c r="R5" i="121"/>
  <c r="R26" i="121"/>
  <c r="U21" i="149"/>
  <c r="V21" i="149"/>
  <c r="R50" i="121"/>
  <c r="M50" i="121"/>
  <c r="M5" i="121"/>
  <c r="M26" i="121"/>
  <c r="U15" i="149"/>
  <c r="S50" i="121"/>
  <c r="S5" i="121"/>
  <c r="S26" i="121"/>
  <c r="U20" i="149"/>
  <c r="V20" i="149"/>
  <c r="D50" i="121"/>
  <c r="D5" i="121"/>
  <c r="D26" i="121"/>
  <c r="U6" i="149"/>
  <c r="E50" i="121"/>
  <c r="E5" i="121"/>
  <c r="E26" i="121"/>
  <c r="U7" i="149"/>
  <c r="G5" i="121"/>
  <c r="G26" i="121"/>
  <c r="U9" i="149"/>
  <c r="G50" i="121"/>
  <c r="T9" i="115"/>
  <c r="G5" i="115"/>
  <c r="H5" i="115"/>
  <c r="E5" i="115"/>
  <c r="I5" i="115"/>
  <c r="Q5" i="115"/>
  <c r="K5" i="115"/>
  <c r="F5" i="115"/>
  <c r="O5" i="115"/>
  <c r="P5" i="115"/>
  <c r="T14" i="148"/>
  <c r="V19" i="149"/>
  <c r="Y19" i="149"/>
  <c r="V9" i="149"/>
  <c r="Y9" i="149"/>
  <c r="Y16" i="149"/>
  <c r="V16" i="149"/>
  <c r="Y8" i="149"/>
  <c r="V8" i="149"/>
  <c r="V18" i="149"/>
  <c r="Y18" i="149"/>
  <c r="T15" i="148"/>
  <c r="Y20" i="149"/>
  <c r="V12" i="149"/>
  <c r="Y12" i="149"/>
  <c r="Y6" i="149"/>
  <c r="V6" i="149"/>
  <c r="Y10" i="149"/>
  <c r="V10" i="149"/>
  <c r="Y17" i="149"/>
  <c r="V17" i="149"/>
  <c r="V15" i="149"/>
  <c r="Y15" i="149"/>
  <c r="V7" i="149"/>
  <c r="Y7" i="149"/>
  <c r="Y21" i="149"/>
  <c r="Y13" i="149"/>
  <c r="V13" i="149"/>
  <c r="Y11" i="149"/>
  <c r="V11" i="149"/>
  <c r="T23" i="148"/>
  <c r="T18" i="148"/>
  <c r="T21" i="148"/>
  <c r="T11" i="148"/>
  <c r="T24" i="148"/>
  <c r="T7" i="148"/>
  <c r="T10" i="148"/>
  <c r="T13" i="148"/>
  <c r="T16" i="148"/>
  <c r="T22" i="148"/>
  <c r="T12" i="148"/>
  <c r="T6" i="148"/>
  <c r="T20" i="148"/>
  <c r="T17" i="148"/>
  <c r="T19" i="148"/>
  <c r="T9" i="148"/>
  <c r="T8" i="148"/>
  <c r="T25" i="148"/>
  <c r="T5" i="115"/>
  <c r="T50" i="121"/>
  <c r="T5" i="121"/>
  <c r="C26" i="121"/>
  <c r="T26" i="121"/>
  <c r="U5" i="149"/>
  <c r="U25" i="149"/>
  <c r="U59" i="105"/>
  <c r="T30" i="105"/>
  <c r="S90" i="103"/>
  <c r="S73" i="110"/>
  <c r="S30" i="105"/>
  <c r="R90" i="103"/>
  <c r="R73" i="110"/>
  <c r="R30" i="105"/>
  <c r="Q90" i="103"/>
  <c r="Q73" i="110"/>
  <c r="Q30" i="105"/>
  <c r="P90" i="103"/>
  <c r="P73" i="110"/>
  <c r="P30" i="105"/>
  <c r="O90" i="103"/>
  <c r="O73" i="110"/>
  <c r="O30" i="105"/>
  <c r="N90" i="103"/>
  <c r="N73" i="110"/>
  <c r="N30" i="105"/>
  <c r="M90" i="103"/>
  <c r="M73" i="110"/>
  <c r="M30" i="105"/>
  <c r="L90" i="103"/>
  <c r="L73" i="110"/>
  <c r="L30" i="105"/>
  <c r="K90" i="103"/>
  <c r="K73" i="110"/>
  <c r="K30" i="105"/>
  <c r="J90" i="103"/>
  <c r="J73" i="110"/>
  <c r="J30" i="105"/>
  <c r="I90" i="103"/>
  <c r="I73" i="110"/>
  <c r="I30" i="105"/>
  <c r="H90" i="103"/>
  <c r="H73" i="110"/>
  <c r="H30" i="105"/>
  <c r="G90" i="103"/>
  <c r="G73" i="110"/>
  <c r="G30" i="105"/>
  <c r="F90" i="103"/>
  <c r="F73" i="110"/>
  <c r="F30" i="105"/>
  <c r="E90" i="103"/>
  <c r="E73" i="110"/>
  <c r="E30" i="105"/>
  <c r="D90" i="103"/>
  <c r="D73" i="110"/>
  <c r="U58" i="105"/>
  <c r="T29" i="105"/>
  <c r="S89" i="103"/>
  <c r="S72" i="110"/>
  <c r="S29" i="105"/>
  <c r="R89" i="103"/>
  <c r="R72" i="110"/>
  <c r="R29" i="105"/>
  <c r="Q89" i="103"/>
  <c r="Q72" i="110"/>
  <c r="Q29" i="105"/>
  <c r="P89" i="103"/>
  <c r="P72" i="110"/>
  <c r="P29" i="105"/>
  <c r="O89" i="103"/>
  <c r="O72" i="110"/>
  <c r="O29" i="105"/>
  <c r="N89" i="103"/>
  <c r="N72" i="110"/>
  <c r="N29" i="105"/>
  <c r="M89" i="103"/>
  <c r="M72" i="110"/>
  <c r="M29" i="105"/>
  <c r="L89" i="103"/>
  <c r="L72" i="110"/>
  <c r="L29" i="105"/>
  <c r="K89" i="103"/>
  <c r="K72" i="110"/>
  <c r="K29" i="105"/>
  <c r="J89" i="103"/>
  <c r="J72" i="110"/>
  <c r="J29" i="105"/>
  <c r="I89" i="103"/>
  <c r="I72" i="110"/>
  <c r="I29" i="105"/>
  <c r="H89" i="103"/>
  <c r="H72" i="110"/>
  <c r="H29" i="105"/>
  <c r="G89" i="103"/>
  <c r="G72" i="110"/>
  <c r="G29" i="105"/>
  <c r="F89" i="103"/>
  <c r="F72" i="110"/>
  <c r="F29" i="105"/>
  <c r="E89" i="103"/>
  <c r="E72" i="110"/>
  <c r="E29" i="105"/>
  <c r="D89" i="103"/>
  <c r="D72" i="110"/>
  <c r="U57" i="105"/>
  <c r="T28" i="105"/>
  <c r="S88" i="103"/>
  <c r="S71" i="110"/>
  <c r="S28" i="105"/>
  <c r="R88" i="103"/>
  <c r="R71" i="110"/>
  <c r="R28" i="105"/>
  <c r="Q88" i="103"/>
  <c r="Q71" i="110"/>
  <c r="Q28" i="105"/>
  <c r="P88" i="103"/>
  <c r="P71" i="110"/>
  <c r="P28" i="105"/>
  <c r="O88" i="103"/>
  <c r="O71" i="110"/>
  <c r="O28" i="105"/>
  <c r="N88" i="103"/>
  <c r="N71" i="110"/>
  <c r="N28" i="105"/>
  <c r="M88" i="103"/>
  <c r="M71" i="110"/>
  <c r="M28" i="105"/>
  <c r="L88" i="103"/>
  <c r="L71" i="110"/>
  <c r="L28" i="105"/>
  <c r="K88" i="103"/>
  <c r="K71" i="110"/>
  <c r="K28" i="105"/>
  <c r="J88" i="103"/>
  <c r="J71" i="110"/>
  <c r="J28" i="105"/>
  <c r="I88" i="103"/>
  <c r="I71" i="110"/>
  <c r="I28" i="105"/>
  <c r="H88" i="103"/>
  <c r="H71" i="110"/>
  <c r="H28" i="105"/>
  <c r="G88" i="103"/>
  <c r="G71" i="110"/>
  <c r="G28" i="105"/>
  <c r="F88" i="103"/>
  <c r="F71" i="110"/>
  <c r="F28" i="105"/>
  <c r="E88" i="103"/>
  <c r="E71" i="110"/>
  <c r="E28" i="105"/>
  <c r="D88" i="103"/>
  <c r="D71" i="110"/>
  <c r="U56" i="105"/>
  <c r="T27" i="105"/>
  <c r="S87" i="103"/>
  <c r="S70" i="110"/>
  <c r="S27" i="105"/>
  <c r="R87" i="103"/>
  <c r="R70" i="110"/>
  <c r="R27" i="105"/>
  <c r="Q87" i="103"/>
  <c r="Q70" i="110"/>
  <c r="Q27" i="105"/>
  <c r="P87" i="103"/>
  <c r="P70" i="110"/>
  <c r="P27" i="105"/>
  <c r="O87" i="103"/>
  <c r="O70" i="110"/>
  <c r="O27" i="105"/>
  <c r="N87" i="103"/>
  <c r="N70" i="110"/>
  <c r="N27" i="105"/>
  <c r="M87" i="103"/>
  <c r="M70" i="110"/>
  <c r="M27" i="105"/>
  <c r="L87" i="103"/>
  <c r="L70" i="110"/>
  <c r="L27" i="105"/>
  <c r="K87" i="103"/>
  <c r="K70" i="110"/>
  <c r="K27" i="105"/>
  <c r="J87" i="103"/>
  <c r="J70" i="110"/>
  <c r="J27" i="105"/>
  <c r="I87" i="103"/>
  <c r="I70" i="110"/>
  <c r="I27" i="105"/>
  <c r="H87" i="103"/>
  <c r="H70" i="110"/>
  <c r="H27" i="105"/>
  <c r="G87" i="103"/>
  <c r="G70" i="110"/>
  <c r="G27" i="105"/>
  <c r="F87" i="103"/>
  <c r="F70" i="110"/>
  <c r="F27" i="105"/>
  <c r="E87" i="103"/>
  <c r="E70" i="110"/>
  <c r="E27" i="105"/>
  <c r="D87" i="103"/>
  <c r="D70" i="110"/>
  <c r="U55" i="105"/>
  <c r="T26" i="105"/>
  <c r="S86" i="103"/>
  <c r="S69" i="110"/>
  <c r="S26" i="105"/>
  <c r="R86" i="103"/>
  <c r="R69" i="110"/>
  <c r="R26" i="105"/>
  <c r="Q86" i="103"/>
  <c r="Q69" i="110"/>
  <c r="Q26" i="105"/>
  <c r="P86" i="103"/>
  <c r="P69" i="110"/>
  <c r="P26" i="105"/>
  <c r="O86" i="103"/>
  <c r="O69" i="110"/>
  <c r="O26" i="105"/>
  <c r="N86" i="103"/>
  <c r="N69" i="110"/>
  <c r="N26" i="105"/>
  <c r="M86" i="103"/>
  <c r="M69" i="110"/>
  <c r="M26" i="105"/>
  <c r="L86" i="103"/>
  <c r="L69" i="110"/>
  <c r="L26" i="105"/>
  <c r="K86" i="103"/>
  <c r="K69" i="110"/>
  <c r="K26" i="105"/>
  <c r="J86" i="103"/>
  <c r="J69" i="110"/>
  <c r="J26" i="105"/>
  <c r="I86" i="103"/>
  <c r="I69" i="110"/>
  <c r="I26" i="105"/>
  <c r="H86" i="103"/>
  <c r="H69" i="110"/>
  <c r="H26" i="105"/>
  <c r="G86" i="103"/>
  <c r="G69" i="110"/>
  <c r="G26" i="105"/>
  <c r="F86" i="103"/>
  <c r="F69" i="110"/>
  <c r="F26" i="105"/>
  <c r="E86" i="103"/>
  <c r="E69" i="110"/>
  <c r="E26" i="105"/>
  <c r="D86" i="103"/>
  <c r="D69" i="110"/>
  <c r="U54" i="105"/>
  <c r="T25" i="105"/>
  <c r="S85" i="103"/>
  <c r="S25" i="105"/>
  <c r="R85" i="103"/>
  <c r="R25" i="105"/>
  <c r="Q85" i="103"/>
  <c r="Q25" i="105"/>
  <c r="P85" i="103"/>
  <c r="P25" i="105"/>
  <c r="O85" i="103"/>
  <c r="O25" i="105"/>
  <c r="N85" i="103"/>
  <c r="N25" i="105"/>
  <c r="M85" i="103"/>
  <c r="M25" i="105"/>
  <c r="L85" i="103"/>
  <c r="L25" i="105"/>
  <c r="K85" i="103"/>
  <c r="K25" i="105"/>
  <c r="J85" i="103"/>
  <c r="J25" i="105"/>
  <c r="I85" i="103"/>
  <c r="I25" i="105"/>
  <c r="H85" i="103"/>
  <c r="H25" i="105"/>
  <c r="G85" i="103"/>
  <c r="G25" i="105"/>
  <c r="F85" i="103"/>
  <c r="F25" i="105"/>
  <c r="E85" i="103"/>
  <c r="E25" i="105"/>
  <c r="D85" i="103"/>
  <c r="U53" i="105"/>
  <c r="T24" i="105"/>
  <c r="S84" i="103"/>
  <c r="S68" i="110"/>
  <c r="S24" i="105"/>
  <c r="R84" i="103"/>
  <c r="R68" i="110"/>
  <c r="R24" i="105"/>
  <c r="Q84" i="103"/>
  <c r="Q24" i="105"/>
  <c r="P84" i="103"/>
  <c r="P24" i="105"/>
  <c r="O84" i="103"/>
  <c r="O68" i="110"/>
  <c r="O24" i="105"/>
  <c r="N84" i="103"/>
  <c r="N68" i="110"/>
  <c r="N24" i="105"/>
  <c r="M84" i="103"/>
  <c r="M68" i="110"/>
  <c r="M24" i="105"/>
  <c r="L84" i="103"/>
  <c r="L68" i="110"/>
  <c r="L24" i="105"/>
  <c r="K84" i="103"/>
  <c r="K68" i="110"/>
  <c r="K24" i="105"/>
  <c r="J84" i="103"/>
  <c r="J68" i="110"/>
  <c r="J24" i="105"/>
  <c r="I84" i="103"/>
  <c r="I68" i="110"/>
  <c r="I24" i="105"/>
  <c r="H84" i="103"/>
  <c r="H68" i="110"/>
  <c r="H24" i="105"/>
  <c r="G84" i="103"/>
  <c r="G68" i="110"/>
  <c r="G24" i="105"/>
  <c r="F84" i="103"/>
  <c r="F68" i="110"/>
  <c r="F24" i="105"/>
  <c r="E84" i="103"/>
  <c r="E68" i="110"/>
  <c r="E24" i="105"/>
  <c r="D84" i="103"/>
  <c r="D68" i="110"/>
  <c r="U52" i="105"/>
  <c r="T23" i="105"/>
  <c r="S83" i="103"/>
  <c r="S67" i="110"/>
  <c r="S23" i="105"/>
  <c r="R83" i="103"/>
  <c r="R67" i="110"/>
  <c r="R23" i="105"/>
  <c r="Q83" i="103"/>
  <c r="Q67" i="110"/>
  <c r="Q23" i="105"/>
  <c r="P83" i="103"/>
  <c r="P67" i="110"/>
  <c r="P23" i="105"/>
  <c r="O83" i="103"/>
  <c r="O67" i="110"/>
  <c r="O23" i="105"/>
  <c r="N83" i="103"/>
  <c r="N67" i="110"/>
  <c r="N23" i="105"/>
  <c r="M83" i="103"/>
  <c r="M67" i="110"/>
  <c r="M23" i="105"/>
  <c r="L83" i="103"/>
  <c r="L67" i="110"/>
  <c r="L23" i="105"/>
  <c r="K83" i="103"/>
  <c r="K67" i="110"/>
  <c r="K23" i="105"/>
  <c r="J83" i="103"/>
  <c r="J67" i="110"/>
  <c r="J23" i="105"/>
  <c r="I83" i="103"/>
  <c r="I67" i="110"/>
  <c r="I23" i="105"/>
  <c r="H83" i="103"/>
  <c r="H67" i="110"/>
  <c r="H23" i="105"/>
  <c r="G83" i="103"/>
  <c r="G67" i="110"/>
  <c r="G23" i="105"/>
  <c r="F83" i="103"/>
  <c r="F67" i="110"/>
  <c r="F23" i="105"/>
  <c r="E83" i="103"/>
  <c r="E67" i="110"/>
  <c r="E23" i="105"/>
  <c r="D83" i="103"/>
  <c r="D67" i="110"/>
  <c r="U51" i="105"/>
  <c r="T22" i="105"/>
  <c r="S82" i="103"/>
  <c r="S66" i="110"/>
  <c r="S22" i="105"/>
  <c r="R82" i="103"/>
  <c r="R66" i="110"/>
  <c r="R22" i="105"/>
  <c r="Q82" i="103"/>
  <c r="Q66" i="110"/>
  <c r="Q22" i="105"/>
  <c r="P82" i="103"/>
  <c r="P66" i="110"/>
  <c r="P22" i="105"/>
  <c r="O82" i="103"/>
  <c r="O66" i="110"/>
  <c r="O22" i="105"/>
  <c r="N82" i="103"/>
  <c r="N66" i="110"/>
  <c r="N22" i="105"/>
  <c r="M82" i="103"/>
  <c r="M66" i="110"/>
  <c r="M22" i="105"/>
  <c r="L82" i="103"/>
  <c r="L66" i="110"/>
  <c r="L22" i="105"/>
  <c r="K82" i="103"/>
  <c r="K66" i="110"/>
  <c r="K22" i="105"/>
  <c r="J82" i="103"/>
  <c r="J66" i="110"/>
  <c r="J22" i="105"/>
  <c r="I82" i="103"/>
  <c r="I66" i="110"/>
  <c r="I22" i="105"/>
  <c r="H82" i="103"/>
  <c r="H66" i="110"/>
  <c r="H22" i="105"/>
  <c r="G82" i="103"/>
  <c r="G66" i="110"/>
  <c r="G22" i="105"/>
  <c r="F82" i="103"/>
  <c r="F66" i="110"/>
  <c r="F22" i="105"/>
  <c r="E82" i="103"/>
  <c r="E66" i="110"/>
  <c r="E22" i="105"/>
  <c r="D82" i="103"/>
  <c r="D66" i="110"/>
  <c r="U50" i="105"/>
  <c r="T21" i="105"/>
  <c r="S81" i="103"/>
  <c r="S21" i="105"/>
  <c r="R81" i="103"/>
  <c r="R21" i="105"/>
  <c r="Q81" i="103"/>
  <c r="Q21" i="105"/>
  <c r="P81" i="103"/>
  <c r="P21" i="105"/>
  <c r="O81" i="103"/>
  <c r="O21" i="105"/>
  <c r="N81" i="103"/>
  <c r="N21" i="105"/>
  <c r="M81" i="103"/>
  <c r="M21" i="105"/>
  <c r="L81" i="103"/>
  <c r="L21" i="105"/>
  <c r="K81" i="103"/>
  <c r="K21" i="105"/>
  <c r="J81" i="103"/>
  <c r="J21" i="105"/>
  <c r="I81" i="103"/>
  <c r="I21" i="105"/>
  <c r="H81" i="103"/>
  <c r="H21" i="105"/>
  <c r="G81" i="103"/>
  <c r="G21" i="105"/>
  <c r="F81" i="103"/>
  <c r="F21" i="105"/>
  <c r="E81" i="103"/>
  <c r="E21" i="105"/>
  <c r="D81" i="103"/>
  <c r="U49" i="105"/>
  <c r="T20" i="105"/>
  <c r="S80" i="103"/>
  <c r="S65" i="110"/>
  <c r="S20" i="105"/>
  <c r="R80" i="103"/>
  <c r="R65" i="110"/>
  <c r="R20" i="105"/>
  <c r="Q80" i="103"/>
  <c r="Q65" i="110"/>
  <c r="Q20" i="105"/>
  <c r="P80" i="103"/>
  <c r="P65" i="110"/>
  <c r="P20" i="105"/>
  <c r="O80" i="103"/>
  <c r="O65" i="110"/>
  <c r="O20" i="105"/>
  <c r="N80" i="103"/>
  <c r="N65" i="110"/>
  <c r="N20" i="105"/>
  <c r="M80" i="103"/>
  <c r="M20" i="105"/>
  <c r="L80" i="103"/>
  <c r="L20" i="105"/>
  <c r="K80" i="103"/>
  <c r="K65" i="110"/>
  <c r="K20" i="105"/>
  <c r="J80" i="103"/>
  <c r="J65" i="110"/>
  <c r="J20" i="105"/>
  <c r="I80" i="103"/>
  <c r="I65" i="110"/>
  <c r="I20" i="105"/>
  <c r="H80" i="103"/>
  <c r="H20" i="105"/>
  <c r="G80" i="103"/>
  <c r="G65" i="110"/>
  <c r="G20" i="105"/>
  <c r="F80" i="103"/>
  <c r="F20" i="105"/>
  <c r="E80" i="103"/>
  <c r="E20" i="105"/>
  <c r="D80" i="103"/>
  <c r="D65" i="110"/>
  <c r="U48" i="105"/>
  <c r="T19" i="105"/>
  <c r="S79" i="103"/>
  <c r="S19" i="105"/>
  <c r="R79" i="103"/>
  <c r="R19" i="105"/>
  <c r="Q79" i="103"/>
  <c r="Q19" i="105"/>
  <c r="P79" i="103"/>
  <c r="P19" i="105"/>
  <c r="O79" i="103"/>
  <c r="O19" i="105"/>
  <c r="N79" i="103"/>
  <c r="N19" i="105"/>
  <c r="M79" i="103"/>
  <c r="M19" i="105"/>
  <c r="L79" i="103"/>
  <c r="L19" i="105"/>
  <c r="K79" i="103"/>
  <c r="K19" i="105"/>
  <c r="J79" i="103"/>
  <c r="J19" i="105"/>
  <c r="I79" i="103"/>
  <c r="I19" i="105"/>
  <c r="H79" i="103"/>
  <c r="H19" i="105"/>
  <c r="G79" i="103"/>
  <c r="G19" i="105"/>
  <c r="F79" i="103"/>
  <c r="F19" i="105"/>
  <c r="E79" i="103"/>
  <c r="E19" i="105"/>
  <c r="D79" i="103"/>
  <c r="U47" i="105"/>
  <c r="T18" i="105"/>
  <c r="S78" i="103"/>
  <c r="S18" i="105"/>
  <c r="R78" i="103"/>
  <c r="R18" i="105"/>
  <c r="Q78" i="103"/>
  <c r="Q18" i="105"/>
  <c r="P78" i="103"/>
  <c r="P18" i="105"/>
  <c r="O78" i="103"/>
  <c r="O18" i="105"/>
  <c r="N78" i="103"/>
  <c r="N18" i="105"/>
  <c r="M78" i="103"/>
  <c r="M18" i="105"/>
  <c r="L78" i="103"/>
  <c r="L18" i="105"/>
  <c r="K78" i="103"/>
  <c r="K18" i="105"/>
  <c r="J78" i="103"/>
  <c r="J18" i="105"/>
  <c r="I78" i="103"/>
  <c r="I18" i="105"/>
  <c r="H78" i="103"/>
  <c r="H18" i="105"/>
  <c r="G78" i="103"/>
  <c r="G18" i="105"/>
  <c r="F78" i="103"/>
  <c r="F18" i="105"/>
  <c r="E78" i="103"/>
  <c r="E18" i="105"/>
  <c r="D78" i="103"/>
  <c r="U46" i="105"/>
  <c r="T17" i="105"/>
  <c r="S77" i="103"/>
  <c r="S64" i="110"/>
  <c r="S17" i="105"/>
  <c r="R77" i="103"/>
  <c r="R64" i="110"/>
  <c r="R17" i="105"/>
  <c r="Q77" i="103"/>
  <c r="Q64" i="110"/>
  <c r="Q17" i="105"/>
  <c r="P77" i="103"/>
  <c r="P64" i="110"/>
  <c r="P17" i="105"/>
  <c r="O77" i="103"/>
  <c r="O64" i="110"/>
  <c r="O17" i="105"/>
  <c r="N77" i="103"/>
  <c r="N17" i="105"/>
  <c r="M77" i="103"/>
  <c r="M17" i="105"/>
  <c r="L77" i="103"/>
  <c r="L64" i="110"/>
  <c r="L17" i="105"/>
  <c r="K77" i="103"/>
  <c r="K64" i="110"/>
  <c r="K17" i="105"/>
  <c r="J77" i="103"/>
  <c r="J64" i="110"/>
  <c r="J17" i="105"/>
  <c r="I77" i="103"/>
  <c r="I64" i="110"/>
  <c r="I17" i="105"/>
  <c r="H77" i="103"/>
  <c r="H64" i="110"/>
  <c r="H17" i="105"/>
  <c r="G77" i="103"/>
  <c r="G64" i="110"/>
  <c r="G17" i="105"/>
  <c r="F77" i="103"/>
  <c r="F17" i="105"/>
  <c r="E77" i="103"/>
  <c r="E17" i="105"/>
  <c r="D77" i="103"/>
  <c r="D64" i="110"/>
  <c r="U45" i="105"/>
  <c r="T16" i="105"/>
  <c r="S76" i="103"/>
  <c r="S16" i="105"/>
  <c r="R76" i="103"/>
  <c r="R16" i="105"/>
  <c r="Q76" i="103"/>
  <c r="Q16" i="105"/>
  <c r="P76" i="103"/>
  <c r="P16" i="105"/>
  <c r="O76" i="103"/>
  <c r="O16" i="105"/>
  <c r="N76" i="103"/>
  <c r="N16" i="105"/>
  <c r="M76" i="103"/>
  <c r="M16" i="105"/>
  <c r="L76" i="103"/>
  <c r="L16" i="105"/>
  <c r="K76" i="103"/>
  <c r="K16" i="105"/>
  <c r="J76" i="103"/>
  <c r="J16" i="105"/>
  <c r="I76" i="103"/>
  <c r="I16" i="105"/>
  <c r="H76" i="103"/>
  <c r="H16" i="105"/>
  <c r="G76" i="103"/>
  <c r="G16" i="105"/>
  <c r="F76" i="103"/>
  <c r="F16" i="105"/>
  <c r="E76" i="103"/>
  <c r="E16" i="105"/>
  <c r="D76" i="103"/>
  <c r="U44" i="105"/>
  <c r="T15" i="105"/>
  <c r="S75" i="103"/>
  <c r="S63" i="110"/>
  <c r="S15" i="105"/>
  <c r="R75" i="103"/>
  <c r="R63" i="110"/>
  <c r="R15" i="105"/>
  <c r="Q75" i="103"/>
  <c r="Q63" i="110"/>
  <c r="Q15" i="105"/>
  <c r="P75" i="103"/>
  <c r="P63" i="110"/>
  <c r="P15" i="105"/>
  <c r="O75" i="103"/>
  <c r="O63" i="110"/>
  <c r="O15" i="105"/>
  <c r="N75" i="103"/>
  <c r="N15" i="105"/>
  <c r="M75" i="103"/>
  <c r="M63" i="110"/>
  <c r="M15" i="105"/>
  <c r="L75" i="103"/>
  <c r="L63" i="110"/>
  <c r="L15" i="105"/>
  <c r="K75" i="103"/>
  <c r="K63" i="110"/>
  <c r="K15" i="105"/>
  <c r="J75" i="103"/>
  <c r="J63" i="110"/>
  <c r="J15" i="105"/>
  <c r="I75" i="103"/>
  <c r="I63" i="110"/>
  <c r="I15" i="105"/>
  <c r="H75" i="103"/>
  <c r="H63" i="110"/>
  <c r="H15" i="105"/>
  <c r="G75" i="103"/>
  <c r="G63" i="110"/>
  <c r="G15" i="105"/>
  <c r="F75" i="103"/>
  <c r="F63" i="110"/>
  <c r="F15" i="105"/>
  <c r="E75" i="103"/>
  <c r="E63" i="110"/>
  <c r="E15" i="105"/>
  <c r="D75" i="103"/>
  <c r="D63" i="110"/>
  <c r="U43" i="105"/>
  <c r="T14" i="105"/>
  <c r="S74" i="103"/>
  <c r="S62" i="110"/>
  <c r="S14" i="105"/>
  <c r="R74" i="103"/>
  <c r="R62" i="110"/>
  <c r="R14" i="105"/>
  <c r="Q74" i="103"/>
  <c r="Q62" i="110"/>
  <c r="Q14" i="105"/>
  <c r="P74" i="103"/>
  <c r="P62" i="110"/>
  <c r="P14" i="105"/>
  <c r="O74" i="103"/>
  <c r="O62" i="110"/>
  <c r="O14" i="105"/>
  <c r="N74" i="103"/>
  <c r="N62" i="110"/>
  <c r="N14" i="105"/>
  <c r="M74" i="103"/>
  <c r="M62" i="110"/>
  <c r="M14" i="105"/>
  <c r="L74" i="103"/>
  <c r="L62" i="110"/>
  <c r="L14" i="105"/>
  <c r="K74" i="103"/>
  <c r="K62" i="110"/>
  <c r="K14" i="105"/>
  <c r="J74" i="103"/>
  <c r="J62" i="110"/>
  <c r="J14" i="105"/>
  <c r="I74" i="103"/>
  <c r="I62" i="110"/>
  <c r="I14" i="105"/>
  <c r="H74" i="103"/>
  <c r="H62" i="110"/>
  <c r="H14" i="105"/>
  <c r="G74" i="103"/>
  <c r="G62" i="110"/>
  <c r="G14" i="105"/>
  <c r="F74" i="103"/>
  <c r="F62" i="110"/>
  <c r="F14" i="105"/>
  <c r="E74" i="103"/>
  <c r="E62" i="110"/>
  <c r="E14" i="105"/>
  <c r="D74" i="103"/>
  <c r="D62" i="110"/>
  <c r="U42" i="105"/>
  <c r="T13" i="105"/>
  <c r="S73" i="103"/>
  <c r="S61" i="110"/>
  <c r="S13" i="105"/>
  <c r="R73" i="103"/>
  <c r="R61" i="110"/>
  <c r="R13" i="105"/>
  <c r="Q73" i="103"/>
  <c r="Q61" i="110"/>
  <c r="Q13" i="105"/>
  <c r="P73" i="103"/>
  <c r="P61" i="110"/>
  <c r="P13" i="105"/>
  <c r="O73" i="103"/>
  <c r="O61" i="110"/>
  <c r="O13" i="105"/>
  <c r="N73" i="103"/>
  <c r="N61" i="110"/>
  <c r="N13" i="105"/>
  <c r="M73" i="103"/>
  <c r="M61" i="110"/>
  <c r="M13" i="105"/>
  <c r="L73" i="103"/>
  <c r="L61" i="110"/>
  <c r="L13" i="105"/>
  <c r="K73" i="103"/>
  <c r="K61" i="110"/>
  <c r="K13" i="105"/>
  <c r="J73" i="103"/>
  <c r="J61" i="110"/>
  <c r="J13" i="105"/>
  <c r="I73" i="103"/>
  <c r="I61" i="110"/>
  <c r="I13" i="105"/>
  <c r="H73" i="103"/>
  <c r="H61" i="110"/>
  <c r="H13" i="105"/>
  <c r="G73" i="103"/>
  <c r="G61" i="110"/>
  <c r="G13" i="105"/>
  <c r="F73" i="103"/>
  <c r="F61" i="110"/>
  <c r="F13" i="105"/>
  <c r="E73" i="103"/>
  <c r="E61" i="110"/>
  <c r="E13" i="105"/>
  <c r="D73" i="103"/>
  <c r="D61" i="110"/>
  <c r="U41" i="105"/>
  <c r="T12" i="105"/>
  <c r="S72" i="103"/>
  <c r="S60" i="110"/>
  <c r="S12" i="105"/>
  <c r="R72" i="103"/>
  <c r="R60" i="110"/>
  <c r="R12" i="105"/>
  <c r="Q72" i="103"/>
  <c r="Q60" i="110"/>
  <c r="Q12" i="105"/>
  <c r="P72" i="103"/>
  <c r="P60" i="110"/>
  <c r="P12" i="105"/>
  <c r="O72" i="103"/>
  <c r="O60" i="110"/>
  <c r="O12" i="105"/>
  <c r="N72" i="103"/>
  <c r="N60" i="110"/>
  <c r="N12" i="105"/>
  <c r="M72" i="103"/>
  <c r="M60" i="110"/>
  <c r="M12" i="105"/>
  <c r="L72" i="103"/>
  <c r="L60" i="110"/>
  <c r="L12" i="105"/>
  <c r="K72" i="103"/>
  <c r="K60" i="110"/>
  <c r="K12" i="105"/>
  <c r="J72" i="103"/>
  <c r="J60" i="110"/>
  <c r="J12" i="105"/>
  <c r="I72" i="103"/>
  <c r="I60" i="110"/>
  <c r="I12" i="105"/>
  <c r="H72" i="103"/>
  <c r="H60" i="110"/>
  <c r="H12" i="105"/>
  <c r="G72" i="103"/>
  <c r="G60" i="110"/>
  <c r="G12" i="105"/>
  <c r="F72" i="103"/>
  <c r="F60" i="110"/>
  <c r="F12" i="105"/>
  <c r="E72" i="103"/>
  <c r="E60" i="110"/>
  <c r="E12" i="105"/>
  <c r="D72" i="103"/>
  <c r="D60" i="110"/>
  <c r="U40" i="105"/>
  <c r="T11" i="105"/>
  <c r="S71" i="103"/>
  <c r="S59" i="110"/>
  <c r="S11" i="105"/>
  <c r="R71" i="103"/>
  <c r="R59" i="110"/>
  <c r="R11" i="105"/>
  <c r="Q71" i="103"/>
  <c r="Q59" i="110"/>
  <c r="Q11" i="105"/>
  <c r="P71" i="103"/>
  <c r="P59" i="110"/>
  <c r="P11" i="105"/>
  <c r="O71" i="103"/>
  <c r="O59" i="110"/>
  <c r="O11" i="105"/>
  <c r="N71" i="103"/>
  <c r="N59" i="110"/>
  <c r="N11" i="105"/>
  <c r="M71" i="103"/>
  <c r="M59" i="110"/>
  <c r="M11" i="105"/>
  <c r="L71" i="103"/>
  <c r="L59" i="110"/>
  <c r="L11" i="105"/>
  <c r="K71" i="103"/>
  <c r="K59" i="110"/>
  <c r="K11" i="105"/>
  <c r="J71" i="103"/>
  <c r="J59" i="110"/>
  <c r="J11" i="105"/>
  <c r="I71" i="103"/>
  <c r="I59" i="110"/>
  <c r="I11" i="105"/>
  <c r="H71" i="103"/>
  <c r="H59" i="110"/>
  <c r="H11" i="105"/>
  <c r="G71" i="103"/>
  <c r="G59" i="110"/>
  <c r="G11" i="105"/>
  <c r="F71" i="103"/>
  <c r="F59" i="110"/>
  <c r="F11" i="105"/>
  <c r="E71" i="103"/>
  <c r="E59" i="110"/>
  <c r="E11" i="105"/>
  <c r="D71" i="103"/>
  <c r="D59" i="110"/>
  <c r="U39" i="105"/>
  <c r="T10" i="105"/>
  <c r="S70" i="103"/>
  <c r="S10" i="105"/>
  <c r="R70" i="103"/>
  <c r="R10" i="105"/>
  <c r="Q70" i="103"/>
  <c r="Q10" i="105"/>
  <c r="P70" i="103"/>
  <c r="P10" i="105"/>
  <c r="O70" i="103"/>
  <c r="O10" i="105"/>
  <c r="N70" i="103"/>
  <c r="N10" i="105"/>
  <c r="M70" i="103"/>
  <c r="M10" i="105"/>
  <c r="L70" i="103"/>
  <c r="L10" i="105"/>
  <c r="K70" i="103"/>
  <c r="K10" i="105"/>
  <c r="J70" i="103"/>
  <c r="J10" i="105"/>
  <c r="I70" i="103"/>
  <c r="I10" i="105"/>
  <c r="H70" i="103"/>
  <c r="H10" i="105"/>
  <c r="G70" i="103"/>
  <c r="G10" i="105"/>
  <c r="F70" i="103"/>
  <c r="F10" i="105"/>
  <c r="E70" i="103"/>
  <c r="E10" i="105"/>
  <c r="D70" i="103"/>
  <c r="U38" i="105"/>
  <c r="T9" i="105"/>
  <c r="S69" i="103"/>
  <c r="S58" i="110"/>
  <c r="S9" i="105"/>
  <c r="R69" i="103"/>
  <c r="R58" i="110"/>
  <c r="R9" i="105"/>
  <c r="Q69" i="103"/>
  <c r="Q58" i="110"/>
  <c r="Q9" i="105"/>
  <c r="P69" i="103"/>
  <c r="P58" i="110"/>
  <c r="P9" i="105"/>
  <c r="O69" i="103"/>
  <c r="O58" i="110"/>
  <c r="O9" i="105"/>
  <c r="N69" i="103"/>
  <c r="N9" i="105"/>
  <c r="M69" i="103"/>
  <c r="M9" i="105"/>
  <c r="L69" i="103"/>
  <c r="L9" i="105"/>
  <c r="K69" i="103"/>
  <c r="K58" i="110"/>
  <c r="K9" i="105"/>
  <c r="J69" i="103"/>
  <c r="J58" i="110"/>
  <c r="J9" i="105"/>
  <c r="I69" i="103"/>
  <c r="I9" i="105"/>
  <c r="H69" i="103"/>
  <c r="H58" i="110"/>
  <c r="H9" i="105"/>
  <c r="G69" i="103"/>
  <c r="G58" i="110"/>
  <c r="G9" i="105"/>
  <c r="F69" i="103"/>
  <c r="F58" i="110"/>
  <c r="F9" i="105"/>
  <c r="E69" i="103"/>
  <c r="E9" i="105"/>
  <c r="D69" i="103"/>
  <c r="D58" i="110"/>
  <c r="U37" i="105"/>
  <c r="T8" i="105"/>
  <c r="S68" i="103"/>
  <c r="S57" i="110"/>
  <c r="S8" i="105"/>
  <c r="R68" i="103"/>
  <c r="R57" i="110"/>
  <c r="R8" i="105"/>
  <c r="Q68" i="103"/>
  <c r="Q57" i="110"/>
  <c r="Q8" i="105"/>
  <c r="P68" i="103"/>
  <c r="P57" i="110"/>
  <c r="P8" i="105"/>
  <c r="O68" i="103"/>
  <c r="O57" i="110"/>
  <c r="O8" i="105"/>
  <c r="N68" i="103"/>
  <c r="N57" i="110"/>
  <c r="N8" i="105"/>
  <c r="M68" i="103"/>
  <c r="M57" i="110"/>
  <c r="M8" i="105"/>
  <c r="L68" i="103"/>
  <c r="L57" i="110"/>
  <c r="L8" i="105"/>
  <c r="K68" i="103"/>
  <c r="K57" i="110"/>
  <c r="K8" i="105"/>
  <c r="J68" i="103"/>
  <c r="J57" i="110"/>
  <c r="J8" i="105"/>
  <c r="I68" i="103"/>
  <c r="I57" i="110"/>
  <c r="I8" i="105"/>
  <c r="H68" i="103"/>
  <c r="H57" i="110"/>
  <c r="H8" i="105"/>
  <c r="G68" i="103"/>
  <c r="G57" i="110"/>
  <c r="G8" i="105"/>
  <c r="F68" i="103"/>
  <c r="F57" i="110"/>
  <c r="F8" i="105"/>
  <c r="E68" i="103"/>
  <c r="E57" i="110"/>
  <c r="E8" i="105"/>
  <c r="D68" i="103"/>
  <c r="D57" i="110"/>
  <c r="U36" i="105"/>
  <c r="T7" i="105"/>
  <c r="S67" i="103"/>
  <c r="S56" i="110"/>
  <c r="S7" i="105"/>
  <c r="R67" i="103"/>
  <c r="R56" i="110"/>
  <c r="R7" i="105"/>
  <c r="Q67" i="103"/>
  <c r="Q56" i="110"/>
  <c r="Q7" i="105"/>
  <c r="P67" i="103"/>
  <c r="P56" i="110"/>
  <c r="P7" i="105"/>
  <c r="O67" i="103"/>
  <c r="O56" i="110"/>
  <c r="O7" i="105"/>
  <c r="N67" i="103"/>
  <c r="N56" i="110"/>
  <c r="N7" i="105"/>
  <c r="M67" i="103"/>
  <c r="M56" i="110"/>
  <c r="M7" i="105"/>
  <c r="L67" i="103"/>
  <c r="L56" i="110"/>
  <c r="L7" i="105"/>
  <c r="K67" i="103"/>
  <c r="K56" i="110"/>
  <c r="K7" i="105"/>
  <c r="J67" i="103"/>
  <c r="J56" i="110"/>
  <c r="J7" i="105"/>
  <c r="I67" i="103"/>
  <c r="I56" i="110"/>
  <c r="I7" i="105"/>
  <c r="H67" i="103"/>
  <c r="H56" i="110"/>
  <c r="H7" i="105"/>
  <c r="G67" i="103"/>
  <c r="G56" i="110"/>
  <c r="G7" i="105"/>
  <c r="F67" i="103"/>
  <c r="F56" i="110"/>
  <c r="F7" i="105"/>
  <c r="E67" i="103"/>
  <c r="E56" i="110"/>
  <c r="E7" i="105"/>
  <c r="D67" i="103"/>
  <c r="D56" i="110"/>
  <c r="U35" i="105"/>
  <c r="T6" i="105"/>
  <c r="S66" i="103"/>
  <c r="S55" i="110"/>
  <c r="S6" i="105"/>
  <c r="R66" i="103"/>
  <c r="R55" i="110"/>
  <c r="R6" i="105"/>
  <c r="Q66" i="103"/>
  <c r="Q55" i="110"/>
  <c r="Q6" i="105"/>
  <c r="P66" i="103"/>
  <c r="P55" i="110"/>
  <c r="P6" i="105"/>
  <c r="O66" i="103"/>
  <c r="O55" i="110"/>
  <c r="O6" i="105"/>
  <c r="N66" i="103"/>
  <c r="N55" i="110"/>
  <c r="N6" i="105"/>
  <c r="M66" i="103"/>
  <c r="M55" i="110"/>
  <c r="M6" i="105"/>
  <c r="L66" i="103"/>
  <c r="L55" i="110"/>
  <c r="L6" i="105"/>
  <c r="K66" i="103"/>
  <c r="K55" i="110"/>
  <c r="K6" i="105"/>
  <c r="J66" i="103"/>
  <c r="J55" i="110"/>
  <c r="J6" i="105"/>
  <c r="I66" i="103"/>
  <c r="I55" i="110"/>
  <c r="I6" i="105"/>
  <c r="H66" i="103"/>
  <c r="H55" i="110"/>
  <c r="H6" i="105"/>
  <c r="G66" i="103"/>
  <c r="G55" i="110"/>
  <c r="G6" i="105"/>
  <c r="F66" i="103"/>
  <c r="F55" i="110"/>
  <c r="F6" i="105"/>
  <c r="E66" i="103"/>
  <c r="E55" i="110"/>
  <c r="E6" i="105"/>
  <c r="D66" i="103"/>
  <c r="D55" i="110"/>
  <c r="U34" i="105"/>
  <c r="T5" i="105"/>
  <c r="S65" i="103"/>
  <c r="S54" i="110"/>
  <c r="S5" i="105"/>
  <c r="R65" i="103"/>
  <c r="R54" i="110"/>
  <c r="R5" i="105"/>
  <c r="Q65" i="103"/>
  <c r="Q54" i="110"/>
  <c r="Q5" i="105"/>
  <c r="P65" i="103"/>
  <c r="P54" i="110"/>
  <c r="P5" i="105"/>
  <c r="O65" i="103"/>
  <c r="O54" i="110"/>
  <c r="O5" i="105"/>
  <c r="N65" i="103"/>
  <c r="N54" i="110"/>
  <c r="N5" i="105"/>
  <c r="M65" i="103"/>
  <c r="M54" i="110"/>
  <c r="M5" i="105"/>
  <c r="L65" i="103"/>
  <c r="L54" i="110"/>
  <c r="L5" i="105"/>
  <c r="K65" i="103"/>
  <c r="K54" i="110"/>
  <c r="K5" i="105"/>
  <c r="J65" i="103"/>
  <c r="J54" i="110"/>
  <c r="J5" i="105"/>
  <c r="I65" i="103"/>
  <c r="I54" i="110"/>
  <c r="I5" i="105"/>
  <c r="H65" i="103"/>
  <c r="H54" i="110"/>
  <c r="H5" i="105"/>
  <c r="G65" i="103"/>
  <c r="G54" i="110"/>
  <c r="G5" i="105"/>
  <c r="F65" i="103"/>
  <c r="F54" i="110"/>
  <c r="F5" i="105"/>
  <c r="E65" i="103"/>
  <c r="E54" i="110"/>
  <c r="E5" i="105"/>
  <c r="D65" i="103"/>
  <c r="D54" i="110"/>
  <c r="D30" i="105"/>
  <c r="C90" i="103"/>
  <c r="C73" i="110"/>
  <c r="D29" i="105"/>
  <c r="C89" i="103"/>
  <c r="C72" i="110"/>
  <c r="D28" i="105"/>
  <c r="C88" i="103"/>
  <c r="C71" i="110"/>
  <c r="D27" i="105"/>
  <c r="C87" i="103"/>
  <c r="C70" i="110"/>
  <c r="D26" i="105"/>
  <c r="C86" i="103"/>
  <c r="C69" i="110"/>
  <c r="D25" i="105"/>
  <c r="C85" i="103"/>
  <c r="D24" i="105"/>
  <c r="C84" i="103"/>
  <c r="D23" i="105"/>
  <c r="C83" i="103"/>
  <c r="C67" i="110"/>
  <c r="D22" i="105"/>
  <c r="C82" i="103"/>
  <c r="C66" i="110"/>
  <c r="D21" i="105"/>
  <c r="C81" i="103"/>
  <c r="D20" i="105"/>
  <c r="C80" i="103"/>
  <c r="D19" i="105"/>
  <c r="C79" i="103"/>
  <c r="D18" i="105"/>
  <c r="C78" i="103"/>
  <c r="D17" i="105"/>
  <c r="C77" i="103"/>
  <c r="D16" i="105"/>
  <c r="C76" i="103"/>
  <c r="D15" i="105"/>
  <c r="C75" i="103"/>
  <c r="D14" i="105"/>
  <c r="C74" i="103"/>
  <c r="C62" i="110"/>
  <c r="D13" i="105"/>
  <c r="C73" i="103"/>
  <c r="C61" i="110"/>
  <c r="D12" i="105"/>
  <c r="C72" i="103"/>
  <c r="C60" i="110"/>
  <c r="D11" i="105"/>
  <c r="C71" i="103"/>
  <c r="C59" i="110"/>
  <c r="D10" i="105"/>
  <c r="C70" i="103"/>
  <c r="D9" i="105"/>
  <c r="C69" i="103"/>
  <c r="D8" i="105"/>
  <c r="C68" i="103"/>
  <c r="C57" i="110"/>
  <c r="D7" i="105"/>
  <c r="C67" i="103"/>
  <c r="C56" i="110"/>
  <c r="D6" i="105"/>
  <c r="C66" i="103"/>
  <c r="C55" i="110"/>
  <c r="D5" i="105"/>
  <c r="C65" i="103"/>
  <c r="C54" i="110"/>
  <c r="U59" i="104"/>
  <c r="T30" i="104"/>
  <c r="S60" i="103"/>
  <c r="S49" i="110"/>
  <c r="S30" i="104"/>
  <c r="R60" i="103"/>
  <c r="R49" i="110"/>
  <c r="R30" i="104"/>
  <c r="Q60" i="103"/>
  <c r="Q49" i="110"/>
  <c r="Q30" i="104"/>
  <c r="P60" i="103"/>
  <c r="P49" i="110"/>
  <c r="P30" i="104"/>
  <c r="O60" i="103"/>
  <c r="O49" i="110"/>
  <c r="O30" i="104"/>
  <c r="N60" i="103"/>
  <c r="N49" i="110"/>
  <c r="N30" i="104"/>
  <c r="M60" i="103"/>
  <c r="M49" i="110"/>
  <c r="M30" i="104"/>
  <c r="L60" i="103"/>
  <c r="L49" i="110"/>
  <c r="L30" i="104"/>
  <c r="K60" i="103"/>
  <c r="K49" i="110"/>
  <c r="K30" i="104"/>
  <c r="J60" i="103"/>
  <c r="J49" i="110"/>
  <c r="J30" i="104"/>
  <c r="I60" i="103"/>
  <c r="I49" i="110"/>
  <c r="I30" i="104"/>
  <c r="H60" i="103"/>
  <c r="H49" i="110"/>
  <c r="H30" i="104"/>
  <c r="G60" i="103"/>
  <c r="G49" i="110"/>
  <c r="G30" i="104"/>
  <c r="F60" i="103"/>
  <c r="F49" i="110"/>
  <c r="F30" i="104"/>
  <c r="E60" i="103"/>
  <c r="E49" i="110"/>
  <c r="E30" i="104"/>
  <c r="D60" i="103"/>
  <c r="D49" i="110"/>
  <c r="U58" i="104"/>
  <c r="T29" i="104"/>
  <c r="S59" i="103"/>
  <c r="S48" i="110"/>
  <c r="S29" i="104"/>
  <c r="R59" i="103"/>
  <c r="R48" i="110"/>
  <c r="R29" i="104"/>
  <c r="Q59" i="103"/>
  <c r="Q48" i="110"/>
  <c r="Q29" i="104"/>
  <c r="P59" i="103"/>
  <c r="P48" i="110"/>
  <c r="P29" i="104"/>
  <c r="O59" i="103"/>
  <c r="O48" i="110"/>
  <c r="O29" i="104"/>
  <c r="N59" i="103"/>
  <c r="N48" i="110"/>
  <c r="N29" i="104"/>
  <c r="M59" i="103"/>
  <c r="M48" i="110"/>
  <c r="M29" i="104"/>
  <c r="L59" i="103"/>
  <c r="L48" i="110"/>
  <c r="L29" i="104"/>
  <c r="K59" i="103"/>
  <c r="K48" i="110"/>
  <c r="K29" i="104"/>
  <c r="J59" i="103"/>
  <c r="J48" i="110"/>
  <c r="J29" i="104"/>
  <c r="I59" i="103"/>
  <c r="I48" i="110"/>
  <c r="I29" i="104"/>
  <c r="H59" i="103"/>
  <c r="H48" i="110"/>
  <c r="H29" i="104"/>
  <c r="G59" i="103"/>
  <c r="G48" i="110"/>
  <c r="G29" i="104"/>
  <c r="F59" i="103"/>
  <c r="F48" i="110"/>
  <c r="F29" i="104"/>
  <c r="E59" i="103"/>
  <c r="E48" i="110"/>
  <c r="E29" i="104"/>
  <c r="D59" i="103"/>
  <c r="D48" i="110"/>
  <c r="U57" i="104"/>
  <c r="T28" i="104"/>
  <c r="S58" i="103"/>
  <c r="S47" i="110"/>
  <c r="S28" i="104"/>
  <c r="R58" i="103"/>
  <c r="R47" i="110"/>
  <c r="R28" i="104"/>
  <c r="Q58" i="103"/>
  <c r="Q47" i="110"/>
  <c r="Q28" i="104"/>
  <c r="P58" i="103"/>
  <c r="P47" i="110"/>
  <c r="P28" i="104"/>
  <c r="O58" i="103"/>
  <c r="O47" i="110"/>
  <c r="O28" i="104"/>
  <c r="N58" i="103"/>
  <c r="N47" i="110"/>
  <c r="N28" i="104"/>
  <c r="M58" i="103"/>
  <c r="M47" i="110"/>
  <c r="M28" i="104"/>
  <c r="L58" i="103"/>
  <c r="L47" i="110"/>
  <c r="L28" i="104"/>
  <c r="K58" i="103"/>
  <c r="K47" i="110"/>
  <c r="K28" i="104"/>
  <c r="J58" i="103"/>
  <c r="J47" i="110"/>
  <c r="J28" i="104"/>
  <c r="I58" i="103"/>
  <c r="I47" i="110"/>
  <c r="I28" i="104"/>
  <c r="H58" i="103"/>
  <c r="H47" i="110"/>
  <c r="H28" i="104"/>
  <c r="G58" i="103"/>
  <c r="G47" i="110"/>
  <c r="G28" i="104"/>
  <c r="F58" i="103"/>
  <c r="F47" i="110"/>
  <c r="F28" i="104"/>
  <c r="E58" i="103"/>
  <c r="E47" i="110"/>
  <c r="E28" i="104"/>
  <c r="D58" i="103"/>
  <c r="D47" i="110"/>
  <c r="U56" i="104"/>
  <c r="T27" i="104"/>
  <c r="S57" i="103"/>
  <c r="S46" i="110"/>
  <c r="S27" i="104"/>
  <c r="R57" i="103"/>
  <c r="R46" i="110"/>
  <c r="R27" i="104"/>
  <c r="Q57" i="103"/>
  <c r="Q46" i="110"/>
  <c r="Q27" i="104"/>
  <c r="P57" i="103"/>
  <c r="P46" i="110"/>
  <c r="P27" i="104"/>
  <c r="O57" i="103"/>
  <c r="O46" i="110"/>
  <c r="O27" i="104"/>
  <c r="N57" i="103"/>
  <c r="N46" i="110"/>
  <c r="N27" i="104"/>
  <c r="M57" i="103"/>
  <c r="M46" i="110"/>
  <c r="M27" i="104"/>
  <c r="L57" i="103"/>
  <c r="L46" i="110"/>
  <c r="L27" i="104"/>
  <c r="K57" i="103"/>
  <c r="K46" i="110"/>
  <c r="K27" i="104"/>
  <c r="J57" i="103"/>
  <c r="J46" i="110"/>
  <c r="J27" i="104"/>
  <c r="I57" i="103"/>
  <c r="I46" i="110"/>
  <c r="I27" i="104"/>
  <c r="H57" i="103"/>
  <c r="H46" i="110"/>
  <c r="H27" i="104"/>
  <c r="G57" i="103"/>
  <c r="G46" i="110"/>
  <c r="G27" i="104"/>
  <c r="F57" i="103"/>
  <c r="F46" i="110"/>
  <c r="F27" i="104"/>
  <c r="E57" i="103"/>
  <c r="E46" i="110"/>
  <c r="E27" i="104"/>
  <c r="D57" i="103"/>
  <c r="D46" i="110"/>
  <c r="U55" i="104"/>
  <c r="T26" i="104"/>
  <c r="S56" i="103"/>
  <c r="S45" i="110"/>
  <c r="S26" i="104"/>
  <c r="R56" i="103"/>
  <c r="R45" i="110"/>
  <c r="R26" i="104"/>
  <c r="Q56" i="103"/>
  <c r="Q45" i="110"/>
  <c r="Q26" i="104"/>
  <c r="P56" i="103"/>
  <c r="P45" i="110"/>
  <c r="P26" i="104"/>
  <c r="O56" i="103"/>
  <c r="O45" i="110"/>
  <c r="O26" i="104"/>
  <c r="N56" i="103"/>
  <c r="N45" i="110"/>
  <c r="N26" i="104"/>
  <c r="M56" i="103"/>
  <c r="M45" i="110"/>
  <c r="M26" i="104"/>
  <c r="L56" i="103"/>
  <c r="L45" i="110"/>
  <c r="L26" i="104"/>
  <c r="K56" i="103"/>
  <c r="K45" i="110"/>
  <c r="K26" i="104"/>
  <c r="J56" i="103"/>
  <c r="J45" i="110"/>
  <c r="J26" i="104"/>
  <c r="I56" i="103"/>
  <c r="I45" i="110"/>
  <c r="I26" i="104"/>
  <c r="H56" i="103"/>
  <c r="H45" i="110"/>
  <c r="H26" i="104"/>
  <c r="G56" i="103"/>
  <c r="G45" i="110"/>
  <c r="G26" i="104"/>
  <c r="F56" i="103"/>
  <c r="F45" i="110"/>
  <c r="F26" i="104"/>
  <c r="E56" i="103"/>
  <c r="E45" i="110"/>
  <c r="E26" i="104"/>
  <c r="D56" i="103"/>
  <c r="D45" i="110"/>
  <c r="U54" i="104"/>
  <c r="T25" i="104"/>
  <c r="S55" i="103"/>
  <c r="S25" i="104"/>
  <c r="R55" i="103"/>
  <c r="R25" i="104"/>
  <c r="Q55" i="103"/>
  <c r="Q25" i="104"/>
  <c r="P55" i="103"/>
  <c r="P25" i="104"/>
  <c r="O55" i="103"/>
  <c r="O25" i="104"/>
  <c r="N55" i="103"/>
  <c r="N25" i="104"/>
  <c r="M55" i="103"/>
  <c r="M25" i="104"/>
  <c r="L55" i="103"/>
  <c r="L25" i="104"/>
  <c r="K55" i="103"/>
  <c r="K25" i="104"/>
  <c r="J55" i="103"/>
  <c r="J25" i="104"/>
  <c r="I55" i="103"/>
  <c r="I25" i="104"/>
  <c r="H55" i="103"/>
  <c r="H25" i="104"/>
  <c r="G55" i="103"/>
  <c r="G25" i="104"/>
  <c r="F55" i="103"/>
  <c r="F25" i="104"/>
  <c r="E55" i="103"/>
  <c r="E25" i="104"/>
  <c r="D55" i="103"/>
  <c r="U53" i="104"/>
  <c r="T24" i="104"/>
  <c r="S54" i="103"/>
  <c r="S44" i="110"/>
  <c r="S24" i="104"/>
  <c r="R54" i="103"/>
  <c r="R44" i="110"/>
  <c r="R24" i="104"/>
  <c r="Q54" i="103"/>
  <c r="Q44" i="110"/>
  <c r="Q24" i="104"/>
  <c r="P54" i="103"/>
  <c r="P24" i="104"/>
  <c r="O54" i="103"/>
  <c r="O44" i="110"/>
  <c r="O24" i="104"/>
  <c r="N54" i="103"/>
  <c r="N44" i="110"/>
  <c r="N24" i="104"/>
  <c r="M54" i="103"/>
  <c r="M44" i="110"/>
  <c r="M24" i="104"/>
  <c r="L54" i="103"/>
  <c r="L44" i="110"/>
  <c r="L24" i="104"/>
  <c r="K54" i="103"/>
  <c r="K44" i="110"/>
  <c r="K24" i="104"/>
  <c r="J54" i="103"/>
  <c r="J44" i="110"/>
  <c r="J24" i="104"/>
  <c r="I54" i="103"/>
  <c r="I44" i="110"/>
  <c r="I24" i="104"/>
  <c r="H54" i="103"/>
  <c r="H44" i="110"/>
  <c r="H24" i="104"/>
  <c r="G54" i="103"/>
  <c r="G44" i="110"/>
  <c r="G24" i="104"/>
  <c r="F54" i="103"/>
  <c r="F44" i="110"/>
  <c r="F24" i="104"/>
  <c r="E54" i="103"/>
  <c r="E44" i="110"/>
  <c r="E24" i="104"/>
  <c r="D54" i="103"/>
  <c r="U52" i="104"/>
  <c r="T23" i="104"/>
  <c r="S53" i="103"/>
  <c r="S43" i="110"/>
  <c r="S23" i="104"/>
  <c r="R53" i="103"/>
  <c r="R43" i="110"/>
  <c r="R23" i="104"/>
  <c r="Q53" i="103"/>
  <c r="Q43" i="110"/>
  <c r="Q23" i="104"/>
  <c r="P53" i="103"/>
  <c r="P43" i="110"/>
  <c r="P23" i="104"/>
  <c r="O53" i="103"/>
  <c r="O43" i="110"/>
  <c r="O23" i="104"/>
  <c r="N53" i="103"/>
  <c r="N43" i="110"/>
  <c r="N23" i="104"/>
  <c r="M53" i="103"/>
  <c r="M43" i="110"/>
  <c r="M23" i="104"/>
  <c r="L53" i="103"/>
  <c r="L43" i="110"/>
  <c r="L23" i="104"/>
  <c r="K53" i="103"/>
  <c r="K43" i="110"/>
  <c r="K23" i="104"/>
  <c r="J53" i="103"/>
  <c r="J43" i="110"/>
  <c r="J23" i="104"/>
  <c r="I53" i="103"/>
  <c r="I43" i="110"/>
  <c r="I23" i="104"/>
  <c r="H53" i="103"/>
  <c r="H43" i="110"/>
  <c r="H23" i="104"/>
  <c r="G53" i="103"/>
  <c r="G43" i="110"/>
  <c r="G23" i="104"/>
  <c r="F53" i="103"/>
  <c r="F43" i="110"/>
  <c r="F23" i="104"/>
  <c r="E53" i="103"/>
  <c r="E43" i="110"/>
  <c r="E23" i="104"/>
  <c r="D53" i="103"/>
  <c r="D43" i="110"/>
  <c r="U51" i="104"/>
  <c r="T22" i="104"/>
  <c r="S52" i="103"/>
  <c r="S42" i="110"/>
  <c r="S22" i="104"/>
  <c r="R52" i="103"/>
  <c r="R42" i="110"/>
  <c r="R22" i="104"/>
  <c r="Q52" i="103"/>
  <c r="Q42" i="110"/>
  <c r="Q22" i="104"/>
  <c r="P52" i="103"/>
  <c r="P42" i="110"/>
  <c r="P22" i="104"/>
  <c r="O52" i="103"/>
  <c r="O42" i="110"/>
  <c r="O22" i="104"/>
  <c r="N52" i="103"/>
  <c r="N42" i="110"/>
  <c r="N22" i="104"/>
  <c r="M52" i="103"/>
  <c r="M42" i="110"/>
  <c r="M22" i="104"/>
  <c r="L52" i="103"/>
  <c r="L42" i="110"/>
  <c r="L22" i="104"/>
  <c r="K52" i="103"/>
  <c r="K42" i="110"/>
  <c r="K22" i="104"/>
  <c r="J52" i="103"/>
  <c r="J42" i="110"/>
  <c r="J22" i="104"/>
  <c r="I52" i="103"/>
  <c r="I42" i="110"/>
  <c r="I22" i="104"/>
  <c r="H52" i="103"/>
  <c r="H42" i="110"/>
  <c r="H22" i="104"/>
  <c r="G52" i="103"/>
  <c r="G42" i="110"/>
  <c r="G22" i="104"/>
  <c r="F52" i="103"/>
  <c r="F42" i="110"/>
  <c r="F22" i="104"/>
  <c r="E52" i="103"/>
  <c r="E42" i="110"/>
  <c r="E22" i="104"/>
  <c r="D52" i="103"/>
  <c r="D42" i="110"/>
  <c r="U50" i="104"/>
  <c r="T21" i="104"/>
  <c r="S51" i="103"/>
  <c r="S21" i="104"/>
  <c r="R51" i="103"/>
  <c r="R21" i="104"/>
  <c r="Q51" i="103"/>
  <c r="Q21" i="104"/>
  <c r="P51" i="103"/>
  <c r="P21" i="104"/>
  <c r="O51" i="103"/>
  <c r="O21" i="104"/>
  <c r="N51" i="103"/>
  <c r="N21" i="104"/>
  <c r="M51" i="103"/>
  <c r="M21" i="104"/>
  <c r="L51" i="103"/>
  <c r="L21" i="104"/>
  <c r="K51" i="103"/>
  <c r="K21" i="104"/>
  <c r="J51" i="103"/>
  <c r="J21" i="104"/>
  <c r="I51" i="103"/>
  <c r="I21" i="104"/>
  <c r="H51" i="103"/>
  <c r="H21" i="104"/>
  <c r="G51" i="103"/>
  <c r="G21" i="104"/>
  <c r="F51" i="103"/>
  <c r="F21" i="104"/>
  <c r="E51" i="103"/>
  <c r="E21" i="104"/>
  <c r="D51" i="103"/>
  <c r="U49" i="104"/>
  <c r="T20" i="104"/>
  <c r="S50" i="103"/>
  <c r="S41" i="110"/>
  <c r="S20" i="104"/>
  <c r="R50" i="103"/>
  <c r="R41" i="110"/>
  <c r="R20" i="104"/>
  <c r="Q50" i="103"/>
  <c r="Q20" i="104"/>
  <c r="P50" i="103"/>
  <c r="P41" i="110"/>
  <c r="P20" i="104"/>
  <c r="O50" i="103"/>
  <c r="O41" i="110"/>
  <c r="O20" i="104"/>
  <c r="N50" i="103"/>
  <c r="N41" i="110"/>
  <c r="N20" i="104"/>
  <c r="M50" i="103"/>
  <c r="M41" i="110"/>
  <c r="M20" i="104"/>
  <c r="L50" i="103"/>
  <c r="L41" i="110"/>
  <c r="L20" i="104"/>
  <c r="K50" i="103"/>
  <c r="K41" i="110"/>
  <c r="K20" i="104"/>
  <c r="J50" i="103"/>
  <c r="J41" i="110"/>
  <c r="J20" i="104"/>
  <c r="I50" i="103"/>
  <c r="I41" i="110"/>
  <c r="I20" i="104"/>
  <c r="H50" i="103"/>
  <c r="H20" i="104"/>
  <c r="G50" i="103"/>
  <c r="G41" i="110"/>
  <c r="G20" i="104"/>
  <c r="F50" i="103"/>
  <c r="F41" i="110"/>
  <c r="F20" i="104"/>
  <c r="E50" i="103"/>
  <c r="E41" i="110"/>
  <c r="E20" i="104"/>
  <c r="D50" i="103"/>
  <c r="D41" i="110"/>
  <c r="U48" i="104"/>
  <c r="T19" i="104"/>
  <c r="S49" i="103"/>
  <c r="S19" i="104"/>
  <c r="R49" i="103"/>
  <c r="R19" i="104"/>
  <c r="Q49" i="103"/>
  <c r="Q19" i="104"/>
  <c r="P49" i="103"/>
  <c r="P19" i="104"/>
  <c r="O49" i="103"/>
  <c r="O19" i="104"/>
  <c r="N49" i="103"/>
  <c r="N19" i="104"/>
  <c r="M49" i="103"/>
  <c r="M19" i="104"/>
  <c r="L49" i="103"/>
  <c r="L19" i="104"/>
  <c r="K49" i="103"/>
  <c r="K19" i="104"/>
  <c r="J49" i="103"/>
  <c r="J19" i="104"/>
  <c r="I49" i="103"/>
  <c r="I19" i="104"/>
  <c r="H49" i="103"/>
  <c r="H19" i="104"/>
  <c r="G49" i="103"/>
  <c r="G19" i="104"/>
  <c r="F49" i="103"/>
  <c r="F19" i="104"/>
  <c r="E49" i="103"/>
  <c r="E19" i="104"/>
  <c r="D49" i="103"/>
  <c r="U47" i="104"/>
  <c r="T18" i="104"/>
  <c r="S48" i="103"/>
  <c r="S18" i="104"/>
  <c r="R48" i="103"/>
  <c r="R18" i="104"/>
  <c r="Q48" i="103"/>
  <c r="Q18" i="104"/>
  <c r="P48" i="103"/>
  <c r="P18" i="104"/>
  <c r="O48" i="103"/>
  <c r="O18" i="104"/>
  <c r="N48" i="103"/>
  <c r="N18" i="104"/>
  <c r="M48" i="103"/>
  <c r="M18" i="104"/>
  <c r="L48" i="103"/>
  <c r="L18" i="104"/>
  <c r="K48" i="103"/>
  <c r="K18" i="104"/>
  <c r="J48" i="103"/>
  <c r="J18" i="104"/>
  <c r="I48" i="103"/>
  <c r="I18" i="104"/>
  <c r="H48" i="103"/>
  <c r="H18" i="104"/>
  <c r="G48" i="103"/>
  <c r="G18" i="104"/>
  <c r="F48" i="103"/>
  <c r="F18" i="104"/>
  <c r="E48" i="103"/>
  <c r="E18" i="104"/>
  <c r="D48" i="103"/>
  <c r="U46" i="104"/>
  <c r="T17" i="104"/>
  <c r="S47" i="103"/>
  <c r="S40" i="110"/>
  <c r="S17" i="104"/>
  <c r="R47" i="103"/>
  <c r="R40" i="110"/>
  <c r="R17" i="104"/>
  <c r="Q47" i="103"/>
  <c r="Q40" i="110"/>
  <c r="Q17" i="104"/>
  <c r="P47" i="103"/>
  <c r="P40" i="110"/>
  <c r="P17" i="104"/>
  <c r="O47" i="103"/>
  <c r="O40" i="110"/>
  <c r="O17" i="104"/>
  <c r="N47" i="103"/>
  <c r="N40" i="110"/>
  <c r="N17" i="104"/>
  <c r="M47" i="103"/>
  <c r="M40" i="110"/>
  <c r="M17" i="104"/>
  <c r="L47" i="103"/>
  <c r="L40" i="110"/>
  <c r="L17" i="104"/>
  <c r="K47" i="103"/>
  <c r="K40" i="110"/>
  <c r="K17" i="104"/>
  <c r="J47" i="103"/>
  <c r="J40" i="110"/>
  <c r="J17" i="104"/>
  <c r="I47" i="103"/>
  <c r="I40" i="110"/>
  <c r="I17" i="104"/>
  <c r="H47" i="103"/>
  <c r="H17" i="104"/>
  <c r="G47" i="103"/>
  <c r="G40" i="110"/>
  <c r="G17" i="104"/>
  <c r="F47" i="103"/>
  <c r="F40" i="110"/>
  <c r="F17" i="104"/>
  <c r="E47" i="103"/>
  <c r="E40" i="110"/>
  <c r="E17" i="104"/>
  <c r="D47" i="103"/>
  <c r="D40" i="110"/>
  <c r="U45" i="104"/>
  <c r="T16" i="104"/>
  <c r="S46" i="103"/>
  <c r="S16" i="104"/>
  <c r="R46" i="103"/>
  <c r="R16" i="104"/>
  <c r="Q46" i="103"/>
  <c r="Q16" i="104"/>
  <c r="P46" i="103"/>
  <c r="P16" i="104"/>
  <c r="O46" i="103"/>
  <c r="O16" i="104"/>
  <c r="N46" i="103"/>
  <c r="N16" i="104"/>
  <c r="M46" i="103"/>
  <c r="M16" i="104"/>
  <c r="L46" i="103"/>
  <c r="L16" i="104"/>
  <c r="K46" i="103"/>
  <c r="K16" i="104"/>
  <c r="J46" i="103"/>
  <c r="J16" i="104"/>
  <c r="I46" i="103"/>
  <c r="I16" i="104"/>
  <c r="H46" i="103"/>
  <c r="H16" i="104"/>
  <c r="G46" i="103"/>
  <c r="G16" i="104"/>
  <c r="F46" i="103"/>
  <c r="F16" i="104"/>
  <c r="E46" i="103"/>
  <c r="E16" i="104"/>
  <c r="D46" i="103"/>
  <c r="U44" i="104"/>
  <c r="T15" i="104"/>
  <c r="S45" i="103"/>
  <c r="S39" i="110"/>
  <c r="S15" i="104"/>
  <c r="R45" i="103"/>
  <c r="R39" i="110"/>
  <c r="R15" i="104"/>
  <c r="Q45" i="103"/>
  <c r="Q15" i="104"/>
  <c r="P45" i="103"/>
  <c r="P15" i="104"/>
  <c r="O45" i="103"/>
  <c r="O39" i="110"/>
  <c r="O15" i="104"/>
  <c r="N45" i="103"/>
  <c r="N39" i="110"/>
  <c r="N15" i="104"/>
  <c r="M45" i="103"/>
  <c r="M39" i="110"/>
  <c r="M15" i="104"/>
  <c r="L45" i="103"/>
  <c r="L39" i="110"/>
  <c r="L15" i="104"/>
  <c r="K45" i="103"/>
  <c r="K39" i="110"/>
  <c r="K15" i="104"/>
  <c r="J45" i="103"/>
  <c r="J39" i="110"/>
  <c r="J15" i="104"/>
  <c r="I45" i="103"/>
  <c r="I39" i="110"/>
  <c r="I15" i="104"/>
  <c r="H45" i="103"/>
  <c r="H39" i="110"/>
  <c r="H15" i="104"/>
  <c r="G45" i="103"/>
  <c r="G39" i="110"/>
  <c r="G15" i="104"/>
  <c r="F45" i="103"/>
  <c r="F39" i="110"/>
  <c r="F15" i="104"/>
  <c r="E45" i="103"/>
  <c r="E39" i="110"/>
  <c r="E15" i="104"/>
  <c r="D45" i="103"/>
  <c r="D39" i="110"/>
  <c r="U43" i="104"/>
  <c r="T14" i="104"/>
  <c r="S44" i="103"/>
  <c r="S38" i="110"/>
  <c r="S14" i="104"/>
  <c r="R44" i="103"/>
  <c r="R38" i="110"/>
  <c r="R14" i="104"/>
  <c r="Q44" i="103"/>
  <c r="Q38" i="110"/>
  <c r="Q14" i="104"/>
  <c r="P44" i="103"/>
  <c r="P38" i="110"/>
  <c r="P14" i="104"/>
  <c r="O44" i="103"/>
  <c r="O38" i="110"/>
  <c r="O14" i="104"/>
  <c r="N44" i="103"/>
  <c r="N38" i="110"/>
  <c r="N14" i="104"/>
  <c r="M44" i="103"/>
  <c r="M38" i="110"/>
  <c r="M14" i="104"/>
  <c r="L44" i="103"/>
  <c r="L38" i="110"/>
  <c r="L14" i="104"/>
  <c r="K44" i="103"/>
  <c r="K38" i="110"/>
  <c r="K14" i="104"/>
  <c r="J44" i="103"/>
  <c r="J38" i="110"/>
  <c r="J14" i="104"/>
  <c r="I44" i="103"/>
  <c r="I38" i="110"/>
  <c r="I14" i="104"/>
  <c r="H44" i="103"/>
  <c r="H38" i="110"/>
  <c r="H14" i="104"/>
  <c r="G44" i="103"/>
  <c r="G38" i="110"/>
  <c r="G14" i="104"/>
  <c r="F44" i="103"/>
  <c r="F38" i="110"/>
  <c r="F14" i="104"/>
  <c r="E44" i="103"/>
  <c r="E38" i="110"/>
  <c r="E14" i="104"/>
  <c r="D44" i="103"/>
  <c r="D38" i="110"/>
  <c r="U42" i="104"/>
  <c r="T13" i="104"/>
  <c r="S43" i="103"/>
  <c r="S37" i="110"/>
  <c r="S13" i="104"/>
  <c r="R43" i="103"/>
  <c r="R37" i="110"/>
  <c r="R13" i="104"/>
  <c r="Q43" i="103"/>
  <c r="Q37" i="110"/>
  <c r="Q13" i="104"/>
  <c r="P43" i="103"/>
  <c r="P37" i="110"/>
  <c r="P13" i="104"/>
  <c r="O43" i="103"/>
  <c r="O37" i="110"/>
  <c r="O13" i="104"/>
  <c r="N43" i="103"/>
  <c r="N37" i="110"/>
  <c r="N13" i="104"/>
  <c r="M43" i="103"/>
  <c r="M37" i="110"/>
  <c r="M13" i="104"/>
  <c r="L43" i="103"/>
  <c r="L37" i="110"/>
  <c r="L13" i="104"/>
  <c r="K43" i="103"/>
  <c r="K37" i="110"/>
  <c r="K13" i="104"/>
  <c r="J43" i="103"/>
  <c r="J37" i="110"/>
  <c r="J13" i="104"/>
  <c r="I43" i="103"/>
  <c r="I37" i="110"/>
  <c r="I13" i="104"/>
  <c r="H43" i="103"/>
  <c r="H37" i="110"/>
  <c r="H13" i="104"/>
  <c r="G43" i="103"/>
  <c r="G37" i="110"/>
  <c r="G13" i="104"/>
  <c r="F43" i="103"/>
  <c r="F37" i="110"/>
  <c r="F13" i="104"/>
  <c r="E43" i="103"/>
  <c r="E37" i="110"/>
  <c r="E13" i="104"/>
  <c r="D43" i="103"/>
  <c r="D37" i="110"/>
  <c r="U41" i="104"/>
  <c r="T12" i="104"/>
  <c r="S42" i="103"/>
  <c r="S36" i="110"/>
  <c r="S12" i="104"/>
  <c r="R42" i="103"/>
  <c r="R36" i="110"/>
  <c r="R12" i="104"/>
  <c r="Q42" i="103"/>
  <c r="Q36" i="110"/>
  <c r="Q12" i="104"/>
  <c r="P42" i="103"/>
  <c r="P36" i="110"/>
  <c r="P12" i="104"/>
  <c r="O42" i="103"/>
  <c r="O36" i="110"/>
  <c r="O12" i="104"/>
  <c r="N42" i="103"/>
  <c r="N36" i="110"/>
  <c r="N12" i="104"/>
  <c r="M42" i="103"/>
  <c r="M36" i="110"/>
  <c r="M12" i="104"/>
  <c r="L42" i="103"/>
  <c r="L36" i="110"/>
  <c r="L12" i="104"/>
  <c r="K42" i="103"/>
  <c r="K36" i="110"/>
  <c r="K12" i="104"/>
  <c r="J42" i="103"/>
  <c r="J36" i="110"/>
  <c r="J12" i="104"/>
  <c r="I42" i="103"/>
  <c r="I36" i="110"/>
  <c r="I12" i="104"/>
  <c r="H42" i="103"/>
  <c r="H36" i="110"/>
  <c r="H12" i="104"/>
  <c r="G42" i="103"/>
  <c r="G36" i="110"/>
  <c r="G12" i="104"/>
  <c r="F42" i="103"/>
  <c r="F36" i="110"/>
  <c r="F12" i="104"/>
  <c r="E42" i="103"/>
  <c r="E36" i="110"/>
  <c r="E12" i="104"/>
  <c r="D42" i="103"/>
  <c r="D36" i="110"/>
  <c r="U40" i="104"/>
  <c r="T11" i="104"/>
  <c r="S41" i="103"/>
  <c r="S35" i="110"/>
  <c r="S11" i="104"/>
  <c r="R41" i="103"/>
  <c r="R35" i="110"/>
  <c r="R11" i="104"/>
  <c r="Q41" i="103"/>
  <c r="Q35" i="110"/>
  <c r="Q11" i="104"/>
  <c r="P41" i="103"/>
  <c r="P35" i="110"/>
  <c r="P11" i="104"/>
  <c r="O41" i="103"/>
  <c r="O35" i="110"/>
  <c r="O11" i="104"/>
  <c r="N41" i="103"/>
  <c r="N35" i="110"/>
  <c r="N11" i="104"/>
  <c r="M41" i="103"/>
  <c r="M35" i="110"/>
  <c r="M11" i="104"/>
  <c r="L41" i="103"/>
  <c r="L35" i="110"/>
  <c r="L11" i="104"/>
  <c r="K41" i="103"/>
  <c r="K35" i="110"/>
  <c r="K11" i="104"/>
  <c r="J41" i="103"/>
  <c r="J35" i="110"/>
  <c r="J11" i="104"/>
  <c r="I41" i="103"/>
  <c r="I35" i="110"/>
  <c r="I11" i="104"/>
  <c r="H41" i="103"/>
  <c r="H35" i="110"/>
  <c r="H11" i="104"/>
  <c r="G41" i="103"/>
  <c r="G35" i="110"/>
  <c r="G11" i="104"/>
  <c r="F41" i="103"/>
  <c r="F35" i="110"/>
  <c r="F11" i="104"/>
  <c r="E41" i="103"/>
  <c r="E35" i="110"/>
  <c r="E11" i="104"/>
  <c r="D41" i="103"/>
  <c r="D35" i="110"/>
  <c r="U39" i="104"/>
  <c r="T10" i="104"/>
  <c r="S40" i="103"/>
  <c r="S10" i="104"/>
  <c r="R40" i="103"/>
  <c r="R10" i="104"/>
  <c r="Q40" i="103"/>
  <c r="Q10" i="104"/>
  <c r="P40" i="103"/>
  <c r="P10" i="104"/>
  <c r="O40" i="103"/>
  <c r="O10" i="104"/>
  <c r="N40" i="103"/>
  <c r="N10" i="104"/>
  <c r="M40" i="103"/>
  <c r="M10" i="104"/>
  <c r="L40" i="103"/>
  <c r="L10" i="104"/>
  <c r="K40" i="103"/>
  <c r="K10" i="104"/>
  <c r="J40" i="103"/>
  <c r="J10" i="104"/>
  <c r="I40" i="103"/>
  <c r="I10" i="104"/>
  <c r="H40" i="103"/>
  <c r="H10" i="104"/>
  <c r="G40" i="103"/>
  <c r="G10" i="104"/>
  <c r="F40" i="103"/>
  <c r="F10" i="104"/>
  <c r="E40" i="103"/>
  <c r="E10" i="104"/>
  <c r="D40" i="103"/>
  <c r="U38" i="104"/>
  <c r="T9" i="104"/>
  <c r="S39" i="103"/>
  <c r="S34" i="110"/>
  <c r="S9" i="104"/>
  <c r="R39" i="103"/>
  <c r="R34" i="110"/>
  <c r="R9" i="104"/>
  <c r="Q39" i="103"/>
  <c r="Q34" i="110"/>
  <c r="Q9" i="104"/>
  <c r="P39" i="103"/>
  <c r="P34" i="110"/>
  <c r="P9" i="104"/>
  <c r="O39" i="103"/>
  <c r="O9" i="104"/>
  <c r="N39" i="103"/>
  <c r="N34" i="110"/>
  <c r="N9" i="104"/>
  <c r="M39" i="103"/>
  <c r="M34" i="110"/>
  <c r="M9" i="104"/>
  <c r="L39" i="103"/>
  <c r="L34" i="110"/>
  <c r="L9" i="104"/>
  <c r="K39" i="103"/>
  <c r="K34" i="110"/>
  <c r="K9" i="104"/>
  <c r="J39" i="103"/>
  <c r="J34" i="110"/>
  <c r="J9" i="104"/>
  <c r="I39" i="103"/>
  <c r="I34" i="110"/>
  <c r="I9" i="104"/>
  <c r="H39" i="103"/>
  <c r="H9" i="104"/>
  <c r="G39" i="103"/>
  <c r="G34" i="110"/>
  <c r="G9" i="104"/>
  <c r="F39" i="103"/>
  <c r="F34" i="110"/>
  <c r="F9" i="104"/>
  <c r="E39" i="103"/>
  <c r="E34" i="110"/>
  <c r="E9" i="104"/>
  <c r="D39" i="103"/>
  <c r="D34" i="110"/>
  <c r="U37" i="104"/>
  <c r="T8" i="104"/>
  <c r="S38" i="103"/>
  <c r="S33" i="110"/>
  <c r="S8" i="104"/>
  <c r="R38" i="103"/>
  <c r="R33" i="110"/>
  <c r="R8" i="104"/>
  <c r="Q38" i="103"/>
  <c r="Q33" i="110"/>
  <c r="Q8" i="104"/>
  <c r="P38" i="103"/>
  <c r="P33" i="110"/>
  <c r="P8" i="104"/>
  <c r="O38" i="103"/>
  <c r="O33" i="110"/>
  <c r="O8" i="104"/>
  <c r="N38" i="103"/>
  <c r="N33" i="110"/>
  <c r="N8" i="104"/>
  <c r="M38" i="103"/>
  <c r="M33" i="110"/>
  <c r="M8" i="104"/>
  <c r="L38" i="103"/>
  <c r="L33" i="110"/>
  <c r="L8" i="104"/>
  <c r="K38" i="103"/>
  <c r="K33" i="110"/>
  <c r="K8" i="104"/>
  <c r="J38" i="103"/>
  <c r="J33" i="110"/>
  <c r="J8" i="104"/>
  <c r="I38" i="103"/>
  <c r="I33" i="110"/>
  <c r="I8" i="104"/>
  <c r="H38" i="103"/>
  <c r="H33" i="110"/>
  <c r="H8" i="104"/>
  <c r="G38" i="103"/>
  <c r="G33" i="110"/>
  <c r="G8" i="104"/>
  <c r="F38" i="103"/>
  <c r="F33" i="110"/>
  <c r="F8" i="104"/>
  <c r="E38" i="103"/>
  <c r="E33" i="110"/>
  <c r="E8" i="104"/>
  <c r="D38" i="103"/>
  <c r="D33" i="110"/>
  <c r="U36" i="104"/>
  <c r="T7" i="104"/>
  <c r="S37" i="103"/>
  <c r="S32" i="110"/>
  <c r="S7" i="104"/>
  <c r="R37" i="103"/>
  <c r="R32" i="110"/>
  <c r="R7" i="104"/>
  <c r="Q37" i="103"/>
  <c r="Q32" i="110"/>
  <c r="Q7" i="104"/>
  <c r="P37" i="103"/>
  <c r="P32" i="110"/>
  <c r="P7" i="104"/>
  <c r="O37" i="103"/>
  <c r="O32" i="110"/>
  <c r="O7" i="104"/>
  <c r="N37" i="103"/>
  <c r="N32" i="110"/>
  <c r="N7" i="104"/>
  <c r="M37" i="103"/>
  <c r="M32" i="110"/>
  <c r="M7" i="104"/>
  <c r="L37" i="103"/>
  <c r="L32" i="110"/>
  <c r="L7" i="104"/>
  <c r="K37" i="103"/>
  <c r="K32" i="110"/>
  <c r="K7" i="104"/>
  <c r="J37" i="103"/>
  <c r="J32" i="110"/>
  <c r="J7" i="104"/>
  <c r="I37" i="103"/>
  <c r="I32" i="110"/>
  <c r="I7" i="104"/>
  <c r="H37" i="103"/>
  <c r="H32" i="110"/>
  <c r="H7" i="104"/>
  <c r="G37" i="103"/>
  <c r="G32" i="110"/>
  <c r="G7" i="104"/>
  <c r="F37" i="103"/>
  <c r="F32" i="110"/>
  <c r="F7" i="104"/>
  <c r="E37" i="103"/>
  <c r="E32" i="110"/>
  <c r="E7" i="104"/>
  <c r="D37" i="103"/>
  <c r="D32" i="110"/>
  <c r="U35" i="104"/>
  <c r="T6" i="104"/>
  <c r="S36" i="103"/>
  <c r="S31" i="110"/>
  <c r="S6" i="104"/>
  <c r="R36" i="103"/>
  <c r="R31" i="110"/>
  <c r="R6" i="104"/>
  <c r="Q36" i="103"/>
  <c r="Q31" i="110"/>
  <c r="Q6" i="104"/>
  <c r="P36" i="103"/>
  <c r="P31" i="110"/>
  <c r="P6" i="104"/>
  <c r="O36" i="103"/>
  <c r="O31" i="110"/>
  <c r="O6" i="104"/>
  <c r="N36" i="103"/>
  <c r="N31" i="110"/>
  <c r="N6" i="104"/>
  <c r="M36" i="103"/>
  <c r="M31" i="110"/>
  <c r="M6" i="104"/>
  <c r="L36" i="103"/>
  <c r="L31" i="110"/>
  <c r="L6" i="104"/>
  <c r="K36" i="103"/>
  <c r="K31" i="110"/>
  <c r="K6" i="104"/>
  <c r="J36" i="103"/>
  <c r="J31" i="110"/>
  <c r="J6" i="104"/>
  <c r="I36" i="103"/>
  <c r="I31" i="110"/>
  <c r="I6" i="104"/>
  <c r="H36" i="103"/>
  <c r="H31" i="110"/>
  <c r="H6" i="104"/>
  <c r="G36" i="103"/>
  <c r="G31" i="110"/>
  <c r="G6" i="104"/>
  <c r="F36" i="103"/>
  <c r="F31" i="110"/>
  <c r="F6" i="104"/>
  <c r="E36" i="103"/>
  <c r="E31" i="110"/>
  <c r="E6" i="104"/>
  <c r="D36" i="103"/>
  <c r="D31" i="110"/>
  <c r="U34" i="104"/>
  <c r="T5" i="104"/>
  <c r="S35" i="103"/>
  <c r="S30" i="110"/>
  <c r="S5" i="104"/>
  <c r="R35" i="103"/>
  <c r="R30" i="110"/>
  <c r="R5" i="104"/>
  <c r="Q35" i="103"/>
  <c r="Q30" i="110"/>
  <c r="Q5" i="104"/>
  <c r="P35" i="103"/>
  <c r="P30" i="110"/>
  <c r="P5" i="104"/>
  <c r="O35" i="103"/>
  <c r="O30" i="110"/>
  <c r="O5" i="104"/>
  <c r="N35" i="103"/>
  <c r="N30" i="110"/>
  <c r="N5" i="104"/>
  <c r="M35" i="103"/>
  <c r="M30" i="110"/>
  <c r="M5" i="104"/>
  <c r="L35" i="103"/>
  <c r="L30" i="110"/>
  <c r="L5" i="104"/>
  <c r="K35" i="103"/>
  <c r="K30" i="110"/>
  <c r="K5" i="104"/>
  <c r="J35" i="103"/>
  <c r="J30" i="110"/>
  <c r="J5" i="104"/>
  <c r="I35" i="103"/>
  <c r="I30" i="110"/>
  <c r="I5" i="104"/>
  <c r="H35" i="103"/>
  <c r="H30" i="110"/>
  <c r="H5" i="104"/>
  <c r="G35" i="103"/>
  <c r="G30" i="110"/>
  <c r="G5" i="104"/>
  <c r="F35" i="103"/>
  <c r="F30" i="110"/>
  <c r="F5" i="104"/>
  <c r="E35" i="103"/>
  <c r="E30" i="110"/>
  <c r="E5" i="104"/>
  <c r="D35" i="103"/>
  <c r="D30" i="110"/>
  <c r="D30" i="104"/>
  <c r="C60" i="103"/>
  <c r="C49" i="110"/>
  <c r="D29" i="104"/>
  <c r="C59" i="103"/>
  <c r="C48" i="110"/>
  <c r="D28" i="104"/>
  <c r="C58" i="103"/>
  <c r="C47" i="110"/>
  <c r="D27" i="104"/>
  <c r="C57" i="103"/>
  <c r="C46" i="110"/>
  <c r="D26" i="104"/>
  <c r="C56" i="103"/>
  <c r="C45" i="110"/>
  <c r="D25" i="104"/>
  <c r="C55" i="103"/>
  <c r="D24" i="104"/>
  <c r="C54" i="103"/>
  <c r="D23" i="104"/>
  <c r="C53" i="103"/>
  <c r="C43" i="110"/>
  <c r="D22" i="104"/>
  <c r="C52" i="103"/>
  <c r="C42" i="110"/>
  <c r="D21" i="104"/>
  <c r="C51" i="103"/>
  <c r="D20" i="104"/>
  <c r="C50" i="103"/>
  <c r="D19" i="104"/>
  <c r="C49" i="103"/>
  <c r="D18" i="104"/>
  <c r="C48" i="103"/>
  <c r="D17" i="104"/>
  <c r="C47" i="103"/>
  <c r="D16" i="104"/>
  <c r="C46" i="103"/>
  <c r="D15" i="104"/>
  <c r="C45" i="103"/>
  <c r="C39" i="110"/>
  <c r="D14" i="104"/>
  <c r="C44" i="103"/>
  <c r="C38" i="110"/>
  <c r="D13" i="104"/>
  <c r="C43" i="103"/>
  <c r="C37" i="110"/>
  <c r="D12" i="104"/>
  <c r="C42" i="103"/>
  <c r="C36" i="110"/>
  <c r="D11" i="104"/>
  <c r="C41" i="103"/>
  <c r="C35" i="110"/>
  <c r="D10" i="104"/>
  <c r="C40" i="103"/>
  <c r="D9" i="104"/>
  <c r="C39" i="103"/>
  <c r="D8" i="104"/>
  <c r="C38" i="103"/>
  <c r="C33" i="110"/>
  <c r="D7" i="104"/>
  <c r="C37" i="103"/>
  <c r="C32" i="110"/>
  <c r="D6" i="104"/>
  <c r="C36" i="103"/>
  <c r="C31" i="110"/>
  <c r="D5" i="104"/>
  <c r="C35" i="103"/>
  <c r="C30" i="110"/>
  <c r="U26" i="149"/>
  <c r="D44" i="110"/>
  <c r="F65" i="110"/>
  <c r="V5" i="149"/>
  <c r="Y5" i="149"/>
  <c r="N63" i="110"/>
  <c r="H65" i="110"/>
  <c r="P68" i="110"/>
  <c r="I58" i="110"/>
  <c r="Q68" i="110"/>
  <c r="N58" i="110"/>
  <c r="N10" i="110"/>
  <c r="O34" i="110"/>
  <c r="L58" i="110"/>
  <c r="L10" i="110"/>
  <c r="L65" i="110"/>
  <c r="H40" i="110"/>
  <c r="H16" i="110"/>
  <c r="H41" i="110"/>
  <c r="M58" i="110"/>
  <c r="M10" i="110"/>
  <c r="M64" i="110"/>
  <c r="M16" i="110"/>
  <c r="M65" i="110"/>
  <c r="Q39" i="110"/>
  <c r="P39" i="110"/>
  <c r="P15" i="110"/>
  <c r="E58" i="110"/>
  <c r="E10" i="110"/>
  <c r="E64" i="110"/>
  <c r="E16" i="110"/>
  <c r="E65" i="110"/>
  <c r="E17" i="110"/>
  <c r="Q41" i="110"/>
  <c r="Q17" i="110"/>
  <c r="C65" i="110"/>
  <c r="F64" i="110"/>
  <c r="F16" i="110"/>
  <c r="N64" i="110"/>
  <c r="N16" i="110"/>
  <c r="P44" i="110"/>
  <c r="H34" i="110"/>
  <c r="J7" i="110"/>
  <c r="J8" i="110"/>
  <c r="R8" i="110"/>
  <c r="J9" i="110"/>
  <c r="J10" i="110"/>
  <c r="R10" i="110"/>
  <c r="J11" i="110"/>
  <c r="R11" i="110"/>
  <c r="J12" i="110"/>
  <c r="J13" i="110"/>
  <c r="R13" i="110"/>
  <c r="J14" i="110"/>
  <c r="J15" i="110"/>
  <c r="R15" i="110"/>
  <c r="R16" i="110"/>
  <c r="J17" i="110"/>
  <c r="R18" i="110"/>
  <c r="J19" i="110"/>
  <c r="R20" i="110"/>
  <c r="J22" i="110"/>
  <c r="J23" i="110"/>
  <c r="R23" i="110"/>
  <c r="J24" i="110"/>
  <c r="J25" i="110"/>
  <c r="R25" i="110"/>
  <c r="C34" i="110"/>
  <c r="C11" i="110"/>
  <c r="C41" i="110"/>
  <c r="C58" i="110"/>
  <c r="C64" i="110"/>
  <c r="C40" i="110"/>
  <c r="O15" i="110"/>
  <c r="C63" i="110"/>
  <c r="H23" i="110"/>
  <c r="O19" i="110"/>
  <c r="C18" i="110"/>
  <c r="K6" i="110"/>
  <c r="S6" i="110"/>
  <c r="K7" i="110"/>
  <c r="S7" i="110"/>
  <c r="K8" i="110"/>
  <c r="S8" i="110"/>
  <c r="K9" i="110"/>
  <c r="S9" i="110"/>
  <c r="K10" i="110"/>
  <c r="S10" i="110"/>
  <c r="K11" i="110"/>
  <c r="S11" i="110"/>
  <c r="K12" i="110"/>
  <c r="S12" i="110"/>
  <c r="K13" i="110"/>
  <c r="S13" i="110"/>
  <c r="K14" i="110"/>
  <c r="S14" i="110"/>
  <c r="K15" i="110"/>
  <c r="S15" i="110"/>
  <c r="K16" i="110"/>
  <c r="S16" i="110"/>
  <c r="K17" i="110"/>
  <c r="S17" i="110"/>
  <c r="K18" i="110"/>
  <c r="S18" i="110"/>
  <c r="K19" i="110"/>
  <c r="S19" i="110"/>
  <c r="K20" i="110"/>
  <c r="S20" i="110"/>
  <c r="K21" i="110"/>
  <c r="S21" i="110"/>
  <c r="K22" i="110"/>
  <c r="S22" i="110"/>
  <c r="K23" i="110"/>
  <c r="S23" i="110"/>
  <c r="K24" i="110"/>
  <c r="S24" i="110"/>
  <c r="K25" i="110"/>
  <c r="S25" i="110"/>
  <c r="G18" i="110"/>
  <c r="C19" i="110"/>
  <c r="C44" i="110"/>
  <c r="C68" i="110"/>
  <c r="G14" i="110"/>
  <c r="O21" i="110"/>
  <c r="T54" i="110"/>
  <c r="T56" i="110"/>
  <c r="T57" i="110"/>
  <c r="T59" i="110"/>
  <c r="T67" i="110"/>
  <c r="T72" i="110"/>
  <c r="T73" i="110"/>
  <c r="C23" i="110"/>
  <c r="C12" i="110"/>
  <c r="F7" i="110"/>
  <c r="F9" i="110"/>
  <c r="F11" i="110"/>
  <c r="F13" i="110"/>
  <c r="F15" i="110"/>
  <c r="F17" i="110"/>
  <c r="F25" i="110"/>
  <c r="C13" i="110"/>
  <c r="G6" i="110"/>
  <c r="O6" i="110"/>
  <c r="G7" i="110"/>
  <c r="O7" i="110"/>
  <c r="G8" i="110"/>
  <c r="G9" i="110"/>
  <c r="O10" i="110"/>
  <c r="O11" i="110"/>
  <c r="O12" i="110"/>
  <c r="G13" i="110"/>
  <c r="O13" i="110"/>
  <c r="G16" i="110"/>
  <c r="O16" i="110"/>
  <c r="G17" i="110"/>
  <c r="O17" i="110"/>
  <c r="O18" i="110"/>
  <c r="G19" i="110"/>
  <c r="G20" i="110"/>
  <c r="O20" i="110"/>
  <c r="G22" i="110"/>
  <c r="G23" i="110"/>
  <c r="O23" i="110"/>
  <c r="G24" i="110"/>
  <c r="O24" i="110"/>
  <c r="G25" i="110"/>
  <c r="H20" i="110"/>
  <c r="P16" i="110"/>
  <c r="P25" i="110"/>
  <c r="C8" i="110"/>
  <c r="T55" i="110"/>
  <c r="C24" i="110"/>
  <c r="H6" i="110"/>
  <c r="P6" i="110"/>
  <c r="H7" i="110"/>
  <c r="P7" i="110"/>
  <c r="H8" i="110"/>
  <c r="P8" i="110"/>
  <c r="H9" i="110"/>
  <c r="P9" i="110"/>
  <c r="P10" i="110"/>
  <c r="H11" i="110"/>
  <c r="P11" i="110"/>
  <c r="H12" i="110"/>
  <c r="P12" i="110"/>
  <c r="H13" i="110"/>
  <c r="P13" i="110"/>
  <c r="H14" i="110"/>
  <c r="P14" i="110"/>
  <c r="H15" i="110"/>
  <c r="P17" i="110"/>
  <c r="H18" i="110"/>
  <c r="P18" i="110"/>
  <c r="H19" i="110"/>
  <c r="P19" i="110"/>
  <c r="H21" i="110"/>
  <c r="P21" i="110"/>
  <c r="H22" i="110"/>
  <c r="P22" i="110"/>
  <c r="P23" i="110"/>
  <c r="H24" i="110"/>
  <c r="P24" i="110"/>
  <c r="H25" i="110"/>
  <c r="C7" i="110"/>
  <c r="E6" i="110"/>
  <c r="E8" i="110"/>
  <c r="E12" i="110"/>
  <c r="E14" i="110"/>
  <c r="M19" i="110"/>
  <c r="M21" i="110"/>
  <c r="M23" i="110"/>
  <c r="M25" i="110"/>
  <c r="F10" i="110"/>
  <c r="F14" i="110"/>
  <c r="F18" i="110"/>
  <c r="F19" i="110"/>
  <c r="F21" i="110"/>
  <c r="F22" i="110"/>
  <c r="F23" i="110"/>
  <c r="T66" i="110"/>
  <c r="O8" i="110"/>
  <c r="O9" i="110"/>
  <c r="G10" i="110"/>
  <c r="G11" i="110"/>
  <c r="G12" i="110"/>
  <c r="O14" i="110"/>
  <c r="G15" i="110"/>
  <c r="G21" i="110"/>
  <c r="O22" i="110"/>
  <c r="O25" i="110"/>
  <c r="T60" i="110"/>
  <c r="T61" i="110"/>
  <c r="J6" i="110"/>
  <c r="R6" i="110"/>
  <c r="R7" i="110"/>
  <c r="R9" i="110"/>
  <c r="R12" i="110"/>
  <c r="R14" i="110"/>
  <c r="J16" i="110"/>
  <c r="R17" i="110"/>
  <c r="J18" i="110"/>
  <c r="R19" i="110"/>
  <c r="J20" i="110"/>
  <c r="J21" i="110"/>
  <c r="R21" i="110"/>
  <c r="R22" i="110"/>
  <c r="R24" i="110"/>
  <c r="C9" i="110"/>
  <c r="C25" i="110"/>
  <c r="C14" i="110"/>
  <c r="T70" i="110"/>
  <c r="T71" i="110"/>
  <c r="C21" i="110"/>
  <c r="T69" i="110"/>
  <c r="T62" i="110"/>
  <c r="M6" i="110"/>
  <c r="E7" i="110"/>
  <c r="M7" i="110"/>
  <c r="M8" i="110"/>
  <c r="E9" i="110"/>
  <c r="M9" i="110"/>
  <c r="E11" i="110"/>
  <c r="M11" i="110"/>
  <c r="M12" i="110"/>
  <c r="E13" i="110"/>
  <c r="M13" i="110"/>
  <c r="M14" i="110"/>
  <c r="E15" i="110"/>
  <c r="M15" i="110"/>
  <c r="E18" i="110"/>
  <c r="M18" i="110"/>
  <c r="E19" i="110"/>
  <c r="E20" i="110"/>
  <c r="M20" i="110"/>
  <c r="E21" i="110"/>
  <c r="E22" i="110"/>
  <c r="M22" i="110"/>
  <c r="E23" i="110"/>
  <c r="E24" i="110"/>
  <c r="M24" i="110"/>
  <c r="E25" i="110"/>
  <c r="F6" i="110"/>
  <c r="F8" i="110"/>
  <c r="F12" i="110"/>
  <c r="F20" i="110"/>
  <c r="F24" i="110"/>
  <c r="N6" i="110"/>
  <c r="N7" i="110"/>
  <c r="N8" i="110"/>
  <c r="N9" i="110"/>
  <c r="N11" i="110"/>
  <c r="N12" i="110"/>
  <c r="N13" i="110"/>
  <c r="N14" i="110"/>
  <c r="N15" i="110"/>
  <c r="N17" i="110"/>
  <c r="N18" i="110"/>
  <c r="N19" i="110"/>
  <c r="N20" i="110"/>
  <c r="N21" i="110"/>
  <c r="N22" i="110"/>
  <c r="N23" i="110"/>
  <c r="N24" i="110"/>
  <c r="N25" i="110"/>
  <c r="I6" i="110"/>
  <c r="Q6" i="110"/>
  <c r="I7" i="110"/>
  <c r="Q7" i="110"/>
  <c r="I8" i="110"/>
  <c r="Q8" i="110"/>
  <c r="I9" i="110"/>
  <c r="Q9" i="110"/>
  <c r="I10" i="110"/>
  <c r="Q10" i="110"/>
  <c r="I11" i="110"/>
  <c r="Q11" i="110"/>
  <c r="I12" i="110"/>
  <c r="Q12" i="110"/>
  <c r="I13" i="110"/>
  <c r="Q13" i="110"/>
  <c r="I14" i="110"/>
  <c r="Q14" i="110"/>
  <c r="I15" i="110"/>
  <c r="Q15" i="110"/>
  <c r="I16" i="110"/>
  <c r="Q16" i="110"/>
  <c r="I17" i="110"/>
  <c r="I18" i="110"/>
  <c r="Q18" i="110"/>
  <c r="I19" i="110"/>
  <c r="Q19" i="110"/>
  <c r="I20" i="110"/>
  <c r="Q20" i="110"/>
  <c r="I21" i="110"/>
  <c r="Q21" i="110"/>
  <c r="I22" i="110"/>
  <c r="Q22" i="110"/>
  <c r="I23" i="110"/>
  <c r="Q23" i="110"/>
  <c r="I24" i="110"/>
  <c r="Q24" i="110"/>
  <c r="I25" i="110"/>
  <c r="Q25" i="110"/>
  <c r="D6" i="110"/>
  <c r="L6" i="110"/>
  <c r="D7" i="110"/>
  <c r="L7" i="110"/>
  <c r="D8" i="110"/>
  <c r="L8" i="110"/>
  <c r="D9" i="110"/>
  <c r="L9" i="110"/>
  <c r="D10" i="110"/>
  <c r="D11" i="110"/>
  <c r="L11" i="110"/>
  <c r="D12" i="110"/>
  <c r="L12" i="110"/>
  <c r="D13" i="110"/>
  <c r="L13" i="110"/>
  <c r="D14" i="110"/>
  <c r="L14" i="110"/>
  <c r="L15" i="110"/>
  <c r="L16" i="110"/>
  <c r="D18" i="110"/>
  <c r="L18" i="110"/>
  <c r="D19" i="110"/>
  <c r="L19" i="110"/>
  <c r="L20" i="110"/>
  <c r="D21" i="110"/>
  <c r="L21" i="110"/>
  <c r="D22" i="110"/>
  <c r="L22" i="110"/>
  <c r="D23" i="110"/>
  <c r="L23" i="110"/>
  <c r="D24" i="110"/>
  <c r="L24" i="110"/>
  <c r="D25" i="110"/>
  <c r="L25" i="110"/>
  <c r="C22" i="110"/>
  <c r="D15" i="110"/>
  <c r="D16" i="110"/>
  <c r="D17" i="110"/>
  <c r="D20" i="110"/>
  <c r="C6" i="110"/>
  <c r="T37" i="110"/>
  <c r="T30" i="110"/>
  <c r="T35" i="110"/>
  <c r="T46" i="110"/>
  <c r="T36" i="110"/>
  <c r="T45" i="110"/>
  <c r="T47" i="110"/>
  <c r="T48" i="110"/>
  <c r="T32" i="110"/>
  <c r="T33" i="110"/>
  <c r="T43" i="110"/>
  <c r="T38" i="110"/>
  <c r="T42" i="110"/>
  <c r="T49" i="110"/>
  <c r="T31" i="110"/>
  <c r="I29" i="81"/>
  <c r="I28" i="81"/>
  <c r="I27" i="81"/>
  <c r="I26" i="81"/>
  <c r="I25" i="81"/>
  <c r="I24" i="81"/>
  <c r="I23" i="81"/>
  <c r="I22" i="81"/>
  <c r="I21" i="81"/>
  <c r="I20" i="81"/>
  <c r="I19" i="81"/>
  <c r="I18" i="81"/>
  <c r="I17" i="81"/>
  <c r="I16" i="81"/>
  <c r="I15" i="81"/>
  <c r="I14" i="81"/>
  <c r="I13" i="81"/>
  <c r="I12" i="81"/>
  <c r="I11" i="81"/>
  <c r="I10" i="81"/>
  <c r="I9" i="81"/>
  <c r="I8" i="81"/>
  <c r="I7" i="81"/>
  <c r="I6" i="81"/>
  <c r="I5" i="81"/>
  <c r="I4" i="81"/>
  <c r="V25" i="149"/>
  <c r="V26" i="149"/>
  <c r="Y25" i="149"/>
  <c r="Y26" i="149"/>
  <c r="T68" i="110"/>
  <c r="T39" i="110"/>
  <c r="H17" i="110"/>
  <c r="C17" i="110"/>
  <c r="T65" i="110"/>
  <c r="L17" i="110"/>
  <c r="P20" i="110"/>
  <c r="M17" i="110"/>
  <c r="T40" i="110"/>
  <c r="T64" i="110"/>
  <c r="H10" i="110"/>
  <c r="T34" i="110"/>
  <c r="C10" i="110"/>
  <c r="T41" i="110"/>
  <c r="T58" i="110"/>
  <c r="C16" i="110"/>
  <c r="T16" i="110"/>
  <c r="T63" i="110"/>
  <c r="C15" i="110"/>
  <c r="T15" i="110"/>
  <c r="C20" i="110"/>
  <c r="T44" i="110"/>
  <c r="T11" i="110"/>
  <c r="T23" i="110"/>
  <c r="T9" i="110"/>
  <c r="T8" i="110"/>
  <c r="T13" i="110"/>
  <c r="T7" i="110"/>
  <c r="T12" i="110"/>
  <c r="T22" i="110"/>
  <c r="T19" i="110"/>
  <c r="T6" i="110"/>
  <c r="T21" i="110"/>
  <c r="T18" i="110"/>
  <c r="T24" i="110"/>
  <c r="T14" i="110"/>
  <c r="T25" i="110"/>
  <c r="T17" i="110"/>
  <c r="T10" i="110"/>
  <c r="T20" i="110"/>
  <c r="S47" i="101"/>
  <c r="R47" i="101"/>
  <c r="Q47" i="101"/>
  <c r="P47" i="101"/>
  <c r="O47" i="101"/>
  <c r="N47" i="101"/>
  <c r="M47" i="101"/>
  <c r="L47" i="101"/>
  <c r="K47" i="101"/>
  <c r="J47" i="101"/>
  <c r="I47" i="101"/>
  <c r="H47" i="101"/>
  <c r="G47" i="101"/>
  <c r="F47" i="101"/>
  <c r="E47" i="101"/>
  <c r="D47" i="101"/>
  <c r="C47" i="101"/>
  <c r="T46" i="101"/>
  <c r="R23" i="101"/>
  <c r="T45" i="101"/>
  <c r="T22" i="101"/>
  <c r="T44" i="101"/>
  <c r="P21" i="101"/>
  <c r="T43" i="101"/>
  <c r="R20" i="101"/>
  <c r="T42" i="101"/>
  <c r="T19" i="101"/>
  <c r="T41" i="101"/>
  <c r="N18" i="101"/>
  <c r="T40" i="101"/>
  <c r="N17" i="101"/>
  <c r="T39" i="101"/>
  <c r="R16" i="101"/>
  <c r="T38" i="101"/>
  <c r="O15" i="101"/>
  <c r="T37" i="101"/>
  <c r="P14" i="101"/>
  <c r="T36" i="101"/>
  <c r="R13" i="101"/>
  <c r="T35" i="101"/>
  <c r="T12" i="101"/>
  <c r="T34" i="101"/>
  <c r="N11" i="101"/>
  <c r="T33" i="101"/>
  <c r="N10" i="101"/>
  <c r="T32" i="101"/>
  <c r="R9" i="101"/>
  <c r="T31" i="101"/>
  <c r="M8" i="101"/>
  <c r="T30" i="101"/>
  <c r="O7" i="101"/>
  <c r="T29" i="101"/>
  <c r="P6" i="101"/>
  <c r="T28" i="101"/>
  <c r="R5" i="101"/>
  <c r="T27" i="101"/>
  <c r="T4" i="101"/>
  <c r="T26" i="101"/>
  <c r="T23" i="101"/>
  <c r="P23" i="101"/>
  <c r="K23" i="101"/>
  <c r="I23" i="101"/>
  <c r="H23" i="101"/>
  <c r="D23" i="101"/>
  <c r="O22" i="101"/>
  <c r="M22" i="101"/>
  <c r="F22" i="101"/>
  <c r="T16" i="101"/>
  <c r="S16" i="101"/>
  <c r="Q16" i="101"/>
  <c r="M16" i="101"/>
  <c r="K16" i="101"/>
  <c r="I16" i="101"/>
  <c r="F16" i="101"/>
  <c r="E16" i="101"/>
  <c r="D16" i="101"/>
  <c r="S15" i="101"/>
  <c r="N15" i="101"/>
  <c r="M15" i="101"/>
  <c r="L15" i="101"/>
  <c r="H15" i="101"/>
  <c r="D15" i="101"/>
  <c r="C15" i="101"/>
  <c r="T8" i="101"/>
  <c r="S8" i="101"/>
  <c r="R8" i="101"/>
  <c r="Q8" i="101"/>
  <c r="O8" i="101"/>
  <c r="N8" i="101"/>
  <c r="L8" i="101"/>
  <c r="K8" i="101"/>
  <c r="J8" i="101"/>
  <c r="I8" i="101"/>
  <c r="H8" i="101"/>
  <c r="F8" i="101"/>
  <c r="E8" i="101"/>
  <c r="D8" i="101"/>
  <c r="C8" i="101"/>
  <c r="R7" i="101"/>
  <c r="M7" i="101"/>
  <c r="L7" i="101"/>
  <c r="K7" i="101"/>
  <c r="F7" i="101"/>
  <c r="C7" i="101"/>
  <c r="K6" i="101"/>
  <c r="S47" i="100"/>
  <c r="R47" i="100"/>
  <c r="Q47" i="100"/>
  <c r="P47" i="100"/>
  <c r="O47" i="100"/>
  <c r="N47" i="100"/>
  <c r="M47" i="100"/>
  <c r="L47" i="100"/>
  <c r="K47" i="100"/>
  <c r="J47" i="100"/>
  <c r="I47" i="100"/>
  <c r="H47" i="100"/>
  <c r="G47" i="100"/>
  <c r="F47" i="100"/>
  <c r="E47" i="100"/>
  <c r="D47" i="100"/>
  <c r="C47" i="100"/>
  <c r="T46" i="100"/>
  <c r="T23" i="100"/>
  <c r="T45" i="100"/>
  <c r="P22" i="100"/>
  <c r="T44" i="100"/>
  <c r="P21" i="100"/>
  <c r="T43" i="100"/>
  <c r="R20" i="100"/>
  <c r="T42" i="100"/>
  <c r="N19" i="100"/>
  <c r="T41" i="100"/>
  <c r="O18" i="100"/>
  <c r="T40" i="100"/>
  <c r="S17" i="100"/>
  <c r="T39" i="100"/>
  <c r="R16" i="100"/>
  <c r="T38" i="100"/>
  <c r="S15" i="100"/>
  <c r="T37" i="100"/>
  <c r="P14" i="100"/>
  <c r="T36" i="100"/>
  <c r="R13" i="100"/>
  <c r="T35" i="100"/>
  <c r="M12" i="100"/>
  <c r="T34" i="100"/>
  <c r="H11" i="100"/>
  <c r="T33" i="100"/>
  <c r="N10" i="100"/>
  <c r="T32" i="100"/>
  <c r="R9" i="100"/>
  <c r="T31" i="100"/>
  <c r="T8" i="100"/>
  <c r="T30" i="100"/>
  <c r="N7" i="100"/>
  <c r="T29" i="100"/>
  <c r="P6" i="100"/>
  <c r="T28" i="100"/>
  <c r="R5" i="100"/>
  <c r="T27" i="100"/>
  <c r="F4" i="100"/>
  <c r="T26" i="100"/>
  <c r="G3" i="100"/>
  <c r="E23" i="100"/>
  <c r="S22" i="100"/>
  <c r="L21" i="100"/>
  <c r="K21" i="100"/>
  <c r="J15" i="100"/>
  <c r="Q14" i="100"/>
  <c r="O14" i="100"/>
  <c r="H13" i="100"/>
  <c r="N8" i="100"/>
  <c r="J7" i="100"/>
  <c r="C6" i="100"/>
  <c r="H5" i="100"/>
  <c r="M7" i="100"/>
  <c r="F23" i="100"/>
  <c r="P7" i="100"/>
  <c r="F8" i="100"/>
  <c r="L16" i="100"/>
  <c r="N15" i="100"/>
  <c r="T15" i="100"/>
  <c r="G8" i="100"/>
  <c r="L15" i="100"/>
  <c r="J23" i="100"/>
  <c r="E8" i="100"/>
  <c r="H7" i="100"/>
  <c r="J8" i="100"/>
  <c r="F15" i="100"/>
  <c r="O8" i="100"/>
  <c r="R8" i="100"/>
  <c r="N23" i="100"/>
  <c r="I7" i="100"/>
  <c r="M8" i="100"/>
  <c r="G15" i="100"/>
  <c r="L14" i="101"/>
  <c r="F4" i="101"/>
  <c r="T21" i="101"/>
  <c r="E5" i="100"/>
  <c r="E13" i="100"/>
  <c r="D7" i="101"/>
  <c r="N7" i="101"/>
  <c r="E15" i="101"/>
  <c r="P15" i="101"/>
  <c r="N22" i="101"/>
  <c r="L23" i="101"/>
  <c r="E7" i="101"/>
  <c r="P7" i="101"/>
  <c r="F15" i="101"/>
  <c r="Q15" i="101"/>
  <c r="N23" i="101"/>
  <c r="I7" i="101"/>
  <c r="S7" i="101"/>
  <c r="J15" i="101"/>
  <c r="T15" i="101"/>
  <c r="E23" i="101"/>
  <c r="Q23" i="101"/>
  <c r="J7" i="101"/>
  <c r="T7" i="101"/>
  <c r="D14" i="101"/>
  <c r="K15" i="101"/>
  <c r="F23" i="101"/>
  <c r="S23" i="101"/>
  <c r="N4" i="101"/>
  <c r="M13" i="101"/>
  <c r="C5" i="101"/>
  <c r="S13" i="101"/>
  <c r="T13" i="101"/>
  <c r="M4" i="101"/>
  <c r="M5" i="101"/>
  <c r="I21" i="101"/>
  <c r="S5" i="101"/>
  <c r="M12" i="101"/>
  <c r="J21" i="101"/>
  <c r="T5" i="101"/>
  <c r="N12" i="101"/>
  <c r="K21" i="101"/>
  <c r="C13" i="101"/>
  <c r="L21" i="101"/>
  <c r="D5" i="101"/>
  <c r="D13" i="101"/>
  <c r="D20" i="101"/>
  <c r="O21" i="101"/>
  <c r="E5" i="101"/>
  <c r="E13" i="101"/>
  <c r="C21" i="101"/>
  <c r="Q21" i="101"/>
  <c r="K5" i="101"/>
  <c r="K13" i="101"/>
  <c r="D21" i="101"/>
  <c r="R21" i="101"/>
  <c r="L5" i="101"/>
  <c r="L13" i="101"/>
  <c r="G21" i="101"/>
  <c r="S21" i="101"/>
  <c r="H10" i="100"/>
  <c r="D6" i="100"/>
  <c r="O10" i="100"/>
  <c r="C22" i="100"/>
  <c r="N6" i="100"/>
  <c r="G22" i="100"/>
  <c r="C14" i="100"/>
  <c r="N14" i="100"/>
  <c r="P10" i="100"/>
  <c r="E17" i="100"/>
  <c r="F6" i="100"/>
  <c r="M17" i="100"/>
  <c r="I22" i="100"/>
  <c r="D17" i="100"/>
  <c r="E9" i="100"/>
  <c r="O6" i="100"/>
  <c r="P9" i="100"/>
  <c r="D14" i="100"/>
  <c r="C20" i="100"/>
  <c r="G18" i="100"/>
  <c r="Q6" i="100"/>
  <c r="G10" i="100"/>
  <c r="F14" i="100"/>
  <c r="S20" i="100"/>
  <c r="I9" i="101"/>
  <c r="C17" i="101"/>
  <c r="C10" i="101"/>
  <c r="O17" i="101"/>
  <c r="D6" i="101"/>
  <c r="D10" i="101"/>
  <c r="J14" i="101"/>
  <c r="E19" i="101"/>
  <c r="R22" i="101"/>
  <c r="J6" i="101"/>
  <c r="H7" i="101"/>
  <c r="Q7" i="101"/>
  <c r="G8" i="101"/>
  <c r="P8" i="101"/>
  <c r="O10" i="101"/>
  <c r="K14" i="101"/>
  <c r="I15" i="101"/>
  <c r="R15" i="101"/>
  <c r="L16" i="101"/>
  <c r="F19" i="101"/>
  <c r="E22" i="101"/>
  <c r="C23" i="101"/>
  <c r="M23" i="101"/>
  <c r="P10" i="101"/>
  <c r="L6" i="101"/>
  <c r="E12" i="101"/>
  <c r="R14" i="101"/>
  <c r="S20" i="101"/>
  <c r="G22" i="101"/>
  <c r="E4" i="101"/>
  <c r="R6" i="101"/>
  <c r="F12" i="101"/>
  <c r="T20" i="101"/>
  <c r="J22" i="101"/>
  <c r="L9" i="101"/>
  <c r="G10" i="101"/>
  <c r="Q10" i="101"/>
  <c r="G17" i="101"/>
  <c r="Q17" i="101"/>
  <c r="M19" i="101"/>
  <c r="T47" i="101"/>
  <c r="O6" i="101"/>
  <c r="M9" i="101"/>
  <c r="H10" i="101"/>
  <c r="R10" i="101"/>
  <c r="O14" i="101"/>
  <c r="H17" i="101"/>
  <c r="R17" i="101"/>
  <c r="N19" i="101"/>
  <c r="H22" i="101"/>
  <c r="P22" i="101"/>
  <c r="C6" i="101"/>
  <c r="Q6" i="101"/>
  <c r="G7" i="101"/>
  <c r="C9" i="101"/>
  <c r="N9" i="101"/>
  <c r="I10" i="101"/>
  <c r="S10" i="101"/>
  <c r="C14" i="101"/>
  <c r="Q14" i="101"/>
  <c r="G15" i="101"/>
  <c r="C16" i="101"/>
  <c r="N16" i="101"/>
  <c r="I17" i="101"/>
  <c r="S17" i="101"/>
  <c r="C20" i="101"/>
  <c r="I22" i="101"/>
  <c r="Q22" i="101"/>
  <c r="G23" i="101"/>
  <c r="O23" i="101"/>
  <c r="P17" i="101"/>
  <c r="Q9" i="101"/>
  <c r="T10" i="101"/>
  <c r="J17" i="101"/>
  <c r="G3" i="101"/>
  <c r="G6" i="101"/>
  <c r="S6" i="101"/>
  <c r="E9" i="101"/>
  <c r="S9" i="101"/>
  <c r="K10" i="101"/>
  <c r="G11" i="101"/>
  <c r="G14" i="101"/>
  <c r="S14" i="101"/>
  <c r="K17" i="101"/>
  <c r="G18" i="101"/>
  <c r="K20" i="101"/>
  <c r="C22" i="101"/>
  <c r="K22" i="101"/>
  <c r="S22" i="101"/>
  <c r="K9" i="101"/>
  <c r="D17" i="101"/>
  <c r="D9" i="101"/>
  <c r="J10" i="101"/>
  <c r="T17" i="101"/>
  <c r="O3" i="101"/>
  <c r="I6" i="101"/>
  <c r="T6" i="101"/>
  <c r="F9" i="101"/>
  <c r="T9" i="101"/>
  <c r="L10" i="101"/>
  <c r="O11" i="101"/>
  <c r="I14" i="101"/>
  <c r="T14" i="101"/>
  <c r="L17" i="101"/>
  <c r="O18" i="101"/>
  <c r="L20" i="101"/>
  <c r="D22" i="101"/>
  <c r="L22" i="101"/>
  <c r="J23" i="101"/>
  <c r="C21" i="100"/>
  <c r="L5" i="100"/>
  <c r="G6" i="100"/>
  <c r="R6" i="100"/>
  <c r="L13" i="100"/>
  <c r="G14" i="100"/>
  <c r="R14" i="100"/>
  <c r="H20" i="100"/>
  <c r="D21" i="100"/>
  <c r="O21" i="100"/>
  <c r="J22" i="100"/>
  <c r="E4" i="100"/>
  <c r="M5" i="100"/>
  <c r="I6" i="100"/>
  <c r="S6" i="100"/>
  <c r="O7" i="100"/>
  <c r="M13" i="100"/>
  <c r="I14" i="100"/>
  <c r="S14" i="100"/>
  <c r="M15" i="100"/>
  <c r="L17" i="100"/>
  <c r="K20" i="100"/>
  <c r="F21" i="100"/>
  <c r="Q21" i="100"/>
  <c r="K22" i="100"/>
  <c r="M23" i="100"/>
  <c r="T20" i="100"/>
  <c r="E20" i="100"/>
  <c r="P5" i="100"/>
  <c r="T6" i="100"/>
  <c r="J14" i="100"/>
  <c r="G21" i="100"/>
  <c r="O22" i="100"/>
  <c r="C5" i="100"/>
  <c r="S5" i="100"/>
  <c r="K6" i="100"/>
  <c r="E7" i="100"/>
  <c r="Q7" i="100"/>
  <c r="C13" i="100"/>
  <c r="S13" i="100"/>
  <c r="K14" i="100"/>
  <c r="D15" i="100"/>
  <c r="O15" i="100"/>
  <c r="T17" i="100"/>
  <c r="M20" i="100"/>
  <c r="I21" i="100"/>
  <c r="S21" i="100"/>
  <c r="Q22" i="100"/>
  <c r="R23" i="100"/>
  <c r="D20" i="100"/>
  <c r="K5" i="100"/>
  <c r="K13" i="100"/>
  <c r="N21" i="100"/>
  <c r="J6" i="100"/>
  <c r="P13" i="100"/>
  <c r="T14" i="100"/>
  <c r="L20" i="100"/>
  <c r="R21" i="100"/>
  <c r="D5" i="100"/>
  <c r="T5" i="100"/>
  <c r="L6" i="100"/>
  <c r="G7" i="100"/>
  <c r="R7" i="100"/>
  <c r="D13" i="100"/>
  <c r="T13" i="100"/>
  <c r="L14" i="100"/>
  <c r="E15" i="100"/>
  <c r="R15" i="100"/>
  <c r="P20" i="100"/>
  <c r="J21" i="100"/>
  <c r="T21" i="100"/>
  <c r="R22" i="100"/>
  <c r="Q9" i="100"/>
  <c r="C16" i="100"/>
  <c r="I10" i="100"/>
  <c r="N16" i="100"/>
  <c r="F17" i="100"/>
  <c r="I9" i="100"/>
  <c r="R10" i="100"/>
  <c r="P16" i="100"/>
  <c r="O17" i="100"/>
  <c r="D22" i="100"/>
  <c r="T22" i="100"/>
  <c r="C7" i="100"/>
  <c r="K7" i="100"/>
  <c r="S7" i="100"/>
  <c r="K9" i="100"/>
  <c r="C10" i="100"/>
  <c r="K10" i="100"/>
  <c r="S10" i="100"/>
  <c r="H15" i="100"/>
  <c r="P15" i="100"/>
  <c r="F16" i="100"/>
  <c r="Q16" i="100"/>
  <c r="H17" i="100"/>
  <c r="P17" i="100"/>
  <c r="E22" i="100"/>
  <c r="M22" i="100"/>
  <c r="M16" i="100"/>
  <c r="H9" i="100"/>
  <c r="S9" i="100"/>
  <c r="Q10" i="100"/>
  <c r="D16" i="100"/>
  <c r="N17" i="100"/>
  <c r="T9" i="100"/>
  <c r="J10" i="100"/>
  <c r="E16" i="100"/>
  <c r="G17" i="100"/>
  <c r="L22" i="100"/>
  <c r="D7" i="100"/>
  <c r="L7" i="100"/>
  <c r="T7" i="100"/>
  <c r="L9" i="100"/>
  <c r="D10" i="100"/>
  <c r="L10" i="100"/>
  <c r="T10" i="100"/>
  <c r="I15" i="100"/>
  <c r="Q15" i="100"/>
  <c r="H16" i="100"/>
  <c r="S16" i="100"/>
  <c r="I17" i="100"/>
  <c r="Q17" i="100"/>
  <c r="F22" i="100"/>
  <c r="N22" i="100"/>
  <c r="F9" i="100"/>
  <c r="C9" i="100"/>
  <c r="M9" i="100"/>
  <c r="E10" i="100"/>
  <c r="M10" i="100"/>
  <c r="O11" i="100"/>
  <c r="I16" i="100"/>
  <c r="T16" i="100"/>
  <c r="J17" i="100"/>
  <c r="R17" i="100"/>
  <c r="F7" i="100"/>
  <c r="D9" i="100"/>
  <c r="N9" i="100"/>
  <c r="F10" i="100"/>
  <c r="C15" i="100"/>
  <c r="K15" i="100"/>
  <c r="K16" i="100"/>
  <c r="C17" i="100"/>
  <c r="K17" i="100"/>
  <c r="H22" i="100"/>
  <c r="H3" i="101"/>
  <c r="H11" i="101"/>
  <c r="I3" i="101"/>
  <c r="G4" i="101"/>
  <c r="I11" i="101"/>
  <c r="G12" i="101"/>
  <c r="Q18" i="101"/>
  <c r="O19" i="101"/>
  <c r="M20" i="101"/>
  <c r="J3" i="101"/>
  <c r="H4" i="101"/>
  <c r="F5" i="101"/>
  <c r="R11" i="101"/>
  <c r="P12" i="101"/>
  <c r="F13" i="101"/>
  <c r="R18" i="101"/>
  <c r="P19" i="101"/>
  <c r="F20" i="101"/>
  <c r="C3" i="101"/>
  <c r="K3" i="101"/>
  <c r="S3" i="101"/>
  <c r="I4" i="101"/>
  <c r="Q4" i="101"/>
  <c r="G5" i="101"/>
  <c r="O5" i="101"/>
  <c r="E6" i="101"/>
  <c r="M6" i="101"/>
  <c r="G9" i="101"/>
  <c r="O9" i="101"/>
  <c r="E10" i="101"/>
  <c r="M10" i="101"/>
  <c r="C11" i="101"/>
  <c r="K11" i="101"/>
  <c r="S11" i="101"/>
  <c r="I12" i="101"/>
  <c r="Q12" i="101"/>
  <c r="G13" i="101"/>
  <c r="O13" i="101"/>
  <c r="E14" i="101"/>
  <c r="M14" i="101"/>
  <c r="G16" i="101"/>
  <c r="O16" i="101"/>
  <c r="E17" i="101"/>
  <c r="M17" i="101"/>
  <c r="C18" i="101"/>
  <c r="K18" i="101"/>
  <c r="S18" i="101"/>
  <c r="I19" i="101"/>
  <c r="Q19" i="101"/>
  <c r="G20" i="101"/>
  <c r="O20" i="101"/>
  <c r="E21" i="101"/>
  <c r="M21" i="101"/>
  <c r="P11" i="101"/>
  <c r="H18" i="101"/>
  <c r="Q3" i="101"/>
  <c r="O4" i="101"/>
  <c r="Q11" i="101"/>
  <c r="O12" i="101"/>
  <c r="I18" i="101"/>
  <c r="G19" i="101"/>
  <c r="E20" i="101"/>
  <c r="R3" i="101"/>
  <c r="P4" i="101"/>
  <c r="N5" i="101"/>
  <c r="J11" i="101"/>
  <c r="H12" i="101"/>
  <c r="N13" i="101"/>
  <c r="J18" i="101"/>
  <c r="H19" i="101"/>
  <c r="N20" i="101"/>
  <c r="D3" i="101"/>
  <c r="L3" i="101"/>
  <c r="T3" i="101"/>
  <c r="J4" i="101"/>
  <c r="R4" i="101"/>
  <c r="H5" i="101"/>
  <c r="P5" i="101"/>
  <c r="F6" i="101"/>
  <c r="N6" i="101"/>
  <c r="H9" i="101"/>
  <c r="P9" i="101"/>
  <c r="F10" i="101"/>
  <c r="D11" i="101"/>
  <c r="L11" i="101"/>
  <c r="T11" i="101"/>
  <c r="J12" i="101"/>
  <c r="R12" i="101"/>
  <c r="H13" i="101"/>
  <c r="P13" i="101"/>
  <c r="F14" i="101"/>
  <c r="N14" i="101"/>
  <c r="H16" i="101"/>
  <c r="P16" i="101"/>
  <c r="F17" i="101"/>
  <c r="D18" i="101"/>
  <c r="L18" i="101"/>
  <c r="T18" i="101"/>
  <c r="J19" i="101"/>
  <c r="R19" i="101"/>
  <c r="H20" i="101"/>
  <c r="P20" i="101"/>
  <c r="F21" i="101"/>
  <c r="N21" i="101"/>
  <c r="P3" i="101"/>
  <c r="P18" i="101"/>
  <c r="E3" i="101"/>
  <c r="M3" i="101"/>
  <c r="C4" i="101"/>
  <c r="K4" i="101"/>
  <c r="S4" i="101"/>
  <c r="I5" i="101"/>
  <c r="Q5" i="101"/>
  <c r="E11" i="101"/>
  <c r="M11" i="101"/>
  <c r="C12" i="101"/>
  <c r="K12" i="101"/>
  <c r="S12" i="101"/>
  <c r="I13" i="101"/>
  <c r="Q13" i="101"/>
  <c r="E18" i="101"/>
  <c r="M18" i="101"/>
  <c r="C19" i="101"/>
  <c r="K19" i="101"/>
  <c r="S19" i="101"/>
  <c r="I20" i="101"/>
  <c r="Q20" i="101"/>
  <c r="F3" i="101"/>
  <c r="N3" i="101"/>
  <c r="D4" i="101"/>
  <c r="L4" i="101"/>
  <c r="J5" i="101"/>
  <c r="H6" i="101"/>
  <c r="J9" i="101"/>
  <c r="F11" i="101"/>
  <c r="D12" i="101"/>
  <c r="L12" i="101"/>
  <c r="J13" i="101"/>
  <c r="H14" i="101"/>
  <c r="J16" i="101"/>
  <c r="F18" i="101"/>
  <c r="D19" i="101"/>
  <c r="L19" i="101"/>
  <c r="J20" i="101"/>
  <c r="H21" i="101"/>
  <c r="H18" i="100"/>
  <c r="P3" i="100"/>
  <c r="N11" i="100"/>
  <c r="F11" i="100"/>
  <c r="M11" i="100"/>
  <c r="E11" i="100"/>
  <c r="T11" i="100"/>
  <c r="L11" i="100"/>
  <c r="D11" i="100"/>
  <c r="S11" i="100"/>
  <c r="K11" i="100"/>
  <c r="C11" i="100"/>
  <c r="R11" i="100"/>
  <c r="J11" i="100"/>
  <c r="Q11" i="100"/>
  <c r="I11" i="100"/>
  <c r="N18" i="100"/>
  <c r="F18" i="100"/>
  <c r="M18" i="100"/>
  <c r="E18" i="100"/>
  <c r="T18" i="100"/>
  <c r="L18" i="100"/>
  <c r="D18" i="100"/>
  <c r="S18" i="100"/>
  <c r="K18" i="100"/>
  <c r="C18" i="100"/>
  <c r="R18" i="100"/>
  <c r="J18" i="100"/>
  <c r="Q18" i="100"/>
  <c r="I18" i="100"/>
  <c r="P11" i="100"/>
  <c r="T4" i="100"/>
  <c r="L4" i="100"/>
  <c r="D4" i="100"/>
  <c r="S4" i="100"/>
  <c r="K4" i="100"/>
  <c r="C4" i="100"/>
  <c r="R4" i="100"/>
  <c r="J4" i="100"/>
  <c r="Q4" i="100"/>
  <c r="I4" i="100"/>
  <c r="P4" i="100"/>
  <c r="H4" i="100"/>
  <c r="O4" i="100"/>
  <c r="G4" i="100"/>
  <c r="T19" i="100"/>
  <c r="L19" i="100"/>
  <c r="D19" i="100"/>
  <c r="S19" i="100"/>
  <c r="K19" i="100"/>
  <c r="C19" i="100"/>
  <c r="R19" i="100"/>
  <c r="J19" i="100"/>
  <c r="Q19" i="100"/>
  <c r="I19" i="100"/>
  <c r="P19" i="100"/>
  <c r="H19" i="100"/>
  <c r="O19" i="100"/>
  <c r="G19" i="100"/>
  <c r="D3" i="100"/>
  <c r="N4" i="100"/>
  <c r="F12" i="100"/>
  <c r="P18" i="100"/>
  <c r="E19" i="100"/>
  <c r="T47" i="100"/>
  <c r="N3" i="100"/>
  <c r="F3" i="100"/>
  <c r="M3" i="100"/>
  <c r="E3" i="100"/>
  <c r="T3" i="100"/>
  <c r="L3" i="100"/>
  <c r="S3" i="100"/>
  <c r="K3" i="100"/>
  <c r="C3" i="100"/>
  <c r="R3" i="100"/>
  <c r="J3" i="100"/>
  <c r="Q3" i="100"/>
  <c r="I3" i="100"/>
  <c r="T12" i="100"/>
  <c r="L12" i="100"/>
  <c r="D12" i="100"/>
  <c r="S12" i="100"/>
  <c r="K12" i="100"/>
  <c r="C12" i="100"/>
  <c r="R12" i="100"/>
  <c r="J12" i="100"/>
  <c r="Q12" i="100"/>
  <c r="I12" i="100"/>
  <c r="P12" i="100"/>
  <c r="H12" i="100"/>
  <c r="O12" i="100"/>
  <c r="G12" i="100"/>
  <c r="M4" i="100"/>
  <c r="E12" i="100"/>
  <c r="H3" i="100"/>
  <c r="N12" i="100"/>
  <c r="F19" i="100"/>
  <c r="O3" i="100"/>
  <c r="G11" i="100"/>
  <c r="M19" i="100"/>
  <c r="G23" i="100"/>
  <c r="O23" i="100"/>
  <c r="F5" i="100"/>
  <c r="N5" i="100"/>
  <c r="H8" i="100"/>
  <c r="P8" i="100"/>
  <c r="F13" i="100"/>
  <c r="N13" i="100"/>
  <c r="F20" i="100"/>
  <c r="N20" i="100"/>
  <c r="H23" i="100"/>
  <c r="P23" i="100"/>
  <c r="G5" i="100"/>
  <c r="O5" i="100"/>
  <c r="E6" i="100"/>
  <c r="M6" i="100"/>
  <c r="I8" i="100"/>
  <c r="Q8" i="100"/>
  <c r="G9" i="100"/>
  <c r="O9" i="100"/>
  <c r="G13" i="100"/>
  <c r="O13" i="100"/>
  <c r="E14" i="100"/>
  <c r="M14" i="100"/>
  <c r="G16" i="100"/>
  <c r="O16" i="100"/>
  <c r="G20" i="100"/>
  <c r="O20" i="100"/>
  <c r="E21" i="100"/>
  <c r="M21" i="100"/>
  <c r="I23" i="100"/>
  <c r="Q23" i="100"/>
  <c r="I5" i="100"/>
  <c r="Q5" i="100"/>
  <c r="C8" i="100"/>
  <c r="K8" i="100"/>
  <c r="S8" i="100"/>
  <c r="I13" i="100"/>
  <c r="Q13" i="100"/>
  <c r="I20" i="100"/>
  <c r="Q20" i="100"/>
  <c r="C23" i="100"/>
  <c r="K23" i="100"/>
  <c r="S23" i="100"/>
  <c r="J5" i="100"/>
  <c r="H6" i="100"/>
  <c r="D8" i="100"/>
  <c r="L8" i="100"/>
  <c r="J9" i="100"/>
  <c r="J13" i="100"/>
  <c r="H14" i="100"/>
  <c r="J16" i="100"/>
  <c r="J20" i="100"/>
  <c r="H21" i="100"/>
  <c r="D23" i="100"/>
  <c r="L23" i="100"/>
  <c r="T60" i="105"/>
  <c r="S60" i="105"/>
  <c r="R60" i="105"/>
  <c r="Q60" i="105"/>
  <c r="P60" i="105"/>
  <c r="O60" i="105"/>
  <c r="N60" i="105"/>
  <c r="M60" i="105"/>
  <c r="L60" i="105"/>
  <c r="K60" i="105"/>
  <c r="J60" i="105"/>
  <c r="I60" i="105"/>
  <c r="H60" i="105"/>
  <c r="G60" i="105"/>
  <c r="F60" i="105"/>
  <c r="E60" i="105"/>
  <c r="D60" i="105"/>
  <c r="U33" i="105"/>
  <c r="H4" i="105"/>
  <c r="T60" i="104"/>
  <c r="S60" i="104"/>
  <c r="R60" i="104"/>
  <c r="Q60" i="104"/>
  <c r="P60" i="104"/>
  <c r="O60" i="104"/>
  <c r="N60" i="104"/>
  <c r="M60" i="104"/>
  <c r="L60" i="104"/>
  <c r="K60" i="104"/>
  <c r="J60" i="104"/>
  <c r="I60" i="104"/>
  <c r="H60" i="104"/>
  <c r="G60" i="104"/>
  <c r="F60" i="104"/>
  <c r="E60" i="104"/>
  <c r="D60" i="104"/>
  <c r="U33" i="104"/>
  <c r="O4" i="104"/>
  <c r="L4" i="104"/>
  <c r="K4" i="104"/>
  <c r="D4" i="104"/>
  <c r="U60" i="105"/>
  <c r="U30" i="105"/>
  <c r="S4" i="104"/>
  <c r="T4" i="104"/>
  <c r="I4" i="105"/>
  <c r="P4" i="105"/>
  <c r="U25" i="105"/>
  <c r="N4" i="105"/>
  <c r="O4" i="105"/>
  <c r="F4" i="105"/>
  <c r="Q4" i="105"/>
  <c r="U17" i="105"/>
  <c r="K4" i="105"/>
  <c r="G4" i="105"/>
  <c r="S4" i="105"/>
  <c r="J4" i="105"/>
  <c r="R4" i="105"/>
  <c r="D4" i="105"/>
  <c r="L4" i="105"/>
  <c r="T4" i="105"/>
  <c r="E4" i="105"/>
  <c r="M4" i="105"/>
  <c r="M4" i="104"/>
  <c r="N4" i="104"/>
  <c r="G4" i="104"/>
  <c r="U60" i="104"/>
  <c r="H4" i="104"/>
  <c r="P4" i="104"/>
  <c r="E4" i="104"/>
  <c r="I4" i="104"/>
  <c r="Q4" i="104"/>
  <c r="F4" i="104"/>
  <c r="J4" i="104"/>
  <c r="R4" i="104"/>
  <c r="U28" i="104"/>
  <c r="U9" i="105"/>
  <c r="U14" i="105"/>
  <c r="U22" i="105"/>
  <c r="U24" i="105"/>
  <c r="U9" i="104"/>
  <c r="U14" i="104"/>
  <c r="U20" i="104"/>
  <c r="U4" i="104"/>
  <c r="U19" i="104"/>
  <c r="U12" i="104"/>
  <c r="U30" i="104"/>
  <c r="U17" i="104"/>
  <c r="U6" i="105"/>
  <c r="U7" i="105"/>
  <c r="U21" i="105"/>
  <c r="U13" i="105"/>
  <c r="U11" i="105"/>
  <c r="U16" i="105"/>
  <c r="U19" i="105"/>
  <c r="U5" i="105"/>
  <c r="U27" i="105"/>
  <c r="U29" i="105"/>
  <c r="U8" i="105"/>
  <c r="U23" i="105"/>
  <c r="U26" i="105"/>
  <c r="U28" i="105"/>
  <c r="U12" i="105"/>
  <c r="U10" i="105"/>
  <c r="U4" i="105"/>
  <c r="U18" i="105"/>
  <c r="U15" i="105"/>
  <c r="U20" i="105"/>
  <c r="U22" i="104"/>
  <c r="U25" i="104"/>
  <c r="U11" i="104"/>
  <c r="U6" i="104"/>
  <c r="U27" i="104"/>
  <c r="U18" i="104"/>
  <c r="U8" i="104"/>
  <c r="U26" i="104"/>
  <c r="U7" i="104"/>
  <c r="U13" i="104"/>
  <c r="U15" i="104"/>
  <c r="U21" i="104"/>
  <c r="U24" i="104"/>
  <c r="U5" i="104"/>
  <c r="U10" i="104"/>
  <c r="U23" i="104"/>
  <c r="U16" i="104"/>
  <c r="U29" i="104"/>
  <c r="F25" i="97"/>
  <c r="F28" i="97"/>
  <c r="C25" i="97"/>
  <c r="C28" i="97"/>
  <c r="E25" i="97"/>
  <c r="E28" i="97"/>
  <c r="H26" i="97"/>
  <c r="H27" i="97"/>
  <c r="H6" i="97"/>
  <c r="H8" i="97"/>
  <c r="H7" i="97"/>
  <c r="H14" i="97"/>
  <c r="H24" i="97"/>
  <c r="H15" i="97"/>
  <c r="H13" i="97"/>
  <c r="H22" i="97"/>
  <c r="H9" i="97"/>
  <c r="H23" i="97"/>
  <c r="H10" i="97"/>
  <c r="H17" i="97"/>
  <c r="H16" i="97"/>
  <c r="H18" i="97"/>
  <c r="H11" i="97"/>
  <c r="H12" i="97"/>
  <c r="H19" i="97"/>
  <c r="H5" i="97"/>
  <c r="H20" i="97"/>
  <c r="H21" i="97"/>
  <c r="D25" i="97"/>
  <c r="D28" i="97"/>
  <c r="H4" i="97"/>
  <c r="H25" i="97"/>
  <c r="H28" i="97"/>
  <c r="G25" i="97"/>
  <c r="T49" i="112"/>
  <c r="T67" i="112"/>
  <c r="T68" i="112"/>
  <c r="J21" i="147"/>
  <c r="D17" i="147"/>
  <c r="T48" i="112"/>
  <c r="D11" i="147"/>
  <c r="O11" i="147"/>
  <c r="T60" i="112"/>
  <c r="K7" i="147"/>
  <c r="C25" i="147"/>
  <c r="M25" i="147"/>
  <c r="I10" i="147"/>
  <c r="P15" i="147"/>
  <c r="O18" i="147"/>
  <c r="T64" i="112"/>
  <c r="D19" i="147"/>
  <c r="T37" i="112"/>
  <c r="L14" i="147"/>
  <c r="T62" i="112"/>
  <c r="T35" i="112"/>
  <c r="T45" i="112"/>
  <c r="T47" i="112"/>
  <c r="C22" i="147"/>
  <c r="N20" i="147"/>
  <c r="H15" i="147"/>
  <c r="Q16" i="147"/>
  <c r="F8" i="147"/>
  <c r="T43" i="112"/>
  <c r="G8" i="147"/>
  <c r="T59" i="112"/>
  <c r="T46" i="112"/>
  <c r="R15" i="147"/>
  <c r="T39" i="112"/>
  <c r="H18" i="147"/>
  <c r="F9" i="147"/>
  <c r="J8" i="147"/>
  <c r="C21" i="147"/>
  <c r="L7" i="147"/>
  <c r="T40" i="112"/>
  <c r="T72" i="112"/>
  <c r="P19" i="147"/>
  <c r="T54" i="112"/>
  <c r="C8" i="147"/>
  <c r="T32" i="112"/>
  <c r="C11" i="147"/>
  <c r="K12" i="147"/>
  <c r="T70" i="112"/>
  <c r="P7" i="147"/>
  <c r="T69" i="112"/>
  <c r="S22" i="147"/>
  <c r="H7" i="147"/>
  <c r="S17" i="147"/>
  <c r="T44" i="112"/>
  <c r="T63" i="112"/>
  <c r="S13" i="147"/>
  <c r="L25" i="147"/>
  <c r="C18" i="147"/>
  <c r="I7" i="147"/>
  <c r="T55" i="112"/>
  <c r="T58" i="112"/>
  <c r="H9" i="147"/>
  <c r="M23" i="147"/>
  <c r="J7" i="147"/>
  <c r="Q7" i="147"/>
  <c r="T73" i="112"/>
  <c r="K17" i="147"/>
  <c r="T65" i="112"/>
  <c r="T41" i="112"/>
  <c r="J17" i="147"/>
  <c r="Q20" i="147"/>
  <c r="T57" i="112"/>
  <c r="M9" i="147"/>
  <c r="N16" i="147"/>
  <c r="L19" i="147"/>
  <c r="E19" i="147"/>
  <c r="F6" i="147"/>
  <c r="N6" i="147"/>
  <c r="Q13" i="147"/>
  <c r="N8" i="147"/>
  <c r="C14" i="147"/>
  <c r="T36" i="112"/>
  <c r="F23" i="147"/>
  <c r="P23" i="147"/>
  <c r="F15" i="147"/>
  <c r="E9" i="147"/>
  <c r="O6" i="147"/>
  <c r="G11" i="147"/>
  <c r="T42" i="112"/>
  <c r="T33" i="112"/>
  <c r="T61" i="112"/>
  <c r="T38" i="112"/>
  <c r="O21" i="147"/>
  <c r="T31" i="112"/>
  <c r="O17" i="147"/>
  <c r="F20" i="147"/>
  <c r="T66" i="112"/>
  <c r="N19" i="147"/>
  <c r="S6" i="147"/>
  <c r="N7" i="147"/>
  <c r="F25" i="147"/>
  <c r="T34" i="112"/>
  <c r="N17" i="147"/>
  <c r="H17" i="147"/>
  <c r="H20" i="147"/>
  <c r="M20" i="147"/>
  <c r="Q18" i="147"/>
  <c r="O16" i="147"/>
  <c r="H16" i="147"/>
  <c r="S24" i="147"/>
  <c r="I19" i="147"/>
  <c r="J6" i="147"/>
  <c r="T30" i="112"/>
  <c r="T56" i="112"/>
  <c r="L11" i="147"/>
  <c r="O12" i="147"/>
  <c r="D12" i="147"/>
  <c r="L12" i="147"/>
  <c r="G21" i="147"/>
  <c r="E23" i="147"/>
  <c r="T71" i="112"/>
  <c r="I28" i="97"/>
  <c r="G28" i="97"/>
  <c r="N21" i="147"/>
  <c r="S25" i="147"/>
  <c r="I21" i="147"/>
  <c r="P16" i="147"/>
  <c r="S21" i="147"/>
  <c r="S10" i="147"/>
  <c r="I13" i="147"/>
  <c r="M6" i="147"/>
  <c r="S18" i="147"/>
  <c r="N13" i="147"/>
  <c r="P10" i="147"/>
  <c r="J14" i="147"/>
  <c r="K15" i="147"/>
  <c r="M13" i="147"/>
  <c r="D18" i="147"/>
  <c r="M15" i="147"/>
  <c r="T17" i="112"/>
  <c r="G10" i="147"/>
  <c r="C17" i="147"/>
  <c r="K8" i="147"/>
  <c r="I14" i="147"/>
  <c r="Q17" i="147"/>
  <c r="L15" i="147"/>
  <c r="G23" i="147"/>
  <c r="S15" i="147"/>
  <c r="S11" i="147"/>
  <c r="G13" i="147"/>
  <c r="K13" i="147"/>
  <c r="J20" i="147"/>
  <c r="H21" i="147"/>
  <c r="Q8" i="147"/>
  <c r="J9" i="147"/>
  <c r="K22" i="147"/>
  <c r="D21" i="147"/>
  <c r="H13" i="147"/>
  <c r="L20" i="147"/>
  <c r="H23" i="147"/>
  <c r="Q21" i="147"/>
  <c r="P24" i="147"/>
  <c r="N22" i="147"/>
  <c r="J11" i="147"/>
  <c r="H19" i="147"/>
  <c r="D24" i="147"/>
  <c r="C15" i="147"/>
  <c r="M12" i="147"/>
  <c r="C6" i="147"/>
  <c r="C16" i="147"/>
  <c r="J19" i="147"/>
  <c r="L23" i="147"/>
  <c r="Q15" i="147"/>
  <c r="D23" i="147"/>
  <c r="E11" i="147"/>
  <c r="E25" i="147"/>
  <c r="T71" i="147"/>
  <c r="H14" i="147"/>
  <c r="E7" i="147"/>
  <c r="F24" i="147"/>
  <c r="J15" i="147"/>
  <c r="K16" i="147"/>
  <c r="S23" i="147"/>
  <c r="E16" i="147"/>
  <c r="C24" i="147"/>
  <c r="L18" i="147"/>
  <c r="N24" i="147"/>
  <c r="D10" i="147"/>
  <c r="C13" i="147"/>
  <c r="G22" i="147"/>
  <c r="D6" i="147"/>
  <c r="P17" i="147"/>
  <c r="E21" i="147"/>
  <c r="O14" i="147"/>
  <c r="H6" i="147"/>
  <c r="M11" i="147"/>
  <c r="H24" i="147"/>
  <c r="Q10" i="147"/>
  <c r="Q22" i="147"/>
  <c r="K14" i="147"/>
  <c r="H12" i="147"/>
  <c r="T7" i="112"/>
  <c r="L10" i="147"/>
  <c r="T13" i="112"/>
  <c r="R9" i="147"/>
  <c r="T33" i="147"/>
  <c r="I8" i="147"/>
  <c r="I18" i="147"/>
  <c r="T21" i="112"/>
  <c r="T25" i="112"/>
  <c r="T48" i="147"/>
  <c r="R24" i="147"/>
  <c r="T49" i="147"/>
  <c r="G18" i="147"/>
  <c r="R13" i="147"/>
  <c r="T61" i="147"/>
  <c r="M16" i="147"/>
  <c r="R17" i="147"/>
  <c r="T41" i="147"/>
  <c r="R25" i="147"/>
  <c r="T73" i="147"/>
  <c r="G17" i="147"/>
  <c r="I11" i="147"/>
  <c r="S16" i="147"/>
  <c r="D20" i="147"/>
  <c r="F17" i="147"/>
  <c r="G19" i="147"/>
  <c r="T68" i="147"/>
  <c r="M21" i="147"/>
  <c r="P11" i="147"/>
  <c r="M17" i="147"/>
  <c r="J22" i="147"/>
  <c r="S14" i="147"/>
  <c r="T24" i="112"/>
  <c r="F16" i="147"/>
  <c r="G15" i="147"/>
  <c r="N11" i="147"/>
  <c r="P13" i="147"/>
  <c r="M18" i="147"/>
  <c r="F22" i="147"/>
  <c r="F14" i="147"/>
  <c r="O15" i="147"/>
  <c r="D7" i="147"/>
  <c r="P21" i="147"/>
  <c r="P9" i="147"/>
  <c r="R22" i="147"/>
  <c r="T70" i="147"/>
  <c r="T15" i="112"/>
  <c r="E17" i="147"/>
  <c r="D9" i="147"/>
  <c r="O20" i="147"/>
  <c r="C23" i="147"/>
  <c r="L21" i="147"/>
  <c r="G12" i="147"/>
  <c r="Q23" i="147"/>
  <c r="F21" i="147"/>
  <c r="T60" i="147"/>
  <c r="D15" i="147"/>
  <c r="P22" i="147"/>
  <c r="O8" i="147"/>
  <c r="Q25" i="147"/>
  <c r="L24" i="147"/>
  <c r="R11" i="147"/>
  <c r="T35" i="147"/>
  <c r="N15" i="147"/>
  <c r="S7" i="147"/>
  <c r="N18" i="147"/>
  <c r="K6" i="147"/>
  <c r="G20" i="147"/>
  <c r="T46" i="147"/>
  <c r="K23" i="147"/>
  <c r="C10" i="147"/>
  <c r="L8" i="147"/>
  <c r="M10" i="147"/>
  <c r="L16" i="147"/>
  <c r="F11" i="147"/>
  <c r="T59" i="147"/>
  <c r="D22" i="147"/>
  <c r="E12" i="147"/>
  <c r="T30" i="147"/>
  <c r="O9" i="147"/>
  <c r="R10" i="147"/>
  <c r="O7" i="147"/>
  <c r="O25" i="147"/>
  <c r="J16" i="147"/>
  <c r="I20" i="147"/>
  <c r="J12" i="147"/>
  <c r="S8" i="147"/>
  <c r="M24" i="147"/>
  <c r="J24" i="147"/>
  <c r="N25" i="147"/>
  <c r="K10" i="147"/>
  <c r="I12" i="147"/>
  <c r="G6" i="147"/>
  <c r="T63" i="147"/>
  <c r="S12" i="147"/>
  <c r="T20" i="112"/>
  <c r="D14" i="147"/>
  <c r="T32" i="147"/>
  <c r="R8" i="147"/>
  <c r="R6" i="147"/>
  <c r="T54" i="147"/>
  <c r="T72" i="147"/>
  <c r="T57" i="147"/>
  <c r="O10" i="147"/>
  <c r="D25" i="147"/>
  <c r="D16" i="147"/>
  <c r="P6" i="147"/>
  <c r="E18" i="147"/>
  <c r="N14" i="147"/>
  <c r="F13" i="147"/>
  <c r="R23" i="147"/>
  <c r="T47" i="147"/>
  <c r="T12" i="112"/>
  <c r="R14" i="147"/>
  <c r="T62" i="147"/>
  <c r="D13" i="147"/>
  <c r="C19" i="147"/>
  <c r="G9" i="147"/>
  <c r="N10" i="147"/>
  <c r="P20" i="147"/>
  <c r="J10" i="147"/>
  <c r="I23" i="147"/>
  <c r="F18" i="147"/>
  <c r="O13" i="147"/>
  <c r="I24" i="147"/>
  <c r="M8" i="147"/>
  <c r="T58" i="147"/>
  <c r="G24" i="147"/>
  <c r="T34" i="147"/>
  <c r="E10" i="147"/>
  <c r="K20" i="147"/>
  <c r="T67" i="147"/>
  <c r="O19" i="147"/>
  <c r="L13" i="147"/>
  <c r="T38" i="147"/>
  <c r="J18" i="147"/>
  <c r="T69" i="147"/>
  <c r="H8" i="147"/>
  <c r="I15" i="147"/>
  <c r="E20" i="147"/>
  <c r="M22" i="147"/>
  <c r="R18" i="147"/>
  <c r="T42" i="147"/>
  <c r="H22" i="147"/>
  <c r="R12" i="147"/>
  <c r="T36" i="147"/>
  <c r="K11" i="147"/>
  <c r="Q24" i="147"/>
  <c r="Q9" i="147"/>
  <c r="T65" i="147"/>
  <c r="K25" i="147"/>
  <c r="M19" i="147"/>
  <c r="L9" i="147"/>
  <c r="L22" i="147"/>
  <c r="D8" i="147"/>
  <c r="T9" i="112"/>
  <c r="T44" i="147"/>
  <c r="R20" i="147"/>
  <c r="F19" i="147"/>
  <c r="C20" i="147"/>
  <c r="J25" i="147"/>
  <c r="N23" i="147"/>
  <c r="P12" i="147"/>
  <c r="E13" i="147"/>
  <c r="R16" i="147"/>
  <c r="T40" i="147"/>
  <c r="M7" i="147"/>
  <c r="J13" i="147"/>
  <c r="O24" i="147"/>
  <c r="K24" i="147"/>
  <c r="C12" i="147"/>
  <c r="Q11" i="147"/>
  <c r="E8" i="147"/>
  <c r="T37" i="147"/>
  <c r="T19" i="112"/>
  <c r="T64" i="147"/>
  <c r="O23" i="147"/>
  <c r="F12" i="147"/>
  <c r="E14" i="147"/>
  <c r="S19" i="147"/>
  <c r="K9" i="147"/>
  <c r="E24" i="147"/>
  <c r="N12" i="147"/>
  <c r="R19" i="147"/>
  <c r="T43" i="147"/>
  <c r="T22" i="112"/>
  <c r="T10" i="112"/>
  <c r="M14" i="147"/>
  <c r="T56" i="147"/>
  <c r="T66" i="147"/>
  <c r="T14" i="112"/>
  <c r="R7" i="147"/>
  <c r="T31" i="147"/>
  <c r="P25" i="147"/>
  <c r="T8" i="112"/>
  <c r="Q12" i="147"/>
  <c r="G16" i="147"/>
  <c r="E6" i="147"/>
  <c r="G7" i="147"/>
  <c r="T6" i="112"/>
  <c r="T23" i="112"/>
  <c r="T45" i="147"/>
  <c r="R21" i="147"/>
  <c r="S9" i="147"/>
  <c r="T39" i="147"/>
  <c r="N9" i="147"/>
  <c r="H25" i="147"/>
  <c r="O22" i="147"/>
  <c r="H11" i="147"/>
  <c r="P18" i="147"/>
  <c r="G14" i="147"/>
  <c r="E15" i="147"/>
  <c r="T55" i="147"/>
  <c r="T18" i="112"/>
  <c r="Q19" i="147"/>
  <c r="C9" i="147"/>
  <c r="I9" i="147"/>
  <c r="I17" i="147"/>
  <c r="E22" i="147"/>
  <c r="T11" i="112"/>
  <c r="Q14" i="147"/>
  <c r="P8" i="147"/>
  <c r="Q6" i="147"/>
  <c r="K19" i="147"/>
  <c r="H10" i="147"/>
  <c r="L17" i="147"/>
  <c r="G25" i="147"/>
  <c r="L6" i="147"/>
  <c r="T16" i="112"/>
  <c r="C7" i="147"/>
  <c r="F10" i="147"/>
  <c r="F7" i="147"/>
  <c r="I22" i="147"/>
  <c r="J23" i="147"/>
  <c r="K18" i="147"/>
  <c r="S20" i="147"/>
  <c r="I25" i="147"/>
  <c r="K21" i="147"/>
  <c r="I6" i="147"/>
  <c r="P14" i="147"/>
  <c r="I16" i="147"/>
  <c r="E26" i="95"/>
  <c r="T18" i="147"/>
  <c r="T21" i="147"/>
  <c r="T14" i="147"/>
  <c r="T16" i="147"/>
  <c r="T13" i="147"/>
  <c r="T6" i="147"/>
  <c r="T15" i="147"/>
  <c r="T11" i="147"/>
  <c r="T24" i="147"/>
  <c r="T25" i="147"/>
  <c r="T17" i="147"/>
  <c r="T8" i="147"/>
  <c r="T20" i="147"/>
  <c r="T7" i="147"/>
  <c r="T9" i="147"/>
  <c r="T23" i="147"/>
  <c r="T19" i="147"/>
  <c r="T22" i="147"/>
  <c r="T10" i="147"/>
  <c r="T12" i="147"/>
  <c r="Q74" i="148"/>
  <c r="Q74" i="147"/>
  <c r="P74" i="147"/>
  <c r="P74" i="148"/>
  <c r="E74" i="148"/>
  <c r="E74" i="147"/>
  <c r="O74" i="148"/>
  <c r="O74" i="147"/>
  <c r="C74" i="148"/>
  <c r="C74" i="147"/>
  <c r="F74" i="147"/>
  <c r="F74" i="148"/>
  <c r="H74" i="148"/>
  <c r="R74" i="147"/>
  <c r="S50" i="147"/>
  <c r="S74" i="148"/>
  <c r="J74" i="147"/>
  <c r="J74" i="148"/>
  <c r="K74" i="148"/>
  <c r="K74" i="147"/>
  <c r="D74" i="148"/>
  <c r="D74" i="147"/>
  <c r="M74" i="147"/>
  <c r="M74" i="148"/>
  <c r="I74" i="148"/>
  <c r="I74" i="147"/>
  <c r="G74" i="147"/>
  <c r="G74" i="148"/>
  <c r="N74" i="148"/>
  <c r="L74" i="147"/>
  <c r="L74" i="148"/>
  <c r="N50" i="147"/>
  <c r="M74" i="112"/>
  <c r="F74" i="112"/>
  <c r="Q74" i="112"/>
  <c r="I74" i="112"/>
  <c r="G74" i="112"/>
  <c r="P74" i="112"/>
  <c r="E74" i="112"/>
  <c r="N74" i="112"/>
  <c r="S74" i="112"/>
  <c r="J74" i="112"/>
  <c r="K74" i="112"/>
  <c r="D74" i="112"/>
  <c r="O74" i="112"/>
  <c r="C74" i="112"/>
  <c r="H50" i="112"/>
  <c r="L50" i="112"/>
  <c r="W10" i="149"/>
  <c r="H74" i="112"/>
  <c r="J50" i="112"/>
  <c r="W12" i="149"/>
  <c r="C50" i="112"/>
  <c r="T29" i="112"/>
  <c r="W17" i="149"/>
  <c r="O50" i="112"/>
  <c r="G50" i="112"/>
  <c r="W9" i="149"/>
  <c r="T53" i="112"/>
  <c r="R74" i="112"/>
  <c r="F50" i="112"/>
  <c r="W8" i="149"/>
  <c r="W20" i="149"/>
  <c r="S50" i="112"/>
  <c r="I50" i="112"/>
  <c r="W11" i="149"/>
  <c r="E50" i="112"/>
  <c r="W7" i="149"/>
  <c r="R50" i="112"/>
  <c r="W21" i="149"/>
  <c r="K50" i="112"/>
  <c r="W13" i="149"/>
  <c r="M50" i="112"/>
  <c r="W15" i="149"/>
  <c r="W18" i="149"/>
  <c r="P50" i="112"/>
  <c r="Q50" i="112"/>
  <c r="W14" i="149"/>
  <c r="L74" i="112"/>
  <c r="W6" i="149"/>
  <c r="D50" i="112"/>
  <c r="W16" i="149"/>
  <c r="N50" i="112"/>
  <c r="F27" i="95"/>
  <c r="F31" i="95"/>
  <c r="F26" i="95"/>
  <c r="F30" i="95"/>
  <c r="G28" i="95"/>
  <c r="C25" i="95"/>
  <c r="C28" i="95"/>
  <c r="M50" i="148"/>
  <c r="M5" i="148"/>
  <c r="M26" i="148"/>
  <c r="M5" i="147"/>
  <c r="M26" i="147"/>
  <c r="M50" i="147"/>
  <c r="G50" i="148"/>
  <c r="G5" i="148"/>
  <c r="G26" i="148"/>
  <c r="R74" i="148"/>
  <c r="T74" i="148"/>
  <c r="T53" i="148"/>
  <c r="E5" i="147"/>
  <c r="E50" i="147"/>
  <c r="R50" i="148"/>
  <c r="R5" i="148"/>
  <c r="R26" i="148"/>
  <c r="T29" i="148"/>
  <c r="Q50" i="147"/>
  <c r="Q5" i="147"/>
  <c r="Q26" i="147"/>
  <c r="G5" i="147"/>
  <c r="G26" i="147"/>
  <c r="G50" i="147"/>
  <c r="S5" i="147"/>
  <c r="S26" i="147"/>
  <c r="S74" i="147"/>
  <c r="K50" i="148"/>
  <c r="K5" i="148"/>
  <c r="K26" i="148"/>
  <c r="E50" i="148"/>
  <c r="E5" i="148"/>
  <c r="E26" i="148"/>
  <c r="R5" i="147"/>
  <c r="R26" i="147"/>
  <c r="R50" i="147"/>
  <c r="D50" i="148"/>
  <c r="D5" i="148"/>
  <c r="D26" i="148"/>
  <c r="I50" i="147"/>
  <c r="I5" i="147"/>
  <c r="I26" i="147"/>
  <c r="L50" i="148"/>
  <c r="L5" i="148"/>
  <c r="L26" i="148"/>
  <c r="F5" i="147"/>
  <c r="F26" i="147"/>
  <c r="F50" i="147"/>
  <c r="S5" i="148"/>
  <c r="S26" i="148"/>
  <c r="S50" i="148"/>
  <c r="I5" i="148"/>
  <c r="I26" i="148"/>
  <c r="I50" i="148"/>
  <c r="H50" i="148"/>
  <c r="H5" i="148"/>
  <c r="H26" i="148"/>
  <c r="F50" i="148"/>
  <c r="F5" i="148"/>
  <c r="F26" i="148"/>
  <c r="H5" i="147"/>
  <c r="H26" i="147"/>
  <c r="H50" i="147"/>
  <c r="Q50" i="148"/>
  <c r="Q5" i="148"/>
  <c r="Q26" i="148"/>
  <c r="C5" i="147"/>
  <c r="C26" i="147"/>
  <c r="T29" i="147"/>
  <c r="C50" i="147"/>
  <c r="N5" i="147"/>
  <c r="N26" i="147"/>
  <c r="N74" i="147"/>
  <c r="J50" i="148"/>
  <c r="J5" i="148"/>
  <c r="J26" i="148"/>
  <c r="C50" i="148"/>
  <c r="C5" i="148"/>
  <c r="P5" i="147"/>
  <c r="P26" i="147"/>
  <c r="P50" i="147"/>
  <c r="O50" i="147"/>
  <c r="O5" i="147"/>
  <c r="O26" i="147"/>
  <c r="D5" i="147"/>
  <c r="D26" i="147"/>
  <c r="D50" i="147"/>
  <c r="T53" i="147"/>
  <c r="H74" i="147"/>
  <c r="J50" i="147"/>
  <c r="J5" i="147"/>
  <c r="J26" i="147"/>
  <c r="K50" i="147"/>
  <c r="K5" i="147"/>
  <c r="K26" i="147"/>
  <c r="N50" i="148"/>
  <c r="N5" i="148"/>
  <c r="N26" i="148"/>
  <c r="P50" i="148"/>
  <c r="P5" i="148"/>
  <c r="P26" i="148"/>
  <c r="O50" i="148"/>
  <c r="O5" i="148"/>
  <c r="O26" i="148"/>
  <c r="L50" i="147"/>
  <c r="L5" i="147"/>
  <c r="L26" i="147"/>
  <c r="T74" i="112"/>
  <c r="W19" i="149"/>
  <c r="T50" i="112"/>
  <c r="T5" i="112"/>
  <c r="H26" i="95"/>
  <c r="H27" i="95"/>
  <c r="D28" i="95"/>
  <c r="F25" i="95"/>
  <c r="F28" i="95"/>
  <c r="R26" i="149"/>
  <c r="W5" i="149"/>
  <c r="H37" i="95"/>
  <c r="O23" i="149"/>
  <c r="H36" i="95"/>
  <c r="O22" i="149"/>
  <c r="T50" i="147"/>
  <c r="T74" i="147"/>
  <c r="C26" i="148"/>
  <c r="T26" i="148"/>
  <c r="T5" i="148"/>
  <c r="T50" i="148"/>
  <c r="T5" i="147"/>
  <c r="E26" i="147"/>
  <c r="T26" i="147"/>
  <c r="T26" i="112"/>
  <c r="I32" i="97"/>
  <c r="I31" i="97"/>
  <c r="W25" i="149"/>
  <c r="W26" i="149"/>
  <c r="S22" i="149"/>
  <c r="S23" i="149"/>
  <c r="I16" i="95"/>
  <c r="I12" i="95"/>
  <c r="I24" i="95"/>
  <c r="I14" i="95"/>
  <c r="I7" i="95"/>
  <c r="I22" i="95"/>
  <c r="I6" i="95"/>
  <c r="I17" i="95"/>
  <c r="I10" i="95"/>
  <c r="I5" i="95"/>
  <c r="I13" i="95"/>
  <c r="I23" i="95"/>
  <c r="I11" i="95"/>
  <c r="I21" i="95"/>
  <c r="I19" i="95"/>
  <c r="I8" i="95"/>
  <c r="I20" i="95"/>
  <c r="I15" i="95"/>
  <c r="I18" i="95"/>
  <c r="I9" i="95"/>
  <c r="E25" i="95"/>
  <c r="E28" i="95"/>
  <c r="H30" i="95"/>
  <c r="W60" i="75"/>
  <c r="W53" i="75"/>
  <c r="W59" i="75"/>
  <c r="W54" i="75"/>
  <c r="W55" i="75"/>
  <c r="W56" i="75"/>
  <c r="W57" i="75"/>
  <c r="W58" i="75"/>
  <c r="O66" i="102"/>
  <c r="G66" i="102"/>
  <c r="L42" i="102"/>
  <c r="D42" i="102"/>
  <c r="M66" i="102"/>
  <c r="E66" i="102"/>
  <c r="R42" i="102"/>
  <c r="J42" i="102"/>
  <c r="L66" i="102"/>
  <c r="D66" i="102"/>
  <c r="C66" i="102"/>
  <c r="Q42" i="102"/>
  <c r="I42" i="102"/>
  <c r="Q66" i="102"/>
  <c r="O42" i="102"/>
  <c r="P66" i="102"/>
  <c r="N66" i="102"/>
  <c r="S66" i="102"/>
  <c r="H66" i="102"/>
  <c r="S42" i="102"/>
  <c r="F42" i="102"/>
  <c r="M42" i="102"/>
  <c r="I66" i="102"/>
  <c r="K42" i="102"/>
  <c r="K66" i="102"/>
  <c r="G42" i="102"/>
  <c r="E42" i="102"/>
  <c r="R66" i="102"/>
  <c r="H42" i="102"/>
  <c r="J66" i="102"/>
  <c r="F66" i="102"/>
  <c r="P42" i="102"/>
  <c r="N42" i="102"/>
  <c r="C42" i="102"/>
  <c r="O70" i="102"/>
  <c r="G70" i="102"/>
  <c r="L46" i="102"/>
  <c r="D46" i="102"/>
  <c r="M70" i="102"/>
  <c r="E70" i="102"/>
  <c r="R46" i="102"/>
  <c r="J46" i="102"/>
  <c r="L70" i="102"/>
  <c r="D70" i="102"/>
  <c r="Q46" i="102"/>
  <c r="I46" i="102"/>
  <c r="Q70" i="102"/>
  <c r="O46" i="102"/>
  <c r="P70" i="102"/>
  <c r="N70" i="102"/>
  <c r="S70" i="102"/>
  <c r="H70" i="102"/>
  <c r="S46" i="102"/>
  <c r="F46" i="102"/>
  <c r="J70" i="102"/>
  <c r="P46" i="102"/>
  <c r="K46" i="102"/>
  <c r="H46" i="102"/>
  <c r="I70" i="102"/>
  <c r="N46" i="102"/>
  <c r="G46" i="102"/>
  <c r="F70" i="102"/>
  <c r="C70" i="102"/>
  <c r="M46" i="102"/>
  <c r="C46" i="102"/>
  <c r="R70" i="102"/>
  <c r="E46" i="102"/>
  <c r="K70" i="102"/>
  <c r="O73" i="102"/>
  <c r="G73" i="102"/>
  <c r="L49" i="102"/>
  <c r="D49" i="102"/>
  <c r="M73" i="102"/>
  <c r="E73" i="102"/>
  <c r="R49" i="102"/>
  <c r="J49" i="102"/>
  <c r="L73" i="102"/>
  <c r="D73" i="102"/>
  <c r="Q49" i="102"/>
  <c r="I49" i="102"/>
  <c r="S73" i="102"/>
  <c r="H73" i="102"/>
  <c r="S49" i="102"/>
  <c r="F49" i="102"/>
  <c r="R73" i="102"/>
  <c r="F73" i="102"/>
  <c r="Q73" i="102"/>
  <c r="J73" i="102"/>
  <c r="H49" i="102"/>
  <c r="C49" i="102"/>
  <c r="I73" i="102"/>
  <c r="P73" i="102"/>
  <c r="N49" i="102"/>
  <c r="M49" i="102"/>
  <c r="N73" i="102"/>
  <c r="P49" i="102"/>
  <c r="K49" i="102"/>
  <c r="K73" i="102"/>
  <c r="O49" i="102"/>
  <c r="G49" i="102"/>
  <c r="C73" i="102"/>
  <c r="E49" i="102"/>
  <c r="O69" i="102"/>
  <c r="G69" i="102"/>
  <c r="C69" i="102"/>
  <c r="L45" i="102"/>
  <c r="D45" i="102"/>
  <c r="M69" i="102"/>
  <c r="E69" i="102"/>
  <c r="R45" i="102"/>
  <c r="J45" i="102"/>
  <c r="L69" i="102"/>
  <c r="D69" i="102"/>
  <c r="Q45" i="102"/>
  <c r="I45" i="102"/>
  <c r="S69" i="102"/>
  <c r="H69" i="102"/>
  <c r="S45" i="102"/>
  <c r="F45" i="102"/>
  <c r="R69" i="102"/>
  <c r="F69" i="102"/>
  <c r="Q69" i="102"/>
  <c r="J69" i="102"/>
  <c r="H45" i="102"/>
  <c r="O45" i="102"/>
  <c r="E45" i="102"/>
  <c r="N45" i="102"/>
  <c r="P69" i="102"/>
  <c r="K45" i="102"/>
  <c r="N69" i="102"/>
  <c r="G45" i="102"/>
  <c r="M45" i="102"/>
  <c r="C45" i="102"/>
  <c r="K69" i="102"/>
  <c r="I69" i="102"/>
  <c r="P45" i="102"/>
  <c r="O65" i="102"/>
  <c r="G65" i="102"/>
  <c r="L41" i="102"/>
  <c r="D41" i="102"/>
  <c r="M65" i="102"/>
  <c r="E65" i="102"/>
  <c r="R41" i="102"/>
  <c r="J41" i="102"/>
  <c r="L65" i="102"/>
  <c r="D65" i="102"/>
  <c r="Q41" i="102"/>
  <c r="I41" i="102"/>
  <c r="S65" i="102"/>
  <c r="H65" i="102"/>
  <c r="S41" i="102"/>
  <c r="F41" i="102"/>
  <c r="R65" i="102"/>
  <c r="F65" i="102"/>
  <c r="Q65" i="102"/>
  <c r="J65" i="102"/>
  <c r="H41" i="102"/>
  <c r="C41" i="102"/>
  <c r="N65" i="102"/>
  <c r="M41" i="102"/>
  <c r="P41" i="102"/>
  <c r="K65" i="102"/>
  <c r="K41" i="102"/>
  <c r="I65" i="102"/>
  <c r="G41" i="102"/>
  <c r="C65" i="102"/>
  <c r="E41" i="102"/>
  <c r="O41" i="102"/>
  <c r="P65" i="102"/>
  <c r="N41" i="102"/>
  <c r="O64" i="102"/>
  <c r="G64" i="102"/>
  <c r="L40" i="102"/>
  <c r="D40" i="102"/>
  <c r="M64" i="102"/>
  <c r="E64" i="102"/>
  <c r="R40" i="102"/>
  <c r="J40" i="102"/>
  <c r="L64" i="102"/>
  <c r="D64" i="102"/>
  <c r="Q40" i="102"/>
  <c r="I40" i="102"/>
  <c r="J64" i="102"/>
  <c r="C64" i="102"/>
  <c r="H40" i="102"/>
  <c r="I64" i="102"/>
  <c r="S64" i="102"/>
  <c r="H64" i="102"/>
  <c r="N64" i="102"/>
  <c r="M40" i="102"/>
  <c r="K40" i="102"/>
  <c r="C40" i="102"/>
  <c r="G40" i="102"/>
  <c r="E40" i="102"/>
  <c r="Q64" i="102"/>
  <c r="F40" i="102"/>
  <c r="R64" i="102"/>
  <c r="S40" i="102"/>
  <c r="P64" i="102"/>
  <c r="P40" i="102"/>
  <c r="K64" i="102"/>
  <c r="O40" i="102"/>
  <c r="F64" i="102"/>
  <c r="N40" i="102"/>
  <c r="O62" i="102"/>
  <c r="G62" i="102"/>
  <c r="L38" i="102"/>
  <c r="D38" i="102"/>
  <c r="M62" i="102"/>
  <c r="E62" i="102"/>
  <c r="R38" i="102"/>
  <c r="J38" i="102"/>
  <c r="L62" i="102"/>
  <c r="D62" i="102"/>
  <c r="Q38" i="102"/>
  <c r="I38" i="102"/>
  <c r="Q62" i="102"/>
  <c r="O38" i="102"/>
  <c r="P62" i="102"/>
  <c r="N62" i="102"/>
  <c r="S62" i="102"/>
  <c r="H62" i="102"/>
  <c r="S38" i="102"/>
  <c r="F38" i="102"/>
  <c r="J62" i="102"/>
  <c r="H38" i="102"/>
  <c r="I62" i="102"/>
  <c r="G38" i="102"/>
  <c r="C38" i="102"/>
  <c r="P38" i="102"/>
  <c r="N38" i="102"/>
  <c r="F62" i="102"/>
  <c r="E38" i="102"/>
  <c r="C62" i="102"/>
  <c r="R62" i="102"/>
  <c r="M38" i="102"/>
  <c r="K62" i="102"/>
  <c r="K38" i="102"/>
  <c r="O55" i="102"/>
  <c r="G55" i="102"/>
  <c r="L31" i="102"/>
  <c r="D31" i="102"/>
  <c r="M55" i="102"/>
  <c r="E55" i="102"/>
  <c r="R31" i="102"/>
  <c r="J31" i="102"/>
  <c r="L55" i="102"/>
  <c r="D55" i="102"/>
  <c r="Q31" i="102"/>
  <c r="I31" i="102"/>
  <c r="N55" i="102"/>
  <c r="M31" i="102"/>
  <c r="C31" i="102"/>
  <c r="K55" i="102"/>
  <c r="Q55" i="102"/>
  <c r="C55" i="102"/>
  <c r="O31" i="102"/>
  <c r="J55" i="102"/>
  <c r="S31" i="102"/>
  <c r="F55" i="102"/>
  <c r="I55" i="102"/>
  <c r="P31" i="102"/>
  <c r="H55" i="102"/>
  <c r="N31" i="102"/>
  <c r="K31" i="102"/>
  <c r="H31" i="102"/>
  <c r="S55" i="102"/>
  <c r="R55" i="102"/>
  <c r="F31" i="102"/>
  <c r="P55" i="102"/>
  <c r="E31" i="102"/>
  <c r="G31" i="102"/>
  <c r="O58" i="102"/>
  <c r="G58" i="102"/>
  <c r="L34" i="102"/>
  <c r="D34" i="102"/>
  <c r="M58" i="102"/>
  <c r="E58" i="102"/>
  <c r="R34" i="102"/>
  <c r="J34" i="102"/>
  <c r="L58" i="102"/>
  <c r="D58" i="102"/>
  <c r="C58" i="102"/>
  <c r="Q34" i="102"/>
  <c r="I34" i="102"/>
  <c r="Q58" i="102"/>
  <c r="O34" i="102"/>
  <c r="P58" i="102"/>
  <c r="S58" i="102"/>
  <c r="H58" i="102"/>
  <c r="S34" i="102"/>
  <c r="F34" i="102"/>
  <c r="F58" i="102"/>
  <c r="E34" i="102"/>
  <c r="R58" i="102"/>
  <c r="N58" i="102"/>
  <c r="K34" i="102"/>
  <c r="K58" i="102"/>
  <c r="C34" i="102"/>
  <c r="P34" i="102"/>
  <c r="N34" i="102"/>
  <c r="M34" i="102"/>
  <c r="J58" i="102"/>
  <c r="H34" i="102"/>
  <c r="I58" i="102"/>
  <c r="G34" i="102"/>
  <c r="O60" i="102"/>
  <c r="G60" i="102"/>
  <c r="L36" i="102"/>
  <c r="D36" i="102"/>
  <c r="M60" i="102"/>
  <c r="E60" i="102"/>
  <c r="R36" i="102"/>
  <c r="J36" i="102"/>
  <c r="L60" i="102"/>
  <c r="D60" i="102"/>
  <c r="Q36" i="102"/>
  <c r="I36" i="102"/>
  <c r="J60" i="102"/>
  <c r="H36" i="102"/>
  <c r="I60" i="102"/>
  <c r="S60" i="102"/>
  <c r="H60" i="102"/>
  <c r="N60" i="102"/>
  <c r="M36" i="102"/>
  <c r="Q60" i="102"/>
  <c r="F36" i="102"/>
  <c r="O36" i="102"/>
  <c r="P60" i="102"/>
  <c r="E36" i="102"/>
  <c r="P36" i="102"/>
  <c r="C36" i="102"/>
  <c r="K60" i="102"/>
  <c r="S36" i="102"/>
  <c r="F60" i="102"/>
  <c r="C60" i="102"/>
  <c r="N36" i="102"/>
  <c r="K36" i="102"/>
  <c r="R60" i="102"/>
  <c r="G36" i="102"/>
  <c r="O54" i="102"/>
  <c r="G54" i="102"/>
  <c r="L30" i="102"/>
  <c r="D30" i="102"/>
  <c r="M54" i="102"/>
  <c r="E54" i="102"/>
  <c r="R30" i="102"/>
  <c r="J30" i="102"/>
  <c r="L54" i="102"/>
  <c r="D54" i="102"/>
  <c r="Q30" i="102"/>
  <c r="I30" i="102"/>
  <c r="Q54" i="102"/>
  <c r="O30" i="102"/>
  <c r="P54" i="102"/>
  <c r="S54" i="102"/>
  <c r="H54" i="102"/>
  <c r="S30" i="102"/>
  <c r="F30" i="102"/>
  <c r="I54" i="102"/>
  <c r="C54" i="102"/>
  <c r="P30" i="102"/>
  <c r="R54" i="102"/>
  <c r="G30" i="102"/>
  <c r="F54" i="102"/>
  <c r="N30" i="102"/>
  <c r="K30" i="102"/>
  <c r="H30" i="102"/>
  <c r="N54" i="102"/>
  <c r="M30" i="102"/>
  <c r="K54" i="102"/>
  <c r="E30" i="102"/>
  <c r="J54" i="102"/>
  <c r="C30" i="102"/>
  <c r="O71" i="102"/>
  <c r="G71" i="102"/>
  <c r="L47" i="102"/>
  <c r="D47" i="102"/>
  <c r="M71" i="102"/>
  <c r="E71" i="102"/>
  <c r="R47" i="102"/>
  <c r="J47" i="102"/>
  <c r="L71" i="102"/>
  <c r="D71" i="102"/>
  <c r="Q47" i="102"/>
  <c r="I47" i="102"/>
  <c r="N71" i="102"/>
  <c r="M47" i="102"/>
  <c r="C47" i="102"/>
  <c r="K71" i="102"/>
  <c r="J71" i="102"/>
  <c r="Q71" i="102"/>
  <c r="O47" i="102"/>
  <c r="S71" i="102"/>
  <c r="S47" i="102"/>
  <c r="F71" i="102"/>
  <c r="R71" i="102"/>
  <c r="C71" i="102"/>
  <c r="P47" i="102"/>
  <c r="P71" i="102"/>
  <c r="N47" i="102"/>
  <c r="I71" i="102"/>
  <c r="K47" i="102"/>
  <c r="H71" i="102"/>
  <c r="H47" i="102"/>
  <c r="G47" i="102"/>
  <c r="F47" i="102"/>
  <c r="E47" i="102"/>
  <c r="O61" i="102"/>
  <c r="G61" i="102"/>
  <c r="C61" i="102"/>
  <c r="L37" i="102"/>
  <c r="D37" i="102"/>
  <c r="M61" i="102"/>
  <c r="E61" i="102"/>
  <c r="R37" i="102"/>
  <c r="J37" i="102"/>
  <c r="L61" i="102"/>
  <c r="D61" i="102"/>
  <c r="Q37" i="102"/>
  <c r="I37" i="102"/>
  <c r="S61" i="102"/>
  <c r="H61" i="102"/>
  <c r="S37" i="102"/>
  <c r="F37" i="102"/>
  <c r="R61" i="102"/>
  <c r="F61" i="102"/>
  <c r="Q61" i="102"/>
  <c r="J61" i="102"/>
  <c r="H37" i="102"/>
  <c r="G37" i="102"/>
  <c r="K61" i="102"/>
  <c r="N37" i="102"/>
  <c r="E37" i="102"/>
  <c r="P61" i="102"/>
  <c r="C37" i="102"/>
  <c r="P37" i="102"/>
  <c r="N61" i="102"/>
  <c r="O37" i="102"/>
  <c r="I61" i="102"/>
  <c r="M37" i="102"/>
  <c r="K37" i="102"/>
  <c r="O68" i="102"/>
  <c r="G68" i="102"/>
  <c r="L44" i="102"/>
  <c r="D44" i="102"/>
  <c r="M68" i="102"/>
  <c r="E68" i="102"/>
  <c r="R44" i="102"/>
  <c r="J44" i="102"/>
  <c r="L68" i="102"/>
  <c r="D68" i="102"/>
  <c r="Q44" i="102"/>
  <c r="I44" i="102"/>
  <c r="J68" i="102"/>
  <c r="H44" i="102"/>
  <c r="I68" i="102"/>
  <c r="S68" i="102"/>
  <c r="H68" i="102"/>
  <c r="N68" i="102"/>
  <c r="C68" i="102"/>
  <c r="M44" i="102"/>
  <c r="Q68" i="102"/>
  <c r="O44" i="102"/>
  <c r="F68" i="102"/>
  <c r="P68" i="102"/>
  <c r="N44" i="102"/>
  <c r="K68" i="102"/>
  <c r="K44" i="102"/>
  <c r="G44" i="102"/>
  <c r="F44" i="102"/>
  <c r="E44" i="102"/>
  <c r="S44" i="102"/>
  <c r="R68" i="102"/>
  <c r="P44" i="102"/>
  <c r="C44" i="102"/>
  <c r="O63" i="102"/>
  <c r="G63" i="102"/>
  <c r="L39" i="102"/>
  <c r="D39" i="102"/>
  <c r="M63" i="102"/>
  <c r="E63" i="102"/>
  <c r="R39" i="102"/>
  <c r="J39" i="102"/>
  <c r="L63" i="102"/>
  <c r="D63" i="102"/>
  <c r="Q39" i="102"/>
  <c r="I39" i="102"/>
  <c r="N63" i="102"/>
  <c r="M39" i="102"/>
  <c r="C39" i="102"/>
  <c r="K63" i="102"/>
  <c r="C63" i="102"/>
  <c r="J63" i="102"/>
  <c r="Q63" i="102"/>
  <c r="O39" i="102"/>
  <c r="S63" i="102"/>
  <c r="H39" i="102"/>
  <c r="I63" i="102"/>
  <c r="E39" i="102"/>
  <c r="H63" i="102"/>
  <c r="S39" i="102"/>
  <c r="R63" i="102"/>
  <c r="G39" i="102"/>
  <c r="F63" i="102"/>
  <c r="P63" i="102"/>
  <c r="F39" i="102"/>
  <c r="N39" i="102"/>
  <c r="K39" i="102"/>
  <c r="P39" i="102"/>
  <c r="O57" i="102"/>
  <c r="G57" i="102"/>
  <c r="L33" i="102"/>
  <c r="D33" i="102"/>
  <c r="M57" i="102"/>
  <c r="E57" i="102"/>
  <c r="R33" i="102"/>
  <c r="J33" i="102"/>
  <c r="L57" i="102"/>
  <c r="D57" i="102"/>
  <c r="Q33" i="102"/>
  <c r="I33" i="102"/>
  <c r="S57" i="102"/>
  <c r="H57" i="102"/>
  <c r="S33" i="102"/>
  <c r="F33" i="102"/>
  <c r="R57" i="102"/>
  <c r="F57" i="102"/>
  <c r="J57" i="102"/>
  <c r="H33" i="102"/>
  <c r="C33" i="102"/>
  <c r="I57" i="102"/>
  <c r="Q57" i="102"/>
  <c r="P33" i="102"/>
  <c r="N57" i="102"/>
  <c r="N33" i="102"/>
  <c r="M33" i="102"/>
  <c r="K33" i="102"/>
  <c r="P57" i="102"/>
  <c r="O33" i="102"/>
  <c r="K57" i="102"/>
  <c r="C57" i="102"/>
  <c r="G33" i="102"/>
  <c r="E33" i="102"/>
  <c r="O67" i="102"/>
  <c r="G67" i="102"/>
  <c r="L43" i="102"/>
  <c r="D43" i="102"/>
  <c r="M67" i="102"/>
  <c r="E67" i="102"/>
  <c r="C67" i="102"/>
  <c r="R43" i="102"/>
  <c r="J43" i="102"/>
  <c r="L67" i="102"/>
  <c r="D67" i="102"/>
  <c r="Q43" i="102"/>
  <c r="I43" i="102"/>
  <c r="N67" i="102"/>
  <c r="M43" i="102"/>
  <c r="K67" i="102"/>
  <c r="J67" i="102"/>
  <c r="Q67" i="102"/>
  <c r="O43" i="102"/>
  <c r="H67" i="102"/>
  <c r="N43" i="102"/>
  <c r="G43" i="102"/>
  <c r="S67" i="102"/>
  <c r="F43" i="102"/>
  <c r="F67" i="102"/>
  <c r="K43" i="102"/>
  <c r="R67" i="102"/>
  <c r="E43" i="102"/>
  <c r="H43" i="102"/>
  <c r="P67" i="102"/>
  <c r="S43" i="102"/>
  <c r="C43" i="102"/>
  <c r="I67" i="102"/>
  <c r="P43" i="102"/>
  <c r="O72" i="102"/>
  <c r="G72" i="102"/>
  <c r="L48" i="102"/>
  <c r="D48" i="102"/>
  <c r="M72" i="102"/>
  <c r="E72" i="102"/>
  <c r="R48" i="102"/>
  <c r="J48" i="102"/>
  <c r="L72" i="102"/>
  <c r="D72" i="102"/>
  <c r="Q48" i="102"/>
  <c r="I48" i="102"/>
  <c r="J72" i="102"/>
  <c r="H48" i="102"/>
  <c r="I72" i="102"/>
  <c r="S72" i="102"/>
  <c r="H72" i="102"/>
  <c r="N72" i="102"/>
  <c r="M48" i="102"/>
  <c r="C72" i="102"/>
  <c r="S48" i="102"/>
  <c r="R72" i="102"/>
  <c r="Q72" i="102"/>
  <c r="G48" i="102"/>
  <c r="P48" i="102"/>
  <c r="N48" i="102"/>
  <c r="K48" i="102"/>
  <c r="P72" i="102"/>
  <c r="O48" i="102"/>
  <c r="C48" i="102"/>
  <c r="K72" i="102"/>
  <c r="F48" i="102"/>
  <c r="F72" i="102"/>
  <c r="E48" i="102"/>
  <c r="O59" i="102"/>
  <c r="G59" i="102"/>
  <c r="L35" i="102"/>
  <c r="D35" i="102"/>
  <c r="M59" i="102"/>
  <c r="E59" i="102"/>
  <c r="C59" i="102"/>
  <c r="R35" i="102"/>
  <c r="J35" i="102"/>
  <c r="L59" i="102"/>
  <c r="D59" i="102"/>
  <c r="Q35" i="102"/>
  <c r="I35" i="102"/>
  <c r="N59" i="102"/>
  <c r="M35" i="102"/>
  <c r="K59" i="102"/>
  <c r="Q59" i="102"/>
  <c r="O35" i="102"/>
  <c r="I59" i="102"/>
  <c r="F35" i="102"/>
  <c r="P35" i="102"/>
  <c r="C35" i="102"/>
  <c r="H59" i="102"/>
  <c r="E35" i="102"/>
  <c r="S59" i="102"/>
  <c r="N35" i="102"/>
  <c r="F59" i="102"/>
  <c r="S35" i="102"/>
  <c r="R59" i="102"/>
  <c r="P59" i="102"/>
  <c r="H35" i="102"/>
  <c r="J59" i="102"/>
  <c r="G35" i="102"/>
  <c r="K35" i="102"/>
  <c r="O56" i="102"/>
  <c r="G56" i="102"/>
  <c r="L32" i="102"/>
  <c r="D32" i="102"/>
  <c r="M56" i="102"/>
  <c r="E56" i="102"/>
  <c r="R32" i="102"/>
  <c r="J32" i="102"/>
  <c r="L56" i="102"/>
  <c r="D56" i="102"/>
  <c r="Q32" i="102"/>
  <c r="I32" i="102"/>
  <c r="J56" i="102"/>
  <c r="H32" i="102"/>
  <c r="I56" i="102"/>
  <c r="N56" i="102"/>
  <c r="M32" i="102"/>
  <c r="Q56" i="102"/>
  <c r="S32" i="102"/>
  <c r="N32" i="102"/>
  <c r="K32" i="102"/>
  <c r="P56" i="102"/>
  <c r="P32" i="102"/>
  <c r="F56" i="102"/>
  <c r="K56" i="102"/>
  <c r="O32" i="102"/>
  <c r="H56" i="102"/>
  <c r="G32" i="102"/>
  <c r="S56" i="102"/>
  <c r="F32" i="102"/>
  <c r="C32" i="102"/>
  <c r="R56" i="102"/>
  <c r="C56" i="102"/>
  <c r="E32" i="102"/>
  <c r="I4" i="95"/>
  <c r="H35" i="95"/>
  <c r="I35" i="95"/>
  <c r="H38" i="95"/>
  <c r="D56" i="111"/>
  <c r="D56" i="113"/>
  <c r="K67" i="113"/>
  <c r="K67" i="111"/>
  <c r="G57" i="111"/>
  <c r="G57" i="113"/>
  <c r="Q71" i="113"/>
  <c r="Q71" i="111"/>
  <c r="C60" i="113"/>
  <c r="C60" i="111"/>
  <c r="C55" i="113"/>
  <c r="C55" i="111"/>
  <c r="C64" i="113"/>
  <c r="C64" i="111"/>
  <c r="L69" i="111"/>
  <c r="L69" i="113"/>
  <c r="P66" i="111"/>
  <c r="P66" i="113"/>
  <c r="K56" i="113"/>
  <c r="K56" i="111"/>
  <c r="I59" i="113"/>
  <c r="I59" i="111"/>
  <c r="S67" i="113"/>
  <c r="S67" i="111"/>
  <c r="O57" i="113"/>
  <c r="O57" i="111"/>
  <c r="M68" i="111"/>
  <c r="M68" i="113"/>
  <c r="L71" i="111"/>
  <c r="L71" i="113"/>
  <c r="M60" i="111"/>
  <c r="M60" i="113"/>
  <c r="H55" i="111"/>
  <c r="H55" i="113"/>
  <c r="O55" i="113"/>
  <c r="O55" i="111"/>
  <c r="I69" i="113"/>
  <c r="I69" i="111"/>
  <c r="C70" i="113"/>
  <c r="C70" i="111"/>
  <c r="F66" i="113"/>
  <c r="F66" i="111"/>
  <c r="R56" i="113"/>
  <c r="R56" i="111"/>
  <c r="L59" i="111"/>
  <c r="L59" i="113"/>
  <c r="N67" i="113"/>
  <c r="N67" i="111"/>
  <c r="J63" i="113"/>
  <c r="J63" i="111"/>
  <c r="S61" i="113"/>
  <c r="S61" i="111"/>
  <c r="D54" i="111"/>
  <c r="D54" i="113"/>
  <c r="E58" i="111"/>
  <c r="E58" i="113"/>
  <c r="D62" i="111"/>
  <c r="D62" i="113"/>
  <c r="E65" i="111"/>
  <c r="E65" i="113"/>
  <c r="G73" i="111"/>
  <c r="G73" i="113"/>
  <c r="E66" i="111"/>
  <c r="E66" i="113"/>
  <c r="Q59" i="113"/>
  <c r="Q59" i="111"/>
  <c r="C63" i="113"/>
  <c r="C63" i="111"/>
  <c r="R71" i="113"/>
  <c r="R71" i="111"/>
  <c r="L54" i="113"/>
  <c r="L54" i="111"/>
  <c r="M58" i="111"/>
  <c r="M58" i="113"/>
  <c r="S62" i="113"/>
  <c r="S62" i="111"/>
  <c r="N64" i="113"/>
  <c r="N64" i="111"/>
  <c r="E69" i="111"/>
  <c r="E69" i="113"/>
  <c r="O73" i="113"/>
  <c r="O73" i="111"/>
  <c r="M66" i="111"/>
  <c r="M66" i="113"/>
  <c r="P56" i="111"/>
  <c r="P56" i="113"/>
  <c r="E56" i="111"/>
  <c r="E56" i="113"/>
  <c r="J59" i="113"/>
  <c r="J59" i="111"/>
  <c r="K59" i="113"/>
  <c r="K59" i="111"/>
  <c r="N72" i="113"/>
  <c r="N72" i="111"/>
  <c r="D72" i="111"/>
  <c r="D72" i="113"/>
  <c r="G72" i="111"/>
  <c r="G72" i="113"/>
  <c r="H67" i="111"/>
  <c r="H67" i="113"/>
  <c r="I57" i="113"/>
  <c r="I57" i="111"/>
  <c r="H57" i="111"/>
  <c r="H57" i="113"/>
  <c r="E57" i="111"/>
  <c r="E57" i="113"/>
  <c r="K63" i="113"/>
  <c r="K63" i="111"/>
  <c r="K68" i="113"/>
  <c r="K68" i="111"/>
  <c r="N68" i="113"/>
  <c r="N68" i="111"/>
  <c r="D68" i="111"/>
  <c r="D68" i="113"/>
  <c r="G68" i="111"/>
  <c r="G68" i="113"/>
  <c r="Q61" i="113"/>
  <c r="Q61" i="111"/>
  <c r="H71" i="111"/>
  <c r="H71" i="113"/>
  <c r="F71" i="113"/>
  <c r="F71" i="111"/>
  <c r="E71" i="111"/>
  <c r="E71" i="113"/>
  <c r="S54" i="113"/>
  <c r="S54" i="111"/>
  <c r="N60" i="113"/>
  <c r="N60" i="111"/>
  <c r="D60" i="111"/>
  <c r="D60" i="113"/>
  <c r="G60" i="111"/>
  <c r="G60" i="113"/>
  <c r="R55" i="113"/>
  <c r="R55" i="111"/>
  <c r="F55" i="113"/>
  <c r="F55" i="111"/>
  <c r="E55" i="113"/>
  <c r="E55" i="111"/>
  <c r="N62" i="113"/>
  <c r="N62" i="111"/>
  <c r="H64" i="111"/>
  <c r="H64" i="113"/>
  <c r="D64" i="111"/>
  <c r="D64" i="113"/>
  <c r="G64" i="111"/>
  <c r="G64" i="113"/>
  <c r="I65" i="113"/>
  <c r="I65" i="111"/>
  <c r="J65" i="113"/>
  <c r="J65" i="111"/>
  <c r="S69" i="113"/>
  <c r="S69" i="111"/>
  <c r="M69" i="111"/>
  <c r="M69" i="113"/>
  <c r="P73" i="111"/>
  <c r="P73" i="113"/>
  <c r="K70" i="113"/>
  <c r="K70" i="111"/>
  <c r="H70" i="111"/>
  <c r="H70" i="113"/>
  <c r="D70" i="111"/>
  <c r="D70" i="113"/>
  <c r="G70" i="111"/>
  <c r="G70" i="113"/>
  <c r="R66" i="113"/>
  <c r="R66" i="111"/>
  <c r="Q56" i="113"/>
  <c r="Q56" i="111"/>
  <c r="G56" i="111"/>
  <c r="G56" i="113"/>
  <c r="E68" i="111"/>
  <c r="E68" i="113"/>
  <c r="P71" i="111"/>
  <c r="P71" i="113"/>
  <c r="I54" i="113"/>
  <c r="I54" i="111"/>
  <c r="P58" i="111"/>
  <c r="P58" i="113"/>
  <c r="G55" i="111"/>
  <c r="G55" i="113"/>
  <c r="E64" i="111"/>
  <c r="E64" i="113"/>
  <c r="J73" i="113"/>
  <c r="J73" i="111"/>
  <c r="L56" i="111"/>
  <c r="L56" i="113"/>
  <c r="D59" i="111"/>
  <c r="D59" i="113"/>
  <c r="C67" i="113"/>
  <c r="C67" i="111"/>
  <c r="L57" i="111"/>
  <c r="L57" i="113"/>
  <c r="Q68" i="113"/>
  <c r="Q68" i="111"/>
  <c r="J71" i="113"/>
  <c r="J71" i="111"/>
  <c r="J60" i="113"/>
  <c r="J60" i="111"/>
  <c r="Q55" i="113"/>
  <c r="Q55" i="111"/>
  <c r="J64" i="113"/>
  <c r="J64" i="111"/>
  <c r="O69" i="113"/>
  <c r="O69" i="111"/>
  <c r="J70" i="113"/>
  <c r="J70" i="111"/>
  <c r="I66" i="113"/>
  <c r="I66" i="111"/>
  <c r="F56" i="113"/>
  <c r="F56" i="111"/>
  <c r="G59" i="111"/>
  <c r="G59" i="113"/>
  <c r="P67" i="111"/>
  <c r="P67" i="113"/>
  <c r="G63" i="111"/>
  <c r="G63" i="113"/>
  <c r="C71" i="113"/>
  <c r="C71" i="111"/>
  <c r="Q58" i="113"/>
  <c r="Q58" i="111"/>
  <c r="H62" i="111"/>
  <c r="H62" i="113"/>
  <c r="H65" i="111"/>
  <c r="H65" i="113"/>
  <c r="D73" i="111"/>
  <c r="D73" i="113"/>
  <c r="Q66" i="113"/>
  <c r="Q66" i="111"/>
  <c r="M67" i="111"/>
  <c r="M67" i="113"/>
  <c r="H63" i="111"/>
  <c r="H63" i="113"/>
  <c r="O63" i="113"/>
  <c r="O63" i="111"/>
  <c r="J54" i="113"/>
  <c r="J54" i="111"/>
  <c r="O54" i="113"/>
  <c r="O54" i="111"/>
  <c r="K62" i="113"/>
  <c r="K62" i="111"/>
  <c r="R64" i="113"/>
  <c r="R64" i="111"/>
  <c r="H69" i="111"/>
  <c r="H69" i="113"/>
  <c r="L73" i="111"/>
  <c r="L73" i="113"/>
  <c r="H59" i="111"/>
  <c r="H59" i="113"/>
  <c r="C59" i="113"/>
  <c r="C59" i="111"/>
  <c r="H72" i="111"/>
  <c r="H72" i="113"/>
  <c r="O72" i="113"/>
  <c r="O72" i="111"/>
  <c r="R67" i="113"/>
  <c r="R67" i="111"/>
  <c r="D67" i="111"/>
  <c r="D67" i="113"/>
  <c r="P57" i="111"/>
  <c r="P57" i="113"/>
  <c r="S57" i="113"/>
  <c r="S57" i="111"/>
  <c r="M57" i="111"/>
  <c r="M57" i="113"/>
  <c r="I63" i="113"/>
  <c r="I63" i="111"/>
  <c r="H68" i="111"/>
  <c r="H68" i="113"/>
  <c r="L68" i="111"/>
  <c r="L68" i="113"/>
  <c r="O68" i="113"/>
  <c r="O68" i="111"/>
  <c r="P61" i="111"/>
  <c r="P61" i="113"/>
  <c r="F61" i="113"/>
  <c r="F61" i="111"/>
  <c r="D61" i="111"/>
  <c r="D61" i="113"/>
  <c r="C61" i="111"/>
  <c r="C61" i="113"/>
  <c r="N71" i="113"/>
  <c r="N71" i="111"/>
  <c r="M71" i="111"/>
  <c r="M71" i="113"/>
  <c r="K54" i="113"/>
  <c r="K54" i="111"/>
  <c r="R54" i="113"/>
  <c r="R54" i="111"/>
  <c r="P54" i="113"/>
  <c r="P54" i="111"/>
  <c r="R60" i="113"/>
  <c r="R60" i="111"/>
  <c r="H60" i="111"/>
  <c r="H60" i="113"/>
  <c r="L60" i="111"/>
  <c r="L60" i="113"/>
  <c r="O60" i="113"/>
  <c r="O60" i="111"/>
  <c r="C58" i="111"/>
  <c r="C58" i="113"/>
  <c r="S55" i="113"/>
  <c r="S55" i="111"/>
  <c r="N55" i="113"/>
  <c r="N55" i="111"/>
  <c r="M55" i="111"/>
  <c r="M55" i="113"/>
  <c r="R62" i="113"/>
  <c r="R62" i="111"/>
  <c r="I62" i="113"/>
  <c r="I62" i="111"/>
  <c r="P62" i="111"/>
  <c r="P62" i="113"/>
  <c r="F64" i="113"/>
  <c r="F64" i="111"/>
  <c r="Q64" i="113"/>
  <c r="Q64" i="111"/>
  <c r="S64" i="113"/>
  <c r="S64" i="111"/>
  <c r="L64" i="111"/>
  <c r="L64" i="113"/>
  <c r="O64" i="113"/>
  <c r="O64" i="111"/>
  <c r="Q65" i="113"/>
  <c r="Q65" i="111"/>
  <c r="J69" i="113"/>
  <c r="J69" i="111"/>
  <c r="I73" i="113"/>
  <c r="I73" i="111"/>
  <c r="I70" i="113"/>
  <c r="I70" i="111"/>
  <c r="S70" i="113"/>
  <c r="S70" i="111"/>
  <c r="L70" i="111"/>
  <c r="L70" i="113"/>
  <c r="O70" i="113"/>
  <c r="O70" i="111"/>
  <c r="H66" i="111"/>
  <c r="H66" i="113"/>
  <c r="C66" i="113"/>
  <c r="C66" i="111"/>
  <c r="R72" i="113"/>
  <c r="R72" i="111"/>
  <c r="D57" i="111"/>
  <c r="D57" i="113"/>
  <c r="I61" i="113"/>
  <c r="I61" i="111"/>
  <c r="G71" i="111"/>
  <c r="G71" i="113"/>
  <c r="E60" i="111"/>
  <c r="E60" i="113"/>
  <c r="F62" i="113"/>
  <c r="F62" i="111"/>
  <c r="R69" i="113"/>
  <c r="R69" i="111"/>
  <c r="E70" i="111"/>
  <c r="E70" i="113"/>
  <c r="O56" i="113"/>
  <c r="O56" i="111"/>
  <c r="J72" i="113"/>
  <c r="J72" i="111"/>
  <c r="N57" i="113"/>
  <c r="N57" i="111"/>
  <c r="R63" i="113"/>
  <c r="R63" i="111"/>
  <c r="J68" i="113"/>
  <c r="J68" i="111"/>
  <c r="E61" i="111"/>
  <c r="E61" i="113"/>
  <c r="F60" i="113"/>
  <c r="F60" i="111"/>
  <c r="R58" i="113"/>
  <c r="R58" i="111"/>
  <c r="L55" i="111"/>
  <c r="L55" i="113"/>
  <c r="M64" i="111"/>
  <c r="M64" i="113"/>
  <c r="Q73" i="113"/>
  <c r="Q73" i="111"/>
  <c r="Q70" i="113"/>
  <c r="Q70" i="111"/>
  <c r="N56" i="113"/>
  <c r="N56" i="111"/>
  <c r="C72" i="113"/>
  <c r="C72" i="111"/>
  <c r="C57" i="113"/>
  <c r="C57" i="111"/>
  <c r="N61" i="113"/>
  <c r="N61" i="111"/>
  <c r="M61" i="111"/>
  <c r="M61" i="113"/>
  <c r="Q60" i="113"/>
  <c r="Q60" i="111"/>
  <c r="K55" i="113"/>
  <c r="K55" i="111"/>
  <c r="C65" i="113"/>
  <c r="C65" i="111"/>
  <c r="F73" i="113"/>
  <c r="F73" i="111"/>
  <c r="J66" i="113"/>
  <c r="J66" i="111"/>
  <c r="I56" i="113"/>
  <c r="I56" i="111"/>
  <c r="O59" i="113"/>
  <c r="O59" i="111"/>
  <c r="Q57" i="113"/>
  <c r="Q57" i="111"/>
  <c r="C68" i="113"/>
  <c r="C68" i="111"/>
  <c r="F54" i="113"/>
  <c r="F54" i="111"/>
  <c r="K60" i="113"/>
  <c r="K60" i="111"/>
  <c r="L62" i="111"/>
  <c r="L62" i="113"/>
  <c r="S65" i="113"/>
  <c r="S65" i="111"/>
  <c r="C73" i="113"/>
  <c r="C73" i="111"/>
  <c r="S56" i="113"/>
  <c r="S56" i="111"/>
  <c r="J56" i="113"/>
  <c r="J56" i="111"/>
  <c r="F72" i="113"/>
  <c r="F72" i="111"/>
  <c r="L72" i="111"/>
  <c r="L72" i="113"/>
  <c r="P59" i="111"/>
  <c r="P59" i="113"/>
  <c r="N59" i="113"/>
  <c r="N59" i="111"/>
  <c r="E59" i="111"/>
  <c r="E59" i="113"/>
  <c r="S72" i="113"/>
  <c r="S72" i="111"/>
  <c r="Q67" i="113"/>
  <c r="Q67" i="111"/>
  <c r="L67" i="111"/>
  <c r="L67" i="113"/>
  <c r="G67" i="111"/>
  <c r="G67" i="113"/>
  <c r="P63" i="111"/>
  <c r="P63" i="113"/>
  <c r="E63" i="111"/>
  <c r="E63" i="113"/>
  <c r="R68" i="113"/>
  <c r="R68" i="111"/>
  <c r="P68" i="111"/>
  <c r="P68" i="113"/>
  <c r="S68" i="113"/>
  <c r="S68" i="111"/>
  <c r="R61" i="113"/>
  <c r="R61" i="111"/>
  <c r="L61" i="111"/>
  <c r="L61" i="113"/>
  <c r="G61" i="111"/>
  <c r="G61" i="113"/>
  <c r="I71" i="113"/>
  <c r="I71" i="111"/>
  <c r="S71" i="113"/>
  <c r="S71" i="111"/>
  <c r="E54" i="113"/>
  <c r="E54" i="111"/>
  <c r="S60" i="113"/>
  <c r="S60" i="111"/>
  <c r="K58" i="113"/>
  <c r="K58" i="111"/>
  <c r="H58" i="111"/>
  <c r="H58" i="113"/>
  <c r="D58" i="111"/>
  <c r="D58" i="113"/>
  <c r="G58" i="111"/>
  <c r="G58" i="113"/>
  <c r="J55" i="113"/>
  <c r="J55" i="111"/>
  <c r="C62" i="111"/>
  <c r="C62" i="113"/>
  <c r="E62" i="111"/>
  <c r="E62" i="113"/>
  <c r="I64" i="113"/>
  <c r="I64" i="111"/>
  <c r="K65" i="113"/>
  <c r="K65" i="111"/>
  <c r="F65" i="113"/>
  <c r="F65" i="111"/>
  <c r="D65" i="111"/>
  <c r="D65" i="113"/>
  <c r="G65" i="111"/>
  <c r="G65" i="113"/>
  <c r="N69" i="113"/>
  <c r="N69" i="111"/>
  <c r="Q69" i="113"/>
  <c r="Q69" i="111"/>
  <c r="K73" i="113"/>
  <c r="K73" i="111"/>
  <c r="H73" i="111"/>
  <c r="H73" i="113"/>
  <c r="E73" i="111"/>
  <c r="E73" i="113"/>
  <c r="R70" i="113"/>
  <c r="R70" i="111"/>
  <c r="N70" i="113"/>
  <c r="N70" i="111"/>
  <c r="S66" i="113"/>
  <c r="S66" i="111"/>
  <c r="D66" i="111"/>
  <c r="D66" i="113"/>
  <c r="G66" i="111"/>
  <c r="G66" i="113"/>
  <c r="E72" i="111"/>
  <c r="E72" i="113"/>
  <c r="F57" i="113"/>
  <c r="F57" i="111"/>
  <c r="K61" i="113"/>
  <c r="K61" i="111"/>
  <c r="D71" i="111"/>
  <c r="D71" i="113"/>
  <c r="N58" i="113"/>
  <c r="N58" i="111"/>
  <c r="D55" i="111"/>
  <c r="D55" i="113"/>
  <c r="P69" i="111"/>
  <c r="P69" i="113"/>
  <c r="G69" i="111"/>
  <c r="G69" i="113"/>
  <c r="C56" i="113"/>
  <c r="C56" i="111"/>
  <c r="F59" i="113"/>
  <c r="F59" i="111"/>
  <c r="M72" i="111"/>
  <c r="M72" i="113"/>
  <c r="R57" i="113"/>
  <c r="R57" i="111"/>
  <c r="Q63" i="113"/>
  <c r="Q63" i="111"/>
  <c r="H61" i="111"/>
  <c r="H61" i="113"/>
  <c r="O71" i="113"/>
  <c r="O71" i="111"/>
  <c r="J58" i="113"/>
  <c r="J58" i="111"/>
  <c r="P64" i="111"/>
  <c r="P64" i="113"/>
  <c r="N65" i="113"/>
  <c r="N65" i="111"/>
  <c r="N73" i="113"/>
  <c r="N73" i="111"/>
  <c r="M70" i="111"/>
  <c r="M70" i="113"/>
  <c r="P72" i="111"/>
  <c r="P72" i="113"/>
  <c r="E67" i="111"/>
  <c r="E67" i="113"/>
  <c r="D63" i="111"/>
  <c r="D63" i="113"/>
  <c r="K71" i="113"/>
  <c r="K71" i="111"/>
  <c r="G54" i="111"/>
  <c r="G54" i="113"/>
  <c r="P55" i="111"/>
  <c r="P55" i="113"/>
  <c r="G62" i="111"/>
  <c r="G62" i="113"/>
  <c r="K69" i="113"/>
  <c r="K69" i="111"/>
  <c r="F70" i="113"/>
  <c r="F70" i="111"/>
  <c r="S59" i="113"/>
  <c r="S59" i="111"/>
  <c r="K57" i="113"/>
  <c r="K57" i="111"/>
  <c r="L63" i="111"/>
  <c r="L63" i="113"/>
  <c r="J61" i="113"/>
  <c r="J61" i="111"/>
  <c r="H54" i="111"/>
  <c r="H54" i="113"/>
  <c r="F58" i="113"/>
  <c r="F58" i="111"/>
  <c r="I55" i="113"/>
  <c r="I55" i="111"/>
  <c r="O62" i="113"/>
  <c r="O62" i="111"/>
  <c r="M65" i="111"/>
  <c r="M65" i="113"/>
  <c r="R73" i="113"/>
  <c r="R73" i="111"/>
  <c r="M56" i="111"/>
  <c r="M56" i="113"/>
  <c r="H56" i="111"/>
  <c r="H56" i="113"/>
  <c r="R59" i="113"/>
  <c r="R59" i="111"/>
  <c r="M59" i="111"/>
  <c r="M59" i="113"/>
  <c r="K72" i="113"/>
  <c r="K72" i="111"/>
  <c r="Q72" i="113"/>
  <c r="Q72" i="111"/>
  <c r="I72" i="113"/>
  <c r="I72" i="111"/>
  <c r="I67" i="113"/>
  <c r="I67" i="111"/>
  <c r="F67" i="113"/>
  <c r="F67" i="111"/>
  <c r="J67" i="113"/>
  <c r="J67" i="111"/>
  <c r="O67" i="113"/>
  <c r="O67" i="111"/>
  <c r="J57" i="113"/>
  <c r="J57" i="111"/>
  <c r="F63" i="113"/>
  <c r="F63" i="111"/>
  <c r="S63" i="113"/>
  <c r="S63" i="111"/>
  <c r="N63" i="113"/>
  <c r="N63" i="111"/>
  <c r="M63" i="111"/>
  <c r="M63" i="113"/>
  <c r="F68" i="113"/>
  <c r="F68" i="111"/>
  <c r="I68" i="113"/>
  <c r="I68" i="111"/>
  <c r="O61" i="113"/>
  <c r="O61" i="111"/>
  <c r="N54" i="113"/>
  <c r="N54" i="111"/>
  <c r="C54" i="111"/>
  <c r="C54" i="113"/>
  <c r="Q54" i="113"/>
  <c r="Q54" i="111"/>
  <c r="M54" i="113"/>
  <c r="M54" i="111"/>
  <c r="P60" i="111"/>
  <c r="P60" i="113"/>
  <c r="I60" i="113"/>
  <c r="I60" i="111"/>
  <c r="I58" i="113"/>
  <c r="I58" i="111"/>
  <c r="S58" i="113"/>
  <c r="S58" i="111"/>
  <c r="L58" i="111"/>
  <c r="L58" i="113"/>
  <c r="O58" i="113"/>
  <c r="O58" i="111"/>
  <c r="J62" i="113"/>
  <c r="J62" i="111"/>
  <c r="Q62" i="113"/>
  <c r="Q62" i="111"/>
  <c r="M62" i="111"/>
  <c r="M62" i="113"/>
  <c r="K64" i="113"/>
  <c r="K64" i="111"/>
  <c r="P65" i="111"/>
  <c r="P65" i="113"/>
  <c r="R65" i="113"/>
  <c r="R65" i="111"/>
  <c r="L65" i="111"/>
  <c r="L65" i="113"/>
  <c r="O65" i="113"/>
  <c r="O65" i="111"/>
  <c r="F69" i="113"/>
  <c r="F69" i="111"/>
  <c r="D69" i="111"/>
  <c r="D69" i="113"/>
  <c r="C69" i="113"/>
  <c r="C69" i="111"/>
  <c r="S73" i="113"/>
  <c r="S73" i="111"/>
  <c r="M73" i="111"/>
  <c r="M73" i="113"/>
  <c r="P70" i="111"/>
  <c r="P70" i="113"/>
  <c r="K66" i="113"/>
  <c r="K66" i="111"/>
  <c r="N66" i="113"/>
  <c r="N66" i="111"/>
  <c r="L66" i="111"/>
  <c r="L66" i="113"/>
  <c r="O66" i="113"/>
  <c r="O66" i="111"/>
  <c r="O32" i="113"/>
  <c r="O32" i="111"/>
  <c r="Q35" i="113"/>
  <c r="Q35" i="111"/>
  <c r="R43" i="111"/>
  <c r="R43" i="113"/>
  <c r="O39" i="113"/>
  <c r="O39" i="111"/>
  <c r="D39" i="111"/>
  <c r="D15" i="111"/>
  <c r="D39" i="113"/>
  <c r="D15" i="113"/>
  <c r="S37" i="111"/>
  <c r="S37" i="113"/>
  <c r="I30" i="113"/>
  <c r="I30" i="111"/>
  <c r="H34" i="113"/>
  <c r="H34" i="111"/>
  <c r="N31" i="113"/>
  <c r="N31" i="111"/>
  <c r="P40" i="113"/>
  <c r="P40" i="111"/>
  <c r="J41" i="111"/>
  <c r="J41" i="113"/>
  <c r="D49" i="111"/>
  <c r="D49" i="113"/>
  <c r="K42" i="111"/>
  <c r="K42" i="113"/>
  <c r="L35" i="113"/>
  <c r="L35" i="111"/>
  <c r="S43" i="111"/>
  <c r="S43" i="113"/>
  <c r="G33" i="113"/>
  <c r="G33" i="111"/>
  <c r="O13" i="102"/>
  <c r="O37" i="113"/>
  <c r="O37" i="111"/>
  <c r="K30" i="113"/>
  <c r="K30" i="111"/>
  <c r="F36" i="113"/>
  <c r="F36" i="111"/>
  <c r="E31" i="113"/>
  <c r="E31" i="111"/>
  <c r="L38" i="111"/>
  <c r="L38" i="113"/>
  <c r="N45" i="113"/>
  <c r="N45" i="111"/>
  <c r="L49" i="111"/>
  <c r="L49" i="113"/>
  <c r="K35" i="113"/>
  <c r="K35" i="111"/>
  <c r="G19" i="102"/>
  <c r="G43" i="113"/>
  <c r="G43" i="111"/>
  <c r="F33" i="113"/>
  <c r="F33" i="111"/>
  <c r="G44" i="113"/>
  <c r="G44" i="111"/>
  <c r="H37" i="113"/>
  <c r="H37" i="111"/>
  <c r="N30" i="113"/>
  <c r="N30" i="111"/>
  <c r="M10" i="102"/>
  <c r="M34" i="111"/>
  <c r="M34" i="113"/>
  <c r="P38" i="113"/>
  <c r="P14" i="113"/>
  <c r="P38" i="111"/>
  <c r="D40" i="111"/>
  <c r="D40" i="113"/>
  <c r="C41" i="113"/>
  <c r="C41" i="111"/>
  <c r="E21" i="102"/>
  <c r="E45" i="111"/>
  <c r="E21" i="111"/>
  <c r="E45" i="113"/>
  <c r="E21" i="113"/>
  <c r="S45" i="111"/>
  <c r="S45" i="113"/>
  <c r="R45" i="111"/>
  <c r="R45" i="113"/>
  <c r="E25" i="102"/>
  <c r="E49" i="111"/>
  <c r="E49" i="113"/>
  <c r="M49" i="111"/>
  <c r="M49" i="113"/>
  <c r="F46" i="113"/>
  <c r="F46" i="111"/>
  <c r="I46" i="113"/>
  <c r="I46" i="111"/>
  <c r="D46" i="111"/>
  <c r="D46" i="113"/>
  <c r="M18" i="102"/>
  <c r="M42" i="111"/>
  <c r="M42" i="113"/>
  <c r="C32" i="111"/>
  <c r="C32" i="113"/>
  <c r="P32" i="113"/>
  <c r="P32" i="111"/>
  <c r="R32" i="113"/>
  <c r="R32" i="111"/>
  <c r="G35" i="113"/>
  <c r="G35" i="111"/>
  <c r="J35" i="113"/>
  <c r="J35" i="111"/>
  <c r="K48" i="111"/>
  <c r="K48" i="113"/>
  <c r="M48" i="111"/>
  <c r="M48" i="113"/>
  <c r="Q48" i="113"/>
  <c r="Q48" i="111"/>
  <c r="L48" i="111"/>
  <c r="L48" i="113"/>
  <c r="H43" i="113"/>
  <c r="H43" i="111"/>
  <c r="N43" i="113"/>
  <c r="N19" i="113"/>
  <c r="N43" i="111"/>
  <c r="N19" i="111"/>
  <c r="I43" i="113"/>
  <c r="I19" i="113"/>
  <c r="I43" i="111"/>
  <c r="I19" i="111"/>
  <c r="S33" i="111"/>
  <c r="S33" i="113"/>
  <c r="R33" i="111"/>
  <c r="R33" i="113"/>
  <c r="K39" i="111"/>
  <c r="K39" i="113"/>
  <c r="K44" i="111"/>
  <c r="K44" i="113"/>
  <c r="Q44" i="113"/>
  <c r="Q44" i="111"/>
  <c r="L44" i="111"/>
  <c r="L20" i="111"/>
  <c r="L44" i="113"/>
  <c r="L20" i="113"/>
  <c r="P37" i="113"/>
  <c r="P37" i="111"/>
  <c r="I37" i="113"/>
  <c r="I13" i="113"/>
  <c r="I37" i="111"/>
  <c r="I13" i="111"/>
  <c r="D37" i="111"/>
  <c r="D37" i="113"/>
  <c r="H47" i="113"/>
  <c r="H47" i="111"/>
  <c r="C47" i="113"/>
  <c r="C47" i="111"/>
  <c r="R47" i="111"/>
  <c r="R47" i="113"/>
  <c r="M36" i="111"/>
  <c r="M36" i="113"/>
  <c r="Q36" i="113"/>
  <c r="Q36" i="111"/>
  <c r="L36" i="113"/>
  <c r="L36" i="111"/>
  <c r="N34" i="113"/>
  <c r="N34" i="111"/>
  <c r="I34" i="113"/>
  <c r="I34" i="111"/>
  <c r="F31" i="113"/>
  <c r="F31" i="111"/>
  <c r="C31" i="113"/>
  <c r="C31" i="111"/>
  <c r="R31" i="111"/>
  <c r="R31" i="113"/>
  <c r="C38" i="113"/>
  <c r="C38" i="111"/>
  <c r="Q40" i="113"/>
  <c r="Q40" i="111"/>
  <c r="L40" i="111"/>
  <c r="L16" i="111"/>
  <c r="L40" i="113"/>
  <c r="L16" i="113"/>
  <c r="G41" i="113"/>
  <c r="G41" i="111"/>
  <c r="H41" i="113"/>
  <c r="H41" i="111"/>
  <c r="C45" i="113"/>
  <c r="C45" i="111"/>
  <c r="O45" i="113"/>
  <c r="O45" i="111"/>
  <c r="N49" i="113"/>
  <c r="N25" i="113"/>
  <c r="N49" i="111"/>
  <c r="N25" i="111"/>
  <c r="G46" i="113"/>
  <c r="G46" i="111"/>
  <c r="S46" i="111"/>
  <c r="S46" i="113"/>
  <c r="Q46" i="113"/>
  <c r="Q46" i="111"/>
  <c r="L46" i="111"/>
  <c r="L46" i="113"/>
  <c r="H42" i="113"/>
  <c r="H42" i="111"/>
  <c r="F42" i="113"/>
  <c r="F42" i="111"/>
  <c r="I42" i="113"/>
  <c r="I18" i="113"/>
  <c r="I42" i="111"/>
  <c r="I18" i="111"/>
  <c r="E32" i="113"/>
  <c r="E32" i="111"/>
  <c r="F35" i="113"/>
  <c r="F35" i="111"/>
  <c r="H48" i="113"/>
  <c r="H48" i="111"/>
  <c r="G39" i="113"/>
  <c r="G39" i="111"/>
  <c r="O44" i="113"/>
  <c r="O44" i="111"/>
  <c r="R37" i="111"/>
  <c r="R37" i="113"/>
  <c r="O36" i="113"/>
  <c r="O36" i="111"/>
  <c r="G7" i="102"/>
  <c r="G31" i="113"/>
  <c r="G31" i="111"/>
  <c r="D38" i="111"/>
  <c r="D38" i="113"/>
  <c r="M41" i="111"/>
  <c r="M41" i="113"/>
  <c r="P49" i="113"/>
  <c r="P49" i="111"/>
  <c r="P46" i="113"/>
  <c r="P22" i="113"/>
  <c r="P46" i="111"/>
  <c r="J42" i="111"/>
  <c r="J42" i="113"/>
  <c r="M43" i="111"/>
  <c r="M43" i="113"/>
  <c r="F20" i="102"/>
  <c r="F44" i="113"/>
  <c r="F44" i="111"/>
  <c r="G37" i="113"/>
  <c r="G37" i="111"/>
  <c r="Q30" i="113"/>
  <c r="Q30" i="111"/>
  <c r="R34" i="111"/>
  <c r="R34" i="113"/>
  <c r="S38" i="111"/>
  <c r="S38" i="113"/>
  <c r="E41" i="111"/>
  <c r="E41" i="113"/>
  <c r="F45" i="113"/>
  <c r="F45" i="111"/>
  <c r="O42" i="113"/>
  <c r="O42" i="111"/>
  <c r="N11" i="102"/>
  <c r="N35" i="113"/>
  <c r="N35" i="111"/>
  <c r="O11" i="102"/>
  <c r="O35" i="113"/>
  <c r="O11" i="113"/>
  <c r="O35" i="111"/>
  <c r="O11" i="111"/>
  <c r="P15" i="102"/>
  <c r="P39" i="113"/>
  <c r="P39" i="111"/>
  <c r="S39" i="111"/>
  <c r="S39" i="113"/>
  <c r="D44" i="111"/>
  <c r="D44" i="113"/>
  <c r="C30" i="113"/>
  <c r="C30" i="111"/>
  <c r="I36" i="113"/>
  <c r="I36" i="111"/>
  <c r="P31" i="113"/>
  <c r="P7" i="113"/>
  <c r="P31" i="111"/>
  <c r="S40" i="111"/>
  <c r="S40" i="113"/>
  <c r="F32" i="113"/>
  <c r="F32" i="111"/>
  <c r="E48" i="111"/>
  <c r="E48" i="113"/>
  <c r="Q43" i="113"/>
  <c r="Q43" i="111"/>
  <c r="N39" i="113"/>
  <c r="N39" i="111"/>
  <c r="J39" i="111"/>
  <c r="J39" i="113"/>
  <c r="Q37" i="113"/>
  <c r="Q37" i="111"/>
  <c r="G30" i="113"/>
  <c r="G30" i="111"/>
  <c r="G12" i="102"/>
  <c r="G36" i="113"/>
  <c r="G36" i="111"/>
  <c r="Q34" i="113"/>
  <c r="Q34" i="111"/>
  <c r="M31" i="111"/>
  <c r="M31" i="113"/>
  <c r="J38" i="111"/>
  <c r="J38" i="113"/>
  <c r="I41" i="113"/>
  <c r="I17" i="113"/>
  <c r="I41" i="111"/>
  <c r="I17" i="111"/>
  <c r="G49" i="113"/>
  <c r="G49" i="111"/>
  <c r="J49" i="111"/>
  <c r="J49" i="113"/>
  <c r="N46" i="113"/>
  <c r="N46" i="111"/>
  <c r="Q42" i="113"/>
  <c r="Q18" i="113"/>
  <c r="Q42" i="111"/>
  <c r="Q18" i="111"/>
  <c r="D42" i="111"/>
  <c r="D42" i="113"/>
  <c r="K32" i="113"/>
  <c r="K32" i="111"/>
  <c r="H35" i="113"/>
  <c r="H35" i="111"/>
  <c r="M35" i="111"/>
  <c r="M35" i="113"/>
  <c r="P48" i="113"/>
  <c r="P48" i="111"/>
  <c r="O43" i="113"/>
  <c r="O19" i="113"/>
  <c r="O43" i="111"/>
  <c r="O19" i="111"/>
  <c r="L43" i="111"/>
  <c r="L43" i="113"/>
  <c r="C33" i="111"/>
  <c r="C33" i="113"/>
  <c r="F39" i="113"/>
  <c r="F39" i="111"/>
  <c r="C39" i="113"/>
  <c r="C39" i="111"/>
  <c r="R39" i="111"/>
  <c r="R39" i="113"/>
  <c r="P44" i="113"/>
  <c r="P44" i="111"/>
  <c r="N44" i="113"/>
  <c r="N44" i="111"/>
  <c r="K47" i="111"/>
  <c r="K47" i="113"/>
  <c r="S47" i="111"/>
  <c r="S47" i="113"/>
  <c r="R30" i="111"/>
  <c r="R30" i="113"/>
  <c r="P36" i="113"/>
  <c r="P36" i="111"/>
  <c r="C34" i="111"/>
  <c r="C34" i="113"/>
  <c r="S34" i="111"/>
  <c r="S34" i="113"/>
  <c r="L34" i="113"/>
  <c r="L34" i="111"/>
  <c r="S31" i="111"/>
  <c r="S31" i="113"/>
  <c r="R38" i="111"/>
  <c r="R38" i="113"/>
  <c r="K41" i="111"/>
  <c r="K41" i="113"/>
  <c r="Q41" i="113"/>
  <c r="Q17" i="113"/>
  <c r="Q41" i="111"/>
  <c r="Q17" i="111"/>
  <c r="L41" i="111"/>
  <c r="L41" i="113"/>
  <c r="G45" i="113"/>
  <c r="G45" i="111"/>
  <c r="I45" i="113"/>
  <c r="I45" i="111"/>
  <c r="D45" i="111"/>
  <c r="D45" i="113"/>
  <c r="O49" i="113"/>
  <c r="O49" i="111"/>
  <c r="S49" i="111"/>
  <c r="S49" i="113"/>
  <c r="R49" i="111"/>
  <c r="R49" i="113"/>
  <c r="E46" i="111"/>
  <c r="E22" i="111"/>
  <c r="E46" i="113"/>
  <c r="E22" i="113"/>
  <c r="E42" i="111"/>
  <c r="E42" i="113"/>
  <c r="L42" i="111"/>
  <c r="L42" i="113"/>
  <c r="C48" i="113"/>
  <c r="C48" i="111"/>
  <c r="F43" i="113"/>
  <c r="F19" i="113"/>
  <c r="F43" i="111"/>
  <c r="F19" i="111"/>
  <c r="N33" i="113"/>
  <c r="N33" i="111"/>
  <c r="E44" i="111"/>
  <c r="E44" i="113"/>
  <c r="E47" i="111"/>
  <c r="E47" i="113"/>
  <c r="D30" i="111"/>
  <c r="D30" i="113"/>
  <c r="J34" i="113"/>
  <c r="J34" i="111"/>
  <c r="I38" i="113"/>
  <c r="I38" i="111"/>
  <c r="O41" i="113"/>
  <c r="O41" i="111"/>
  <c r="P45" i="113"/>
  <c r="P45" i="111"/>
  <c r="M46" i="111"/>
  <c r="M46" i="113"/>
  <c r="O46" i="113"/>
  <c r="O22" i="113"/>
  <c r="O46" i="111"/>
  <c r="O22" i="111"/>
  <c r="O48" i="113"/>
  <c r="O48" i="111"/>
  <c r="L39" i="111"/>
  <c r="L15" i="111"/>
  <c r="L39" i="113"/>
  <c r="L15" i="113"/>
  <c r="F47" i="113"/>
  <c r="F47" i="111"/>
  <c r="F30" i="113"/>
  <c r="F30" i="111"/>
  <c r="O34" i="113"/>
  <c r="O34" i="111"/>
  <c r="Q38" i="113"/>
  <c r="Q38" i="111"/>
  <c r="S41" i="111"/>
  <c r="S41" i="113"/>
  <c r="J45" i="111"/>
  <c r="J45" i="113"/>
  <c r="R42" i="111"/>
  <c r="R42" i="113"/>
  <c r="I48" i="113"/>
  <c r="I48" i="111"/>
  <c r="P33" i="113"/>
  <c r="P33" i="111"/>
  <c r="I44" i="113"/>
  <c r="I44" i="111"/>
  <c r="J47" i="111"/>
  <c r="J47" i="113"/>
  <c r="S12" i="102"/>
  <c r="S36" i="113"/>
  <c r="S36" i="111"/>
  <c r="E34" i="113"/>
  <c r="E34" i="111"/>
  <c r="E10" i="111"/>
  <c r="J7" i="102"/>
  <c r="J31" i="113"/>
  <c r="J7" i="113"/>
  <c r="J31" i="111"/>
  <c r="J7" i="111"/>
  <c r="M40" i="111"/>
  <c r="M40" i="113"/>
  <c r="E35" i="113"/>
  <c r="E35" i="111"/>
  <c r="R35" i="111"/>
  <c r="R35" i="113"/>
  <c r="E43" i="111"/>
  <c r="E43" i="113"/>
  <c r="O33" i="113"/>
  <c r="O33" i="111"/>
  <c r="C44" i="113"/>
  <c r="C44" i="111"/>
  <c r="L37" i="111"/>
  <c r="L37" i="113"/>
  <c r="E30" i="113"/>
  <c r="E30" i="111"/>
  <c r="C36" i="113"/>
  <c r="C36" i="111"/>
  <c r="F34" i="113"/>
  <c r="F34" i="111"/>
  <c r="M38" i="111"/>
  <c r="M38" i="113"/>
  <c r="N40" i="113"/>
  <c r="N40" i="111"/>
  <c r="D41" i="111"/>
  <c r="D41" i="113"/>
  <c r="H45" i="113"/>
  <c r="H45" i="111"/>
  <c r="S42" i="111"/>
  <c r="S42" i="113"/>
  <c r="N32" i="113"/>
  <c r="N32" i="111"/>
  <c r="D32" i="111"/>
  <c r="D32" i="113"/>
  <c r="C35" i="113"/>
  <c r="C35" i="111"/>
  <c r="F48" i="113"/>
  <c r="F24" i="113"/>
  <c r="F48" i="111"/>
  <c r="F24" i="111"/>
  <c r="G48" i="113"/>
  <c r="G48" i="111"/>
  <c r="J48" i="111"/>
  <c r="J48" i="113"/>
  <c r="P43" i="113"/>
  <c r="P43" i="111"/>
  <c r="K43" i="111"/>
  <c r="K43" i="113"/>
  <c r="K33" i="113"/>
  <c r="K9" i="113"/>
  <c r="K33" i="111"/>
  <c r="H33" i="113"/>
  <c r="H33" i="111"/>
  <c r="I33" i="113"/>
  <c r="I9" i="113"/>
  <c r="I33" i="111"/>
  <c r="I9" i="111"/>
  <c r="D33" i="111"/>
  <c r="D9" i="111"/>
  <c r="D33" i="113"/>
  <c r="D9" i="113"/>
  <c r="H39" i="113"/>
  <c r="H39" i="111"/>
  <c r="M39" i="111"/>
  <c r="M39" i="113"/>
  <c r="J44" i="111"/>
  <c r="J44" i="113"/>
  <c r="K37" i="111"/>
  <c r="K37" i="113"/>
  <c r="E37" i="111"/>
  <c r="E37" i="113"/>
  <c r="I47" i="113"/>
  <c r="I47" i="111"/>
  <c r="D47" i="111"/>
  <c r="D47" i="113"/>
  <c r="M30" i="111"/>
  <c r="M30" i="113"/>
  <c r="P30" i="113"/>
  <c r="P6" i="113"/>
  <c r="P30" i="111"/>
  <c r="P6" i="111"/>
  <c r="O30" i="113"/>
  <c r="O30" i="111"/>
  <c r="K36" i="113"/>
  <c r="K36" i="111"/>
  <c r="E36" i="113"/>
  <c r="E36" i="111"/>
  <c r="J36" i="113"/>
  <c r="J36" i="111"/>
  <c r="G10" i="102"/>
  <c r="G34" i="113"/>
  <c r="G34" i="111"/>
  <c r="H31" i="113"/>
  <c r="H31" i="111"/>
  <c r="I31" i="113"/>
  <c r="I31" i="111"/>
  <c r="D31" i="111"/>
  <c r="D31" i="113"/>
  <c r="H38" i="113"/>
  <c r="H38" i="111"/>
  <c r="H14" i="111"/>
  <c r="O38" i="113"/>
  <c r="O38" i="111"/>
  <c r="O40" i="113"/>
  <c r="O40" i="111"/>
  <c r="E40" i="111"/>
  <c r="E40" i="113"/>
  <c r="J40" i="111"/>
  <c r="J40" i="113"/>
  <c r="N41" i="113"/>
  <c r="N41" i="111"/>
  <c r="Q45" i="113"/>
  <c r="Q45" i="111"/>
  <c r="L45" i="111"/>
  <c r="L45" i="113"/>
  <c r="C49" i="113"/>
  <c r="C49" i="111"/>
  <c r="H46" i="113"/>
  <c r="H46" i="111"/>
  <c r="H22" i="111"/>
  <c r="J46" i="111"/>
  <c r="J46" i="113"/>
  <c r="C42" i="113"/>
  <c r="C42" i="111"/>
  <c r="G18" i="102"/>
  <c r="G42" i="113"/>
  <c r="G42" i="111"/>
  <c r="S35" i="111"/>
  <c r="S35" i="113"/>
  <c r="D35" i="111"/>
  <c r="D35" i="113"/>
  <c r="C43" i="111"/>
  <c r="C43" i="113"/>
  <c r="E33" i="113"/>
  <c r="E33" i="111"/>
  <c r="I39" i="113"/>
  <c r="I39" i="111"/>
  <c r="H44" i="113"/>
  <c r="H44" i="111"/>
  <c r="H30" i="113"/>
  <c r="H30" i="111"/>
  <c r="H36" i="113"/>
  <c r="H36" i="111"/>
  <c r="F38" i="113"/>
  <c r="F14" i="113"/>
  <c r="F38" i="111"/>
  <c r="F14" i="111"/>
  <c r="C40" i="113"/>
  <c r="C40" i="111"/>
  <c r="F41" i="113"/>
  <c r="F17" i="113"/>
  <c r="F41" i="111"/>
  <c r="F17" i="111"/>
  <c r="I49" i="113"/>
  <c r="I49" i="111"/>
  <c r="P42" i="113"/>
  <c r="P42" i="111"/>
  <c r="M32" i="111"/>
  <c r="M32" i="113"/>
  <c r="S48" i="111"/>
  <c r="S48" i="113"/>
  <c r="Q39" i="113"/>
  <c r="Q15" i="113"/>
  <c r="Q39" i="111"/>
  <c r="Q15" i="111"/>
  <c r="P47" i="113"/>
  <c r="P47" i="111"/>
  <c r="L30" i="113"/>
  <c r="L30" i="111"/>
  <c r="N38" i="113"/>
  <c r="N14" i="113"/>
  <c r="N38" i="111"/>
  <c r="N14" i="111"/>
  <c r="K40" i="111"/>
  <c r="K40" i="113"/>
  <c r="R41" i="111"/>
  <c r="R41" i="113"/>
  <c r="Q49" i="113"/>
  <c r="Q25" i="113"/>
  <c r="Q49" i="111"/>
  <c r="Q25" i="111"/>
  <c r="J32" i="113"/>
  <c r="J32" i="111"/>
  <c r="D48" i="111"/>
  <c r="D48" i="113"/>
  <c r="J33" i="113"/>
  <c r="J33" i="111"/>
  <c r="M44" i="111"/>
  <c r="M44" i="113"/>
  <c r="G47" i="113"/>
  <c r="G47" i="111"/>
  <c r="S30" i="111"/>
  <c r="S30" i="113"/>
  <c r="D36" i="111"/>
  <c r="D36" i="113"/>
  <c r="K14" i="102"/>
  <c r="K38" i="111"/>
  <c r="K38" i="113"/>
  <c r="I16" i="102"/>
  <c r="I40" i="113"/>
  <c r="I40" i="111"/>
  <c r="H32" i="113"/>
  <c r="H32" i="111"/>
  <c r="N48" i="113"/>
  <c r="N48" i="111"/>
  <c r="D43" i="111"/>
  <c r="D43" i="113"/>
  <c r="E39" i="111"/>
  <c r="E39" i="113"/>
  <c r="C37" i="113"/>
  <c r="C37" i="111"/>
  <c r="M47" i="111"/>
  <c r="M47" i="113"/>
  <c r="J30" i="113"/>
  <c r="J6" i="113"/>
  <c r="J30" i="111"/>
  <c r="J6" i="111"/>
  <c r="P34" i="113"/>
  <c r="P34" i="111"/>
  <c r="D34" i="111"/>
  <c r="D34" i="113"/>
  <c r="G38" i="113"/>
  <c r="G38" i="111"/>
  <c r="F40" i="113"/>
  <c r="F40" i="111"/>
  <c r="M45" i="111"/>
  <c r="M45" i="113"/>
  <c r="F49" i="113"/>
  <c r="F49" i="111"/>
  <c r="G32" i="113"/>
  <c r="G32" i="111"/>
  <c r="I32" i="113"/>
  <c r="I32" i="111"/>
  <c r="S32" i="111"/>
  <c r="S32" i="113"/>
  <c r="Q32" i="113"/>
  <c r="Q8" i="113"/>
  <c r="Q32" i="111"/>
  <c r="Q8" i="111"/>
  <c r="L32" i="113"/>
  <c r="L32" i="111"/>
  <c r="P35" i="113"/>
  <c r="P35" i="111"/>
  <c r="I35" i="113"/>
  <c r="I11" i="113"/>
  <c r="I35" i="111"/>
  <c r="I11" i="111"/>
  <c r="R48" i="111"/>
  <c r="R48" i="113"/>
  <c r="J43" i="111"/>
  <c r="J43" i="113"/>
  <c r="M33" i="111"/>
  <c r="M33" i="113"/>
  <c r="Q33" i="113"/>
  <c r="Q9" i="113"/>
  <c r="Q33" i="111"/>
  <c r="Q9" i="111"/>
  <c r="L33" i="113"/>
  <c r="L33" i="111"/>
  <c r="S44" i="111"/>
  <c r="S44" i="113"/>
  <c r="R44" i="111"/>
  <c r="R44" i="113"/>
  <c r="M37" i="111"/>
  <c r="M13" i="111"/>
  <c r="M37" i="113"/>
  <c r="M13" i="113"/>
  <c r="N37" i="113"/>
  <c r="N37" i="111"/>
  <c r="F37" i="113"/>
  <c r="F37" i="111"/>
  <c r="J37" i="113"/>
  <c r="J37" i="111"/>
  <c r="N47" i="113"/>
  <c r="N47" i="111"/>
  <c r="O47" i="113"/>
  <c r="O47" i="111"/>
  <c r="Q47" i="113"/>
  <c r="Q47" i="111"/>
  <c r="L47" i="111"/>
  <c r="L47" i="113"/>
  <c r="N36" i="113"/>
  <c r="N36" i="111"/>
  <c r="R36" i="113"/>
  <c r="R36" i="111"/>
  <c r="K34" i="113"/>
  <c r="K10" i="113"/>
  <c r="K34" i="111"/>
  <c r="K10" i="111"/>
  <c r="K31" i="113"/>
  <c r="K31" i="111"/>
  <c r="O31" i="113"/>
  <c r="O31" i="111"/>
  <c r="Q31" i="113"/>
  <c r="Q7" i="113"/>
  <c r="Q31" i="111"/>
  <c r="Q7" i="111"/>
  <c r="L31" i="113"/>
  <c r="L31" i="111"/>
  <c r="E38" i="111"/>
  <c r="E38" i="113"/>
  <c r="G40" i="113"/>
  <c r="G40" i="111"/>
  <c r="H40" i="113"/>
  <c r="H40" i="111"/>
  <c r="R40" i="111"/>
  <c r="R40" i="113"/>
  <c r="P41" i="113"/>
  <c r="P41" i="111"/>
  <c r="K45" i="111"/>
  <c r="K45" i="113"/>
  <c r="K49" i="111"/>
  <c r="K49" i="113"/>
  <c r="H49" i="113"/>
  <c r="H49" i="111"/>
  <c r="C46" i="113"/>
  <c r="C46" i="111"/>
  <c r="K46" i="111"/>
  <c r="K46" i="113"/>
  <c r="R46" i="111"/>
  <c r="R46" i="113"/>
  <c r="N18" i="102"/>
  <c r="N42" i="113"/>
  <c r="N42" i="111"/>
  <c r="O8" i="102"/>
  <c r="F11" i="102"/>
  <c r="D11" i="102"/>
  <c r="F19" i="102"/>
  <c r="N9" i="102"/>
  <c r="J10" i="102"/>
  <c r="P16" i="102"/>
  <c r="O17" i="102"/>
  <c r="M22" i="102"/>
  <c r="P22" i="102"/>
  <c r="K18" i="102"/>
  <c r="M21" i="102"/>
  <c r="P20" i="102"/>
  <c r="S23" i="102"/>
  <c r="G17" i="102"/>
  <c r="H24" i="102"/>
  <c r="R19" i="102"/>
  <c r="I15" i="102"/>
  <c r="O20" i="102"/>
  <c r="H20" i="102"/>
  <c r="R13" i="102"/>
  <c r="O12" i="102"/>
  <c r="H12" i="102"/>
  <c r="H10" i="102"/>
  <c r="N7" i="102"/>
  <c r="I14" i="102"/>
  <c r="F17" i="102"/>
  <c r="O22" i="102"/>
  <c r="S24" i="102"/>
  <c r="G13" i="102"/>
  <c r="E15" i="102"/>
  <c r="E6" i="102"/>
  <c r="N22" i="102"/>
  <c r="S18" i="102"/>
  <c r="K17" i="102"/>
  <c r="K11" i="102"/>
  <c r="D24" i="102"/>
  <c r="G20" i="102"/>
  <c r="D20" i="102"/>
  <c r="S6" i="102"/>
  <c r="D12" i="102"/>
  <c r="D16" i="102"/>
  <c r="S21" i="102"/>
  <c r="D22" i="102"/>
  <c r="P8" i="102"/>
  <c r="J11" i="102"/>
  <c r="H19" i="102"/>
  <c r="K15" i="102"/>
  <c r="K20" i="102"/>
  <c r="H23" i="102"/>
  <c r="F7" i="102"/>
  <c r="G22" i="102"/>
  <c r="E20" i="102"/>
  <c r="P21" i="102"/>
  <c r="P18" i="102"/>
  <c r="S19" i="102"/>
  <c r="E10" i="102"/>
  <c r="Q6" i="102"/>
  <c r="O10" i="102"/>
  <c r="Q14" i="102"/>
  <c r="N21" i="102"/>
  <c r="N24" i="102"/>
  <c r="H11" i="102"/>
  <c r="S20" i="102"/>
  <c r="K10" i="102"/>
  <c r="E14" i="102"/>
  <c r="K25" i="102"/>
  <c r="H25" i="102"/>
  <c r="E8" i="102"/>
  <c r="I25" i="102"/>
  <c r="F21" i="102"/>
  <c r="O18" i="102"/>
  <c r="J9" i="102"/>
  <c r="S15" i="102"/>
  <c r="I20" i="102"/>
  <c r="M11" i="102"/>
  <c r="O19" i="102"/>
  <c r="I24" i="102"/>
  <c r="N6" i="102"/>
  <c r="I12" i="102"/>
  <c r="M25" i="102"/>
  <c r="M14" i="102"/>
  <c r="L19" i="102"/>
  <c r="F15" i="102"/>
  <c r="P12" i="102"/>
  <c r="S10" i="102"/>
  <c r="L10" i="102"/>
  <c r="L17" i="102"/>
  <c r="D21" i="102"/>
  <c r="S25" i="102"/>
  <c r="L18" i="102"/>
  <c r="M15" i="102"/>
  <c r="M6" i="102"/>
  <c r="S11" i="102"/>
  <c r="Q11" i="102"/>
  <c r="E9" i="102"/>
  <c r="G15" i="102"/>
  <c r="O15" i="102"/>
  <c r="D15" i="102"/>
  <c r="S13" i="102"/>
  <c r="E23" i="102"/>
  <c r="H6" i="102"/>
  <c r="D6" i="102"/>
  <c r="T60" i="102"/>
  <c r="T55" i="102"/>
  <c r="D14" i="102"/>
  <c r="T64" i="102"/>
  <c r="M17" i="102"/>
  <c r="J17" i="102"/>
  <c r="P25" i="102"/>
  <c r="D25" i="102"/>
  <c r="J18" i="102"/>
  <c r="M8" i="102"/>
  <c r="L11" i="102"/>
  <c r="O24" i="102"/>
  <c r="M19" i="102"/>
  <c r="Q15" i="102"/>
  <c r="L15" i="102"/>
  <c r="F23" i="102"/>
  <c r="K6" i="102"/>
  <c r="F6" i="102"/>
  <c r="L6" i="102"/>
  <c r="E7" i="102"/>
  <c r="N14" i="102"/>
  <c r="S14" i="102"/>
  <c r="L14" i="102"/>
  <c r="K16" i="102"/>
  <c r="E17" i="102"/>
  <c r="S17" i="102"/>
  <c r="R17" i="102"/>
  <c r="J21" i="102"/>
  <c r="L25" i="102"/>
  <c r="R18" i="102"/>
  <c r="P24" i="102"/>
  <c r="N20" i="102"/>
  <c r="K23" i="102"/>
  <c r="O25" i="102"/>
  <c r="G24" i="102"/>
  <c r="H9" i="102"/>
  <c r="I9" i="102"/>
  <c r="O6" i="102"/>
  <c r="K12" i="102"/>
  <c r="O14" i="102"/>
  <c r="H22" i="102"/>
  <c r="N16" i="102"/>
  <c r="H21" i="102"/>
  <c r="R25" i="102"/>
  <c r="E18" i="102"/>
  <c r="N12" i="102"/>
  <c r="G16" i="102"/>
  <c r="H16" i="102"/>
  <c r="C24" i="102"/>
  <c r="T48" i="102"/>
  <c r="C19" i="102"/>
  <c r="T43" i="102"/>
  <c r="I6" i="102"/>
  <c r="F14" i="102"/>
  <c r="Q25" i="102"/>
  <c r="J8" i="102"/>
  <c r="T57" i="102"/>
  <c r="F9" i="102"/>
  <c r="M20" i="102"/>
  <c r="H13" i="102"/>
  <c r="T71" i="102"/>
  <c r="J23" i="102"/>
  <c r="S16" i="102"/>
  <c r="M16" i="102"/>
  <c r="T41" i="102"/>
  <c r="C17" i="102"/>
  <c r="F22" i="102"/>
  <c r="R8" i="102"/>
  <c r="G11" i="102"/>
  <c r="K24" i="102"/>
  <c r="M24" i="102"/>
  <c r="Q24" i="102"/>
  <c r="L24" i="102"/>
  <c r="N19" i="102"/>
  <c r="I19" i="102"/>
  <c r="S9" i="102"/>
  <c r="R9" i="102"/>
  <c r="T63" i="102"/>
  <c r="T68" i="102"/>
  <c r="Q20" i="102"/>
  <c r="L20" i="102"/>
  <c r="P13" i="102"/>
  <c r="I13" i="102"/>
  <c r="D13" i="102"/>
  <c r="T47" i="102"/>
  <c r="C23" i="102"/>
  <c r="R23" i="102"/>
  <c r="M12" i="102"/>
  <c r="Q12" i="102"/>
  <c r="L12" i="102"/>
  <c r="N10" i="102"/>
  <c r="I10" i="102"/>
  <c r="T31" i="102"/>
  <c r="C7" i="102"/>
  <c r="R7" i="102"/>
  <c r="C14" i="102"/>
  <c r="T38" i="102"/>
  <c r="Q16" i="102"/>
  <c r="L16" i="102"/>
  <c r="H17" i="102"/>
  <c r="C21" i="102"/>
  <c r="T45" i="102"/>
  <c r="O21" i="102"/>
  <c r="T73" i="102"/>
  <c r="N25" i="102"/>
  <c r="S22" i="102"/>
  <c r="Q22" i="102"/>
  <c r="L22" i="102"/>
  <c r="H18" i="102"/>
  <c r="F18" i="102"/>
  <c r="I18" i="102"/>
  <c r="G9" i="102"/>
  <c r="T72" i="102"/>
  <c r="P9" i="102"/>
  <c r="G23" i="102"/>
  <c r="C6" i="102"/>
  <c r="T30" i="102"/>
  <c r="P7" i="102"/>
  <c r="P14" i="102"/>
  <c r="T65" i="102"/>
  <c r="R21" i="102"/>
  <c r="I22" i="102"/>
  <c r="T32" i="102"/>
  <c r="C8" i="102"/>
  <c r="O53" i="102"/>
  <c r="G53" i="102"/>
  <c r="C53" i="102"/>
  <c r="M53" i="102"/>
  <c r="E53" i="102"/>
  <c r="R29" i="102"/>
  <c r="L53" i="102"/>
  <c r="D53" i="102"/>
  <c r="Q29" i="102"/>
  <c r="S53" i="102"/>
  <c r="H53" i="102"/>
  <c r="S29" i="102"/>
  <c r="I29" i="102"/>
  <c r="F53" i="102"/>
  <c r="R53" i="102"/>
  <c r="J53" i="102"/>
  <c r="K29" i="102"/>
  <c r="O29" i="102"/>
  <c r="E29" i="102"/>
  <c r="C29" i="102"/>
  <c r="L29" i="102"/>
  <c r="J29" i="102"/>
  <c r="K53" i="102"/>
  <c r="N29" i="102"/>
  <c r="D29" i="102"/>
  <c r="P53" i="102"/>
  <c r="N53" i="102"/>
  <c r="Q53" i="102"/>
  <c r="M29" i="102"/>
  <c r="H29" i="102"/>
  <c r="I53" i="102"/>
  <c r="G29" i="102"/>
  <c r="P29" i="102"/>
  <c r="F29" i="102"/>
  <c r="F8" i="102"/>
  <c r="H8" i="102"/>
  <c r="E11" i="102"/>
  <c r="R11" i="102"/>
  <c r="E24" i="102"/>
  <c r="E19" i="102"/>
  <c r="Q19" i="102"/>
  <c r="D19" i="102"/>
  <c r="O9" i="102"/>
  <c r="N15" i="102"/>
  <c r="J15" i="102"/>
  <c r="C20" i="102"/>
  <c r="T44" i="102"/>
  <c r="T37" i="102"/>
  <c r="C13" i="102"/>
  <c r="Q13" i="102"/>
  <c r="L13" i="102"/>
  <c r="M23" i="102"/>
  <c r="G6" i="102"/>
  <c r="J6" i="102"/>
  <c r="C12" i="102"/>
  <c r="T36" i="102"/>
  <c r="P10" i="102"/>
  <c r="F10" i="102"/>
  <c r="Q10" i="102"/>
  <c r="D10" i="102"/>
  <c r="M7" i="102"/>
  <c r="G14" i="102"/>
  <c r="J14" i="102"/>
  <c r="F16" i="102"/>
  <c r="I17" i="102"/>
  <c r="D17" i="102"/>
  <c r="G25" i="102"/>
  <c r="F25" i="102"/>
  <c r="J25" i="102"/>
  <c r="Q18" i="102"/>
  <c r="D18" i="102"/>
  <c r="T67" i="102"/>
  <c r="P23" i="102"/>
  <c r="F12" i="102"/>
  <c r="T70" i="102"/>
  <c r="T59" i="102"/>
  <c r="R15" i="102"/>
  <c r="C10" i="102"/>
  <c r="T34" i="102"/>
  <c r="T58" i="102"/>
  <c r="R14" i="102"/>
  <c r="Q17" i="102"/>
  <c r="G21" i="102"/>
  <c r="I21" i="102"/>
  <c r="E22" i="102"/>
  <c r="G8" i="102"/>
  <c r="N8" i="102"/>
  <c r="I8" i="102"/>
  <c r="D8" i="102"/>
  <c r="C11" i="102"/>
  <c r="T35" i="102"/>
  <c r="F24" i="102"/>
  <c r="J24" i="102"/>
  <c r="P19" i="102"/>
  <c r="K19" i="102"/>
  <c r="K9" i="102"/>
  <c r="D9" i="102"/>
  <c r="H15" i="102"/>
  <c r="J20" i="102"/>
  <c r="K13" i="102"/>
  <c r="E13" i="102"/>
  <c r="I23" i="102"/>
  <c r="D23" i="102"/>
  <c r="P6" i="102"/>
  <c r="E12" i="102"/>
  <c r="J12" i="102"/>
  <c r="H7" i="102"/>
  <c r="I7" i="102"/>
  <c r="D7" i="102"/>
  <c r="T62" i="102"/>
  <c r="H14" i="102"/>
  <c r="O16" i="102"/>
  <c r="E16" i="102"/>
  <c r="J16" i="102"/>
  <c r="N17" i="102"/>
  <c r="Q21" i="102"/>
  <c r="L21" i="102"/>
  <c r="C25" i="102"/>
  <c r="T49" i="102"/>
  <c r="J22" i="102"/>
  <c r="C18" i="102"/>
  <c r="T42" i="102"/>
  <c r="T40" i="102"/>
  <c r="C16" i="102"/>
  <c r="T56" i="102"/>
  <c r="R10" i="102"/>
  <c r="K8" i="102"/>
  <c r="C9" i="102"/>
  <c r="T33" i="102"/>
  <c r="C15" i="102"/>
  <c r="T39" i="102"/>
  <c r="T61" i="102"/>
  <c r="R6" i="102"/>
  <c r="S7" i="102"/>
  <c r="T66" i="102"/>
  <c r="S8" i="102"/>
  <c r="Q8" i="102"/>
  <c r="L8" i="102"/>
  <c r="P11" i="102"/>
  <c r="I11" i="102"/>
  <c r="R24" i="102"/>
  <c r="J19" i="102"/>
  <c r="M9" i="102"/>
  <c r="Q9" i="102"/>
  <c r="L9" i="102"/>
  <c r="R20" i="102"/>
  <c r="M13" i="102"/>
  <c r="N13" i="102"/>
  <c r="F13" i="102"/>
  <c r="J13" i="102"/>
  <c r="N23" i="102"/>
  <c r="O23" i="102"/>
  <c r="Q23" i="102"/>
  <c r="L23" i="102"/>
  <c r="T54" i="102"/>
  <c r="R12" i="102"/>
  <c r="K7" i="102"/>
  <c r="O7" i="102"/>
  <c r="Q7" i="102"/>
  <c r="L7" i="102"/>
  <c r="R16" i="102"/>
  <c r="P17" i="102"/>
  <c r="K21" i="102"/>
  <c r="T69" i="102"/>
  <c r="C22" i="102"/>
  <c r="T46" i="102"/>
  <c r="K22" i="102"/>
  <c r="R22" i="102"/>
  <c r="I30" i="97"/>
  <c r="I33" i="97"/>
  <c r="H28" i="95"/>
  <c r="J30" i="97"/>
  <c r="G16" i="111"/>
  <c r="P10" i="111"/>
  <c r="E9" i="111"/>
  <c r="K7" i="113"/>
  <c r="I8" i="113"/>
  <c r="F16" i="113"/>
  <c r="D19" i="111"/>
  <c r="I23" i="113"/>
  <c r="D8" i="111"/>
  <c r="O9" i="113"/>
  <c r="Q11" i="113"/>
  <c r="S24" i="113"/>
  <c r="C25" i="113"/>
  <c r="P21" i="111"/>
  <c r="L10" i="111"/>
  <c r="F8" i="113"/>
  <c r="H18" i="111"/>
  <c r="I22" i="113"/>
  <c r="R21" i="113"/>
  <c r="N21" i="113"/>
  <c r="R16" i="113"/>
  <c r="S20" i="113"/>
  <c r="L8" i="111"/>
  <c r="G8" i="111"/>
  <c r="G14" i="111"/>
  <c r="G24" i="111"/>
  <c r="D20" i="111"/>
  <c r="D14" i="111"/>
  <c r="G16" i="113"/>
  <c r="N23" i="113"/>
  <c r="M21" i="111"/>
  <c r="P10" i="113"/>
  <c r="E9" i="113"/>
  <c r="J16" i="113"/>
  <c r="F10" i="113"/>
  <c r="F23" i="113"/>
  <c r="N9" i="113"/>
  <c r="O25" i="113"/>
  <c r="L17" i="111"/>
  <c r="D18" i="111"/>
  <c r="J15" i="113"/>
  <c r="F8" i="111"/>
  <c r="O12" i="113"/>
  <c r="F18" i="113"/>
  <c r="I22" i="111"/>
  <c r="P18" i="111"/>
  <c r="O16" i="113"/>
  <c r="K13" i="113"/>
  <c r="P13" i="111"/>
  <c r="E7" i="113"/>
  <c r="O23" i="113"/>
  <c r="D12" i="111"/>
  <c r="J9" i="113"/>
  <c r="I15" i="113"/>
  <c r="H7" i="111"/>
  <c r="M14" i="111"/>
  <c r="F6" i="113"/>
  <c r="M7" i="111"/>
  <c r="P15" i="111"/>
  <c r="M24" i="111"/>
  <c r="D25" i="111"/>
  <c r="O15" i="113"/>
  <c r="R22" i="113"/>
  <c r="Q21" i="113"/>
  <c r="I7" i="113"/>
  <c r="K19" i="113"/>
  <c r="S25" i="113"/>
  <c r="G21" i="111"/>
  <c r="R14" i="113"/>
  <c r="K23" i="113"/>
  <c r="Q19" i="113"/>
  <c r="S14" i="113"/>
  <c r="K15" i="113"/>
  <c r="G20" i="111"/>
  <c r="K11" i="113"/>
  <c r="O23" i="111"/>
  <c r="D12" i="113"/>
  <c r="I15" i="111"/>
  <c r="F6" i="111"/>
  <c r="M7" i="113"/>
  <c r="M24" i="113"/>
  <c r="O15" i="111"/>
  <c r="P18" i="113"/>
  <c r="K13" i="111"/>
  <c r="P13" i="113"/>
  <c r="D22" i="113"/>
  <c r="E25" i="113"/>
  <c r="M10" i="113"/>
  <c r="F12" i="111"/>
  <c r="K25" i="111"/>
  <c r="H16" i="113"/>
  <c r="R24" i="111"/>
  <c r="H8" i="113"/>
  <c r="P23" i="113"/>
  <c r="O14" i="111"/>
  <c r="E12" i="113"/>
  <c r="J21" i="111"/>
  <c r="Q13" i="111"/>
  <c r="E24" i="113"/>
  <c r="L25" i="113"/>
  <c r="G9" i="113"/>
  <c r="R22" i="111"/>
  <c r="K19" i="111"/>
  <c r="S25" i="111"/>
  <c r="R14" i="111"/>
  <c r="K23" i="111"/>
  <c r="I12" i="111"/>
  <c r="S14" i="111"/>
  <c r="K15" i="111"/>
  <c r="G21" i="113"/>
  <c r="G20" i="113"/>
  <c r="H10" i="113"/>
  <c r="R12" i="113"/>
  <c r="N13" i="113"/>
  <c r="E20" i="111"/>
  <c r="K8" i="113"/>
  <c r="F20" i="113"/>
  <c r="P25" i="111"/>
  <c r="Q22" i="113"/>
  <c r="O21" i="113"/>
  <c r="R8" i="113"/>
  <c r="H10" i="111"/>
  <c r="N23" i="111"/>
  <c r="M21" i="113"/>
  <c r="H7" i="113"/>
  <c r="F10" i="111"/>
  <c r="F23" i="111"/>
  <c r="N9" i="111"/>
  <c r="O25" i="111"/>
  <c r="L17" i="113"/>
  <c r="D18" i="113"/>
  <c r="P15" i="113"/>
  <c r="O12" i="111"/>
  <c r="F18" i="111"/>
  <c r="P12" i="113"/>
  <c r="N21" i="111"/>
  <c r="K7" i="111"/>
  <c r="I8" i="111"/>
  <c r="F16" i="111"/>
  <c r="D19" i="113"/>
  <c r="J16" i="111"/>
  <c r="I23" i="111"/>
  <c r="M15" i="113"/>
  <c r="D8" i="113"/>
  <c r="O9" i="111"/>
  <c r="M11" i="113"/>
  <c r="J15" i="111"/>
  <c r="Q20" i="111"/>
  <c r="L24" i="113"/>
  <c r="J11" i="111"/>
  <c r="Q11" i="111"/>
  <c r="S24" i="111"/>
  <c r="P21" i="113"/>
  <c r="D20" i="113"/>
  <c r="D14" i="113"/>
  <c r="H18" i="113"/>
  <c r="R21" i="111"/>
  <c r="R16" i="111"/>
  <c r="S20" i="111"/>
  <c r="L8" i="113"/>
  <c r="G8" i="113"/>
  <c r="G14" i="113"/>
  <c r="O16" i="111"/>
  <c r="G24" i="113"/>
  <c r="K17" i="111"/>
  <c r="E7" i="111"/>
  <c r="J9" i="111"/>
  <c r="M14" i="113"/>
  <c r="L10" i="113"/>
  <c r="K9" i="111"/>
  <c r="R25" i="111"/>
  <c r="O7" i="113"/>
  <c r="E15" i="111"/>
  <c r="K12" i="113"/>
  <c r="D23" i="111"/>
  <c r="M22" i="111"/>
  <c r="J10" i="113"/>
  <c r="F15" i="113"/>
  <c r="Q10" i="113"/>
  <c r="Q16" i="113"/>
  <c r="K21" i="113"/>
  <c r="S8" i="113"/>
  <c r="K16" i="113"/>
  <c r="G18" i="111"/>
  <c r="H21" i="111"/>
  <c r="P9" i="111"/>
  <c r="I12" i="113"/>
  <c r="R10" i="113"/>
  <c r="H24" i="111"/>
  <c r="S22" i="113"/>
  <c r="R9" i="113"/>
  <c r="H19" i="111"/>
  <c r="K24" i="113"/>
  <c r="P11" i="111"/>
  <c r="G23" i="111"/>
  <c r="G12" i="111"/>
  <c r="R13" i="113"/>
  <c r="G22" i="111"/>
  <c r="S13" i="113"/>
  <c r="N18" i="113"/>
  <c r="H20" i="111"/>
  <c r="J23" i="113"/>
  <c r="S23" i="113"/>
  <c r="R15" i="113"/>
  <c r="G11" i="111"/>
  <c r="F13" i="113"/>
  <c r="M23" i="111"/>
  <c r="M20" i="111"/>
  <c r="M8" i="111"/>
  <c r="D11" i="111"/>
  <c r="O10" i="113"/>
  <c r="O17" i="113"/>
  <c r="E23" i="111"/>
  <c r="E17" i="111"/>
  <c r="G7" i="111"/>
  <c r="M18" i="111"/>
  <c r="K25" i="113"/>
  <c r="H16" i="111"/>
  <c r="R12" i="111"/>
  <c r="N13" i="111"/>
  <c r="L9" i="111"/>
  <c r="R24" i="113"/>
  <c r="F25" i="111"/>
  <c r="D10" i="113"/>
  <c r="H8" i="111"/>
  <c r="R17" i="113"/>
  <c r="P23" i="111"/>
  <c r="S11" i="113"/>
  <c r="J22" i="111"/>
  <c r="E12" i="111"/>
  <c r="M6" i="113"/>
  <c r="S18" i="113"/>
  <c r="L13" i="113"/>
  <c r="R11" i="113"/>
  <c r="I20" i="111"/>
  <c r="J21" i="113"/>
  <c r="I14" i="111"/>
  <c r="E20" i="113"/>
  <c r="L18" i="113"/>
  <c r="K8" i="111"/>
  <c r="J25" i="113"/>
  <c r="G6" i="113"/>
  <c r="S15" i="111"/>
  <c r="N11" i="113"/>
  <c r="F20" i="111"/>
  <c r="G7" i="113"/>
  <c r="G15" i="111"/>
  <c r="Q22" i="111"/>
  <c r="O21" i="111"/>
  <c r="L12" i="111"/>
  <c r="R8" i="111"/>
  <c r="M25" i="111"/>
  <c r="G9" i="111"/>
  <c r="T69" i="113"/>
  <c r="T68" i="111"/>
  <c r="T72" i="113"/>
  <c r="K18" i="111"/>
  <c r="K21" i="111"/>
  <c r="S8" i="111"/>
  <c r="K16" i="111"/>
  <c r="G18" i="113"/>
  <c r="H21" i="113"/>
  <c r="P9" i="113"/>
  <c r="R10" i="111"/>
  <c r="H24" i="113"/>
  <c r="S22" i="111"/>
  <c r="R9" i="111"/>
  <c r="H19" i="113"/>
  <c r="K24" i="111"/>
  <c r="F25" i="113"/>
  <c r="D10" i="111"/>
  <c r="L13" i="111"/>
  <c r="I20" i="113"/>
  <c r="I14" i="113"/>
  <c r="L18" i="111"/>
  <c r="K22" i="113"/>
  <c r="O7" i="111"/>
  <c r="E15" i="113"/>
  <c r="S6" i="113"/>
  <c r="H12" i="111"/>
  <c r="O14" i="113"/>
  <c r="K12" i="111"/>
  <c r="D23" i="113"/>
  <c r="J20" i="113"/>
  <c r="P19" i="111"/>
  <c r="M22" i="113"/>
  <c r="J10" i="111"/>
  <c r="S7" i="113"/>
  <c r="P12" i="111"/>
  <c r="F15" i="111"/>
  <c r="P24" i="111"/>
  <c r="G25" i="111"/>
  <c r="Q10" i="111"/>
  <c r="Q13" i="113"/>
  <c r="E24" i="111"/>
  <c r="P25" i="113"/>
  <c r="Q16" i="111"/>
  <c r="P8" i="111"/>
  <c r="D22" i="111"/>
  <c r="E25" i="111"/>
  <c r="M10" i="111"/>
  <c r="L25" i="111"/>
  <c r="F12" i="113"/>
  <c r="J17" i="113"/>
  <c r="N18" i="111"/>
  <c r="P11" i="113"/>
  <c r="G23" i="113"/>
  <c r="M15" i="111"/>
  <c r="M11" i="111"/>
  <c r="G12" i="113"/>
  <c r="R13" i="111"/>
  <c r="G22" i="113"/>
  <c r="Q20" i="113"/>
  <c r="L24" i="111"/>
  <c r="J11" i="113"/>
  <c r="N6" i="113"/>
  <c r="S13" i="111"/>
  <c r="F13" i="111"/>
  <c r="M23" i="113"/>
  <c r="M20" i="113"/>
  <c r="M8" i="113"/>
  <c r="D11" i="113"/>
  <c r="O10" i="111"/>
  <c r="O17" i="111"/>
  <c r="E23" i="113"/>
  <c r="R25" i="113"/>
  <c r="K17" i="113"/>
  <c r="E17" i="113"/>
  <c r="M18" i="113"/>
  <c r="K18" i="113"/>
  <c r="H20" i="113"/>
  <c r="Q21" i="111"/>
  <c r="I7" i="111"/>
  <c r="J23" i="111"/>
  <c r="S23" i="111"/>
  <c r="R15" i="111"/>
  <c r="Q19" i="111"/>
  <c r="G11" i="113"/>
  <c r="K11" i="111"/>
  <c r="S74" i="102"/>
  <c r="S53" i="113"/>
  <c r="S74" i="113"/>
  <c r="T55" i="113"/>
  <c r="T72" i="111"/>
  <c r="R11" i="111"/>
  <c r="J25" i="111"/>
  <c r="G15" i="113"/>
  <c r="T68" i="113"/>
  <c r="J74" i="102"/>
  <c r="J53" i="113"/>
  <c r="J74" i="113"/>
  <c r="D24" i="113"/>
  <c r="H22" i="113"/>
  <c r="Q12" i="111"/>
  <c r="F9" i="111"/>
  <c r="I6" i="111"/>
  <c r="L74" i="102"/>
  <c r="L53" i="113"/>
  <c r="L74" i="113"/>
  <c r="N12" i="113"/>
  <c r="G10" i="111"/>
  <c r="O18" i="113"/>
  <c r="F7" i="113"/>
  <c r="F9" i="113"/>
  <c r="I6" i="113"/>
  <c r="T56" i="113"/>
  <c r="F74" i="102"/>
  <c r="F53" i="113"/>
  <c r="F74" i="113"/>
  <c r="P17" i="111"/>
  <c r="E14" i="113"/>
  <c r="L23" i="113"/>
  <c r="J13" i="111"/>
  <c r="R20" i="113"/>
  <c r="M9" i="113"/>
  <c r="J8" i="111"/>
  <c r="H6" i="111"/>
  <c r="H14" i="113"/>
  <c r="G10" i="113"/>
  <c r="O6" i="111"/>
  <c r="H9" i="111"/>
  <c r="J24" i="113"/>
  <c r="D17" i="113"/>
  <c r="M16" i="113"/>
  <c r="S12" i="113"/>
  <c r="I24" i="111"/>
  <c r="Q14" i="111"/>
  <c r="D6" i="113"/>
  <c r="D21" i="113"/>
  <c r="R6" i="113"/>
  <c r="P20" i="111"/>
  <c r="F21" i="111"/>
  <c r="Q6" i="111"/>
  <c r="M19" i="111"/>
  <c r="M17" i="111"/>
  <c r="F11" i="111"/>
  <c r="H17" i="111"/>
  <c r="I10" i="111"/>
  <c r="M12" i="113"/>
  <c r="S9" i="113"/>
  <c r="N6" i="111"/>
  <c r="G19" i="111"/>
  <c r="K6" i="113"/>
  <c r="L11" i="111"/>
  <c r="P16" i="111"/>
  <c r="T54" i="113"/>
  <c r="T62" i="113"/>
  <c r="T65" i="111"/>
  <c r="T66" i="111"/>
  <c r="T58" i="113"/>
  <c r="T63" i="111"/>
  <c r="T55" i="111"/>
  <c r="P74" i="102"/>
  <c r="P53" i="113"/>
  <c r="P74" i="113"/>
  <c r="T70" i="111"/>
  <c r="N17" i="111"/>
  <c r="M6" i="111"/>
  <c r="S18" i="111"/>
  <c r="N12" i="111"/>
  <c r="E11" i="111"/>
  <c r="N20" i="111"/>
  <c r="F7" i="111"/>
  <c r="R19" i="113"/>
  <c r="R74" i="102"/>
  <c r="R53" i="113"/>
  <c r="R74" i="113"/>
  <c r="K22" i="111"/>
  <c r="I16" i="113"/>
  <c r="J20" i="111"/>
  <c r="S12" i="111"/>
  <c r="N20" i="113"/>
  <c r="G25" i="113"/>
  <c r="M19" i="113"/>
  <c r="Q12" i="113"/>
  <c r="J17" i="111"/>
  <c r="T64" i="113"/>
  <c r="E74" i="102"/>
  <c r="E53" i="113"/>
  <c r="E74" i="113"/>
  <c r="P17" i="113"/>
  <c r="E14" i="111"/>
  <c r="L23" i="111"/>
  <c r="J13" i="113"/>
  <c r="R20" i="111"/>
  <c r="M9" i="111"/>
  <c r="K14" i="113"/>
  <c r="J8" i="113"/>
  <c r="H6" i="113"/>
  <c r="L21" i="113"/>
  <c r="E16" i="113"/>
  <c r="D7" i="113"/>
  <c r="O6" i="113"/>
  <c r="H9" i="113"/>
  <c r="J24" i="111"/>
  <c r="D17" i="111"/>
  <c r="M16" i="111"/>
  <c r="I24" i="113"/>
  <c r="Q14" i="113"/>
  <c r="D6" i="111"/>
  <c r="D21" i="111"/>
  <c r="R6" i="111"/>
  <c r="P20" i="113"/>
  <c r="N15" i="111"/>
  <c r="S16" i="113"/>
  <c r="F21" i="113"/>
  <c r="Q6" i="113"/>
  <c r="J18" i="113"/>
  <c r="F11" i="113"/>
  <c r="H17" i="113"/>
  <c r="I10" i="113"/>
  <c r="M12" i="111"/>
  <c r="D13" i="111"/>
  <c r="S9" i="111"/>
  <c r="F22" i="111"/>
  <c r="G19" i="113"/>
  <c r="L14" i="113"/>
  <c r="O13" i="111"/>
  <c r="L11" i="113"/>
  <c r="P16" i="113"/>
  <c r="T54" i="111"/>
  <c r="T62" i="111"/>
  <c r="T65" i="113"/>
  <c r="T66" i="113"/>
  <c r="T58" i="111"/>
  <c r="T63" i="113"/>
  <c r="G74" i="102"/>
  <c r="G53" i="113"/>
  <c r="G74" i="113"/>
  <c r="T61" i="113"/>
  <c r="L9" i="113"/>
  <c r="C13" i="113"/>
  <c r="S11" i="111"/>
  <c r="L12" i="113"/>
  <c r="T61" i="111"/>
  <c r="D74" i="102"/>
  <c r="D53" i="113"/>
  <c r="D74" i="113"/>
  <c r="I16" i="111"/>
  <c r="E10" i="113"/>
  <c r="E18" i="113"/>
  <c r="T67" i="111"/>
  <c r="K74" i="102"/>
  <c r="K53" i="113"/>
  <c r="K74" i="113"/>
  <c r="D24" i="111"/>
  <c r="H12" i="113"/>
  <c r="P19" i="113"/>
  <c r="S17" i="111"/>
  <c r="S7" i="111"/>
  <c r="H23" i="113"/>
  <c r="P8" i="113"/>
  <c r="S19" i="111"/>
  <c r="Q74" i="102"/>
  <c r="Q53" i="113"/>
  <c r="Q74" i="113"/>
  <c r="M74" i="102"/>
  <c r="M53" i="113"/>
  <c r="M74" i="113"/>
  <c r="H25" i="111"/>
  <c r="L7" i="111"/>
  <c r="Q23" i="111"/>
  <c r="J19" i="113"/>
  <c r="N24" i="111"/>
  <c r="K14" i="111"/>
  <c r="L6" i="111"/>
  <c r="L21" i="111"/>
  <c r="E16" i="111"/>
  <c r="D7" i="111"/>
  <c r="J12" i="111"/>
  <c r="E13" i="113"/>
  <c r="H15" i="111"/>
  <c r="N8" i="111"/>
  <c r="N16" i="111"/>
  <c r="E6" i="111"/>
  <c r="E19" i="113"/>
  <c r="R18" i="113"/>
  <c r="O24" i="111"/>
  <c r="I21" i="111"/>
  <c r="S10" i="113"/>
  <c r="L19" i="113"/>
  <c r="H11" i="111"/>
  <c r="N22" i="111"/>
  <c r="J14" i="113"/>
  <c r="N15" i="113"/>
  <c r="S16" i="111"/>
  <c r="G13" i="111"/>
  <c r="J18" i="111"/>
  <c r="O20" i="111"/>
  <c r="E8" i="111"/>
  <c r="L22" i="113"/>
  <c r="G17" i="111"/>
  <c r="R7" i="113"/>
  <c r="N10" i="111"/>
  <c r="R23" i="113"/>
  <c r="K20" i="113"/>
  <c r="Q24" i="111"/>
  <c r="F22" i="113"/>
  <c r="S21" i="113"/>
  <c r="D16" i="111"/>
  <c r="H13" i="111"/>
  <c r="L14" i="111"/>
  <c r="O13" i="113"/>
  <c r="N7" i="111"/>
  <c r="O8" i="111"/>
  <c r="T69" i="111"/>
  <c r="T73" i="111"/>
  <c r="T57" i="111"/>
  <c r="T67" i="113"/>
  <c r="T59" i="111"/>
  <c r="T71" i="111"/>
  <c r="T60" i="113"/>
  <c r="T60" i="111"/>
  <c r="O74" i="102"/>
  <c r="O53" i="113"/>
  <c r="O74" i="113"/>
  <c r="R17" i="111"/>
  <c r="T70" i="113"/>
  <c r="I25" i="111"/>
  <c r="N17" i="113"/>
  <c r="S17" i="113"/>
  <c r="O18" i="111"/>
  <c r="H23" i="111"/>
  <c r="S19" i="113"/>
  <c r="T56" i="111"/>
  <c r="T64" i="111"/>
  <c r="I74" i="102"/>
  <c r="I53" i="113"/>
  <c r="I74" i="113"/>
  <c r="S6" i="111"/>
  <c r="I25" i="113"/>
  <c r="E11" i="113"/>
  <c r="E18" i="111"/>
  <c r="P24" i="113"/>
  <c r="M17" i="113"/>
  <c r="K6" i="111"/>
  <c r="R19" i="111"/>
  <c r="N74" i="102"/>
  <c r="N53" i="113"/>
  <c r="N74" i="113"/>
  <c r="H74" i="102"/>
  <c r="H53" i="113"/>
  <c r="H74" i="113"/>
  <c r="C53" i="113"/>
  <c r="H25" i="113"/>
  <c r="L7" i="113"/>
  <c r="Q23" i="113"/>
  <c r="J19" i="111"/>
  <c r="N24" i="113"/>
  <c r="L6" i="113"/>
  <c r="C16" i="113"/>
  <c r="J22" i="113"/>
  <c r="J12" i="113"/>
  <c r="E13" i="111"/>
  <c r="H15" i="113"/>
  <c r="N8" i="113"/>
  <c r="N16" i="113"/>
  <c r="E6" i="113"/>
  <c r="E19" i="111"/>
  <c r="R18" i="111"/>
  <c r="O24" i="113"/>
  <c r="I21" i="113"/>
  <c r="S10" i="111"/>
  <c r="L19" i="111"/>
  <c r="H11" i="113"/>
  <c r="N22" i="113"/>
  <c r="J14" i="111"/>
  <c r="G6" i="111"/>
  <c r="P7" i="111"/>
  <c r="S15" i="113"/>
  <c r="N11" i="111"/>
  <c r="G13" i="113"/>
  <c r="P22" i="111"/>
  <c r="O20" i="113"/>
  <c r="E8" i="113"/>
  <c r="L22" i="111"/>
  <c r="G17" i="113"/>
  <c r="R7" i="111"/>
  <c r="N10" i="113"/>
  <c r="R23" i="111"/>
  <c r="K20" i="111"/>
  <c r="Q24" i="113"/>
  <c r="M25" i="113"/>
  <c r="S21" i="111"/>
  <c r="P14" i="111"/>
  <c r="H13" i="113"/>
  <c r="N7" i="113"/>
  <c r="O8" i="113"/>
  <c r="T73" i="113"/>
  <c r="T57" i="113"/>
  <c r="T59" i="113"/>
  <c r="T71" i="113"/>
  <c r="C10" i="113"/>
  <c r="T34" i="113"/>
  <c r="T31" i="111"/>
  <c r="C7" i="111"/>
  <c r="D29" i="113"/>
  <c r="C15" i="113"/>
  <c r="T39" i="113"/>
  <c r="T35" i="111"/>
  <c r="C11" i="111"/>
  <c r="T44" i="111"/>
  <c r="C20" i="111"/>
  <c r="T45" i="111"/>
  <c r="C21" i="111"/>
  <c r="T49" i="111"/>
  <c r="C25" i="111"/>
  <c r="C11" i="113"/>
  <c r="T35" i="113"/>
  <c r="C20" i="113"/>
  <c r="T44" i="113"/>
  <c r="T30" i="111"/>
  <c r="C6" i="111"/>
  <c r="C21" i="113"/>
  <c r="T45" i="113"/>
  <c r="T41" i="111"/>
  <c r="C17" i="111"/>
  <c r="T49" i="113"/>
  <c r="D25" i="113"/>
  <c r="P29" i="113"/>
  <c r="T34" i="111"/>
  <c r="C10" i="111"/>
  <c r="C23" i="113"/>
  <c r="T47" i="113"/>
  <c r="G29" i="113"/>
  <c r="H29" i="113"/>
  <c r="T36" i="111"/>
  <c r="C12" i="111"/>
  <c r="C9" i="113"/>
  <c r="T33" i="113"/>
  <c r="T30" i="113"/>
  <c r="C6" i="113"/>
  <c r="T37" i="113"/>
  <c r="D13" i="113"/>
  <c r="C17" i="113"/>
  <c r="T41" i="113"/>
  <c r="M29" i="113"/>
  <c r="L29" i="113"/>
  <c r="I29" i="113"/>
  <c r="C22" i="113"/>
  <c r="T46" i="113"/>
  <c r="T43" i="111"/>
  <c r="C19" i="111"/>
  <c r="T42" i="111"/>
  <c r="C18" i="111"/>
  <c r="T36" i="113"/>
  <c r="C12" i="113"/>
  <c r="T33" i="111"/>
  <c r="C9" i="111"/>
  <c r="C14" i="113"/>
  <c r="T38" i="113"/>
  <c r="T32" i="111"/>
  <c r="C8" i="111"/>
  <c r="T40" i="113"/>
  <c r="D16" i="113"/>
  <c r="F29" i="113"/>
  <c r="T37" i="111"/>
  <c r="C13" i="111"/>
  <c r="T47" i="111"/>
  <c r="C23" i="111"/>
  <c r="K29" i="113"/>
  <c r="J29" i="113"/>
  <c r="T38" i="111"/>
  <c r="C14" i="111"/>
  <c r="C29" i="113"/>
  <c r="S29" i="113"/>
  <c r="T40" i="111"/>
  <c r="C16" i="111"/>
  <c r="C18" i="113"/>
  <c r="T42" i="113"/>
  <c r="T48" i="111"/>
  <c r="C24" i="111"/>
  <c r="O29" i="113"/>
  <c r="T39" i="111"/>
  <c r="C15" i="111"/>
  <c r="Q29" i="113"/>
  <c r="C7" i="113"/>
  <c r="T31" i="113"/>
  <c r="N29" i="113"/>
  <c r="R29" i="113"/>
  <c r="T46" i="111"/>
  <c r="C22" i="111"/>
  <c r="C19" i="113"/>
  <c r="T43" i="113"/>
  <c r="C8" i="113"/>
  <c r="T32" i="113"/>
  <c r="E29" i="113"/>
  <c r="C24" i="113"/>
  <c r="T48" i="113"/>
  <c r="T16" i="102"/>
  <c r="T14" i="102"/>
  <c r="T15" i="102"/>
  <c r="F5" i="102"/>
  <c r="F50" i="102"/>
  <c r="O50" i="102"/>
  <c r="O5" i="102"/>
  <c r="T23" i="102"/>
  <c r="T18" i="102"/>
  <c r="T13" i="102"/>
  <c r="P50" i="102"/>
  <c r="P5" i="102"/>
  <c r="D50" i="102"/>
  <c r="D5" i="102"/>
  <c r="K5" i="102"/>
  <c r="K50" i="102"/>
  <c r="Q5" i="102"/>
  <c r="Q50" i="102"/>
  <c r="T21" i="102"/>
  <c r="T11" i="102"/>
  <c r="T7" i="102"/>
  <c r="T9" i="102"/>
  <c r="G5" i="102"/>
  <c r="G50" i="102"/>
  <c r="N5" i="102"/>
  <c r="N50" i="102"/>
  <c r="T8" i="102"/>
  <c r="T6" i="102"/>
  <c r="C5" i="102"/>
  <c r="T29" i="102"/>
  <c r="C50" i="102"/>
  <c r="T53" i="102"/>
  <c r="C74" i="102"/>
  <c r="T19" i="102"/>
  <c r="T25" i="102"/>
  <c r="T10" i="102"/>
  <c r="T20" i="102"/>
  <c r="H5" i="102"/>
  <c r="H50" i="102"/>
  <c r="J50" i="102"/>
  <c r="J5" i="102"/>
  <c r="R5" i="102"/>
  <c r="R50" i="102"/>
  <c r="T17" i="102"/>
  <c r="S5" i="102"/>
  <c r="S50" i="102"/>
  <c r="E5" i="102"/>
  <c r="E50" i="102"/>
  <c r="T12" i="102"/>
  <c r="T22" i="102"/>
  <c r="M50" i="102"/>
  <c r="M5" i="102"/>
  <c r="L50" i="102"/>
  <c r="L5" i="102"/>
  <c r="I50" i="102"/>
  <c r="I5" i="102"/>
  <c r="T24" i="102"/>
  <c r="N26" i="102"/>
  <c r="O16" i="149"/>
  <c r="E26" i="102"/>
  <c r="O7" i="149"/>
  <c r="G26" i="102"/>
  <c r="O9" i="149"/>
  <c r="K26" i="102"/>
  <c r="O13" i="149"/>
  <c r="O26" i="102"/>
  <c r="O17" i="149"/>
  <c r="L26" i="102"/>
  <c r="O14" i="149"/>
  <c r="H26" i="102"/>
  <c r="O10" i="149"/>
  <c r="D26" i="102"/>
  <c r="O6" i="149"/>
  <c r="J26" i="102"/>
  <c r="O12" i="149"/>
  <c r="I26" i="102"/>
  <c r="O11" i="149"/>
  <c r="P26" i="102"/>
  <c r="O18" i="149"/>
  <c r="Q26" i="102"/>
  <c r="O19" i="149"/>
  <c r="S26" i="102"/>
  <c r="O20" i="149"/>
  <c r="M26" i="102"/>
  <c r="O15" i="149"/>
  <c r="F26" i="102"/>
  <c r="O8" i="149"/>
  <c r="R26" i="102"/>
  <c r="O21" i="149"/>
  <c r="T15" i="111"/>
  <c r="T8" i="113"/>
  <c r="T6" i="111"/>
  <c r="T21" i="111"/>
  <c r="T24" i="111"/>
  <c r="T8" i="111"/>
  <c r="T25" i="113"/>
  <c r="T11" i="111"/>
  <c r="T7" i="111"/>
  <c r="T11" i="113"/>
  <c r="T18" i="111"/>
  <c r="T22" i="111"/>
  <c r="T14" i="111"/>
  <c r="T13" i="111"/>
  <c r="T19" i="111"/>
  <c r="T20" i="113"/>
  <c r="T74" i="102"/>
  <c r="T19" i="113"/>
  <c r="T18" i="113"/>
  <c r="T9" i="113"/>
  <c r="T16" i="111"/>
  <c r="T9" i="111"/>
  <c r="T12" i="111"/>
  <c r="T10" i="111"/>
  <c r="T10" i="113"/>
  <c r="T6" i="113"/>
  <c r="T20" i="111"/>
  <c r="T14" i="113"/>
  <c r="T17" i="111"/>
  <c r="T22" i="113"/>
  <c r="T17" i="113"/>
  <c r="T25" i="111"/>
  <c r="C74" i="113"/>
  <c r="T74" i="113"/>
  <c r="T53" i="113"/>
  <c r="T23" i="111"/>
  <c r="T7" i="113"/>
  <c r="T24" i="113"/>
  <c r="T23" i="113"/>
  <c r="T16" i="113"/>
  <c r="T12" i="113"/>
  <c r="T13" i="113"/>
  <c r="T21" i="113"/>
  <c r="T15" i="113"/>
  <c r="D5" i="113"/>
  <c r="D26" i="113"/>
  <c r="D50" i="113"/>
  <c r="Q50" i="113"/>
  <c r="Q5" i="113"/>
  <c r="Q26" i="113"/>
  <c r="I50" i="113"/>
  <c r="I5" i="113"/>
  <c r="I26" i="113"/>
  <c r="R5" i="113"/>
  <c r="R26" i="113"/>
  <c r="R50" i="113"/>
  <c r="S50" i="113"/>
  <c r="S5" i="113"/>
  <c r="S26" i="113"/>
  <c r="F50" i="113"/>
  <c r="F5" i="113"/>
  <c r="F26" i="113"/>
  <c r="L5" i="113"/>
  <c r="L26" i="113"/>
  <c r="L50" i="113"/>
  <c r="E5" i="113"/>
  <c r="E26" i="113"/>
  <c r="E50" i="113"/>
  <c r="J5" i="113"/>
  <c r="J26" i="113"/>
  <c r="J50" i="113"/>
  <c r="H5" i="113"/>
  <c r="H26" i="113"/>
  <c r="H50" i="113"/>
  <c r="K50" i="113"/>
  <c r="K5" i="113"/>
  <c r="K26" i="113"/>
  <c r="M50" i="113"/>
  <c r="M5" i="113"/>
  <c r="M26" i="113"/>
  <c r="G5" i="113"/>
  <c r="G26" i="113"/>
  <c r="G50" i="113"/>
  <c r="O5" i="113"/>
  <c r="O26" i="113"/>
  <c r="O50" i="113"/>
  <c r="P5" i="113"/>
  <c r="P26" i="113"/>
  <c r="P50" i="113"/>
  <c r="N50" i="113"/>
  <c r="N5" i="113"/>
  <c r="N26" i="113"/>
  <c r="C50" i="113"/>
  <c r="T29" i="113"/>
  <c r="C5" i="113"/>
  <c r="T50" i="102"/>
  <c r="T5" i="102"/>
  <c r="C26" i="102"/>
  <c r="O5" i="149"/>
  <c r="O25" i="149"/>
  <c r="O26" i="149"/>
  <c r="S6" i="149"/>
  <c r="S8" i="149"/>
  <c r="S10" i="149"/>
  <c r="S5" i="149"/>
  <c r="S15" i="149"/>
  <c r="S14" i="149"/>
  <c r="S19" i="149"/>
  <c r="S13" i="149"/>
  <c r="S18" i="149"/>
  <c r="S9" i="149"/>
  <c r="S20" i="149"/>
  <c r="S11" i="149"/>
  <c r="S7" i="149"/>
  <c r="S21" i="149"/>
  <c r="S17" i="149"/>
  <c r="S12" i="149"/>
  <c r="S16" i="149"/>
  <c r="T26" i="102"/>
  <c r="T5" i="113"/>
  <c r="C26" i="113"/>
  <c r="T50" i="113"/>
  <c r="S25" i="149"/>
  <c r="S26" i="149"/>
  <c r="T26" i="113"/>
  <c r="F32" i="81"/>
  <c r="F31" i="81"/>
  <c r="G30" i="81"/>
  <c r="G33" i="81"/>
  <c r="H32" i="81"/>
  <c r="H31" i="81"/>
  <c r="M23" i="103"/>
  <c r="H18" i="103"/>
  <c r="E8" i="103"/>
  <c r="D8" i="103"/>
  <c r="N23" i="103"/>
  <c r="J23" i="103"/>
  <c r="M15" i="103"/>
  <c r="P23" i="103"/>
  <c r="S12" i="103"/>
  <c r="D23" i="103"/>
  <c r="S13" i="103"/>
  <c r="K13" i="103"/>
  <c r="D18" i="103"/>
  <c r="Q13" i="103"/>
  <c r="O13" i="103"/>
  <c r="M18" i="103"/>
  <c r="M16" i="103"/>
  <c r="R15" i="103"/>
  <c r="D21" i="103"/>
  <c r="E18" i="103"/>
  <c r="F21" i="103"/>
  <c r="N16" i="103"/>
  <c r="O16" i="103"/>
  <c r="P18" i="103"/>
  <c r="I18" i="103"/>
  <c r="N13" i="103"/>
  <c r="Q16" i="103"/>
  <c r="R18" i="103"/>
  <c r="E15" i="103"/>
  <c r="D12" i="103"/>
  <c r="Q8" i="103"/>
  <c r="H13" i="103"/>
  <c r="H21" i="103"/>
  <c r="J21" i="103"/>
  <c r="L18" i="103"/>
  <c r="Q23" i="103"/>
  <c r="G12" i="103"/>
  <c r="J8" i="103"/>
  <c r="P13" i="103"/>
  <c r="O12" i="103"/>
  <c r="M12" i="103"/>
  <c r="E16" i="103"/>
  <c r="I16" i="103"/>
  <c r="Q15" i="103"/>
  <c r="J12" i="103"/>
  <c r="P8" i="103"/>
  <c r="T73" i="103"/>
  <c r="N18" i="103"/>
  <c r="P15" i="103"/>
  <c r="E12" i="103"/>
  <c r="L12" i="103"/>
  <c r="N21" i="103"/>
  <c r="G16" i="103"/>
  <c r="T78" i="103"/>
  <c r="J18" i="103"/>
  <c r="R23" i="103"/>
  <c r="I13" i="103"/>
  <c r="G8" i="103"/>
  <c r="P12" i="103"/>
  <c r="L15" i="103"/>
  <c r="E23" i="103"/>
  <c r="N8" i="103"/>
  <c r="I23" i="103"/>
  <c r="N15" i="103"/>
  <c r="T83" i="103"/>
  <c r="F12" i="103"/>
  <c r="R21" i="103"/>
  <c r="H16" i="103"/>
  <c r="T76" i="103"/>
  <c r="S16" i="103"/>
  <c r="G15" i="103"/>
  <c r="T75" i="103"/>
  <c r="C15" i="103"/>
  <c r="T45" i="103"/>
  <c r="P14" i="103"/>
  <c r="I14" i="103"/>
  <c r="I12" i="103"/>
  <c r="H12" i="103"/>
  <c r="F8" i="103"/>
  <c r="K8" i="103"/>
  <c r="L8" i="103"/>
  <c r="M13" i="103"/>
  <c r="P21" i="103"/>
  <c r="C21" i="103"/>
  <c r="T51" i="103"/>
  <c r="C16" i="103"/>
  <c r="T46" i="103"/>
  <c r="F15" i="103"/>
  <c r="O15" i="103"/>
  <c r="J15" i="103"/>
  <c r="D15" i="103"/>
  <c r="L23" i="103"/>
  <c r="G23" i="103"/>
  <c r="K23" i="103"/>
  <c r="C12" i="103"/>
  <c r="T42" i="103"/>
  <c r="C23" i="103"/>
  <c r="T53" i="103"/>
  <c r="K16" i="103"/>
  <c r="T81" i="103"/>
  <c r="O8" i="103"/>
  <c r="C13" i="103"/>
  <c r="T43" i="103"/>
  <c r="I21" i="103"/>
  <c r="G18" i="103"/>
  <c r="S23" i="103"/>
  <c r="N12" i="103"/>
  <c r="R12" i="103"/>
  <c r="M8" i="103"/>
  <c r="T68" i="103"/>
  <c r="F13" i="103"/>
  <c r="G13" i="103"/>
  <c r="J13" i="103"/>
  <c r="D13" i="103"/>
  <c r="E21" i="103"/>
  <c r="G21" i="103"/>
  <c r="K21" i="103"/>
  <c r="F16" i="103"/>
  <c r="D16" i="103"/>
  <c r="J16" i="103"/>
  <c r="F18" i="103"/>
  <c r="O18" i="103"/>
  <c r="S18" i="103"/>
  <c r="K15" i="103"/>
  <c r="H23" i="103"/>
  <c r="C8" i="103"/>
  <c r="T38" i="103"/>
  <c r="R8" i="103"/>
  <c r="Q18" i="103"/>
  <c r="K12" i="103"/>
  <c r="M21" i="103"/>
  <c r="F23" i="103"/>
  <c r="I8" i="103"/>
  <c r="S8" i="103"/>
  <c r="E13" i="103"/>
  <c r="R13" i="103"/>
  <c r="K18" i="103"/>
  <c r="O23" i="103"/>
  <c r="Q12" i="103"/>
  <c r="T72" i="103"/>
  <c r="H8" i="103"/>
  <c r="L13" i="103"/>
  <c r="Q21" i="103"/>
  <c r="L21" i="103"/>
  <c r="O21" i="103"/>
  <c r="S21" i="103"/>
  <c r="L16" i="103"/>
  <c r="P16" i="103"/>
  <c r="R16" i="103"/>
  <c r="C18" i="103"/>
  <c r="T48" i="103"/>
  <c r="I15" i="103"/>
  <c r="H15" i="103"/>
  <c r="S15" i="103"/>
  <c r="E22" i="103"/>
  <c r="Q28" i="103"/>
  <c r="Q10" i="103"/>
  <c r="M30" i="103"/>
  <c r="M27" i="103"/>
  <c r="R10" i="103"/>
  <c r="E26" i="103"/>
  <c r="H19" i="103"/>
  <c r="L26" i="103"/>
  <c r="Q20" i="103"/>
  <c r="F25" i="103"/>
  <c r="O14" i="103"/>
  <c r="G11" i="103"/>
  <c r="D11" i="103"/>
  <c r="E29" i="103"/>
  <c r="M20" i="103"/>
  <c r="L27" i="103"/>
  <c r="P27" i="103"/>
  <c r="E10" i="103"/>
  <c r="Q26" i="103"/>
  <c r="S9" i="103"/>
  <c r="I28" i="103"/>
  <c r="M28" i="103"/>
  <c r="E17" i="103"/>
  <c r="K29" i="103"/>
  <c r="F20" i="103"/>
  <c r="G26" i="103"/>
  <c r="E27" i="103"/>
  <c r="F17" i="103"/>
  <c r="G14" i="103"/>
  <c r="M22" i="103"/>
  <c r="H17" i="103"/>
  <c r="F24" i="103"/>
  <c r="E25" i="103"/>
  <c r="G10" i="103"/>
  <c r="H29" i="103"/>
  <c r="P19" i="103"/>
  <c r="N26" i="103"/>
  <c r="J17" i="103"/>
  <c r="T13" i="103"/>
  <c r="F28" i="103"/>
  <c r="E20" i="103"/>
  <c r="P20" i="103"/>
  <c r="T84" i="103"/>
  <c r="S24" i="103"/>
  <c r="P9" i="103"/>
  <c r="I17" i="103"/>
  <c r="M10" i="103"/>
  <c r="K22" i="103"/>
  <c r="K27" i="103"/>
  <c r="L20" i="103"/>
  <c r="F9" i="103"/>
  <c r="M19" i="103"/>
  <c r="E11" i="103"/>
  <c r="J25" i="103"/>
  <c r="Q29" i="103"/>
  <c r="J28" i="103"/>
  <c r="P25" i="103"/>
  <c r="P28" i="103"/>
  <c r="Q27" i="103"/>
  <c r="M14" i="103"/>
  <c r="L19" i="103"/>
  <c r="T8" i="103"/>
  <c r="O30" i="103"/>
  <c r="T16" i="103"/>
  <c r="S11" i="103"/>
  <c r="Q22" i="103"/>
  <c r="F22" i="103"/>
  <c r="J22" i="103"/>
  <c r="G25" i="103"/>
  <c r="K25" i="103"/>
  <c r="O17" i="103"/>
  <c r="S17" i="103"/>
  <c r="S19" i="103"/>
  <c r="D30" i="103"/>
  <c r="K10" i="103"/>
  <c r="P29" i="103"/>
  <c r="J29" i="103"/>
  <c r="G28" i="103"/>
  <c r="K28" i="103"/>
  <c r="I27" i="103"/>
  <c r="D27" i="103"/>
  <c r="R27" i="103"/>
  <c r="Q24" i="103"/>
  <c r="M24" i="103"/>
  <c r="Q14" i="103"/>
  <c r="P26" i="103"/>
  <c r="J26" i="103"/>
  <c r="Q9" i="103"/>
  <c r="O9" i="103"/>
  <c r="T70" i="103"/>
  <c r="Q11" i="103"/>
  <c r="J10" i="103"/>
  <c r="T18" i="103"/>
  <c r="N22" i="103"/>
  <c r="N29" i="103"/>
  <c r="I11" i="103"/>
  <c r="T71" i="103"/>
  <c r="T82" i="103"/>
  <c r="R22" i="103"/>
  <c r="Q25" i="103"/>
  <c r="H25" i="103"/>
  <c r="O25" i="103"/>
  <c r="S25" i="103"/>
  <c r="P17" i="103"/>
  <c r="P30" i="103"/>
  <c r="F10" i="103"/>
  <c r="O10" i="103"/>
  <c r="S10" i="103"/>
  <c r="I29" i="103"/>
  <c r="M29" i="103"/>
  <c r="R29" i="103"/>
  <c r="H28" i="103"/>
  <c r="O28" i="103"/>
  <c r="S28" i="103"/>
  <c r="J20" i="103"/>
  <c r="N27" i="103"/>
  <c r="F27" i="103"/>
  <c r="E24" i="103"/>
  <c r="T21" i="103"/>
  <c r="E14" i="103"/>
  <c r="R14" i="103"/>
  <c r="M26" i="103"/>
  <c r="R26" i="103"/>
  <c r="T23" i="103"/>
  <c r="L25" i="103"/>
  <c r="N17" i="103"/>
  <c r="P11" i="103"/>
  <c r="R11" i="103"/>
  <c r="P22" i="103"/>
  <c r="I22" i="103"/>
  <c r="D25" i="103"/>
  <c r="D19" i="103"/>
  <c r="J19" i="103"/>
  <c r="L30" i="103"/>
  <c r="F30" i="103"/>
  <c r="L29" i="103"/>
  <c r="T88" i="103"/>
  <c r="D20" i="103"/>
  <c r="R20" i="103"/>
  <c r="T12" i="103"/>
  <c r="N24" i="103"/>
  <c r="O24" i="103"/>
  <c r="K24" i="103"/>
  <c r="I26" i="103"/>
  <c r="T15" i="103"/>
  <c r="I9" i="103"/>
  <c r="H9" i="103"/>
  <c r="H11" i="103"/>
  <c r="D22" i="103"/>
  <c r="Q17" i="103"/>
  <c r="C19" i="103"/>
  <c r="T49" i="103"/>
  <c r="E30" i="103"/>
  <c r="L28" i="103"/>
  <c r="I20" i="103"/>
  <c r="T87" i="103"/>
  <c r="G24" i="103"/>
  <c r="T74" i="103"/>
  <c r="T86" i="103"/>
  <c r="C17" i="103"/>
  <c r="T47" i="103"/>
  <c r="T90" i="103"/>
  <c r="D14" i="103"/>
  <c r="M9" i="103"/>
  <c r="I19" i="103"/>
  <c r="T79" i="103"/>
  <c r="I30" i="103"/>
  <c r="O27" i="103"/>
  <c r="J14" i="103"/>
  <c r="F26" i="103"/>
  <c r="F11" i="103"/>
  <c r="O11" i="103"/>
  <c r="L11" i="103"/>
  <c r="H22" i="103"/>
  <c r="O22" i="103"/>
  <c r="S22" i="103"/>
  <c r="C25" i="103"/>
  <c r="T55" i="103"/>
  <c r="M25" i="103"/>
  <c r="R25" i="103"/>
  <c r="D17" i="103"/>
  <c r="N19" i="103"/>
  <c r="D10" i="103"/>
  <c r="T89" i="103"/>
  <c r="O29" i="103"/>
  <c r="S29" i="103"/>
  <c r="E28" i="103"/>
  <c r="D28" i="103"/>
  <c r="R28" i="103"/>
  <c r="N20" i="103"/>
  <c r="G20" i="103"/>
  <c r="K20" i="103"/>
  <c r="C27" i="103"/>
  <c r="T57" i="103"/>
  <c r="S27" i="103"/>
  <c r="I24" i="103"/>
  <c r="C14" i="103"/>
  <c r="T44" i="103"/>
  <c r="H26" i="103"/>
  <c r="O26" i="103"/>
  <c r="S26" i="103"/>
  <c r="C9" i="103"/>
  <c r="T39" i="103"/>
  <c r="D9" i="103"/>
  <c r="C11" i="103"/>
  <c r="T41" i="103"/>
  <c r="C20" i="103"/>
  <c r="T50" i="103"/>
  <c r="N11" i="103"/>
  <c r="T85" i="103"/>
  <c r="I25" i="103"/>
  <c r="R19" i="103"/>
  <c r="Q30" i="103"/>
  <c r="N10" i="103"/>
  <c r="H24" i="103"/>
  <c r="R9" i="103"/>
  <c r="G22" i="103"/>
  <c r="R17" i="103"/>
  <c r="F19" i="103"/>
  <c r="C26" i="103"/>
  <c r="T56" i="103"/>
  <c r="K26" i="103"/>
  <c r="J11" i="103"/>
  <c r="L22" i="103"/>
  <c r="T77" i="103"/>
  <c r="E19" i="103"/>
  <c r="G19" i="103"/>
  <c r="N30" i="103"/>
  <c r="C30" i="103"/>
  <c r="T60" i="103"/>
  <c r="G30" i="103"/>
  <c r="K30" i="103"/>
  <c r="I10" i="103"/>
  <c r="L10" i="103"/>
  <c r="D29" i="103"/>
  <c r="F29" i="103"/>
  <c r="C28" i="103"/>
  <c r="T58" i="103"/>
  <c r="O20" i="103"/>
  <c r="S20" i="103"/>
  <c r="H27" i="103"/>
  <c r="C24" i="103"/>
  <c r="T54" i="103"/>
  <c r="D24" i="103"/>
  <c r="J24" i="103"/>
  <c r="K14" i="103"/>
  <c r="T69" i="103"/>
  <c r="E9" i="103"/>
  <c r="J9" i="103"/>
  <c r="L9" i="103"/>
  <c r="J30" i="103"/>
  <c r="N25" i="103"/>
  <c r="R30" i="103"/>
  <c r="H10" i="103"/>
  <c r="G27" i="103"/>
  <c r="C22" i="103"/>
  <c r="T52" i="103"/>
  <c r="M17" i="103"/>
  <c r="P10" i="103"/>
  <c r="G29" i="103"/>
  <c r="F14" i="103"/>
  <c r="L14" i="103"/>
  <c r="M11" i="103"/>
  <c r="K11" i="103"/>
  <c r="L17" i="103"/>
  <c r="G17" i="103"/>
  <c r="K17" i="103"/>
  <c r="Q19" i="103"/>
  <c r="O19" i="103"/>
  <c r="K19" i="103"/>
  <c r="H30" i="103"/>
  <c r="S30" i="103"/>
  <c r="C10" i="103"/>
  <c r="T40" i="103"/>
  <c r="C29" i="103"/>
  <c r="T59" i="103"/>
  <c r="N28" i="103"/>
  <c r="H20" i="103"/>
  <c r="T80" i="103"/>
  <c r="J27" i="103"/>
  <c r="L24" i="103"/>
  <c r="P24" i="103"/>
  <c r="R24" i="103"/>
  <c r="N14" i="103"/>
  <c r="H14" i="103"/>
  <c r="S14" i="103"/>
  <c r="D26" i="103"/>
  <c r="N9" i="103"/>
  <c r="G9" i="103"/>
  <c r="K9" i="103"/>
  <c r="J32" i="81"/>
  <c r="F30" i="81"/>
  <c r="F33" i="81"/>
  <c r="F34" i="81"/>
  <c r="E30" i="81"/>
  <c r="E33" i="81"/>
  <c r="D30" i="81"/>
  <c r="D33" i="81"/>
  <c r="I3" i="81"/>
  <c r="I30" i="81"/>
  <c r="I32" i="81"/>
  <c r="M23" i="149"/>
  <c r="T10" i="103"/>
  <c r="T26" i="103"/>
  <c r="T14" i="103"/>
  <c r="T28" i="103"/>
  <c r="T30" i="103"/>
  <c r="T9" i="103"/>
  <c r="T22" i="103"/>
  <c r="T19" i="103"/>
  <c r="T27" i="103"/>
  <c r="T25" i="103"/>
  <c r="T29" i="103"/>
  <c r="T24" i="103"/>
  <c r="T17" i="103"/>
  <c r="T20" i="103"/>
  <c r="T11" i="103"/>
  <c r="J31" i="81"/>
  <c r="H30" i="81"/>
  <c r="I31" i="81"/>
  <c r="I33" i="81"/>
  <c r="M22" i="149"/>
  <c r="M64" i="103"/>
  <c r="M53" i="110"/>
  <c r="E64" i="103"/>
  <c r="E53" i="110"/>
  <c r="P34" i="103"/>
  <c r="P29" i="110"/>
  <c r="H34" i="103"/>
  <c r="H29" i="110"/>
  <c r="M34" i="103"/>
  <c r="M29" i="110"/>
  <c r="E34" i="103"/>
  <c r="E29" i="110"/>
  <c r="C64" i="103"/>
  <c r="C53" i="110"/>
  <c r="L34" i="103"/>
  <c r="L29" i="110"/>
  <c r="H64" i="103"/>
  <c r="H53" i="110"/>
  <c r="K34" i="103"/>
  <c r="K29" i="110"/>
  <c r="J34" i="103"/>
  <c r="J29" i="110"/>
  <c r="L64" i="103"/>
  <c r="L53" i="110"/>
  <c r="D64" i="103"/>
  <c r="D53" i="110"/>
  <c r="O34" i="103"/>
  <c r="O29" i="110"/>
  <c r="G34" i="103"/>
  <c r="G29" i="110"/>
  <c r="R34" i="103"/>
  <c r="R29" i="110"/>
  <c r="F64" i="103"/>
  <c r="F53" i="110"/>
  <c r="Q34" i="103"/>
  <c r="Q29" i="110"/>
  <c r="S64" i="103"/>
  <c r="S53" i="110"/>
  <c r="K64" i="103"/>
  <c r="K53" i="110"/>
  <c r="N34" i="103"/>
  <c r="N29" i="110"/>
  <c r="F34" i="103"/>
  <c r="F29" i="110"/>
  <c r="Q64" i="103"/>
  <c r="Q53" i="110"/>
  <c r="D34" i="103"/>
  <c r="D29" i="110"/>
  <c r="P64" i="103"/>
  <c r="P53" i="110"/>
  <c r="G64" i="103"/>
  <c r="G53" i="110"/>
  <c r="N64" i="103"/>
  <c r="N53" i="110"/>
  <c r="I34" i="103"/>
  <c r="I29" i="110"/>
  <c r="C34" i="103"/>
  <c r="C29" i="110"/>
  <c r="R64" i="103"/>
  <c r="R53" i="110"/>
  <c r="J64" i="103"/>
  <c r="J53" i="110"/>
  <c r="I64" i="103"/>
  <c r="I53" i="110"/>
  <c r="S34" i="103"/>
  <c r="S29" i="110"/>
  <c r="O64" i="103"/>
  <c r="O53" i="110"/>
  <c r="N23" i="149"/>
  <c r="P23" i="149"/>
  <c r="T34" i="103"/>
  <c r="Q4" i="103"/>
  <c r="M4" i="103"/>
  <c r="H33" i="81"/>
  <c r="P4" i="103"/>
  <c r="L4" i="103"/>
  <c r="G4" i="103"/>
  <c r="J4" i="103"/>
  <c r="F50" i="110"/>
  <c r="F5" i="110"/>
  <c r="F26" i="110"/>
  <c r="M8" i="149"/>
  <c r="F29" i="111"/>
  <c r="E50" i="110"/>
  <c r="E5" i="110"/>
  <c r="E26" i="110"/>
  <c r="M7" i="149"/>
  <c r="E29" i="111"/>
  <c r="N5" i="110"/>
  <c r="N26" i="110"/>
  <c r="M16" i="149"/>
  <c r="N50" i="110"/>
  <c r="N29" i="111"/>
  <c r="M5" i="110"/>
  <c r="M26" i="110"/>
  <c r="M15" i="149"/>
  <c r="M50" i="110"/>
  <c r="M29" i="111"/>
  <c r="O4" i="103"/>
  <c r="I50" i="110"/>
  <c r="I5" i="110"/>
  <c r="I26" i="110"/>
  <c r="M11" i="149"/>
  <c r="I29" i="111"/>
  <c r="K74" i="110"/>
  <c r="K53" i="111"/>
  <c r="K74" i="111"/>
  <c r="L74" i="110"/>
  <c r="L53" i="111"/>
  <c r="L74" i="111"/>
  <c r="H5" i="110"/>
  <c r="H26" i="110"/>
  <c r="M10" i="149"/>
  <c r="H50" i="110"/>
  <c r="H29" i="111"/>
  <c r="R4" i="103"/>
  <c r="T64" i="103"/>
  <c r="N74" i="110"/>
  <c r="N53" i="111"/>
  <c r="N74" i="111"/>
  <c r="S74" i="110"/>
  <c r="S53" i="111"/>
  <c r="S74" i="111"/>
  <c r="J5" i="110"/>
  <c r="J26" i="110"/>
  <c r="M12" i="149"/>
  <c r="J50" i="110"/>
  <c r="J29" i="111"/>
  <c r="P5" i="110"/>
  <c r="P26" i="110"/>
  <c r="M18" i="149"/>
  <c r="P50" i="110"/>
  <c r="P29" i="111"/>
  <c r="H4" i="103"/>
  <c r="K4" i="103"/>
  <c r="O74" i="110"/>
  <c r="O53" i="111"/>
  <c r="O74" i="111"/>
  <c r="G74" i="110"/>
  <c r="G53" i="111"/>
  <c r="G74" i="111"/>
  <c r="Q5" i="110"/>
  <c r="Q26" i="110"/>
  <c r="M19" i="149"/>
  <c r="Q50" i="110"/>
  <c r="Q29" i="111"/>
  <c r="K5" i="110"/>
  <c r="K26" i="110"/>
  <c r="M13" i="149"/>
  <c r="K50" i="110"/>
  <c r="K29" i="111"/>
  <c r="E74" i="110"/>
  <c r="E53" i="111"/>
  <c r="E74" i="111"/>
  <c r="R74" i="110"/>
  <c r="R53" i="111"/>
  <c r="R74" i="111"/>
  <c r="O50" i="110"/>
  <c r="O5" i="110"/>
  <c r="O26" i="110"/>
  <c r="M17" i="149"/>
  <c r="O29" i="111"/>
  <c r="C5" i="110"/>
  <c r="C50" i="110"/>
  <c r="D50" i="110"/>
  <c r="G50" i="110"/>
  <c r="L50" i="110"/>
  <c r="R50" i="110"/>
  <c r="S50" i="110"/>
  <c r="T50" i="110"/>
  <c r="C29" i="111"/>
  <c r="D74" i="110"/>
  <c r="D53" i="111"/>
  <c r="D74" i="111"/>
  <c r="F4" i="103"/>
  <c r="D4" i="103"/>
  <c r="S5" i="110"/>
  <c r="S26" i="110"/>
  <c r="M20" i="149"/>
  <c r="S29" i="111"/>
  <c r="P74" i="110"/>
  <c r="P53" i="111"/>
  <c r="P74" i="111"/>
  <c r="F74" i="110"/>
  <c r="F53" i="111"/>
  <c r="F74" i="111"/>
  <c r="H74" i="110"/>
  <c r="H53" i="111"/>
  <c r="H74" i="111"/>
  <c r="M74" i="110"/>
  <c r="M53" i="111"/>
  <c r="M74" i="111"/>
  <c r="I4" i="103"/>
  <c r="E4" i="103"/>
  <c r="E61" i="103"/>
  <c r="I74" i="110"/>
  <c r="I53" i="111"/>
  <c r="I74" i="111"/>
  <c r="D5" i="110"/>
  <c r="D26" i="110"/>
  <c r="M6" i="149"/>
  <c r="D29" i="111"/>
  <c r="T29" i="110"/>
  <c r="R5" i="110"/>
  <c r="R26" i="110"/>
  <c r="M21" i="149"/>
  <c r="R29" i="111"/>
  <c r="L5" i="110"/>
  <c r="L26" i="110"/>
  <c r="M14" i="149"/>
  <c r="L29" i="111"/>
  <c r="N22" i="149"/>
  <c r="P22" i="149"/>
  <c r="N4" i="103"/>
  <c r="S4" i="103"/>
  <c r="J74" i="110"/>
  <c r="J53" i="111"/>
  <c r="J74" i="111"/>
  <c r="Q74" i="110"/>
  <c r="Q53" i="111"/>
  <c r="Q74" i="111"/>
  <c r="G5" i="110"/>
  <c r="G26" i="110"/>
  <c r="M9" i="149"/>
  <c r="G29" i="111"/>
  <c r="T53" i="110"/>
  <c r="T74" i="110"/>
  <c r="C74" i="110"/>
  <c r="C53" i="111"/>
  <c r="H6" i="103"/>
  <c r="N91" i="103"/>
  <c r="J7" i="103"/>
  <c r="S5" i="103"/>
  <c r="M6" i="103"/>
  <c r="O5" i="103"/>
  <c r="O6" i="103"/>
  <c r="F91" i="103"/>
  <c r="K61" i="103"/>
  <c r="G61" i="103"/>
  <c r="G7" i="103"/>
  <c r="N61" i="103"/>
  <c r="O91" i="103"/>
  <c r="L61" i="103"/>
  <c r="P5" i="103"/>
  <c r="M5" i="103"/>
  <c r="D91" i="103"/>
  <c r="E91" i="103"/>
  <c r="I91" i="103"/>
  <c r="H7" i="103"/>
  <c r="S7" i="103"/>
  <c r="I5" i="103"/>
  <c r="G91" i="103"/>
  <c r="M91" i="103"/>
  <c r="H5" i="103"/>
  <c r="S91" i="103"/>
  <c r="Q6" i="103"/>
  <c r="R6" i="103"/>
  <c r="P91" i="103"/>
  <c r="Q7" i="103"/>
  <c r="K7" i="103"/>
  <c r="H91" i="103"/>
  <c r="K6" i="103"/>
  <c r="R91" i="103"/>
  <c r="Q91" i="103"/>
  <c r="M7" i="103"/>
  <c r="J91" i="103"/>
  <c r="M61" i="103"/>
  <c r="J61" i="103"/>
  <c r="L91" i="103"/>
  <c r="K91" i="103"/>
  <c r="F5" i="103"/>
  <c r="G5" i="103"/>
  <c r="C91" i="103"/>
  <c r="D61" i="103"/>
  <c r="D7" i="103"/>
  <c r="H61" i="103"/>
  <c r="F61" i="103"/>
  <c r="Q61" i="103"/>
  <c r="P61" i="103"/>
  <c r="G6" i="103"/>
  <c r="I7" i="103"/>
  <c r="O61" i="103"/>
  <c r="R5" i="103"/>
  <c r="S6" i="103"/>
  <c r="N7" i="103"/>
  <c r="I61" i="103"/>
  <c r="R61" i="103"/>
  <c r="S61" i="103"/>
  <c r="Q5" i="103"/>
  <c r="N6" i="103"/>
  <c r="I6" i="103"/>
  <c r="C6" i="103"/>
  <c r="T36" i="103"/>
  <c r="D6" i="103"/>
  <c r="P7" i="103"/>
  <c r="J6" i="103"/>
  <c r="L6" i="103"/>
  <c r="T65" i="103"/>
  <c r="D5" i="103"/>
  <c r="F6" i="103"/>
  <c r="T66" i="103"/>
  <c r="E6" i="103"/>
  <c r="E7" i="103"/>
  <c r="C5" i="103"/>
  <c r="T35" i="103"/>
  <c r="J5" i="103"/>
  <c r="N5" i="103"/>
  <c r="L5" i="103"/>
  <c r="F7" i="103"/>
  <c r="O7" i="103"/>
  <c r="L7" i="103"/>
  <c r="E5" i="103"/>
  <c r="R7" i="103"/>
  <c r="C7" i="103"/>
  <c r="T37" i="103"/>
  <c r="K5" i="103"/>
  <c r="P6" i="103"/>
  <c r="T67" i="103"/>
  <c r="J33" i="81"/>
  <c r="I5" i="111"/>
  <c r="I26" i="111"/>
  <c r="I50" i="111"/>
  <c r="L5" i="111"/>
  <c r="L26" i="111"/>
  <c r="L50" i="111"/>
  <c r="P11" i="149"/>
  <c r="P20" i="149"/>
  <c r="T53" i="111"/>
  <c r="T74" i="111"/>
  <c r="C74" i="111"/>
  <c r="P10" i="149"/>
  <c r="P7" i="149"/>
  <c r="R5" i="111"/>
  <c r="R26" i="111"/>
  <c r="Q21" i="149"/>
  <c r="R50" i="111"/>
  <c r="Q5" i="111"/>
  <c r="Q26" i="111"/>
  <c r="Q50" i="111"/>
  <c r="M5" i="111"/>
  <c r="M26" i="111"/>
  <c r="M50" i="111"/>
  <c r="P9" i="149"/>
  <c r="D50" i="111"/>
  <c r="D5" i="111"/>
  <c r="D26" i="111"/>
  <c r="S5" i="111"/>
  <c r="S26" i="111"/>
  <c r="Q20" i="149"/>
  <c r="S50" i="111"/>
  <c r="P16" i="149"/>
  <c r="P12" i="149"/>
  <c r="E5" i="111"/>
  <c r="E26" i="111"/>
  <c r="E50" i="111"/>
  <c r="P17" i="149"/>
  <c r="P21" i="149"/>
  <c r="F5" i="111"/>
  <c r="F26" i="111"/>
  <c r="F50" i="111"/>
  <c r="G50" i="111"/>
  <c r="G5" i="111"/>
  <c r="G26" i="111"/>
  <c r="P19" i="149"/>
  <c r="P15" i="149"/>
  <c r="P8" i="149"/>
  <c r="J5" i="111"/>
  <c r="J26" i="111"/>
  <c r="J50" i="111"/>
  <c r="P6" i="149"/>
  <c r="T5" i="110"/>
  <c r="C26" i="110"/>
  <c r="K50" i="111"/>
  <c r="K5" i="111"/>
  <c r="K26" i="111"/>
  <c r="H50" i="111"/>
  <c r="H5" i="111"/>
  <c r="H26" i="111"/>
  <c r="P14" i="149"/>
  <c r="O5" i="111"/>
  <c r="O26" i="111"/>
  <c r="O50" i="111"/>
  <c r="P13" i="149"/>
  <c r="P50" i="111"/>
  <c r="P5" i="111"/>
  <c r="P26" i="111"/>
  <c r="T29" i="111"/>
  <c r="T50" i="111"/>
  <c r="C5" i="111"/>
  <c r="C50" i="111"/>
  <c r="P18" i="149"/>
  <c r="N5" i="111"/>
  <c r="N26" i="111"/>
  <c r="N50" i="111"/>
  <c r="O31" i="103"/>
  <c r="G31" i="103"/>
  <c r="D31" i="103"/>
  <c r="H31" i="103"/>
  <c r="J31" i="103"/>
  <c r="Q31" i="103"/>
  <c r="M31" i="103"/>
  <c r="N31" i="103"/>
  <c r="S31" i="103"/>
  <c r="T91" i="103"/>
  <c r="I31" i="103"/>
  <c r="L31" i="103"/>
  <c r="F31" i="103"/>
  <c r="R31" i="103"/>
  <c r="T7" i="103"/>
  <c r="P31" i="103"/>
  <c r="E31" i="103"/>
  <c r="K31" i="103"/>
  <c r="T5" i="103"/>
  <c r="T6" i="103"/>
  <c r="Q25" i="149"/>
  <c r="Q26" i="149"/>
  <c r="T26" i="110"/>
  <c r="M5" i="149"/>
  <c r="T5" i="111"/>
  <c r="C26" i="111"/>
  <c r="T26" i="111"/>
  <c r="I26" i="76"/>
  <c r="I25" i="76"/>
  <c r="I4" i="76"/>
  <c r="I5" i="76"/>
  <c r="I6" i="76"/>
  <c r="I7" i="76"/>
  <c r="I8" i="76"/>
  <c r="I9" i="76"/>
  <c r="I10" i="76"/>
  <c r="I11" i="76"/>
  <c r="I12" i="76"/>
  <c r="I13" i="76"/>
  <c r="I14" i="76"/>
  <c r="I15" i="76"/>
  <c r="I16" i="76"/>
  <c r="I17" i="76"/>
  <c r="I18" i="76"/>
  <c r="I19" i="76"/>
  <c r="I20" i="76"/>
  <c r="I21" i="76"/>
  <c r="I22" i="76"/>
  <c r="I23" i="76"/>
  <c r="I3" i="76"/>
  <c r="M25" i="149"/>
  <c r="M26" i="149"/>
  <c r="P5" i="149"/>
  <c r="D24" i="76"/>
  <c r="D27" i="76"/>
  <c r="C24" i="76"/>
  <c r="C27" i="76"/>
  <c r="B24" i="76"/>
  <c r="B27" i="76"/>
  <c r="S20" i="74"/>
  <c r="K20" i="74"/>
  <c r="P25" i="149"/>
  <c r="P26" i="149"/>
  <c r="A36" i="76"/>
  <c r="J25" i="76"/>
  <c r="J26" i="76"/>
  <c r="P20" i="74"/>
  <c r="F20" i="74"/>
  <c r="N20" i="74"/>
  <c r="H20" i="74"/>
  <c r="V20" i="74"/>
  <c r="C20" i="74"/>
  <c r="G20" i="74"/>
  <c r="Q20" i="74"/>
  <c r="I20" i="74"/>
  <c r="T20" i="74"/>
  <c r="L20" i="74"/>
  <c r="U20" i="74"/>
  <c r="M20" i="74"/>
  <c r="O20" i="74"/>
  <c r="J20" i="74"/>
  <c r="D20" i="74"/>
  <c r="R20" i="74"/>
  <c r="E20" i="74"/>
  <c r="B24" i="50"/>
  <c r="B36" i="50"/>
  <c r="E27" i="76"/>
  <c r="F20" i="75"/>
  <c r="V20" i="75"/>
  <c r="N20" i="75"/>
  <c r="R20" i="75"/>
  <c r="M20" i="75"/>
  <c r="U20" i="75"/>
  <c r="S20" i="75"/>
  <c r="K20" i="75"/>
  <c r="E20" i="75"/>
  <c r="J20" i="75"/>
  <c r="Q20" i="75"/>
  <c r="L20" i="75"/>
  <c r="C20" i="75"/>
  <c r="D20" i="75"/>
  <c r="T20" i="75"/>
  <c r="G20" i="75"/>
  <c r="H20" i="75"/>
  <c r="P20" i="75"/>
  <c r="I20" i="75"/>
  <c r="O20" i="75"/>
  <c r="U20" i="48"/>
  <c r="I20" i="48"/>
  <c r="E20" i="48"/>
  <c r="N20" i="48"/>
  <c r="Q20" i="48"/>
  <c r="M20" i="48"/>
  <c r="K20" i="48"/>
  <c r="H20" i="48"/>
  <c r="T20" i="48"/>
  <c r="O20" i="48"/>
  <c r="F20" i="48"/>
  <c r="R20" i="48"/>
  <c r="S20" i="48"/>
  <c r="G20" i="48"/>
  <c r="L20" i="48"/>
  <c r="V20" i="48"/>
  <c r="J20" i="48"/>
  <c r="P20" i="48"/>
  <c r="D20" i="48"/>
  <c r="C20" i="48"/>
  <c r="B20" i="74"/>
  <c r="B20" i="75"/>
  <c r="B20" i="48"/>
  <c r="V40" i="51"/>
  <c r="V19" i="51"/>
  <c r="U40" i="51"/>
  <c r="U19" i="51"/>
  <c r="T40" i="51"/>
  <c r="T19" i="51"/>
  <c r="S40" i="51"/>
  <c r="S18" i="51"/>
  <c r="R40" i="51"/>
  <c r="R19" i="51"/>
  <c r="Q40" i="51"/>
  <c r="P40" i="51"/>
  <c r="O40" i="51"/>
  <c r="N40" i="51"/>
  <c r="N19" i="51"/>
  <c r="M40" i="51"/>
  <c r="M19" i="51"/>
  <c r="L40" i="51"/>
  <c r="L11" i="51"/>
  <c r="K40" i="51"/>
  <c r="K18" i="51"/>
  <c r="J40" i="51"/>
  <c r="J17" i="51"/>
  <c r="I40" i="51"/>
  <c r="H40" i="51"/>
  <c r="G40" i="51"/>
  <c r="F40" i="51"/>
  <c r="F19" i="51"/>
  <c r="E40" i="51"/>
  <c r="E19" i="51"/>
  <c r="D40" i="51"/>
  <c r="D19" i="51"/>
  <c r="C40" i="51"/>
  <c r="C18" i="51"/>
  <c r="B37" i="51"/>
  <c r="B24" i="51"/>
  <c r="Q19" i="51"/>
  <c r="P19" i="51"/>
  <c r="O19" i="51"/>
  <c r="I19" i="51"/>
  <c r="H19" i="51"/>
  <c r="G19" i="51"/>
  <c r="V18" i="51"/>
  <c r="U18" i="51"/>
  <c r="T18" i="51"/>
  <c r="Q18" i="51"/>
  <c r="P18" i="51"/>
  <c r="O18" i="51"/>
  <c r="N18" i="51"/>
  <c r="M18" i="51"/>
  <c r="L18" i="51"/>
  <c r="I18" i="51"/>
  <c r="H18" i="51"/>
  <c r="G18" i="51"/>
  <c r="F18" i="51"/>
  <c r="E18" i="51"/>
  <c r="D18" i="51"/>
  <c r="Q17" i="51"/>
  <c r="P17" i="51"/>
  <c r="O17" i="51"/>
  <c r="I17" i="51"/>
  <c r="H17" i="51"/>
  <c r="G17" i="51"/>
  <c r="V16" i="51"/>
  <c r="U16" i="51"/>
  <c r="T16" i="51"/>
  <c r="Q16" i="51"/>
  <c r="P16" i="51"/>
  <c r="O16" i="51"/>
  <c r="N16" i="51"/>
  <c r="M16" i="51"/>
  <c r="L16" i="51"/>
  <c r="I16" i="51"/>
  <c r="H16" i="51"/>
  <c r="G16" i="51"/>
  <c r="F16" i="51"/>
  <c r="E16" i="51"/>
  <c r="D16" i="51"/>
  <c r="Q15" i="51"/>
  <c r="P15" i="51"/>
  <c r="O15" i="51"/>
  <c r="I15" i="51"/>
  <c r="H15" i="51"/>
  <c r="G15" i="51"/>
  <c r="V14" i="51"/>
  <c r="U14" i="51"/>
  <c r="T14" i="51"/>
  <c r="Q14" i="51"/>
  <c r="P14" i="51"/>
  <c r="O14" i="51"/>
  <c r="N14" i="51"/>
  <c r="M14" i="51"/>
  <c r="L14" i="51"/>
  <c r="I14" i="51"/>
  <c r="H14" i="51"/>
  <c r="G14" i="51"/>
  <c r="F14" i="51"/>
  <c r="E14" i="51"/>
  <c r="D14" i="51"/>
  <c r="Q13" i="51"/>
  <c r="P13" i="51"/>
  <c r="O13" i="51"/>
  <c r="I13" i="51"/>
  <c r="H13" i="51"/>
  <c r="G13" i="51"/>
  <c r="V12" i="51"/>
  <c r="U12" i="51"/>
  <c r="T12" i="51"/>
  <c r="Q12" i="51"/>
  <c r="P12" i="51"/>
  <c r="O12" i="51"/>
  <c r="N12" i="51"/>
  <c r="M12" i="51"/>
  <c r="L12" i="51"/>
  <c r="I12" i="51"/>
  <c r="H12" i="51"/>
  <c r="G12" i="51"/>
  <c r="F12" i="51"/>
  <c r="E12" i="51"/>
  <c r="D12" i="51"/>
  <c r="Q11" i="51"/>
  <c r="P11" i="51"/>
  <c r="O11" i="51"/>
  <c r="I11" i="51"/>
  <c r="H11" i="51"/>
  <c r="G11" i="51"/>
  <c r="V10" i="51"/>
  <c r="U10" i="51"/>
  <c r="T10" i="51"/>
  <c r="Q10" i="51"/>
  <c r="P10" i="51"/>
  <c r="O10" i="51"/>
  <c r="N10" i="51"/>
  <c r="M10" i="51"/>
  <c r="L10" i="51"/>
  <c r="I10" i="51"/>
  <c r="H10" i="51"/>
  <c r="G10" i="51"/>
  <c r="F10" i="51"/>
  <c r="E10" i="51"/>
  <c r="D10" i="51"/>
  <c r="Q9" i="51"/>
  <c r="P9" i="51"/>
  <c r="O9" i="51"/>
  <c r="I9" i="51"/>
  <c r="H9" i="51"/>
  <c r="G9" i="51"/>
  <c r="V8" i="51"/>
  <c r="U8" i="51"/>
  <c r="T8" i="51"/>
  <c r="Q8" i="51"/>
  <c r="P8" i="51"/>
  <c r="O8" i="51"/>
  <c r="N8" i="51"/>
  <c r="M8" i="51"/>
  <c r="L8" i="51"/>
  <c r="I8" i="51"/>
  <c r="H8" i="51"/>
  <c r="G8" i="51"/>
  <c r="F8" i="51"/>
  <c r="E8" i="51"/>
  <c r="D8" i="51"/>
  <c r="Q7" i="51"/>
  <c r="P7" i="51"/>
  <c r="O7" i="51"/>
  <c r="I7" i="51"/>
  <c r="H7" i="51"/>
  <c r="G7" i="51"/>
  <c r="V6" i="51"/>
  <c r="U6" i="51"/>
  <c r="T6" i="51"/>
  <c r="Q6" i="51"/>
  <c r="P6" i="51"/>
  <c r="O6" i="51"/>
  <c r="N6" i="51"/>
  <c r="M6" i="51"/>
  <c r="L6" i="51"/>
  <c r="I6" i="51"/>
  <c r="H6" i="51"/>
  <c r="G6" i="51"/>
  <c r="F6" i="51"/>
  <c r="E6" i="51"/>
  <c r="D6" i="51"/>
  <c r="Q5" i="51"/>
  <c r="P5" i="51"/>
  <c r="O5" i="51"/>
  <c r="I5" i="51"/>
  <c r="H5" i="51"/>
  <c r="G5" i="51"/>
  <c r="V4" i="51"/>
  <c r="U4" i="51"/>
  <c r="T4" i="51"/>
  <c r="Q4" i="51"/>
  <c r="P4" i="51"/>
  <c r="O4" i="51"/>
  <c r="N4" i="51"/>
  <c r="M4" i="51"/>
  <c r="L4" i="51"/>
  <c r="I4" i="51"/>
  <c r="H4" i="51"/>
  <c r="G4" i="51"/>
  <c r="F4" i="51"/>
  <c r="E4" i="51"/>
  <c r="D4" i="51"/>
  <c r="Q3" i="51"/>
  <c r="P3" i="51"/>
  <c r="O3" i="51"/>
  <c r="I3" i="51"/>
  <c r="H3" i="51"/>
  <c r="G3" i="51"/>
  <c r="J5" i="51"/>
  <c r="R7" i="51"/>
  <c r="R11" i="51"/>
  <c r="R13" i="51"/>
  <c r="R15" i="51"/>
  <c r="C3" i="51"/>
  <c r="K5" i="51"/>
  <c r="S7" i="51"/>
  <c r="C9" i="51"/>
  <c r="S11" i="51"/>
  <c r="C13" i="51"/>
  <c r="K15" i="51"/>
  <c r="C17" i="51"/>
  <c r="K19" i="51"/>
  <c r="D3" i="51"/>
  <c r="T3" i="51"/>
  <c r="L5" i="51"/>
  <c r="L7" i="51"/>
  <c r="T9" i="51"/>
  <c r="D11" i="51"/>
  <c r="T11" i="51"/>
  <c r="D13" i="51"/>
  <c r="L15" i="51"/>
  <c r="L17" i="51"/>
  <c r="E3" i="51"/>
  <c r="M3" i="51"/>
  <c r="U3" i="51"/>
  <c r="E5" i="51"/>
  <c r="M5" i="51"/>
  <c r="U5" i="51"/>
  <c r="E7" i="51"/>
  <c r="M7" i="51"/>
  <c r="U7" i="51"/>
  <c r="E9" i="51"/>
  <c r="M9" i="51"/>
  <c r="U9" i="51"/>
  <c r="E11" i="51"/>
  <c r="M11" i="51"/>
  <c r="U11" i="51"/>
  <c r="E13" i="51"/>
  <c r="M13" i="51"/>
  <c r="U13" i="51"/>
  <c r="E15" i="51"/>
  <c r="M15" i="51"/>
  <c r="U15" i="51"/>
  <c r="E17" i="51"/>
  <c r="M17" i="51"/>
  <c r="U17" i="51"/>
  <c r="J3" i="51"/>
  <c r="J7" i="51"/>
  <c r="R9" i="51"/>
  <c r="J15" i="51"/>
  <c r="R17" i="51"/>
  <c r="J19" i="51"/>
  <c r="S3" i="51"/>
  <c r="C5" i="51"/>
  <c r="K7" i="51"/>
  <c r="S9" i="51"/>
  <c r="C11" i="51"/>
  <c r="K13" i="51"/>
  <c r="S15" i="51"/>
  <c r="K17" i="51"/>
  <c r="S19" i="51"/>
  <c r="L3" i="51"/>
  <c r="D7" i="51"/>
  <c r="L9" i="51"/>
  <c r="L13" i="51"/>
  <c r="D15" i="51"/>
  <c r="L19" i="51"/>
  <c r="F3" i="51"/>
  <c r="N3" i="51"/>
  <c r="V3" i="51"/>
  <c r="J4" i="51"/>
  <c r="R4" i="51"/>
  <c r="F5" i="51"/>
  <c r="N5" i="51"/>
  <c r="V5" i="51"/>
  <c r="J6" i="51"/>
  <c r="R6" i="51"/>
  <c r="F7" i="51"/>
  <c r="N7" i="51"/>
  <c r="V7" i="51"/>
  <c r="J8" i="51"/>
  <c r="R8" i="51"/>
  <c r="F9" i="51"/>
  <c r="N9" i="51"/>
  <c r="V9" i="51"/>
  <c r="J10" i="51"/>
  <c r="R10" i="51"/>
  <c r="F11" i="51"/>
  <c r="N11" i="51"/>
  <c r="V11" i="51"/>
  <c r="J12" i="51"/>
  <c r="R12" i="51"/>
  <c r="F13" i="51"/>
  <c r="N13" i="51"/>
  <c r="V13" i="51"/>
  <c r="J14" i="51"/>
  <c r="R14" i="51"/>
  <c r="F15" i="51"/>
  <c r="N15" i="51"/>
  <c r="V15" i="51"/>
  <c r="J16" i="51"/>
  <c r="R16" i="51"/>
  <c r="F17" i="51"/>
  <c r="N17" i="51"/>
  <c r="V17" i="51"/>
  <c r="J18" i="51"/>
  <c r="R18" i="51"/>
  <c r="R3" i="51"/>
  <c r="R5" i="51"/>
  <c r="J9" i="51"/>
  <c r="J11" i="51"/>
  <c r="J13" i="51"/>
  <c r="K3" i="51"/>
  <c r="S5" i="51"/>
  <c r="C7" i="51"/>
  <c r="K9" i="51"/>
  <c r="K11" i="51"/>
  <c r="S13" i="51"/>
  <c r="C15" i="51"/>
  <c r="S17" i="51"/>
  <c r="C19" i="51"/>
  <c r="D5" i="51"/>
  <c r="T5" i="51"/>
  <c r="T7" i="51"/>
  <c r="D9" i="51"/>
  <c r="T13" i="51"/>
  <c r="T15" i="51"/>
  <c r="D17" i="51"/>
  <c r="T17" i="51"/>
  <c r="C4" i="51"/>
  <c r="K4" i="51"/>
  <c r="S4" i="51"/>
  <c r="C6" i="51"/>
  <c r="K6" i="51"/>
  <c r="S6" i="51"/>
  <c r="C8" i="51"/>
  <c r="K8" i="51"/>
  <c r="S8" i="51"/>
  <c r="C10" i="51"/>
  <c r="K10" i="51"/>
  <c r="S10" i="51"/>
  <c r="C12" i="51"/>
  <c r="K12" i="51"/>
  <c r="S12" i="51"/>
  <c r="C14" i="51"/>
  <c r="K14" i="51"/>
  <c r="S14" i="51"/>
  <c r="C16" i="51"/>
  <c r="K16" i="51"/>
  <c r="S16" i="51"/>
  <c r="B40" i="51"/>
  <c r="C40" i="50"/>
  <c r="C18" i="50"/>
  <c r="D40" i="50"/>
  <c r="E40" i="50"/>
  <c r="E18" i="50"/>
  <c r="F40" i="50"/>
  <c r="G40" i="50"/>
  <c r="G18" i="50"/>
  <c r="H40" i="50"/>
  <c r="I40" i="50"/>
  <c r="I18" i="50"/>
  <c r="J40" i="50"/>
  <c r="K40" i="50"/>
  <c r="K18" i="50"/>
  <c r="L40" i="50"/>
  <c r="M40" i="50"/>
  <c r="M18" i="50"/>
  <c r="N40" i="50"/>
  <c r="O40" i="50"/>
  <c r="O18" i="50"/>
  <c r="P40" i="50"/>
  <c r="Q40" i="50"/>
  <c r="Q18" i="50"/>
  <c r="R40" i="50"/>
  <c r="S40" i="50"/>
  <c r="S18" i="50"/>
  <c r="T40" i="50"/>
  <c r="U40" i="50"/>
  <c r="U18" i="50"/>
  <c r="V40" i="50"/>
  <c r="B40" i="50"/>
  <c r="B19" i="50"/>
  <c r="B4" i="50"/>
  <c r="E5" i="50"/>
  <c r="I5" i="50"/>
  <c r="M5" i="50"/>
  <c r="Q5" i="50"/>
  <c r="U5" i="50"/>
  <c r="C7" i="50"/>
  <c r="G7" i="50"/>
  <c r="K7" i="50"/>
  <c r="O7" i="50"/>
  <c r="S7" i="50"/>
  <c r="B8" i="50"/>
  <c r="E9" i="50"/>
  <c r="I9" i="50"/>
  <c r="M9" i="50"/>
  <c r="Q9" i="50"/>
  <c r="U9" i="50"/>
  <c r="C11" i="50"/>
  <c r="G11" i="50"/>
  <c r="K11" i="50"/>
  <c r="O11" i="50"/>
  <c r="S11" i="50"/>
  <c r="B12" i="50"/>
  <c r="E13" i="50"/>
  <c r="I13" i="50"/>
  <c r="M13" i="50"/>
  <c r="Q13" i="50"/>
  <c r="U13" i="50"/>
  <c r="C15" i="50"/>
  <c r="G15" i="50"/>
  <c r="K15" i="50"/>
  <c r="O15" i="50"/>
  <c r="S15" i="50"/>
  <c r="B16" i="50"/>
  <c r="E17" i="50"/>
  <c r="I17" i="50"/>
  <c r="M17" i="50"/>
  <c r="Q17" i="50"/>
  <c r="U17" i="50"/>
  <c r="C19" i="50"/>
  <c r="G19" i="50"/>
  <c r="K19" i="50"/>
  <c r="O19" i="50"/>
  <c r="S19" i="50"/>
  <c r="C5" i="50"/>
  <c r="G5" i="50"/>
  <c r="K5" i="50"/>
  <c r="O5" i="50"/>
  <c r="S5" i="50"/>
  <c r="B6" i="50"/>
  <c r="E7" i="50"/>
  <c r="I7" i="50"/>
  <c r="M7" i="50"/>
  <c r="Q7" i="50"/>
  <c r="U7" i="50"/>
  <c r="C9" i="50"/>
  <c r="G9" i="50"/>
  <c r="K9" i="50"/>
  <c r="O9" i="50"/>
  <c r="S9" i="50"/>
  <c r="B10" i="50"/>
  <c r="E11" i="50"/>
  <c r="I11" i="50"/>
  <c r="M11" i="50"/>
  <c r="Q11" i="50"/>
  <c r="U11" i="50"/>
  <c r="C13" i="50"/>
  <c r="G13" i="50"/>
  <c r="K13" i="50"/>
  <c r="O13" i="50"/>
  <c r="S13" i="50"/>
  <c r="B14" i="50"/>
  <c r="E15" i="50"/>
  <c r="I15" i="50"/>
  <c r="M15" i="50"/>
  <c r="Q15" i="50"/>
  <c r="U15" i="50"/>
  <c r="C17" i="50"/>
  <c r="G17" i="50"/>
  <c r="K17" i="50"/>
  <c r="O17" i="50"/>
  <c r="S17" i="50"/>
  <c r="B18" i="50"/>
  <c r="E19" i="50"/>
  <c r="I19" i="50"/>
  <c r="M19" i="50"/>
  <c r="Q19" i="50"/>
  <c r="U19" i="50"/>
  <c r="V19" i="50"/>
  <c r="V17" i="50"/>
  <c r="V15" i="50"/>
  <c r="V13" i="50"/>
  <c r="V11" i="50"/>
  <c r="V9" i="50"/>
  <c r="V7" i="50"/>
  <c r="V5" i="50"/>
  <c r="V18" i="50"/>
  <c r="V14" i="50"/>
  <c r="V10" i="50"/>
  <c r="V16" i="50"/>
  <c r="V12" i="50"/>
  <c r="V8" i="50"/>
  <c r="T19" i="50"/>
  <c r="T17" i="50"/>
  <c r="T15" i="50"/>
  <c r="T13" i="50"/>
  <c r="T11" i="50"/>
  <c r="T9" i="50"/>
  <c r="T7" i="50"/>
  <c r="T5" i="50"/>
  <c r="T16" i="50"/>
  <c r="T12" i="50"/>
  <c r="T8" i="50"/>
  <c r="T18" i="50"/>
  <c r="T14" i="50"/>
  <c r="T10" i="50"/>
  <c r="R19" i="50"/>
  <c r="R17" i="50"/>
  <c r="R15" i="50"/>
  <c r="R13" i="50"/>
  <c r="R11" i="50"/>
  <c r="R9" i="50"/>
  <c r="R7" i="50"/>
  <c r="R5" i="50"/>
  <c r="R18" i="50"/>
  <c r="R14" i="50"/>
  <c r="R10" i="50"/>
  <c r="R16" i="50"/>
  <c r="R12" i="50"/>
  <c r="R8" i="50"/>
  <c r="P19" i="50"/>
  <c r="P17" i="50"/>
  <c r="P15" i="50"/>
  <c r="P13" i="50"/>
  <c r="P11" i="50"/>
  <c r="P9" i="50"/>
  <c r="P7" i="50"/>
  <c r="P5" i="50"/>
  <c r="P16" i="50"/>
  <c r="P12" i="50"/>
  <c r="P18" i="50"/>
  <c r="P14" i="50"/>
  <c r="P10" i="50"/>
  <c r="N19" i="50"/>
  <c r="N17" i="50"/>
  <c r="N15" i="50"/>
  <c r="N13" i="50"/>
  <c r="N11" i="50"/>
  <c r="N9" i="50"/>
  <c r="N7" i="50"/>
  <c r="N5" i="50"/>
  <c r="N18" i="50"/>
  <c r="N14" i="50"/>
  <c r="N10" i="50"/>
  <c r="N16" i="50"/>
  <c r="N12" i="50"/>
  <c r="N8" i="50"/>
  <c r="L19" i="50"/>
  <c r="L17" i="50"/>
  <c r="L15" i="50"/>
  <c r="L13" i="50"/>
  <c r="L11" i="50"/>
  <c r="L9" i="50"/>
  <c r="L7" i="50"/>
  <c r="L5" i="50"/>
  <c r="L16" i="50"/>
  <c r="L12" i="50"/>
  <c r="L18" i="50"/>
  <c r="L14" i="50"/>
  <c r="L10" i="50"/>
  <c r="J19" i="50"/>
  <c r="J17" i="50"/>
  <c r="J15" i="50"/>
  <c r="J13" i="50"/>
  <c r="J11" i="50"/>
  <c r="J9" i="50"/>
  <c r="J7" i="50"/>
  <c r="J5" i="50"/>
  <c r="J18" i="50"/>
  <c r="J14" i="50"/>
  <c r="J10" i="50"/>
  <c r="J16" i="50"/>
  <c r="J12" i="50"/>
  <c r="H19" i="50"/>
  <c r="H17" i="50"/>
  <c r="H15" i="50"/>
  <c r="H13" i="50"/>
  <c r="H11" i="50"/>
  <c r="H9" i="50"/>
  <c r="H7" i="50"/>
  <c r="H5" i="50"/>
  <c r="H16" i="50"/>
  <c r="H12" i="50"/>
  <c r="H18" i="50"/>
  <c r="H14" i="50"/>
  <c r="H10" i="50"/>
  <c r="F19" i="50"/>
  <c r="F17" i="50"/>
  <c r="F15" i="50"/>
  <c r="F13" i="50"/>
  <c r="F11" i="50"/>
  <c r="F9" i="50"/>
  <c r="F7" i="50"/>
  <c r="F5" i="50"/>
  <c r="F18" i="50"/>
  <c r="F14" i="50"/>
  <c r="F10" i="50"/>
  <c r="F16" i="50"/>
  <c r="F12" i="50"/>
  <c r="D19" i="50"/>
  <c r="D17" i="50"/>
  <c r="D15" i="50"/>
  <c r="D13" i="50"/>
  <c r="D11" i="50"/>
  <c r="D9" i="50"/>
  <c r="D7" i="50"/>
  <c r="D5" i="50"/>
  <c r="D16" i="50"/>
  <c r="D12" i="50"/>
  <c r="D18" i="50"/>
  <c r="D14" i="50"/>
  <c r="D10" i="50"/>
  <c r="F4" i="50"/>
  <c r="J4" i="50"/>
  <c r="N4" i="50"/>
  <c r="R4" i="50"/>
  <c r="V4" i="50"/>
  <c r="D6" i="50"/>
  <c r="H6" i="50"/>
  <c r="L6" i="50"/>
  <c r="P6" i="50"/>
  <c r="T6" i="50"/>
  <c r="F8" i="50"/>
  <c r="J8" i="50"/>
  <c r="P8" i="50"/>
  <c r="D4" i="50"/>
  <c r="H4" i="50"/>
  <c r="L4" i="50"/>
  <c r="P4" i="50"/>
  <c r="T4" i="50"/>
  <c r="F6" i="50"/>
  <c r="J6" i="50"/>
  <c r="N6" i="50"/>
  <c r="R6" i="50"/>
  <c r="V6" i="50"/>
  <c r="D8" i="50"/>
  <c r="H8" i="50"/>
  <c r="L8" i="50"/>
  <c r="C4" i="50"/>
  <c r="E4" i="50"/>
  <c r="G4" i="50"/>
  <c r="I4" i="50"/>
  <c r="K4" i="50"/>
  <c r="M4" i="50"/>
  <c r="O4" i="50"/>
  <c r="Q4" i="50"/>
  <c r="S4" i="50"/>
  <c r="U4" i="50"/>
  <c r="B5" i="50"/>
  <c r="C6" i="50"/>
  <c r="E6" i="50"/>
  <c r="G6" i="50"/>
  <c r="I6" i="50"/>
  <c r="K6" i="50"/>
  <c r="M6" i="50"/>
  <c r="O6" i="50"/>
  <c r="Q6" i="50"/>
  <c r="S6" i="50"/>
  <c r="U6" i="50"/>
  <c r="B7" i="50"/>
  <c r="C8" i="50"/>
  <c r="E8" i="50"/>
  <c r="G8" i="50"/>
  <c r="I8" i="50"/>
  <c r="K8" i="50"/>
  <c r="M8" i="50"/>
  <c r="O8" i="50"/>
  <c r="Q8" i="50"/>
  <c r="S8" i="50"/>
  <c r="U8" i="50"/>
  <c r="B9" i="50"/>
  <c r="C10" i="50"/>
  <c r="E10" i="50"/>
  <c r="G10" i="50"/>
  <c r="I10" i="50"/>
  <c r="K10" i="50"/>
  <c r="M10" i="50"/>
  <c r="O10" i="50"/>
  <c r="Q10" i="50"/>
  <c r="S10" i="50"/>
  <c r="U10" i="50"/>
  <c r="B11" i="50"/>
  <c r="C12" i="50"/>
  <c r="E12" i="50"/>
  <c r="G12" i="50"/>
  <c r="I12" i="50"/>
  <c r="K12" i="50"/>
  <c r="M12" i="50"/>
  <c r="O12" i="50"/>
  <c r="Q12" i="50"/>
  <c r="S12" i="50"/>
  <c r="U12" i="50"/>
  <c r="B13" i="50"/>
  <c r="C14" i="50"/>
  <c r="E14" i="50"/>
  <c r="G14" i="50"/>
  <c r="I14" i="50"/>
  <c r="K14" i="50"/>
  <c r="M14" i="50"/>
  <c r="O14" i="50"/>
  <c r="Q14" i="50"/>
  <c r="S14" i="50"/>
  <c r="U14" i="50"/>
  <c r="B15" i="50"/>
  <c r="C16" i="50"/>
  <c r="E16" i="50"/>
  <c r="G16" i="50"/>
  <c r="I16" i="50"/>
  <c r="K16" i="50"/>
  <c r="M16" i="50"/>
  <c r="O16" i="50"/>
  <c r="Q16" i="50"/>
  <c r="S16" i="50"/>
  <c r="U16" i="50"/>
  <c r="B17" i="50"/>
  <c r="B27" i="49"/>
  <c r="J3" i="76"/>
  <c r="J14" i="76"/>
  <c r="J19" i="76"/>
  <c r="J12" i="76"/>
  <c r="J17" i="76"/>
  <c r="J15" i="76"/>
  <c r="J13" i="76"/>
  <c r="J22" i="76"/>
  <c r="J6" i="76"/>
  <c r="J11" i="76"/>
  <c r="J4" i="76"/>
  <c r="J18" i="76"/>
  <c r="J23" i="76"/>
  <c r="J7" i="76"/>
  <c r="J10" i="76"/>
  <c r="J8" i="76"/>
  <c r="J20" i="76"/>
  <c r="J9" i="76"/>
  <c r="J16" i="76"/>
  <c r="J21" i="76"/>
  <c r="J5" i="76"/>
  <c r="J24" i="76"/>
  <c r="Q20" i="59"/>
  <c r="P20" i="59"/>
  <c r="O20" i="59"/>
  <c r="N20" i="59"/>
  <c r="M20" i="59"/>
  <c r="L20" i="59"/>
  <c r="K20" i="59"/>
  <c r="J20" i="59"/>
  <c r="I20" i="59"/>
  <c r="H20" i="59"/>
  <c r="G20" i="59"/>
  <c r="F20" i="59"/>
  <c r="E20" i="59"/>
  <c r="D20" i="59"/>
  <c r="C20" i="59"/>
  <c r="R37" i="58"/>
  <c r="R36" i="58"/>
  <c r="R35" i="58"/>
  <c r="R34" i="58"/>
  <c r="R33" i="58"/>
  <c r="R38" i="58"/>
  <c r="R32" i="58"/>
  <c r="R31" i="58"/>
  <c r="R30" i="58"/>
  <c r="R29" i="58"/>
  <c r="R39" i="58"/>
  <c r="R28" i="58"/>
  <c r="R27" i="58"/>
  <c r="R26" i="58"/>
  <c r="R25" i="58"/>
  <c r="R24" i="58"/>
  <c r="R23" i="58"/>
  <c r="Q20" i="58"/>
  <c r="P20" i="58"/>
  <c r="O20" i="58"/>
  <c r="N20" i="58"/>
  <c r="M20" i="58"/>
  <c r="L20" i="58"/>
  <c r="K20" i="58"/>
  <c r="J20" i="58"/>
  <c r="I20" i="58"/>
  <c r="H20" i="58"/>
  <c r="G20" i="58"/>
  <c r="F20" i="58"/>
  <c r="E20" i="58"/>
  <c r="D20" i="58"/>
  <c r="C20" i="58"/>
  <c r="B20" i="58"/>
  <c r="B19" i="57"/>
  <c r="B22" i="57"/>
  <c r="C21" i="53"/>
  <c r="F23" i="149"/>
  <c r="C20" i="53"/>
  <c r="F22" i="149"/>
  <c r="B19" i="53"/>
  <c r="B22" i="53"/>
  <c r="V3" i="50"/>
  <c r="V20" i="50"/>
  <c r="U3" i="50"/>
  <c r="T3" i="50"/>
  <c r="T20" i="50"/>
  <c r="S3" i="50"/>
  <c r="R3" i="50"/>
  <c r="R20" i="50"/>
  <c r="Q3" i="50"/>
  <c r="P3" i="50"/>
  <c r="O3" i="50"/>
  <c r="N3" i="50"/>
  <c r="M3" i="50"/>
  <c r="L3" i="50"/>
  <c r="K3" i="50"/>
  <c r="J3" i="50"/>
  <c r="I3" i="50"/>
  <c r="H3" i="50"/>
  <c r="G3" i="50"/>
  <c r="F3" i="50"/>
  <c r="E3" i="50"/>
  <c r="D3" i="50"/>
  <c r="C3" i="50"/>
  <c r="B3" i="50"/>
  <c r="I26" i="49"/>
  <c r="I25" i="49"/>
  <c r="G23" i="149"/>
  <c r="I23" i="149"/>
  <c r="G22" i="149"/>
  <c r="I22" i="149"/>
  <c r="L24" i="76"/>
  <c r="K24" i="76"/>
  <c r="J27" i="76"/>
  <c r="G52" i="79"/>
  <c r="G44" i="79"/>
  <c r="G34" i="79"/>
  <c r="G26" i="79"/>
  <c r="G55" i="79"/>
  <c r="G47" i="79"/>
  <c r="G42" i="79"/>
  <c r="G32" i="79"/>
  <c r="G51" i="79"/>
  <c r="G43" i="79"/>
  <c r="G33" i="79"/>
  <c r="G25" i="79"/>
  <c r="G53" i="79"/>
  <c r="G35" i="79"/>
  <c r="G24" i="79"/>
  <c r="G22" i="79"/>
  <c r="G29" i="79"/>
  <c r="G46" i="79"/>
  <c r="G48" i="79"/>
  <c r="G30" i="79"/>
  <c r="G27" i="79"/>
  <c r="G23" i="79"/>
  <c r="G49" i="79"/>
  <c r="G45" i="79"/>
  <c r="G54" i="79"/>
  <c r="G28" i="79"/>
  <c r="G36" i="79"/>
  <c r="G41" i="79"/>
  <c r="I42" i="79"/>
  <c r="I32" i="79"/>
  <c r="I53" i="79"/>
  <c r="I45" i="79"/>
  <c r="I35" i="79"/>
  <c r="I48" i="79"/>
  <c r="I30" i="79"/>
  <c r="I49" i="79"/>
  <c r="I41" i="79"/>
  <c r="I43" i="79"/>
  <c r="I29" i="79"/>
  <c r="I46" i="79"/>
  <c r="I23" i="79"/>
  <c r="I52" i="79"/>
  <c r="I34" i="79"/>
  <c r="I27" i="79"/>
  <c r="I54" i="79"/>
  <c r="I36" i="79"/>
  <c r="I28" i="79"/>
  <c r="I25" i="79"/>
  <c r="I51" i="79"/>
  <c r="I55" i="79"/>
  <c r="I22" i="79"/>
  <c r="I33" i="79"/>
  <c r="I44" i="79"/>
  <c r="I24" i="79"/>
  <c r="I47" i="79"/>
  <c r="I26" i="79"/>
  <c r="Q42" i="79"/>
  <c r="Q32" i="79"/>
  <c r="Q53" i="79"/>
  <c r="Q45" i="79"/>
  <c r="Q35" i="79"/>
  <c r="Q48" i="79"/>
  <c r="Q30" i="79"/>
  <c r="Q49" i="79"/>
  <c r="Q41" i="79"/>
  <c r="Q23" i="79"/>
  <c r="Q51" i="79"/>
  <c r="Q33" i="79"/>
  <c r="Q28" i="79"/>
  <c r="Q54" i="79"/>
  <c r="Q36" i="79"/>
  <c r="Q44" i="79"/>
  <c r="Q26" i="79"/>
  <c r="Q46" i="79"/>
  <c r="Q27" i="79"/>
  <c r="Q29" i="79"/>
  <c r="Q10" i="79"/>
  <c r="Q25" i="79"/>
  <c r="Q43" i="79"/>
  <c r="Q52" i="79"/>
  <c r="Q55" i="79"/>
  <c r="Q24" i="79"/>
  <c r="Q47" i="79"/>
  <c r="Q34" i="79"/>
  <c r="Q22" i="79"/>
  <c r="J53" i="79"/>
  <c r="J45" i="79"/>
  <c r="J35" i="79"/>
  <c r="J27" i="79"/>
  <c r="J48" i="79"/>
  <c r="J30" i="79"/>
  <c r="J51" i="79"/>
  <c r="J43" i="79"/>
  <c r="J33" i="79"/>
  <c r="J25" i="79"/>
  <c r="J52" i="79"/>
  <c r="J44" i="79"/>
  <c r="J34" i="79"/>
  <c r="J26" i="79"/>
  <c r="J46" i="79"/>
  <c r="J23" i="79"/>
  <c r="J49" i="79"/>
  <c r="J55" i="79"/>
  <c r="J41" i="79"/>
  <c r="J24" i="79"/>
  <c r="J22" i="79"/>
  <c r="J42" i="79"/>
  <c r="J32" i="79"/>
  <c r="J29" i="79"/>
  <c r="J54" i="79"/>
  <c r="J28" i="79"/>
  <c r="J36" i="79"/>
  <c r="J47" i="79"/>
  <c r="K48" i="79"/>
  <c r="K30" i="79"/>
  <c r="K51" i="79"/>
  <c r="K43" i="79"/>
  <c r="K33" i="79"/>
  <c r="K54" i="79"/>
  <c r="K46" i="79"/>
  <c r="K36" i="79"/>
  <c r="K28" i="79"/>
  <c r="K55" i="79"/>
  <c r="K47" i="79"/>
  <c r="K29" i="79"/>
  <c r="K49" i="79"/>
  <c r="K52" i="79"/>
  <c r="K34" i="79"/>
  <c r="K27" i="79"/>
  <c r="K42" i="79"/>
  <c r="K44" i="79"/>
  <c r="K45" i="79"/>
  <c r="K35" i="79"/>
  <c r="K22" i="79"/>
  <c r="K32" i="79"/>
  <c r="K41" i="79"/>
  <c r="K25" i="79"/>
  <c r="K24" i="79"/>
  <c r="K26" i="79"/>
  <c r="K53" i="79"/>
  <c r="K23" i="79"/>
  <c r="D51" i="79"/>
  <c r="D43" i="79"/>
  <c r="D33" i="79"/>
  <c r="D54" i="79"/>
  <c r="D46" i="79"/>
  <c r="D36" i="79"/>
  <c r="D49" i="79"/>
  <c r="D41" i="79"/>
  <c r="D42" i="79"/>
  <c r="D32" i="79"/>
  <c r="D24" i="79"/>
  <c r="D44" i="79"/>
  <c r="D28" i="79"/>
  <c r="D47" i="79"/>
  <c r="D25" i="79"/>
  <c r="D53" i="79"/>
  <c r="D35" i="79"/>
  <c r="D26" i="79"/>
  <c r="D55" i="79"/>
  <c r="D27" i="79"/>
  <c r="D22" i="79"/>
  <c r="D34" i="79"/>
  <c r="D48" i="79"/>
  <c r="D45" i="79"/>
  <c r="D23" i="79"/>
  <c r="D29" i="79"/>
  <c r="D52" i="79"/>
  <c r="D30" i="79"/>
  <c r="L51" i="79"/>
  <c r="L43" i="79"/>
  <c r="L33" i="79"/>
  <c r="L54" i="79"/>
  <c r="L46" i="79"/>
  <c r="L36" i="79"/>
  <c r="L49" i="79"/>
  <c r="L41" i="79"/>
  <c r="L42" i="79"/>
  <c r="L32" i="79"/>
  <c r="L24" i="79"/>
  <c r="L52" i="79"/>
  <c r="L34" i="79"/>
  <c r="L27" i="79"/>
  <c r="L55" i="79"/>
  <c r="L45" i="79"/>
  <c r="L47" i="79"/>
  <c r="L26" i="79"/>
  <c r="L48" i="79"/>
  <c r="L28" i="79"/>
  <c r="L22" i="79"/>
  <c r="L30" i="79"/>
  <c r="L35" i="79"/>
  <c r="L29" i="79"/>
  <c r="L25" i="79"/>
  <c r="L44" i="79"/>
  <c r="L53" i="79"/>
  <c r="L23" i="79"/>
  <c r="T51" i="79"/>
  <c r="T43" i="79"/>
  <c r="T33" i="79"/>
  <c r="T25" i="79"/>
  <c r="T54" i="79"/>
  <c r="T46" i="79"/>
  <c r="T36" i="79"/>
  <c r="T49" i="79"/>
  <c r="T41" i="79"/>
  <c r="T42" i="79"/>
  <c r="T32" i="79"/>
  <c r="T24" i="79"/>
  <c r="T44" i="79"/>
  <c r="T26" i="79"/>
  <c r="T47" i="79"/>
  <c r="T29" i="79"/>
  <c r="T53" i="79"/>
  <c r="T35" i="79"/>
  <c r="T55" i="79"/>
  <c r="T23" i="79"/>
  <c r="T52" i="79"/>
  <c r="T30" i="79"/>
  <c r="T27" i="79"/>
  <c r="T22" i="79"/>
  <c r="T34" i="79"/>
  <c r="T45" i="79"/>
  <c r="T28" i="79"/>
  <c r="T48" i="79"/>
  <c r="P55" i="79"/>
  <c r="P47" i="79"/>
  <c r="P29" i="79"/>
  <c r="P42" i="79"/>
  <c r="P32" i="79"/>
  <c r="P53" i="79"/>
  <c r="P45" i="79"/>
  <c r="P35" i="79"/>
  <c r="P27" i="79"/>
  <c r="P54" i="79"/>
  <c r="P46" i="79"/>
  <c r="P36" i="79"/>
  <c r="P28" i="79"/>
  <c r="P48" i="79"/>
  <c r="P30" i="79"/>
  <c r="P25" i="79"/>
  <c r="P24" i="79"/>
  <c r="P51" i="79"/>
  <c r="P33" i="79"/>
  <c r="P41" i="79"/>
  <c r="P23" i="79"/>
  <c r="P43" i="79"/>
  <c r="P52" i="79"/>
  <c r="P26" i="79"/>
  <c r="P49" i="79"/>
  <c r="P44" i="79"/>
  <c r="P34" i="79"/>
  <c r="P22" i="79"/>
  <c r="S48" i="79"/>
  <c r="S30" i="79"/>
  <c r="S51" i="79"/>
  <c r="S43" i="79"/>
  <c r="S33" i="79"/>
  <c r="S54" i="79"/>
  <c r="S46" i="79"/>
  <c r="S36" i="79"/>
  <c r="S28" i="79"/>
  <c r="S55" i="79"/>
  <c r="S47" i="79"/>
  <c r="S29" i="79"/>
  <c r="S41" i="79"/>
  <c r="S23" i="79"/>
  <c r="S44" i="79"/>
  <c r="S26" i="79"/>
  <c r="S32" i="79"/>
  <c r="S52" i="79"/>
  <c r="S34" i="79"/>
  <c r="S24" i="79"/>
  <c r="S35" i="79"/>
  <c r="S49" i="79"/>
  <c r="S25" i="79"/>
  <c r="S53" i="79"/>
  <c r="S27" i="79"/>
  <c r="S22" i="79"/>
  <c r="S42" i="79"/>
  <c r="S45" i="79"/>
  <c r="E54" i="79"/>
  <c r="E46" i="79"/>
  <c r="E36" i="79"/>
  <c r="E28" i="79"/>
  <c r="E49" i="79"/>
  <c r="E41" i="79"/>
  <c r="E52" i="79"/>
  <c r="E44" i="79"/>
  <c r="E34" i="79"/>
  <c r="E26" i="79"/>
  <c r="E53" i="79"/>
  <c r="E45" i="79"/>
  <c r="E35" i="79"/>
  <c r="E27" i="79"/>
  <c r="E47" i="79"/>
  <c r="E25" i="79"/>
  <c r="E32" i="79"/>
  <c r="E29" i="79"/>
  <c r="E24" i="79"/>
  <c r="E22" i="79"/>
  <c r="E42" i="79"/>
  <c r="E23" i="79"/>
  <c r="E43" i="79"/>
  <c r="E48" i="79"/>
  <c r="E51" i="79"/>
  <c r="E55" i="79"/>
  <c r="E30" i="79"/>
  <c r="E11" i="79"/>
  <c r="E33" i="79"/>
  <c r="M54" i="79"/>
  <c r="M46" i="79"/>
  <c r="M36" i="79"/>
  <c r="M28" i="79"/>
  <c r="M49" i="79"/>
  <c r="M41" i="79"/>
  <c r="M52" i="79"/>
  <c r="M44" i="79"/>
  <c r="M34" i="79"/>
  <c r="M26" i="79"/>
  <c r="M53" i="79"/>
  <c r="M45" i="79"/>
  <c r="M35" i="79"/>
  <c r="M27" i="79"/>
  <c r="M55" i="79"/>
  <c r="M42" i="79"/>
  <c r="M48" i="79"/>
  <c r="M30" i="79"/>
  <c r="M25" i="79"/>
  <c r="M22" i="79"/>
  <c r="M32" i="79"/>
  <c r="M29" i="79"/>
  <c r="M23" i="79"/>
  <c r="M51" i="79"/>
  <c r="M43" i="79"/>
  <c r="M24" i="79"/>
  <c r="M33" i="79"/>
  <c r="M47" i="79"/>
  <c r="U54" i="79"/>
  <c r="U46" i="79"/>
  <c r="U36" i="79"/>
  <c r="U28" i="79"/>
  <c r="U49" i="79"/>
  <c r="U41" i="79"/>
  <c r="U52" i="79"/>
  <c r="U44" i="79"/>
  <c r="U34" i="79"/>
  <c r="U26" i="79"/>
  <c r="U53" i="79"/>
  <c r="U45" i="79"/>
  <c r="U35" i="79"/>
  <c r="U27" i="79"/>
  <c r="U47" i="79"/>
  <c r="U29" i="79"/>
  <c r="U32" i="79"/>
  <c r="U22" i="79"/>
  <c r="U42" i="79"/>
  <c r="U25" i="79"/>
  <c r="U43" i="79"/>
  <c r="U55" i="79"/>
  <c r="U17" i="79"/>
  <c r="U24" i="79"/>
  <c r="U33" i="79"/>
  <c r="U30" i="79"/>
  <c r="U23" i="79"/>
  <c r="U48" i="79"/>
  <c r="U51" i="79"/>
  <c r="O52" i="79"/>
  <c r="O44" i="79"/>
  <c r="O34" i="79"/>
  <c r="O26" i="79"/>
  <c r="O55" i="79"/>
  <c r="O47" i="79"/>
  <c r="O42" i="79"/>
  <c r="O32" i="79"/>
  <c r="O51" i="79"/>
  <c r="O43" i="79"/>
  <c r="O33" i="79"/>
  <c r="O25" i="79"/>
  <c r="O45" i="79"/>
  <c r="O22" i="79"/>
  <c r="O48" i="79"/>
  <c r="O30" i="79"/>
  <c r="O28" i="79"/>
  <c r="O24" i="79"/>
  <c r="O54" i="79"/>
  <c r="O36" i="79"/>
  <c r="O49" i="79"/>
  <c r="O23" i="79"/>
  <c r="O35" i="79"/>
  <c r="O29" i="79"/>
  <c r="O46" i="79"/>
  <c r="O41" i="79"/>
  <c r="O53" i="79"/>
  <c r="O27" i="79"/>
  <c r="H55" i="79"/>
  <c r="H47" i="79"/>
  <c r="H29" i="79"/>
  <c r="H42" i="79"/>
  <c r="H32" i="79"/>
  <c r="H53" i="79"/>
  <c r="H45" i="79"/>
  <c r="H35" i="79"/>
  <c r="H27" i="79"/>
  <c r="H54" i="79"/>
  <c r="H46" i="79"/>
  <c r="H36" i="79"/>
  <c r="H28" i="79"/>
  <c r="H26" i="79"/>
  <c r="H43" i="79"/>
  <c r="H49" i="79"/>
  <c r="H23" i="79"/>
  <c r="H51" i="79"/>
  <c r="H33" i="79"/>
  <c r="H34" i="79"/>
  <c r="H48" i="79"/>
  <c r="H22" i="79"/>
  <c r="H52" i="79"/>
  <c r="H30" i="79"/>
  <c r="H41" i="79"/>
  <c r="H25" i="79"/>
  <c r="H44" i="79"/>
  <c r="H24" i="79"/>
  <c r="R53" i="79"/>
  <c r="R45" i="79"/>
  <c r="R35" i="79"/>
  <c r="R27" i="79"/>
  <c r="R48" i="79"/>
  <c r="R30" i="79"/>
  <c r="R51" i="79"/>
  <c r="R43" i="79"/>
  <c r="R33" i="79"/>
  <c r="R25" i="79"/>
  <c r="R52" i="79"/>
  <c r="R44" i="79"/>
  <c r="R34" i="79"/>
  <c r="R26" i="79"/>
  <c r="R54" i="79"/>
  <c r="R36" i="79"/>
  <c r="R41" i="79"/>
  <c r="R23" i="79"/>
  <c r="R47" i="79"/>
  <c r="R29" i="79"/>
  <c r="R49" i="79"/>
  <c r="R22" i="79"/>
  <c r="R32" i="79"/>
  <c r="R46" i="79"/>
  <c r="R55" i="79"/>
  <c r="R24" i="79"/>
  <c r="R42" i="79"/>
  <c r="R28" i="79"/>
  <c r="C48" i="79"/>
  <c r="C30" i="79"/>
  <c r="C51" i="79"/>
  <c r="C43" i="79"/>
  <c r="C33" i="79"/>
  <c r="C54" i="79"/>
  <c r="C46" i="79"/>
  <c r="C36" i="79"/>
  <c r="C28" i="79"/>
  <c r="C55" i="79"/>
  <c r="C47" i="79"/>
  <c r="C29" i="79"/>
  <c r="C41" i="79"/>
  <c r="C44" i="79"/>
  <c r="C32" i="79"/>
  <c r="C25" i="79"/>
  <c r="C52" i="79"/>
  <c r="C34" i="79"/>
  <c r="C53" i="79"/>
  <c r="C26" i="79"/>
  <c r="C24" i="79"/>
  <c r="C45" i="79"/>
  <c r="C23" i="79"/>
  <c r="C35" i="79"/>
  <c r="C42" i="79"/>
  <c r="C27" i="79"/>
  <c r="C49" i="79"/>
  <c r="C22" i="79"/>
  <c r="F49" i="79"/>
  <c r="F41" i="79"/>
  <c r="F52" i="79"/>
  <c r="F44" i="79"/>
  <c r="F34" i="79"/>
  <c r="F55" i="79"/>
  <c r="F47" i="79"/>
  <c r="F29" i="79"/>
  <c r="F48" i="79"/>
  <c r="F30" i="79"/>
  <c r="F32" i="79"/>
  <c r="F53" i="79"/>
  <c r="F35" i="79"/>
  <c r="F26" i="79"/>
  <c r="F24" i="79"/>
  <c r="F22" i="79"/>
  <c r="F43" i="79"/>
  <c r="F45" i="79"/>
  <c r="F42" i="79"/>
  <c r="F27" i="79"/>
  <c r="F23" i="79"/>
  <c r="F54" i="79"/>
  <c r="F46" i="79"/>
  <c r="F51" i="79"/>
  <c r="F28" i="79"/>
  <c r="F33" i="79"/>
  <c r="F36" i="79"/>
  <c r="F25" i="79"/>
  <c r="N49" i="79"/>
  <c r="N41" i="79"/>
  <c r="N52" i="79"/>
  <c r="N44" i="79"/>
  <c r="N34" i="79"/>
  <c r="N55" i="79"/>
  <c r="N47" i="79"/>
  <c r="N29" i="79"/>
  <c r="N48" i="79"/>
  <c r="N30" i="79"/>
  <c r="N42" i="79"/>
  <c r="N45" i="79"/>
  <c r="N25" i="79"/>
  <c r="N22" i="79"/>
  <c r="N51" i="79"/>
  <c r="N33" i="79"/>
  <c r="N28" i="79"/>
  <c r="N24" i="79"/>
  <c r="N53" i="79"/>
  <c r="N35" i="79"/>
  <c r="N54" i="79"/>
  <c r="N32" i="79"/>
  <c r="N43" i="79"/>
  <c r="N46" i="79"/>
  <c r="N36" i="79"/>
  <c r="N26" i="79"/>
  <c r="N23" i="79"/>
  <c r="N27" i="79"/>
  <c r="V49" i="79"/>
  <c r="V41" i="79"/>
  <c r="V52" i="79"/>
  <c r="V44" i="79"/>
  <c r="V34" i="79"/>
  <c r="V55" i="79"/>
  <c r="V47" i="79"/>
  <c r="V29" i="79"/>
  <c r="V48" i="79"/>
  <c r="V30" i="79"/>
  <c r="V32" i="79"/>
  <c r="V53" i="79"/>
  <c r="V35" i="79"/>
  <c r="V22" i="79"/>
  <c r="V43" i="79"/>
  <c r="V27" i="79"/>
  <c r="V45" i="79"/>
  <c r="V28" i="79"/>
  <c r="V23" i="79"/>
  <c r="V46" i="79"/>
  <c r="V24" i="79"/>
  <c r="V25" i="79"/>
  <c r="V36" i="79"/>
  <c r="V26" i="79"/>
  <c r="V33" i="79"/>
  <c r="V42" i="79"/>
  <c r="V51" i="79"/>
  <c r="V54" i="79"/>
  <c r="B20" i="50"/>
  <c r="D20" i="50"/>
  <c r="F20" i="50"/>
  <c r="J20" i="50"/>
  <c r="L20" i="50"/>
  <c r="N20" i="50"/>
  <c r="P20" i="50"/>
  <c r="D20" i="55"/>
  <c r="H20" i="55"/>
  <c r="L20" i="55"/>
  <c r="P20" i="55"/>
  <c r="C57" i="56"/>
  <c r="C56" i="56"/>
  <c r="C55" i="56"/>
  <c r="C54" i="56"/>
  <c r="C53" i="56"/>
  <c r="C52" i="56"/>
  <c r="C51" i="56"/>
  <c r="C50" i="56"/>
  <c r="C49" i="56"/>
  <c r="C48" i="56"/>
  <c r="C47" i="56"/>
  <c r="C46" i="56"/>
  <c r="C45" i="56"/>
  <c r="C44" i="56"/>
  <c r="C43" i="56"/>
  <c r="C42" i="56"/>
  <c r="C41" i="56"/>
  <c r="C38" i="56"/>
  <c r="C37" i="56"/>
  <c r="C36" i="56"/>
  <c r="C35" i="56"/>
  <c r="C34" i="56"/>
  <c r="C33" i="56"/>
  <c r="C32" i="56"/>
  <c r="C31" i="56"/>
  <c r="C30" i="56"/>
  <c r="C29" i="56"/>
  <c r="C28" i="56"/>
  <c r="C27" i="56"/>
  <c r="C26" i="56"/>
  <c r="C25" i="56"/>
  <c r="C24" i="56"/>
  <c r="C23" i="56"/>
  <c r="C22" i="56"/>
  <c r="E57" i="56"/>
  <c r="E56" i="56"/>
  <c r="E55" i="56"/>
  <c r="E54" i="56"/>
  <c r="E53" i="56"/>
  <c r="E52" i="56"/>
  <c r="E51" i="56"/>
  <c r="E50" i="56"/>
  <c r="E49" i="56"/>
  <c r="E48" i="56"/>
  <c r="E47" i="56"/>
  <c r="E46" i="56"/>
  <c r="E45" i="56"/>
  <c r="E44" i="56"/>
  <c r="E43" i="56"/>
  <c r="E42" i="56"/>
  <c r="E41" i="56"/>
  <c r="E38" i="56"/>
  <c r="E37" i="56"/>
  <c r="E36" i="56"/>
  <c r="E35" i="56"/>
  <c r="E34" i="56"/>
  <c r="E33" i="56"/>
  <c r="E32" i="56"/>
  <c r="E31" i="56"/>
  <c r="E30" i="56"/>
  <c r="E29" i="56"/>
  <c r="E28" i="56"/>
  <c r="E27" i="56"/>
  <c r="E26" i="56"/>
  <c r="E25" i="56"/>
  <c r="E24" i="56"/>
  <c r="E23" i="56"/>
  <c r="E22" i="56"/>
  <c r="G57" i="56"/>
  <c r="G56" i="56"/>
  <c r="G55" i="56"/>
  <c r="G54" i="56"/>
  <c r="G53" i="56"/>
  <c r="G52" i="56"/>
  <c r="G51" i="56"/>
  <c r="G50" i="56"/>
  <c r="G49" i="56"/>
  <c r="G48" i="56"/>
  <c r="G47" i="56"/>
  <c r="G46" i="56"/>
  <c r="G45" i="56"/>
  <c r="G44" i="56"/>
  <c r="G43" i="56"/>
  <c r="G42" i="56"/>
  <c r="G41" i="56"/>
  <c r="G38" i="56"/>
  <c r="G37" i="56"/>
  <c r="G36" i="56"/>
  <c r="G35" i="56"/>
  <c r="G34" i="56"/>
  <c r="G33" i="56"/>
  <c r="G32" i="56"/>
  <c r="G31" i="56"/>
  <c r="G30" i="56"/>
  <c r="G29" i="56"/>
  <c r="G28" i="56"/>
  <c r="G27" i="56"/>
  <c r="G26" i="56"/>
  <c r="G25" i="56"/>
  <c r="G24" i="56"/>
  <c r="G23" i="56"/>
  <c r="G22" i="56"/>
  <c r="I57" i="56"/>
  <c r="I56" i="56"/>
  <c r="I55" i="56"/>
  <c r="I54" i="56"/>
  <c r="I53" i="56"/>
  <c r="I52" i="56"/>
  <c r="I51" i="56"/>
  <c r="I50" i="56"/>
  <c r="I49" i="56"/>
  <c r="I48" i="56"/>
  <c r="I47" i="56"/>
  <c r="I46" i="56"/>
  <c r="I45" i="56"/>
  <c r="I44" i="56"/>
  <c r="I43" i="56"/>
  <c r="I42" i="56"/>
  <c r="I41" i="56"/>
  <c r="I38" i="56"/>
  <c r="I37" i="56"/>
  <c r="I36" i="56"/>
  <c r="I35" i="56"/>
  <c r="I34" i="56"/>
  <c r="I33" i="56"/>
  <c r="I32" i="56"/>
  <c r="I31" i="56"/>
  <c r="I30" i="56"/>
  <c r="I29" i="56"/>
  <c r="I28" i="56"/>
  <c r="I27" i="56"/>
  <c r="I26" i="56"/>
  <c r="I25" i="56"/>
  <c r="I24" i="56"/>
  <c r="I23" i="56"/>
  <c r="I22" i="56"/>
  <c r="K57" i="56"/>
  <c r="K56" i="56"/>
  <c r="K55" i="56"/>
  <c r="K54" i="56"/>
  <c r="K53" i="56"/>
  <c r="K52" i="56"/>
  <c r="K51" i="56"/>
  <c r="K50" i="56"/>
  <c r="K49" i="56"/>
  <c r="K48" i="56"/>
  <c r="K47" i="56"/>
  <c r="K46" i="56"/>
  <c r="K45" i="56"/>
  <c r="K44" i="56"/>
  <c r="K43" i="56"/>
  <c r="K42" i="56"/>
  <c r="K41" i="56"/>
  <c r="K38" i="56"/>
  <c r="K37" i="56"/>
  <c r="K36" i="56"/>
  <c r="K35" i="56"/>
  <c r="K34" i="56"/>
  <c r="K33" i="56"/>
  <c r="K32" i="56"/>
  <c r="K31" i="56"/>
  <c r="K30" i="56"/>
  <c r="K29" i="56"/>
  <c r="K28" i="56"/>
  <c r="K27" i="56"/>
  <c r="K26" i="56"/>
  <c r="K25" i="56"/>
  <c r="K24" i="56"/>
  <c r="K23" i="56"/>
  <c r="K22" i="56"/>
  <c r="M57" i="56"/>
  <c r="M56" i="56"/>
  <c r="M55" i="56"/>
  <c r="M54" i="56"/>
  <c r="M53" i="56"/>
  <c r="M52" i="56"/>
  <c r="M51" i="56"/>
  <c r="M50" i="56"/>
  <c r="M49" i="56"/>
  <c r="M48" i="56"/>
  <c r="M47" i="56"/>
  <c r="M46" i="56"/>
  <c r="M45" i="56"/>
  <c r="M44" i="56"/>
  <c r="M43" i="56"/>
  <c r="M42" i="56"/>
  <c r="M41" i="56"/>
  <c r="M38" i="56"/>
  <c r="M37" i="56"/>
  <c r="M36" i="56"/>
  <c r="M35" i="56"/>
  <c r="M34" i="56"/>
  <c r="M33" i="56"/>
  <c r="M32" i="56"/>
  <c r="M31" i="56"/>
  <c r="M30" i="56"/>
  <c r="M29" i="56"/>
  <c r="M28" i="56"/>
  <c r="M27" i="56"/>
  <c r="M26" i="56"/>
  <c r="M25" i="56"/>
  <c r="M24" i="56"/>
  <c r="M23" i="56"/>
  <c r="M22" i="56"/>
  <c r="O57" i="56"/>
  <c r="O56" i="56"/>
  <c r="O55" i="56"/>
  <c r="O54" i="56"/>
  <c r="O53" i="56"/>
  <c r="O52" i="56"/>
  <c r="O51" i="56"/>
  <c r="O50" i="56"/>
  <c r="O49" i="56"/>
  <c r="O48" i="56"/>
  <c r="O47" i="56"/>
  <c r="O46" i="56"/>
  <c r="O45" i="56"/>
  <c r="O44" i="56"/>
  <c r="O43" i="56"/>
  <c r="O42" i="56"/>
  <c r="O41" i="56"/>
  <c r="O38" i="56"/>
  <c r="O37" i="56"/>
  <c r="O36" i="56"/>
  <c r="O35" i="56"/>
  <c r="O34" i="56"/>
  <c r="O33" i="56"/>
  <c r="O32" i="56"/>
  <c r="O31" i="56"/>
  <c r="O30" i="56"/>
  <c r="O29" i="56"/>
  <c r="O28" i="56"/>
  <c r="O27" i="56"/>
  <c r="O26" i="56"/>
  <c r="O25" i="56"/>
  <c r="O24" i="56"/>
  <c r="O23" i="56"/>
  <c r="O22" i="56"/>
  <c r="Q57" i="56"/>
  <c r="Q56" i="56"/>
  <c r="Q55" i="56"/>
  <c r="Q54" i="56"/>
  <c r="Q53" i="56"/>
  <c r="Q52" i="56"/>
  <c r="Q51" i="56"/>
  <c r="Q50" i="56"/>
  <c r="Q49" i="56"/>
  <c r="Q48" i="56"/>
  <c r="Q47" i="56"/>
  <c r="Q46" i="56"/>
  <c r="Q45" i="56"/>
  <c r="Q44" i="56"/>
  <c r="Q43" i="56"/>
  <c r="Q42" i="56"/>
  <c r="Q41" i="56"/>
  <c r="Q38" i="56"/>
  <c r="Q37" i="56"/>
  <c r="Q36" i="56"/>
  <c r="Q35" i="56"/>
  <c r="Q34" i="56"/>
  <c r="Q33" i="56"/>
  <c r="Q32" i="56"/>
  <c r="Q31" i="56"/>
  <c r="Q30" i="56"/>
  <c r="Q29" i="56"/>
  <c r="Q28" i="56"/>
  <c r="Q27" i="56"/>
  <c r="Q26" i="56"/>
  <c r="Q25" i="56"/>
  <c r="Q24" i="56"/>
  <c r="Q23" i="56"/>
  <c r="Q22" i="56"/>
  <c r="H20" i="50"/>
  <c r="E20" i="54"/>
  <c r="I20" i="54"/>
  <c r="M20" i="54"/>
  <c r="Q20" i="54"/>
  <c r="D57" i="56"/>
  <c r="D56" i="56"/>
  <c r="D55" i="56"/>
  <c r="D54" i="56"/>
  <c r="D53" i="56"/>
  <c r="D52" i="56"/>
  <c r="D51" i="56"/>
  <c r="D50" i="56"/>
  <c r="D49" i="56"/>
  <c r="D48" i="56"/>
  <c r="D47" i="56"/>
  <c r="D46" i="56"/>
  <c r="D45" i="56"/>
  <c r="D44" i="56"/>
  <c r="D43" i="56"/>
  <c r="D42" i="56"/>
  <c r="D41" i="56"/>
  <c r="D38" i="56"/>
  <c r="D37" i="56"/>
  <c r="D36" i="56"/>
  <c r="D35" i="56"/>
  <c r="D34" i="56"/>
  <c r="D33" i="56"/>
  <c r="D32" i="56"/>
  <c r="D31" i="56"/>
  <c r="D30" i="56"/>
  <c r="D29" i="56"/>
  <c r="D28" i="56"/>
  <c r="D27" i="56"/>
  <c r="D22" i="56"/>
  <c r="D26" i="56"/>
  <c r="D25" i="56"/>
  <c r="D24" i="56"/>
  <c r="D23" i="56"/>
  <c r="F57" i="56"/>
  <c r="F56" i="56"/>
  <c r="F55" i="56"/>
  <c r="F54" i="56"/>
  <c r="F53" i="56"/>
  <c r="F52" i="56"/>
  <c r="F51" i="56"/>
  <c r="F50" i="56"/>
  <c r="F49" i="56"/>
  <c r="F48" i="56"/>
  <c r="F47" i="56"/>
  <c r="F46" i="56"/>
  <c r="F45" i="56"/>
  <c r="F44" i="56"/>
  <c r="F43" i="56"/>
  <c r="F42" i="56"/>
  <c r="F41" i="56"/>
  <c r="F38" i="56"/>
  <c r="F37" i="56"/>
  <c r="F36" i="56"/>
  <c r="F35" i="56"/>
  <c r="F34" i="56"/>
  <c r="F33" i="56"/>
  <c r="F32" i="56"/>
  <c r="F31" i="56"/>
  <c r="F30" i="56"/>
  <c r="F29" i="56"/>
  <c r="F28" i="56"/>
  <c r="F27" i="56"/>
  <c r="F26" i="56"/>
  <c r="F25" i="56"/>
  <c r="F24" i="56"/>
  <c r="F23" i="56"/>
  <c r="F22" i="56"/>
  <c r="H57" i="56"/>
  <c r="H56" i="56"/>
  <c r="H55" i="56"/>
  <c r="H54" i="56"/>
  <c r="H53" i="56"/>
  <c r="H52" i="56"/>
  <c r="H51" i="56"/>
  <c r="H50" i="56"/>
  <c r="H49" i="56"/>
  <c r="H48" i="56"/>
  <c r="H47" i="56"/>
  <c r="H46" i="56"/>
  <c r="H45" i="56"/>
  <c r="H44" i="56"/>
  <c r="H43" i="56"/>
  <c r="H42" i="56"/>
  <c r="H41" i="56"/>
  <c r="H38" i="56"/>
  <c r="H37" i="56"/>
  <c r="H36" i="56"/>
  <c r="H35" i="56"/>
  <c r="H34" i="56"/>
  <c r="H33" i="56"/>
  <c r="H32" i="56"/>
  <c r="H31" i="56"/>
  <c r="H30" i="56"/>
  <c r="H29" i="56"/>
  <c r="H28" i="56"/>
  <c r="H27" i="56"/>
  <c r="H26" i="56"/>
  <c r="H25" i="56"/>
  <c r="H24" i="56"/>
  <c r="H23" i="56"/>
  <c r="H22" i="56"/>
  <c r="J57" i="56"/>
  <c r="J56" i="56"/>
  <c r="J55" i="56"/>
  <c r="J54" i="56"/>
  <c r="J53" i="56"/>
  <c r="J52" i="56"/>
  <c r="J51" i="56"/>
  <c r="J50" i="56"/>
  <c r="J49" i="56"/>
  <c r="J48" i="56"/>
  <c r="J47" i="56"/>
  <c r="J46" i="56"/>
  <c r="J45" i="56"/>
  <c r="J44" i="56"/>
  <c r="J43" i="56"/>
  <c r="J42" i="56"/>
  <c r="J41" i="56"/>
  <c r="J38" i="56"/>
  <c r="J37" i="56"/>
  <c r="J36" i="56"/>
  <c r="J35" i="56"/>
  <c r="J34" i="56"/>
  <c r="J33" i="56"/>
  <c r="J32" i="56"/>
  <c r="J31" i="56"/>
  <c r="J30" i="56"/>
  <c r="J29" i="56"/>
  <c r="J28" i="56"/>
  <c r="J27" i="56"/>
  <c r="J26" i="56"/>
  <c r="J25" i="56"/>
  <c r="J24" i="56"/>
  <c r="J23" i="56"/>
  <c r="J22" i="56"/>
  <c r="L57" i="56"/>
  <c r="L56" i="56"/>
  <c r="L55" i="56"/>
  <c r="L54" i="56"/>
  <c r="L53" i="56"/>
  <c r="L52" i="56"/>
  <c r="L51" i="56"/>
  <c r="L50" i="56"/>
  <c r="L49" i="56"/>
  <c r="L48" i="56"/>
  <c r="L47" i="56"/>
  <c r="L46" i="56"/>
  <c r="L45" i="56"/>
  <c r="L44" i="56"/>
  <c r="L43" i="56"/>
  <c r="L42" i="56"/>
  <c r="L41" i="56"/>
  <c r="L38" i="56"/>
  <c r="L37" i="56"/>
  <c r="L36" i="56"/>
  <c r="L35" i="56"/>
  <c r="L34" i="56"/>
  <c r="L33" i="56"/>
  <c r="L32" i="56"/>
  <c r="L31" i="56"/>
  <c r="L30" i="56"/>
  <c r="L29" i="56"/>
  <c r="L28" i="56"/>
  <c r="L27" i="56"/>
  <c r="L26" i="56"/>
  <c r="L25" i="56"/>
  <c r="L24" i="56"/>
  <c r="L23" i="56"/>
  <c r="L22" i="56"/>
  <c r="N57" i="56"/>
  <c r="N56" i="56"/>
  <c r="N55" i="56"/>
  <c r="N54" i="56"/>
  <c r="N53" i="56"/>
  <c r="N52" i="56"/>
  <c r="N51" i="56"/>
  <c r="N50" i="56"/>
  <c r="N49" i="56"/>
  <c r="N48" i="56"/>
  <c r="N47" i="56"/>
  <c r="N46" i="56"/>
  <c r="N45" i="56"/>
  <c r="N44" i="56"/>
  <c r="N43" i="56"/>
  <c r="N42" i="56"/>
  <c r="N41" i="56"/>
  <c r="N38" i="56"/>
  <c r="N37" i="56"/>
  <c r="N36" i="56"/>
  <c r="N35" i="56"/>
  <c r="N34" i="56"/>
  <c r="N33" i="56"/>
  <c r="N32" i="56"/>
  <c r="N31" i="56"/>
  <c r="N30" i="56"/>
  <c r="N29" i="56"/>
  <c r="N28" i="56"/>
  <c r="N27" i="56"/>
  <c r="N26" i="56"/>
  <c r="N25" i="56"/>
  <c r="N24" i="56"/>
  <c r="N23" i="56"/>
  <c r="N22" i="56"/>
  <c r="P57" i="56"/>
  <c r="P56" i="56"/>
  <c r="P55" i="56"/>
  <c r="P54" i="56"/>
  <c r="P53" i="56"/>
  <c r="P52" i="56"/>
  <c r="P51" i="56"/>
  <c r="P50" i="56"/>
  <c r="P49" i="56"/>
  <c r="P48" i="56"/>
  <c r="P47" i="56"/>
  <c r="P46" i="56"/>
  <c r="P45" i="56"/>
  <c r="P44" i="56"/>
  <c r="P43" i="56"/>
  <c r="P42" i="56"/>
  <c r="P41" i="56"/>
  <c r="P38" i="56"/>
  <c r="P37" i="56"/>
  <c r="P36" i="56"/>
  <c r="P35" i="56"/>
  <c r="P34" i="56"/>
  <c r="P33" i="56"/>
  <c r="P32" i="56"/>
  <c r="P31" i="56"/>
  <c r="P30" i="56"/>
  <c r="P29" i="56"/>
  <c r="P28" i="56"/>
  <c r="P27" i="56"/>
  <c r="P26" i="56"/>
  <c r="P25" i="56"/>
  <c r="P24" i="56"/>
  <c r="P23" i="56"/>
  <c r="P22" i="56"/>
  <c r="B20" i="59"/>
  <c r="C20" i="54"/>
  <c r="G20" i="54"/>
  <c r="K20" i="54"/>
  <c r="O20" i="54"/>
  <c r="J20" i="54"/>
  <c r="N20" i="54"/>
  <c r="M20" i="55"/>
  <c r="Q20" i="55"/>
  <c r="B20" i="55"/>
  <c r="F20" i="55"/>
  <c r="J20" i="55"/>
  <c r="N20" i="55"/>
  <c r="R40" i="58"/>
  <c r="I20" i="50"/>
  <c r="Q20" i="50"/>
  <c r="B22" i="52"/>
  <c r="E20" i="50"/>
  <c r="M20" i="50"/>
  <c r="U20" i="50"/>
  <c r="S5" i="79"/>
  <c r="L16" i="79"/>
  <c r="D8" i="79"/>
  <c r="I10" i="79"/>
  <c r="C16" i="79"/>
  <c r="F9" i="79"/>
  <c r="K13" i="79"/>
  <c r="Q4" i="69"/>
  <c r="K4" i="69"/>
  <c r="G17" i="69"/>
  <c r="L7" i="69"/>
  <c r="H4" i="69"/>
  <c r="Q6" i="69"/>
  <c r="P9" i="69"/>
  <c r="L8" i="69"/>
  <c r="C22" i="53"/>
  <c r="H19" i="69"/>
  <c r="Q3" i="69"/>
  <c r="K13" i="69"/>
  <c r="P12" i="69"/>
  <c r="L13" i="69"/>
  <c r="C4" i="69"/>
  <c r="Q18" i="69"/>
  <c r="G12" i="69"/>
  <c r="K6" i="69"/>
  <c r="H6" i="69"/>
  <c r="Q5" i="69"/>
  <c r="Q9" i="69"/>
  <c r="K9" i="69"/>
  <c r="C8" i="69"/>
  <c r="P4" i="69"/>
  <c r="P8" i="69"/>
  <c r="C18" i="69"/>
  <c r="H10" i="69"/>
  <c r="Q11" i="69"/>
  <c r="K5" i="69"/>
  <c r="I11" i="69"/>
  <c r="C5" i="69"/>
  <c r="C11" i="69"/>
  <c r="P6" i="69"/>
  <c r="H9" i="69"/>
  <c r="P3" i="69"/>
  <c r="K10" i="69"/>
  <c r="K15" i="69"/>
  <c r="C10" i="69"/>
  <c r="K3" i="69"/>
  <c r="Q12" i="69"/>
  <c r="K12" i="69"/>
  <c r="K17" i="69"/>
  <c r="P13" i="69"/>
  <c r="F8" i="69"/>
  <c r="I20" i="52"/>
  <c r="Q14" i="69"/>
  <c r="C14" i="69"/>
  <c r="E6" i="79"/>
  <c r="H15" i="79"/>
  <c r="N9" i="79"/>
  <c r="M8" i="69"/>
  <c r="M13" i="69"/>
  <c r="E13" i="69"/>
  <c r="L3" i="69"/>
  <c r="O10" i="69"/>
  <c r="O15" i="69"/>
  <c r="G10" i="69"/>
  <c r="G15" i="69"/>
  <c r="E15" i="69"/>
  <c r="N11" i="69"/>
  <c r="N14" i="69"/>
  <c r="L14" i="69"/>
  <c r="D9" i="69"/>
  <c r="D14" i="69"/>
  <c r="E3" i="69"/>
  <c r="M14" i="69"/>
  <c r="E14" i="69"/>
  <c r="O4" i="69"/>
  <c r="M4" i="69"/>
  <c r="M16" i="69"/>
  <c r="G4" i="69"/>
  <c r="E16" i="69"/>
  <c r="N5" i="69"/>
  <c r="N17" i="69"/>
  <c r="L5" i="69"/>
  <c r="L15" i="69"/>
  <c r="F5" i="69"/>
  <c r="D5" i="69"/>
  <c r="D15" i="69"/>
  <c r="M19" i="69"/>
  <c r="E19" i="69"/>
  <c r="O6" i="69"/>
  <c r="M18" i="69"/>
  <c r="G18" i="69"/>
  <c r="E18" i="69"/>
  <c r="F7" i="69"/>
  <c r="O5" i="69"/>
  <c r="M5" i="69"/>
  <c r="G9" i="69"/>
  <c r="E9" i="69"/>
  <c r="N4" i="69"/>
  <c r="D19" i="69"/>
  <c r="O18" i="69"/>
  <c r="M6" i="69"/>
  <c r="G6" i="69"/>
  <c r="E6" i="69"/>
  <c r="N19" i="69"/>
  <c r="F17" i="69"/>
  <c r="M3" i="69"/>
  <c r="O11" i="69"/>
  <c r="G5" i="69"/>
  <c r="E11" i="69"/>
  <c r="L6" i="69"/>
  <c r="L10" i="69"/>
  <c r="D10" i="69"/>
  <c r="M24" i="76"/>
  <c r="R10" i="79"/>
  <c r="T8" i="79"/>
  <c r="U6" i="79"/>
  <c r="L5" i="79"/>
  <c r="D15" i="79"/>
  <c r="F6" i="79"/>
  <c r="H16" i="79"/>
  <c r="H10" i="79"/>
  <c r="M11" i="79"/>
  <c r="R13" i="79"/>
  <c r="R17" i="79"/>
  <c r="U13" i="79"/>
  <c r="M5" i="79"/>
  <c r="S4" i="79"/>
  <c r="S17" i="79"/>
  <c r="Q16" i="79"/>
  <c r="I11" i="79"/>
  <c r="N8" i="79"/>
  <c r="O5" i="79"/>
  <c r="P15" i="79"/>
  <c r="D4" i="79"/>
  <c r="K16" i="79"/>
  <c r="O13" i="79"/>
  <c r="K14" i="79"/>
  <c r="J16" i="79"/>
  <c r="F3" i="79"/>
  <c r="H13" i="79"/>
  <c r="D9" i="79"/>
  <c r="L7" i="79"/>
  <c r="V10" i="79"/>
  <c r="F16" i="79"/>
  <c r="P11" i="79"/>
  <c r="N13" i="79"/>
  <c r="C15" i="79"/>
  <c r="E3" i="79"/>
  <c r="I13" i="79"/>
  <c r="H17" i="79"/>
  <c r="P17" i="79"/>
  <c r="Q17" i="79"/>
  <c r="J8" i="79"/>
  <c r="V14" i="79"/>
  <c r="R11" i="79"/>
  <c r="O17" i="79"/>
  <c r="O3" i="79"/>
  <c r="U5" i="79"/>
  <c r="E9" i="79"/>
  <c r="P10" i="79"/>
  <c r="T9" i="79"/>
  <c r="T16" i="79"/>
  <c r="D7" i="79"/>
  <c r="J11" i="79"/>
  <c r="I3" i="79"/>
  <c r="S13" i="79"/>
  <c r="V7" i="79"/>
  <c r="V15" i="79"/>
  <c r="F15" i="79"/>
  <c r="C14" i="79"/>
  <c r="R3" i="79"/>
  <c r="H11" i="79"/>
  <c r="U3" i="79"/>
  <c r="M4" i="79"/>
  <c r="E5" i="79"/>
  <c r="P7" i="79"/>
  <c r="L11" i="79"/>
  <c r="L14" i="79"/>
  <c r="D16" i="79"/>
  <c r="J9" i="79"/>
  <c r="J3" i="79"/>
  <c r="Q6" i="79"/>
  <c r="Q13" i="79"/>
  <c r="I7" i="79"/>
  <c r="I15" i="79"/>
  <c r="N16" i="79"/>
  <c r="T4" i="79"/>
  <c r="K8" i="79"/>
  <c r="V4" i="79"/>
  <c r="V3" i="79"/>
  <c r="N17" i="79"/>
  <c r="F7" i="79"/>
  <c r="R6" i="79"/>
  <c r="E10" i="79"/>
  <c r="K4" i="79"/>
  <c r="I6" i="79"/>
  <c r="G4" i="79"/>
  <c r="C11" i="79"/>
  <c r="U7" i="79"/>
  <c r="M8" i="79"/>
  <c r="P4" i="79"/>
  <c r="J7" i="79"/>
  <c r="G11" i="79"/>
  <c r="R9" i="79"/>
  <c r="U15" i="79"/>
  <c r="E15" i="79"/>
  <c r="P5" i="79"/>
  <c r="K5" i="79"/>
  <c r="K9" i="79"/>
  <c r="R16" i="79"/>
  <c r="Q3" i="79"/>
  <c r="G17" i="79"/>
  <c r="R7" i="79"/>
  <c r="R5" i="79"/>
  <c r="H8" i="79"/>
  <c r="S10" i="79"/>
  <c r="T5" i="79"/>
  <c r="J15" i="79"/>
  <c r="C8" i="79"/>
  <c r="H5" i="79"/>
  <c r="H7" i="79"/>
  <c r="O8" i="79"/>
  <c r="S7" i="79"/>
  <c r="T13" i="79"/>
  <c r="D3" i="79"/>
  <c r="G9" i="79"/>
  <c r="G3" i="79"/>
  <c r="N6" i="79"/>
  <c r="E7" i="79"/>
  <c r="V11" i="79"/>
  <c r="F11" i="79"/>
  <c r="R15" i="79"/>
  <c r="V9" i="79"/>
  <c r="V16" i="79"/>
  <c r="O14" i="79"/>
  <c r="M14" i="79"/>
  <c r="S3" i="79"/>
  <c r="T11" i="79"/>
  <c r="L8" i="79"/>
  <c r="D13" i="79"/>
  <c r="Q7" i="79"/>
  <c r="G8" i="79"/>
  <c r="N10" i="79"/>
  <c r="F5" i="79"/>
  <c r="C9" i="79"/>
  <c r="M16" i="79"/>
  <c r="P8" i="79"/>
  <c r="N14" i="79"/>
  <c r="C13" i="79"/>
  <c r="O4" i="79"/>
  <c r="S8" i="79"/>
  <c r="J13" i="79"/>
  <c r="N15" i="79"/>
  <c r="M17" i="79"/>
  <c r="V50" i="79"/>
  <c r="V58" i="79"/>
  <c r="V64" i="48"/>
  <c r="N31" i="79"/>
  <c r="N39" i="79"/>
  <c r="N63" i="48"/>
  <c r="F50" i="79"/>
  <c r="F58" i="79"/>
  <c r="F64" i="48"/>
  <c r="F17" i="79"/>
  <c r="E17" i="79"/>
  <c r="L50" i="79"/>
  <c r="L58" i="79"/>
  <c r="L64" i="48"/>
  <c r="C17" i="79"/>
  <c r="H4" i="79"/>
  <c r="U10" i="79"/>
  <c r="P16" i="79"/>
  <c r="L31" i="79"/>
  <c r="L39" i="79"/>
  <c r="L63" i="48"/>
  <c r="D10" i="79"/>
  <c r="K17" i="79"/>
  <c r="I31" i="79"/>
  <c r="I39" i="79"/>
  <c r="I63" i="48"/>
  <c r="N11" i="79"/>
  <c r="F14" i="79"/>
  <c r="F10" i="79"/>
  <c r="C3" i="79"/>
  <c r="C4" i="79"/>
  <c r="C50" i="79"/>
  <c r="C58" i="79"/>
  <c r="C64" i="48"/>
  <c r="C10" i="79"/>
  <c r="R14" i="79"/>
  <c r="H6" i="79"/>
  <c r="H9" i="79"/>
  <c r="O11" i="79"/>
  <c r="O15" i="79"/>
  <c r="U14" i="79"/>
  <c r="U16" i="79"/>
  <c r="M15" i="79"/>
  <c r="E4" i="79"/>
  <c r="E16" i="79"/>
  <c r="S63" i="48"/>
  <c r="S31" i="79"/>
  <c r="S9" i="79"/>
  <c r="P14" i="79"/>
  <c r="P9" i="79"/>
  <c r="P13" i="79"/>
  <c r="T3" i="79"/>
  <c r="T17" i="79"/>
  <c r="T63" i="48"/>
  <c r="T31" i="79"/>
  <c r="T39" i="79"/>
  <c r="T14" i="79"/>
  <c r="L9" i="79"/>
  <c r="D17" i="79"/>
  <c r="D50" i="79"/>
  <c r="D58" i="79"/>
  <c r="D64" i="48"/>
  <c r="D14" i="79"/>
  <c r="K7" i="79"/>
  <c r="K10" i="79"/>
  <c r="J14" i="79"/>
  <c r="Q4" i="79"/>
  <c r="I16" i="79"/>
  <c r="I8" i="79"/>
  <c r="G15" i="79"/>
  <c r="N50" i="79"/>
  <c r="N58" i="79"/>
  <c r="N64" i="48"/>
  <c r="C31" i="79"/>
  <c r="C63" i="48"/>
  <c r="E50" i="79"/>
  <c r="E58" i="79"/>
  <c r="E64" i="48"/>
  <c r="V5" i="79"/>
  <c r="F4" i="79"/>
  <c r="M3" i="79"/>
  <c r="P63" i="48"/>
  <c r="P31" i="79"/>
  <c r="P39" i="79"/>
  <c r="L4" i="79"/>
  <c r="L17" i="79"/>
  <c r="D11" i="79"/>
  <c r="D63" i="48"/>
  <c r="D31" i="79"/>
  <c r="D39" i="79"/>
  <c r="K50" i="79"/>
  <c r="K58" i="79"/>
  <c r="K64" i="48"/>
  <c r="J4" i="79"/>
  <c r="Q15" i="79"/>
  <c r="Q31" i="79"/>
  <c r="Q63" i="48"/>
  <c r="G7" i="79"/>
  <c r="G10" i="79"/>
  <c r="G6" i="79"/>
  <c r="V8" i="79"/>
  <c r="V13" i="79"/>
  <c r="N7" i="79"/>
  <c r="N3" i="79"/>
  <c r="F8" i="79"/>
  <c r="F13" i="79"/>
  <c r="R50" i="79"/>
  <c r="R58" i="79"/>
  <c r="R64" i="48"/>
  <c r="H14" i="79"/>
  <c r="H64" i="48"/>
  <c r="H50" i="79"/>
  <c r="H58" i="79"/>
  <c r="U4" i="79"/>
  <c r="U50" i="79"/>
  <c r="U58" i="79"/>
  <c r="U64" i="48"/>
  <c r="M6" i="79"/>
  <c r="E13" i="79"/>
  <c r="S16" i="79"/>
  <c r="S50" i="79"/>
  <c r="S58" i="79"/>
  <c r="S64" i="48"/>
  <c r="P50" i="79"/>
  <c r="P58" i="79"/>
  <c r="P64" i="48"/>
  <c r="T7" i="79"/>
  <c r="L10" i="79"/>
  <c r="L13" i="79"/>
  <c r="K15" i="79"/>
  <c r="J50" i="79"/>
  <c r="J58" i="79"/>
  <c r="J64" i="48"/>
  <c r="Q8" i="79"/>
  <c r="I14" i="79"/>
  <c r="I50" i="79"/>
  <c r="I58" i="79"/>
  <c r="I64" i="48"/>
  <c r="G14" i="79"/>
  <c r="M31" i="79"/>
  <c r="M39" i="79"/>
  <c r="M63" i="48"/>
  <c r="V17" i="79"/>
  <c r="N5" i="79"/>
  <c r="R4" i="79"/>
  <c r="M10" i="79"/>
  <c r="P6" i="79"/>
  <c r="D5" i="79"/>
  <c r="K6" i="79"/>
  <c r="Q5" i="79"/>
  <c r="Q9" i="79"/>
  <c r="G13" i="79"/>
  <c r="V6" i="79"/>
  <c r="C5" i="79"/>
  <c r="C6" i="79"/>
  <c r="H3" i="79"/>
  <c r="H31" i="79"/>
  <c r="H63" i="48"/>
  <c r="O16" i="79"/>
  <c r="U9" i="79"/>
  <c r="M13" i="79"/>
  <c r="S15" i="79"/>
  <c r="S6" i="79"/>
  <c r="T10" i="79"/>
  <c r="K3" i="79"/>
  <c r="K31" i="79"/>
  <c r="K39" i="79"/>
  <c r="K63" i="48"/>
  <c r="J10" i="79"/>
  <c r="J31" i="79"/>
  <c r="J63" i="48"/>
  <c r="Q14" i="79"/>
  <c r="Q50" i="79"/>
  <c r="Q58" i="79"/>
  <c r="Q64" i="48"/>
  <c r="I9" i="79"/>
  <c r="G5" i="79"/>
  <c r="O31" i="79"/>
  <c r="O39" i="79"/>
  <c r="O63" i="48"/>
  <c r="O50" i="79"/>
  <c r="O58" i="79"/>
  <c r="O64" i="48"/>
  <c r="R31" i="79"/>
  <c r="R63" i="48"/>
  <c r="O10" i="79"/>
  <c r="O6" i="79"/>
  <c r="P3" i="79"/>
  <c r="L6" i="79"/>
  <c r="J5" i="79"/>
  <c r="Q11" i="79"/>
  <c r="V31" i="79"/>
  <c r="V63" i="48"/>
  <c r="N4" i="79"/>
  <c r="F31" i="79"/>
  <c r="F63" i="48"/>
  <c r="C7" i="79"/>
  <c r="R8" i="79"/>
  <c r="O9" i="79"/>
  <c r="O7" i="79"/>
  <c r="U11" i="79"/>
  <c r="U8" i="79"/>
  <c r="U31" i="79"/>
  <c r="U63" i="48"/>
  <c r="M50" i="79"/>
  <c r="M64" i="48"/>
  <c r="M7" i="79"/>
  <c r="M9" i="79"/>
  <c r="E14" i="79"/>
  <c r="E8" i="79"/>
  <c r="E63" i="48"/>
  <c r="E31" i="79"/>
  <c r="S14" i="79"/>
  <c r="S11" i="79"/>
  <c r="T15" i="79"/>
  <c r="T50" i="79"/>
  <c r="T58" i="79"/>
  <c r="T64" i="48"/>
  <c r="T6" i="79"/>
  <c r="L3" i="79"/>
  <c r="L15" i="79"/>
  <c r="D6" i="79"/>
  <c r="K11" i="79"/>
  <c r="J17" i="79"/>
  <c r="J6" i="79"/>
  <c r="I5" i="79"/>
  <c r="I17" i="79"/>
  <c r="I4" i="79"/>
  <c r="G31" i="79"/>
  <c r="G63" i="48"/>
  <c r="G16" i="79"/>
  <c r="G64" i="48"/>
  <c r="G50" i="79"/>
  <c r="G58" i="79"/>
  <c r="V58" i="77"/>
  <c r="C39" i="77"/>
  <c r="R20" i="77"/>
  <c r="U58" i="77"/>
  <c r="K20" i="77"/>
  <c r="J20" i="77"/>
  <c r="Q39" i="77"/>
  <c r="D20" i="77"/>
  <c r="I20" i="77"/>
  <c r="G20" i="77"/>
  <c r="C20" i="77"/>
  <c r="H58" i="77"/>
  <c r="U20" i="77"/>
  <c r="M39" i="77"/>
  <c r="T39" i="77"/>
  <c r="T58" i="77"/>
  <c r="L39" i="77"/>
  <c r="O58" i="77"/>
  <c r="S58" i="77"/>
  <c r="T20" i="77"/>
  <c r="D58" i="77"/>
  <c r="Q58" i="77"/>
  <c r="S20" i="77"/>
  <c r="E39" i="77"/>
  <c r="N58" i="77"/>
  <c r="M58" i="77"/>
  <c r="P58" i="77"/>
  <c r="V39" i="77"/>
  <c r="N20" i="77"/>
  <c r="F20" i="77"/>
  <c r="H20" i="77"/>
  <c r="P39" i="77"/>
  <c r="G39" i="77"/>
  <c r="F58" i="77"/>
  <c r="M20" i="77"/>
  <c r="E58" i="77"/>
  <c r="O20" i="77"/>
  <c r="U39" i="77"/>
  <c r="L20" i="77"/>
  <c r="K39" i="77"/>
  <c r="N39" i="77"/>
  <c r="C58" i="77"/>
  <c r="R58" i="77"/>
  <c r="H39" i="77"/>
  <c r="E20" i="77"/>
  <c r="S39" i="77"/>
  <c r="L58" i="77"/>
  <c r="D39" i="77"/>
  <c r="K58" i="77"/>
  <c r="J58" i="77"/>
  <c r="I58" i="77"/>
  <c r="G58" i="77"/>
  <c r="F39" i="77"/>
  <c r="I39" i="77"/>
  <c r="R39" i="77"/>
  <c r="J39" i="77"/>
  <c r="V20" i="77"/>
  <c r="O39" i="77"/>
  <c r="P20" i="77"/>
  <c r="Q20" i="77"/>
  <c r="M20" i="56"/>
  <c r="E20" i="56"/>
  <c r="P20" i="56"/>
  <c r="L20" i="56"/>
  <c r="H20" i="56"/>
  <c r="D20" i="56"/>
  <c r="I39" i="56"/>
  <c r="J39" i="56"/>
  <c r="O39" i="56"/>
  <c r="P39" i="56"/>
  <c r="H39" i="56"/>
  <c r="M39" i="56"/>
  <c r="E39" i="56"/>
  <c r="L39" i="56"/>
  <c r="Q39" i="56"/>
  <c r="G39" i="56"/>
  <c r="N39" i="56"/>
  <c r="F39" i="56"/>
  <c r="K39" i="56"/>
  <c r="C39" i="56"/>
  <c r="D39" i="56"/>
  <c r="V39" i="48"/>
  <c r="T39" i="48"/>
  <c r="R39" i="48"/>
  <c r="P39" i="48"/>
  <c r="U58" i="48"/>
  <c r="U39" i="48"/>
  <c r="S58" i="48"/>
  <c r="S39" i="48"/>
  <c r="O58" i="48"/>
  <c r="B38" i="52"/>
  <c r="B57" i="52"/>
  <c r="B51" i="52"/>
  <c r="B43" i="52"/>
  <c r="B53" i="52"/>
  <c r="B45" i="52"/>
  <c r="B54" i="52"/>
  <c r="B50" i="52"/>
  <c r="B46" i="52"/>
  <c r="B42" i="52"/>
  <c r="B37" i="52"/>
  <c r="B36" i="52"/>
  <c r="B35" i="52"/>
  <c r="B34" i="52"/>
  <c r="B33" i="52"/>
  <c r="B32" i="52"/>
  <c r="B31" i="52"/>
  <c r="B30" i="52"/>
  <c r="B29" i="52"/>
  <c r="B28" i="52"/>
  <c r="B27" i="52"/>
  <c r="B26" i="52"/>
  <c r="B25" i="52"/>
  <c r="B24" i="52"/>
  <c r="B23" i="52"/>
  <c r="B47" i="52"/>
  <c r="B55" i="52"/>
  <c r="B49" i="52"/>
  <c r="B56" i="52"/>
  <c r="B52" i="52"/>
  <c r="B48" i="52"/>
  <c r="B44" i="52"/>
  <c r="Q20" i="56"/>
  <c r="O20" i="56"/>
  <c r="K20" i="56"/>
  <c r="I20" i="56"/>
  <c r="G20" i="56"/>
  <c r="C20" i="56"/>
  <c r="J20" i="56"/>
  <c r="F20" i="56"/>
  <c r="P58" i="56"/>
  <c r="N58" i="56"/>
  <c r="L58" i="56"/>
  <c r="J58" i="56"/>
  <c r="H58" i="56"/>
  <c r="F58" i="56"/>
  <c r="D58" i="56"/>
  <c r="P57" i="52"/>
  <c r="P57" i="69"/>
  <c r="P56" i="52"/>
  <c r="P56" i="69"/>
  <c r="P55" i="52"/>
  <c r="P55" i="69"/>
  <c r="P54" i="52"/>
  <c r="P54" i="69"/>
  <c r="P53" i="52"/>
  <c r="P53" i="69"/>
  <c r="P41" i="52"/>
  <c r="P52" i="52"/>
  <c r="P52" i="69"/>
  <c r="P51" i="52"/>
  <c r="P51" i="69"/>
  <c r="P50" i="52"/>
  <c r="P50" i="69"/>
  <c r="P49" i="52"/>
  <c r="P49" i="69"/>
  <c r="P48" i="52"/>
  <c r="P48" i="69"/>
  <c r="P47" i="52"/>
  <c r="P47" i="69"/>
  <c r="P46" i="52"/>
  <c r="P46" i="69"/>
  <c r="P45" i="52"/>
  <c r="P45" i="69"/>
  <c r="P44" i="52"/>
  <c r="P44" i="69"/>
  <c r="P43" i="52"/>
  <c r="P43" i="69"/>
  <c r="P42" i="52"/>
  <c r="P42" i="69"/>
  <c r="P38" i="52"/>
  <c r="P38" i="69"/>
  <c r="P37" i="52"/>
  <c r="P37" i="69"/>
  <c r="P36" i="52"/>
  <c r="P36" i="69"/>
  <c r="P35" i="52"/>
  <c r="P35" i="69"/>
  <c r="P34" i="52"/>
  <c r="P34" i="69"/>
  <c r="P33" i="52"/>
  <c r="P33" i="69"/>
  <c r="P32" i="52"/>
  <c r="P32" i="69"/>
  <c r="P31" i="52"/>
  <c r="P31" i="69"/>
  <c r="P30" i="52"/>
  <c r="P30" i="69"/>
  <c r="P29" i="52"/>
  <c r="P29" i="69"/>
  <c r="P28" i="52"/>
  <c r="P28" i="69"/>
  <c r="P27" i="52"/>
  <c r="P27" i="69"/>
  <c r="P26" i="52"/>
  <c r="P26" i="69"/>
  <c r="P25" i="52"/>
  <c r="P25" i="69"/>
  <c r="P24" i="52"/>
  <c r="P24" i="69"/>
  <c r="P23" i="52"/>
  <c r="P23" i="69"/>
  <c r="P22" i="52"/>
  <c r="N41" i="52"/>
  <c r="N57" i="52"/>
  <c r="N57" i="69"/>
  <c r="N56" i="52"/>
  <c r="N56" i="69"/>
  <c r="N55" i="52"/>
  <c r="N55" i="69"/>
  <c r="N54" i="52"/>
  <c r="N54" i="69"/>
  <c r="N53" i="52"/>
  <c r="N53" i="69"/>
  <c r="N52" i="52"/>
  <c r="N52" i="69"/>
  <c r="N51" i="52"/>
  <c r="N51" i="69"/>
  <c r="N50" i="52"/>
  <c r="N50" i="69"/>
  <c r="N49" i="52"/>
  <c r="N49" i="69"/>
  <c r="N48" i="52"/>
  <c r="N48" i="69"/>
  <c r="N47" i="52"/>
  <c r="N47" i="69"/>
  <c r="N46" i="52"/>
  <c r="N46" i="69"/>
  <c r="N45" i="52"/>
  <c r="N45" i="69"/>
  <c r="N44" i="52"/>
  <c r="N44" i="69"/>
  <c r="N43" i="52"/>
  <c r="N43" i="69"/>
  <c r="N42" i="52"/>
  <c r="N42" i="69"/>
  <c r="N38" i="52"/>
  <c r="N38" i="69"/>
  <c r="N37" i="52"/>
  <c r="N37" i="69"/>
  <c r="N36" i="52"/>
  <c r="N36" i="69"/>
  <c r="N35" i="52"/>
  <c r="N35" i="69"/>
  <c r="N34" i="52"/>
  <c r="N34" i="69"/>
  <c r="N33" i="52"/>
  <c r="N33" i="69"/>
  <c r="N32" i="52"/>
  <c r="N32" i="69"/>
  <c r="N31" i="52"/>
  <c r="N31" i="69"/>
  <c r="N30" i="52"/>
  <c r="N30" i="69"/>
  <c r="N29" i="52"/>
  <c r="N29" i="69"/>
  <c r="N28" i="52"/>
  <c r="N28" i="69"/>
  <c r="N27" i="52"/>
  <c r="N27" i="69"/>
  <c r="N26" i="52"/>
  <c r="N26" i="69"/>
  <c r="N25" i="52"/>
  <c r="N25" i="69"/>
  <c r="N24" i="52"/>
  <c r="N24" i="69"/>
  <c r="N23" i="52"/>
  <c r="N23" i="69"/>
  <c r="N22" i="52"/>
  <c r="L57" i="52"/>
  <c r="L57" i="69"/>
  <c r="L56" i="52"/>
  <c r="L56" i="69"/>
  <c r="L55" i="52"/>
  <c r="L55" i="69"/>
  <c r="L54" i="52"/>
  <c r="L54" i="69"/>
  <c r="L53" i="52"/>
  <c r="L53" i="69"/>
  <c r="L41" i="52"/>
  <c r="L52" i="52"/>
  <c r="L52" i="69"/>
  <c r="L51" i="52"/>
  <c r="L51" i="69"/>
  <c r="L50" i="52"/>
  <c r="L50" i="69"/>
  <c r="L49" i="52"/>
  <c r="L49" i="69"/>
  <c r="L48" i="52"/>
  <c r="L48" i="69"/>
  <c r="L47" i="52"/>
  <c r="L47" i="69"/>
  <c r="L46" i="52"/>
  <c r="L46" i="69"/>
  <c r="L45" i="52"/>
  <c r="L45" i="69"/>
  <c r="L44" i="52"/>
  <c r="L44" i="69"/>
  <c r="L43" i="52"/>
  <c r="L43" i="69"/>
  <c r="L42" i="52"/>
  <c r="L42" i="69"/>
  <c r="L38" i="52"/>
  <c r="L38" i="69"/>
  <c r="L37" i="52"/>
  <c r="L37" i="69"/>
  <c r="L36" i="52"/>
  <c r="L36" i="69"/>
  <c r="L35" i="52"/>
  <c r="L35" i="69"/>
  <c r="L34" i="52"/>
  <c r="L34" i="69"/>
  <c r="L33" i="52"/>
  <c r="L33" i="69"/>
  <c r="L32" i="52"/>
  <c r="L32" i="69"/>
  <c r="L31" i="52"/>
  <c r="L31" i="69"/>
  <c r="L30" i="52"/>
  <c r="L30" i="69"/>
  <c r="L29" i="52"/>
  <c r="L29" i="69"/>
  <c r="L28" i="52"/>
  <c r="L28" i="69"/>
  <c r="L27" i="52"/>
  <c r="L27" i="69"/>
  <c r="L26" i="52"/>
  <c r="L26" i="69"/>
  <c r="L25" i="52"/>
  <c r="L25" i="69"/>
  <c r="L24" i="52"/>
  <c r="L24" i="69"/>
  <c r="L23" i="52"/>
  <c r="L23" i="69"/>
  <c r="L22" i="52"/>
  <c r="J41" i="52"/>
  <c r="J57" i="52"/>
  <c r="J57" i="69"/>
  <c r="J56" i="52"/>
  <c r="J56" i="69"/>
  <c r="J55" i="52"/>
  <c r="J55" i="69"/>
  <c r="J54" i="52"/>
  <c r="J54" i="69"/>
  <c r="J53" i="52"/>
  <c r="J53" i="69"/>
  <c r="J52" i="52"/>
  <c r="J52" i="69"/>
  <c r="J51" i="52"/>
  <c r="J51" i="69"/>
  <c r="J50" i="52"/>
  <c r="J50" i="69"/>
  <c r="J49" i="52"/>
  <c r="J49" i="69"/>
  <c r="J48" i="52"/>
  <c r="J48" i="69"/>
  <c r="J47" i="52"/>
  <c r="J47" i="69"/>
  <c r="J46" i="52"/>
  <c r="J46" i="69"/>
  <c r="J45" i="52"/>
  <c r="J45" i="69"/>
  <c r="J44" i="52"/>
  <c r="J44" i="69"/>
  <c r="J43" i="52"/>
  <c r="J43" i="69"/>
  <c r="J42" i="52"/>
  <c r="J42" i="69"/>
  <c r="J38" i="52"/>
  <c r="J38" i="69"/>
  <c r="J37" i="52"/>
  <c r="J37" i="69"/>
  <c r="J36" i="52"/>
  <c r="J36" i="69"/>
  <c r="J35" i="52"/>
  <c r="J35" i="69"/>
  <c r="J34" i="52"/>
  <c r="J34" i="69"/>
  <c r="J33" i="52"/>
  <c r="J33" i="69"/>
  <c r="J32" i="52"/>
  <c r="J32" i="69"/>
  <c r="J31" i="52"/>
  <c r="J31" i="69"/>
  <c r="J30" i="52"/>
  <c r="J30" i="69"/>
  <c r="J29" i="52"/>
  <c r="J29" i="69"/>
  <c r="J28" i="52"/>
  <c r="J28" i="69"/>
  <c r="J27" i="52"/>
  <c r="J27" i="69"/>
  <c r="J26" i="52"/>
  <c r="J26" i="69"/>
  <c r="J25" i="52"/>
  <c r="J25" i="69"/>
  <c r="J24" i="52"/>
  <c r="J24" i="69"/>
  <c r="J23" i="52"/>
  <c r="J23" i="69"/>
  <c r="J22" i="52"/>
  <c r="J20" i="52"/>
  <c r="H57" i="52"/>
  <c r="H57" i="69"/>
  <c r="H56" i="52"/>
  <c r="H56" i="69"/>
  <c r="H55" i="52"/>
  <c r="H55" i="69"/>
  <c r="H54" i="52"/>
  <c r="H54" i="69"/>
  <c r="H53" i="52"/>
  <c r="H53" i="69"/>
  <c r="H41" i="52"/>
  <c r="H52" i="52"/>
  <c r="H52" i="69"/>
  <c r="H51" i="52"/>
  <c r="H51" i="69"/>
  <c r="H50" i="52"/>
  <c r="H50" i="69"/>
  <c r="H49" i="52"/>
  <c r="H49" i="69"/>
  <c r="H48" i="52"/>
  <c r="H48" i="69"/>
  <c r="H47" i="52"/>
  <c r="H47" i="69"/>
  <c r="H46" i="52"/>
  <c r="H46" i="69"/>
  <c r="H45" i="52"/>
  <c r="H45" i="69"/>
  <c r="H44" i="52"/>
  <c r="H44" i="69"/>
  <c r="H43" i="52"/>
  <c r="H43" i="69"/>
  <c r="H42" i="52"/>
  <c r="H42" i="69"/>
  <c r="H38" i="52"/>
  <c r="H38" i="69"/>
  <c r="H37" i="52"/>
  <c r="H37" i="69"/>
  <c r="H36" i="52"/>
  <c r="H36" i="69"/>
  <c r="H35" i="52"/>
  <c r="H35" i="69"/>
  <c r="H34" i="52"/>
  <c r="H34" i="69"/>
  <c r="H33" i="52"/>
  <c r="H33" i="69"/>
  <c r="H32" i="52"/>
  <c r="H32" i="69"/>
  <c r="H31" i="52"/>
  <c r="H31" i="69"/>
  <c r="H30" i="52"/>
  <c r="H30" i="69"/>
  <c r="H29" i="52"/>
  <c r="H29" i="69"/>
  <c r="H28" i="52"/>
  <c r="H28" i="69"/>
  <c r="H27" i="52"/>
  <c r="H27" i="69"/>
  <c r="H26" i="52"/>
  <c r="H26" i="69"/>
  <c r="H25" i="52"/>
  <c r="H25" i="69"/>
  <c r="H24" i="52"/>
  <c r="H24" i="69"/>
  <c r="H23" i="52"/>
  <c r="H23" i="69"/>
  <c r="H22" i="52"/>
  <c r="F41" i="52"/>
  <c r="F57" i="52"/>
  <c r="F57" i="69"/>
  <c r="F56" i="52"/>
  <c r="F56" i="69"/>
  <c r="F55" i="52"/>
  <c r="F55" i="69"/>
  <c r="F54" i="52"/>
  <c r="F54" i="69"/>
  <c r="F53" i="52"/>
  <c r="F53" i="69"/>
  <c r="F52" i="52"/>
  <c r="F52" i="69"/>
  <c r="F51" i="52"/>
  <c r="F51" i="69"/>
  <c r="F50" i="52"/>
  <c r="F50" i="69"/>
  <c r="F49" i="52"/>
  <c r="F49" i="69"/>
  <c r="F48" i="52"/>
  <c r="F48" i="69"/>
  <c r="F47" i="52"/>
  <c r="F47" i="69"/>
  <c r="F46" i="52"/>
  <c r="F46" i="69"/>
  <c r="F45" i="52"/>
  <c r="F45" i="69"/>
  <c r="F44" i="52"/>
  <c r="F44" i="69"/>
  <c r="F43" i="52"/>
  <c r="F43" i="69"/>
  <c r="F42" i="52"/>
  <c r="F42" i="69"/>
  <c r="F38" i="52"/>
  <c r="F38" i="69"/>
  <c r="F37" i="52"/>
  <c r="F37" i="69"/>
  <c r="F36" i="52"/>
  <c r="F36" i="69"/>
  <c r="F35" i="52"/>
  <c r="F35" i="69"/>
  <c r="F34" i="52"/>
  <c r="F34" i="69"/>
  <c r="F33" i="52"/>
  <c r="F33" i="69"/>
  <c r="F32" i="52"/>
  <c r="F32" i="69"/>
  <c r="F31" i="52"/>
  <c r="F31" i="69"/>
  <c r="F30" i="52"/>
  <c r="F30" i="69"/>
  <c r="F29" i="52"/>
  <c r="F29" i="69"/>
  <c r="F28" i="52"/>
  <c r="F28" i="69"/>
  <c r="F27" i="52"/>
  <c r="F27" i="69"/>
  <c r="F26" i="52"/>
  <c r="F26" i="69"/>
  <c r="F25" i="52"/>
  <c r="F25" i="69"/>
  <c r="F24" i="52"/>
  <c r="F24" i="69"/>
  <c r="F23" i="52"/>
  <c r="F23" i="69"/>
  <c r="F22" i="52"/>
  <c r="D57" i="52"/>
  <c r="D57" i="69"/>
  <c r="D56" i="52"/>
  <c r="D56" i="69"/>
  <c r="D55" i="52"/>
  <c r="D55" i="69"/>
  <c r="D54" i="52"/>
  <c r="D54" i="69"/>
  <c r="D53" i="52"/>
  <c r="D53" i="69"/>
  <c r="D41" i="52"/>
  <c r="D52" i="52"/>
  <c r="D52" i="69"/>
  <c r="D51" i="52"/>
  <c r="D51" i="69"/>
  <c r="D50" i="52"/>
  <c r="D50" i="69"/>
  <c r="D49" i="52"/>
  <c r="D49" i="69"/>
  <c r="D48" i="52"/>
  <c r="D48" i="69"/>
  <c r="D47" i="52"/>
  <c r="D47" i="69"/>
  <c r="D46" i="52"/>
  <c r="D46" i="69"/>
  <c r="D45" i="52"/>
  <c r="D45" i="69"/>
  <c r="D44" i="52"/>
  <c r="D44" i="69"/>
  <c r="D43" i="52"/>
  <c r="D43" i="69"/>
  <c r="D42" i="52"/>
  <c r="D42" i="69"/>
  <c r="D38" i="52"/>
  <c r="D38" i="69"/>
  <c r="D37" i="52"/>
  <c r="D37" i="69"/>
  <c r="D36" i="52"/>
  <c r="D36" i="69"/>
  <c r="D35" i="52"/>
  <c r="D35" i="69"/>
  <c r="D34" i="52"/>
  <c r="D34" i="69"/>
  <c r="D33" i="52"/>
  <c r="D33" i="69"/>
  <c r="D32" i="52"/>
  <c r="D32" i="69"/>
  <c r="D31" i="52"/>
  <c r="D31" i="69"/>
  <c r="D30" i="52"/>
  <c r="D30" i="69"/>
  <c r="D29" i="52"/>
  <c r="D29" i="69"/>
  <c r="D28" i="52"/>
  <c r="D28" i="69"/>
  <c r="D27" i="52"/>
  <c r="D27" i="69"/>
  <c r="D26" i="52"/>
  <c r="D26" i="69"/>
  <c r="D25" i="52"/>
  <c r="D25" i="69"/>
  <c r="D24" i="52"/>
  <c r="D24" i="69"/>
  <c r="D23" i="52"/>
  <c r="D23" i="69"/>
  <c r="D22" i="52"/>
  <c r="Q58" i="48"/>
  <c r="Q39" i="48"/>
  <c r="M58" i="48"/>
  <c r="M39" i="48"/>
  <c r="G58" i="48"/>
  <c r="G39" i="48"/>
  <c r="C58" i="48"/>
  <c r="C39" i="48"/>
  <c r="Q58" i="56"/>
  <c r="O58" i="56"/>
  <c r="M58" i="56"/>
  <c r="K58" i="56"/>
  <c r="I58" i="56"/>
  <c r="G58" i="56"/>
  <c r="E58" i="56"/>
  <c r="C58" i="56"/>
  <c r="B41" i="52"/>
  <c r="Q57" i="52"/>
  <c r="Q57" i="69"/>
  <c r="Q56" i="52"/>
  <c r="Q56" i="69"/>
  <c r="Q55" i="52"/>
  <c r="Q55" i="69"/>
  <c r="Q54" i="52"/>
  <c r="Q54" i="69"/>
  <c r="Q53" i="52"/>
  <c r="Q53" i="69"/>
  <c r="Q52" i="52"/>
  <c r="Q52" i="69"/>
  <c r="Q51" i="52"/>
  <c r="Q51" i="69"/>
  <c r="Q50" i="52"/>
  <c r="Q50" i="69"/>
  <c r="Q49" i="52"/>
  <c r="Q49" i="69"/>
  <c r="Q48" i="52"/>
  <c r="Q48" i="69"/>
  <c r="Q47" i="52"/>
  <c r="Q47" i="69"/>
  <c r="Q46" i="52"/>
  <c r="Q46" i="69"/>
  <c r="Q45" i="52"/>
  <c r="Q45" i="69"/>
  <c r="Q44" i="52"/>
  <c r="Q44" i="69"/>
  <c r="Q43" i="52"/>
  <c r="Q43" i="69"/>
  <c r="Q42" i="52"/>
  <c r="Q42" i="69"/>
  <c r="Q38" i="52"/>
  <c r="Q38" i="69"/>
  <c r="Q37" i="52"/>
  <c r="Q37" i="69"/>
  <c r="Q36" i="52"/>
  <c r="Q36" i="69"/>
  <c r="Q35" i="52"/>
  <c r="Q35" i="69"/>
  <c r="Q34" i="52"/>
  <c r="Q34" i="69"/>
  <c r="Q33" i="52"/>
  <c r="Q33" i="69"/>
  <c r="Q32" i="52"/>
  <c r="Q32" i="69"/>
  <c r="Q31" i="52"/>
  <c r="Q31" i="69"/>
  <c r="Q30" i="52"/>
  <c r="Q30" i="69"/>
  <c r="Q29" i="52"/>
  <c r="Q29" i="69"/>
  <c r="Q28" i="52"/>
  <c r="Q28" i="69"/>
  <c r="Q27" i="52"/>
  <c r="Q27" i="69"/>
  <c r="Q26" i="52"/>
  <c r="Q26" i="69"/>
  <c r="Q25" i="52"/>
  <c r="Q25" i="69"/>
  <c r="Q24" i="52"/>
  <c r="Q24" i="69"/>
  <c r="Q23" i="52"/>
  <c r="Q23" i="69"/>
  <c r="Q22" i="52"/>
  <c r="Q41" i="52"/>
  <c r="O57" i="52"/>
  <c r="O57" i="69"/>
  <c r="O56" i="52"/>
  <c r="O56" i="69"/>
  <c r="O55" i="52"/>
  <c r="O55" i="69"/>
  <c r="O54" i="52"/>
  <c r="O54" i="69"/>
  <c r="O53" i="52"/>
  <c r="O53" i="69"/>
  <c r="O52" i="52"/>
  <c r="O52" i="69"/>
  <c r="O51" i="52"/>
  <c r="O51" i="69"/>
  <c r="O50" i="52"/>
  <c r="O50" i="69"/>
  <c r="O49" i="52"/>
  <c r="O49" i="69"/>
  <c r="O48" i="52"/>
  <c r="O48" i="69"/>
  <c r="O47" i="52"/>
  <c r="O47" i="69"/>
  <c r="O46" i="52"/>
  <c r="O46" i="69"/>
  <c r="O45" i="52"/>
  <c r="O45" i="69"/>
  <c r="O44" i="52"/>
  <c r="O44" i="69"/>
  <c r="O43" i="52"/>
  <c r="O43" i="69"/>
  <c r="O42" i="52"/>
  <c r="O42" i="69"/>
  <c r="O38" i="52"/>
  <c r="O38" i="69"/>
  <c r="O37" i="52"/>
  <c r="O37" i="69"/>
  <c r="O36" i="52"/>
  <c r="O36" i="69"/>
  <c r="O35" i="52"/>
  <c r="O35" i="69"/>
  <c r="O34" i="52"/>
  <c r="O34" i="69"/>
  <c r="O33" i="52"/>
  <c r="O33" i="69"/>
  <c r="O32" i="52"/>
  <c r="O32" i="69"/>
  <c r="O31" i="52"/>
  <c r="O31" i="69"/>
  <c r="O30" i="52"/>
  <c r="O30" i="69"/>
  <c r="O29" i="52"/>
  <c r="O29" i="69"/>
  <c r="O28" i="52"/>
  <c r="O28" i="69"/>
  <c r="O27" i="52"/>
  <c r="O27" i="69"/>
  <c r="O26" i="52"/>
  <c r="O26" i="69"/>
  <c r="O25" i="52"/>
  <c r="O25" i="69"/>
  <c r="O24" i="52"/>
  <c r="O24" i="69"/>
  <c r="O23" i="52"/>
  <c r="O23" i="69"/>
  <c r="O22" i="52"/>
  <c r="O41" i="52"/>
  <c r="M57" i="52"/>
  <c r="M57" i="69"/>
  <c r="M56" i="52"/>
  <c r="M56" i="69"/>
  <c r="M55" i="52"/>
  <c r="M55" i="69"/>
  <c r="M54" i="52"/>
  <c r="M54" i="69"/>
  <c r="M53" i="52"/>
  <c r="M53" i="69"/>
  <c r="M52" i="52"/>
  <c r="M52" i="69"/>
  <c r="M51" i="52"/>
  <c r="M51" i="69"/>
  <c r="M50" i="52"/>
  <c r="M50" i="69"/>
  <c r="M49" i="52"/>
  <c r="M49" i="69"/>
  <c r="M48" i="52"/>
  <c r="M48" i="69"/>
  <c r="M47" i="52"/>
  <c r="M47" i="69"/>
  <c r="M46" i="52"/>
  <c r="M46" i="69"/>
  <c r="M45" i="52"/>
  <c r="M45" i="69"/>
  <c r="M44" i="52"/>
  <c r="M44" i="69"/>
  <c r="M43" i="52"/>
  <c r="M43" i="69"/>
  <c r="M42" i="52"/>
  <c r="M42" i="69"/>
  <c r="M38" i="52"/>
  <c r="M38" i="69"/>
  <c r="M37" i="52"/>
  <c r="M37" i="69"/>
  <c r="M36" i="52"/>
  <c r="M36" i="69"/>
  <c r="M35" i="52"/>
  <c r="M35" i="69"/>
  <c r="M34" i="52"/>
  <c r="M34" i="69"/>
  <c r="M33" i="52"/>
  <c r="M33" i="69"/>
  <c r="M32" i="52"/>
  <c r="M32" i="69"/>
  <c r="M31" i="52"/>
  <c r="M31" i="69"/>
  <c r="M30" i="52"/>
  <c r="M30" i="69"/>
  <c r="M29" i="52"/>
  <c r="M29" i="69"/>
  <c r="M28" i="52"/>
  <c r="M28" i="69"/>
  <c r="M27" i="52"/>
  <c r="M27" i="69"/>
  <c r="M26" i="52"/>
  <c r="M26" i="69"/>
  <c r="M25" i="52"/>
  <c r="M25" i="69"/>
  <c r="M24" i="52"/>
  <c r="M24" i="69"/>
  <c r="M23" i="52"/>
  <c r="M23" i="69"/>
  <c r="M22" i="52"/>
  <c r="M41" i="52"/>
  <c r="K57" i="52"/>
  <c r="K57" i="69"/>
  <c r="K56" i="52"/>
  <c r="K56" i="69"/>
  <c r="K55" i="52"/>
  <c r="K55" i="69"/>
  <c r="K54" i="52"/>
  <c r="K54" i="69"/>
  <c r="K53" i="52"/>
  <c r="K53" i="69"/>
  <c r="K52" i="52"/>
  <c r="K52" i="69"/>
  <c r="K51" i="52"/>
  <c r="K51" i="69"/>
  <c r="K50" i="52"/>
  <c r="K50" i="69"/>
  <c r="K49" i="52"/>
  <c r="K49" i="69"/>
  <c r="K48" i="52"/>
  <c r="K48" i="69"/>
  <c r="K47" i="52"/>
  <c r="K47" i="69"/>
  <c r="K46" i="52"/>
  <c r="K46" i="69"/>
  <c r="K45" i="52"/>
  <c r="K45" i="69"/>
  <c r="K44" i="52"/>
  <c r="K44" i="69"/>
  <c r="K43" i="52"/>
  <c r="K43" i="69"/>
  <c r="K42" i="52"/>
  <c r="K42" i="69"/>
  <c r="K38" i="52"/>
  <c r="K38" i="69"/>
  <c r="K37" i="52"/>
  <c r="K37" i="69"/>
  <c r="K36" i="52"/>
  <c r="K36" i="69"/>
  <c r="K35" i="52"/>
  <c r="K35" i="69"/>
  <c r="K34" i="52"/>
  <c r="K34" i="69"/>
  <c r="K33" i="52"/>
  <c r="K33" i="69"/>
  <c r="K32" i="52"/>
  <c r="K32" i="69"/>
  <c r="K31" i="52"/>
  <c r="K31" i="69"/>
  <c r="K30" i="52"/>
  <c r="K30" i="69"/>
  <c r="K29" i="52"/>
  <c r="K29" i="69"/>
  <c r="K28" i="52"/>
  <c r="K28" i="69"/>
  <c r="K27" i="52"/>
  <c r="K27" i="69"/>
  <c r="K26" i="52"/>
  <c r="K26" i="69"/>
  <c r="K25" i="52"/>
  <c r="K25" i="69"/>
  <c r="K24" i="52"/>
  <c r="K24" i="69"/>
  <c r="K23" i="52"/>
  <c r="K23" i="69"/>
  <c r="K22" i="52"/>
  <c r="K41" i="52"/>
  <c r="I57" i="52"/>
  <c r="I57" i="69"/>
  <c r="I56" i="52"/>
  <c r="I56" i="69"/>
  <c r="I55" i="52"/>
  <c r="I55" i="69"/>
  <c r="I54" i="52"/>
  <c r="I54" i="69"/>
  <c r="I53" i="52"/>
  <c r="I53" i="69"/>
  <c r="I52" i="52"/>
  <c r="I52" i="69"/>
  <c r="I51" i="52"/>
  <c r="I51" i="69"/>
  <c r="I50" i="52"/>
  <c r="I50" i="69"/>
  <c r="I49" i="52"/>
  <c r="I49" i="69"/>
  <c r="I48" i="52"/>
  <c r="I48" i="69"/>
  <c r="I47" i="52"/>
  <c r="I47" i="69"/>
  <c r="I46" i="52"/>
  <c r="I46" i="69"/>
  <c r="I45" i="52"/>
  <c r="I45" i="69"/>
  <c r="I44" i="52"/>
  <c r="I44" i="69"/>
  <c r="I43" i="52"/>
  <c r="I43" i="69"/>
  <c r="I42" i="52"/>
  <c r="I42" i="69"/>
  <c r="I38" i="52"/>
  <c r="I38" i="69"/>
  <c r="I37" i="52"/>
  <c r="I37" i="69"/>
  <c r="I36" i="52"/>
  <c r="I36" i="69"/>
  <c r="I35" i="52"/>
  <c r="I35" i="69"/>
  <c r="I34" i="52"/>
  <c r="I34" i="69"/>
  <c r="I33" i="52"/>
  <c r="I33" i="69"/>
  <c r="I32" i="52"/>
  <c r="I32" i="69"/>
  <c r="I31" i="52"/>
  <c r="I31" i="69"/>
  <c r="I30" i="52"/>
  <c r="I30" i="69"/>
  <c r="I29" i="52"/>
  <c r="I29" i="69"/>
  <c r="I28" i="52"/>
  <c r="I28" i="69"/>
  <c r="I27" i="52"/>
  <c r="I27" i="69"/>
  <c r="I26" i="52"/>
  <c r="I26" i="69"/>
  <c r="I25" i="52"/>
  <c r="I25" i="69"/>
  <c r="I24" i="52"/>
  <c r="I24" i="69"/>
  <c r="I23" i="52"/>
  <c r="I23" i="69"/>
  <c r="I22" i="52"/>
  <c r="I41" i="52"/>
  <c r="G57" i="52"/>
  <c r="G57" i="69"/>
  <c r="G56" i="52"/>
  <c r="G56" i="69"/>
  <c r="G55" i="52"/>
  <c r="G55" i="69"/>
  <c r="G54" i="52"/>
  <c r="G54" i="69"/>
  <c r="G53" i="52"/>
  <c r="G53" i="69"/>
  <c r="G52" i="52"/>
  <c r="G52" i="69"/>
  <c r="G51" i="52"/>
  <c r="G51" i="69"/>
  <c r="G50" i="52"/>
  <c r="G50" i="69"/>
  <c r="G49" i="52"/>
  <c r="G49" i="69"/>
  <c r="G48" i="52"/>
  <c r="G48" i="69"/>
  <c r="G47" i="52"/>
  <c r="G47" i="69"/>
  <c r="G46" i="52"/>
  <c r="G46" i="69"/>
  <c r="G45" i="52"/>
  <c r="G45" i="69"/>
  <c r="G44" i="52"/>
  <c r="G44" i="69"/>
  <c r="G43" i="52"/>
  <c r="G43" i="69"/>
  <c r="G42" i="52"/>
  <c r="G42" i="69"/>
  <c r="G38" i="52"/>
  <c r="G38" i="69"/>
  <c r="G37" i="52"/>
  <c r="G37" i="69"/>
  <c r="G36" i="52"/>
  <c r="G36" i="69"/>
  <c r="G35" i="52"/>
  <c r="G35" i="69"/>
  <c r="G34" i="52"/>
  <c r="G34" i="69"/>
  <c r="G33" i="52"/>
  <c r="G33" i="69"/>
  <c r="G32" i="52"/>
  <c r="G32" i="69"/>
  <c r="G31" i="52"/>
  <c r="G31" i="69"/>
  <c r="G30" i="52"/>
  <c r="G30" i="69"/>
  <c r="G29" i="52"/>
  <c r="G29" i="69"/>
  <c r="G28" i="52"/>
  <c r="G28" i="69"/>
  <c r="G27" i="52"/>
  <c r="G27" i="69"/>
  <c r="G26" i="52"/>
  <c r="G26" i="69"/>
  <c r="G25" i="52"/>
  <c r="G25" i="69"/>
  <c r="G24" i="52"/>
  <c r="G24" i="69"/>
  <c r="G23" i="52"/>
  <c r="G23" i="69"/>
  <c r="G22" i="52"/>
  <c r="G41" i="52"/>
  <c r="E57" i="52"/>
  <c r="E57" i="69"/>
  <c r="E56" i="52"/>
  <c r="E56" i="69"/>
  <c r="E55" i="52"/>
  <c r="E55" i="69"/>
  <c r="E54" i="52"/>
  <c r="E54" i="69"/>
  <c r="E53" i="52"/>
  <c r="E53" i="69"/>
  <c r="E52" i="52"/>
  <c r="E52" i="69"/>
  <c r="E51" i="52"/>
  <c r="E51" i="69"/>
  <c r="E50" i="52"/>
  <c r="E50" i="69"/>
  <c r="E49" i="52"/>
  <c r="E49" i="69"/>
  <c r="E48" i="52"/>
  <c r="E48" i="69"/>
  <c r="E47" i="52"/>
  <c r="E47" i="69"/>
  <c r="E46" i="52"/>
  <c r="E46" i="69"/>
  <c r="E45" i="52"/>
  <c r="E45" i="69"/>
  <c r="E44" i="52"/>
  <c r="E44" i="69"/>
  <c r="E43" i="52"/>
  <c r="E43" i="69"/>
  <c r="E42" i="52"/>
  <c r="E42" i="69"/>
  <c r="E38" i="52"/>
  <c r="E38" i="69"/>
  <c r="E37" i="52"/>
  <c r="E37" i="69"/>
  <c r="E36" i="52"/>
  <c r="E36" i="69"/>
  <c r="E35" i="52"/>
  <c r="E35" i="69"/>
  <c r="E34" i="52"/>
  <c r="E34" i="69"/>
  <c r="E33" i="52"/>
  <c r="E33" i="69"/>
  <c r="E32" i="52"/>
  <c r="E32" i="69"/>
  <c r="E31" i="52"/>
  <c r="E31" i="69"/>
  <c r="E30" i="52"/>
  <c r="E30" i="69"/>
  <c r="E29" i="52"/>
  <c r="E29" i="69"/>
  <c r="E28" i="52"/>
  <c r="E28" i="69"/>
  <c r="E27" i="52"/>
  <c r="E27" i="69"/>
  <c r="E26" i="52"/>
  <c r="E26" i="69"/>
  <c r="E25" i="52"/>
  <c r="E25" i="69"/>
  <c r="E24" i="52"/>
  <c r="E24" i="69"/>
  <c r="E23" i="52"/>
  <c r="E23" i="69"/>
  <c r="E22" i="52"/>
  <c r="E41" i="52"/>
  <c r="C57" i="52"/>
  <c r="C57" i="69"/>
  <c r="C56" i="52"/>
  <c r="C56" i="69"/>
  <c r="C55" i="52"/>
  <c r="C55" i="69"/>
  <c r="C54" i="52"/>
  <c r="C54" i="69"/>
  <c r="C53" i="52"/>
  <c r="C53" i="69"/>
  <c r="C52" i="52"/>
  <c r="C52" i="69"/>
  <c r="C51" i="52"/>
  <c r="C51" i="69"/>
  <c r="C50" i="52"/>
  <c r="C50" i="69"/>
  <c r="C49" i="52"/>
  <c r="C49" i="69"/>
  <c r="C48" i="52"/>
  <c r="C48" i="69"/>
  <c r="C47" i="52"/>
  <c r="C47" i="69"/>
  <c r="C46" i="52"/>
  <c r="C46" i="69"/>
  <c r="C45" i="52"/>
  <c r="C45" i="69"/>
  <c r="C44" i="52"/>
  <c r="C44" i="69"/>
  <c r="C43" i="52"/>
  <c r="C43" i="69"/>
  <c r="C42" i="52"/>
  <c r="C42" i="69"/>
  <c r="C38" i="52"/>
  <c r="C38" i="69"/>
  <c r="C37" i="52"/>
  <c r="C37" i="69"/>
  <c r="C36" i="52"/>
  <c r="C36" i="69"/>
  <c r="C35" i="52"/>
  <c r="C35" i="69"/>
  <c r="C34" i="52"/>
  <c r="C34" i="69"/>
  <c r="C33" i="52"/>
  <c r="C33" i="69"/>
  <c r="C32" i="52"/>
  <c r="C32" i="69"/>
  <c r="C31" i="52"/>
  <c r="C31" i="69"/>
  <c r="C30" i="52"/>
  <c r="C30" i="69"/>
  <c r="C29" i="52"/>
  <c r="C29" i="69"/>
  <c r="C28" i="52"/>
  <c r="C28" i="69"/>
  <c r="C27" i="52"/>
  <c r="C27" i="69"/>
  <c r="C26" i="52"/>
  <c r="C26" i="69"/>
  <c r="C25" i="52"/>
  <c r="C25" i="69"/>
  <c r="C24" i="52"/>
  <c r="C24" i="69"/>
  <c r="C23" i="52"/>
  <c r="C23" i="69"/>
  <c r="C22" i="52"/>
  <c r="C41" i="52"/>
  <c r="V58" i="48"/>
  <c r="T58" i="48"/>
  <c r="R58" i="48"/>
  <c r="P58" i="48"/>
  <c r="N58" i="48"/>
  <c r="N39" i="48"/>
  <c r="L58" i="48"/>
  <c r="L39" i="48"/>
  <c r="J58" i="48"/>
  <c r="J39" i="48"/>
  <c r="H58" i="48"/>
  <c r="H39" i="48"/>
  <c r="F58" i="48"/>
  <c r="F39" i="48"/>
  <c r="D58" i="48"/>
  <c r="D39" i="48"/>
  <c r="O39" i="48"/>
  <c r="K58" i="48"/>
  <c r="K39" i="48"/>
  <c r="I58" i="48"/>
  <c r="I39" i="48"/>
  <c r="E58" i="48"/>
  <c r="E39" i="48"/>
  <c r="Q8" i="69"/>
  <c r="Q16" i="69"/>
  <c r="Q13" i="69"/>
  <c r="O8" i="69"/>
  <c r="O12" i="69"/>
  <c r="O13" i="69"/>
  <c r="O17" i="69"/>
  <c r="M12" i="69"/>
  <c r="M17" i="69"/>
  <c r="K7" i="69"/>
  <c r="K16" i="69"/>
  <c r="I4" i="69"/>
  <c r="I8" i="69"/>
  <c r="I7" i="69"/>
  <c r="I12" i="69"/>
  <c r="I16" i="69"/>
  <c r="I9" i="69"/>
  <c r="I13" i="69"/>
  <c r="I17" i="69"/>
  <c r="G7" i="69"/>
  <c r="G13" i="69"/>
  <c r="E12" i="69"/>
  <c r="E17" i="69"/>
  <c r="C7" i="69"/>
  <c r="C12" i="69"/>
  <c r="C16" i="69"/>
  <c r="C13" i="69"/>
  <c r="P5" i="69"/>
  <c r="P17" i="69"/>
  <c r="N9" i="69"/>
  <c r="N13" i="69"/>
  <c r="N12" i="69"/>
  <c r="N16" i="69"/>
  <c r="L11" i="69"/>
  <c r="L12" i="69"/>
  <c r="L16" i="69"/>
  <c r="J5" i="69"/>
  <c r="J4" i="69"/>
  <c r="J8" i="69"/>
  <c r="J11" i="69"/>
  <c r="J15" i="69"/>
  <c r="J19" i="69"/>
  <c r="J12" i="69"/>
  <c r="J16" i="69"/>
  <c r="H8" i="69"/>
  <c r="H11" i="69"/>
  <c r="H15" i="69"/>
  <c r="H12" i="69"/>
  <c r="H16" i="69"/>
  <c r="F11" i="69"/>
  <c r="F12" i="69"/>
  <c r="F16" i="69"/>
  <c r="D8" i="69"/>
  <c r="D11" i="69"/>
  <c r="D12" i="69"/>
  <c r="D16" i="69"/>
  <c r="N20" i="56"/>
  <c r="G3" i="69"/>
  <c r="C3" i="69"/>
  <c r="D3" i="69"/>
  <c r="Q10" i="69"/>
  <c r="Q15" i="69"/>
  <c r="Q19" i="69"/>
  <c r="O14" i="69"/>
  <c r="O19" i="69"/>
  <c r="M11" i="69"/>
  <c r="K14" i="69"/>
  <c r="K18" i="69"/>
  <c r="K11" i="69"/>
  <c r="K19" i="69"/>
  <c r="I6" i="69"/>
  <c r="I5" i="69"/>
  <c r="I10" i="69"/>
  <c r="I18" i="69"/>
  <c r="I15" i="69"/>
  <c r="I19" i="69"/>
  <c r="G14" i="69"/>
  <c r="G11" i="69"/>
  <c r="G19" i="69"/>
  <c r="C6" i="69"/>
  <c r="C15" i="69"/>
  <c r="C19" i="69"/>
  <c r="P7" i="69"/>
  <c r="P15" i="69"/>
  <c r="P14" i="69"/>
  <c r="P18" i="69"/>
  <c r="N15" i="69"/>
  <c r="N18" i="69"/>
  <c r="L17" i="69"/>
  <c r="L18" i="69"/>
  <c r="J7" i="69"/>
  <c r="J6" i="69"/>
  <c r="J9" i="69"/>
  <c r="J13" i="69"/>
  <c r="J17" i="69"/>
  <c r="J10" i="69"/>
  <c r="J14" i="69"/>
  <c r="J18" i="69"/>
  <c r="H7" i="69"/>
  <c r="H13" i="69"/>
  <c r="H17" i="69"/>
  <c r="H14" i="69"/>
  <c r="H18" i="69"/>
  <c r="F13" i="69"/>
  <c r="F18" i="69"/>
  <c r="D7" i="69"/>
  <c r="D13" i="69"/>
  <c r="D17" i="69"/>
  <c r="D18" i="69"/>
  <c r="K20" i="50"/>
  <c r="G20" i="50"/>
  <c r="C20" i="50"/>
  <c r="S20" i="50"/>
  <c r="O20" i="50"/>
  <c r="B20" i="54"/>
  <c r="P20" i="54"/>
  <c r="L20" i="54"/>
  <c r="F20" i="54"/>
  <c r="H20" i="54"/>
  <c r="D20" i="54"/>
  <c r="I20" i="55"/>
  <c r="O20" i="55"/>
  <c r="K20" i="55"/>
  <c r="E20" i="55"/>
  <c r="G20" i="55"/>
  <c r="C20" i="55"/>
  <c r="I14" i="69"/>
  <c r="P19" i="69"/>
  <c r="P11" i="69"/>
  <c r="I24" i="149"/>
  <c r="I5" i="149"/>
  <c r="I6" i="149"/>
  <c r="I7" i="149"/>
  <c r="I8" i="149"/>
  <c r="I9" i="149"/>
  <c r="I10" i="149"/>
  <c r="I11" i="149"/>
  <c r="I12" i="149"/>
  <c r="I13" i="149"/>
  <c r="I14" i="149"/>
  <c r="I15" i="149"/>
  <c r="I16" i="149"/>
  <c r="I17" i="149"/>
  <c r="I18" i="149"/>
  <c r="I19" i="149"/>
  <c r="I20" i="149"/>
  <c r="I21" i="149"/>
  <c r="I25" i="149"/>
  <c r="P10" i="69"/>
  <c r="H3" i="69"/>
  <c r="C9" i="69"/>
  <c r="I3" i="69"/>
  <c r="I20" i="69"/>
  <c r="H20" i="52"/>
  <c r="Q20" i="52"/>
  <c r="K20" i="52"/>
  <c r="C17" i="69"/>
  <c r="H5" i="69"/>
  <c r="Q7" i="69"/>
  <c r="Q17" i="69"/>
  <c r="C20" i="52"/>
  <c r="P20" i="52"/>
  <c r="P16" i="69"/>
  <c r="K8" i="69"/>
  <c r="K20" i="69"/>
  <c r="O3" i="69"/>
  <c r="M15" i="69"/>
  <c r="O7" i="69"/>
  <c r="F14" i="69"/>
  <c r="E10" i="69"/>
  <c r="E7" i="69"/>
  <c r="N8" i="69"/>
  <c r="F6" i="69"/>
  <c r="F9" i="69"/>
  <c r="O16" i="69"/>
  <c r="L4" i="69"/>
  <c r="F10" i="69"/>
  <c r="M7" i="69"/>
  <c r="O9" i="69"/>
  <c r="F4" i="69"/>
  <c r="D6" i="69"/>
  <c r="M10" i="69"/>
  <c r="M9" i="69"/>
  <c r="L20" i="52"/>
  <c r="E20" i="52"/>
  <c r="N6" i="69"/>
  <c r="D4" i="69"/>
  <c r="F19" i="69"/>
  <c r="E4" i="69"/>
  <c r="E8" i="69"/>
  <c r="M20" i="52"/>
  <c r="L9" i="69"/>
  <c r="N7" i="69"/>
  <c r="E5" i="69"/>
  <c r="N10" i="69"/>
  <c r="L19" i="69"/>
  <c r="G8" i="69"/>
  <c r="G20" i="52"/>
  <c r="O20" i="52"/>
  <c r="F15" i="69"/>
  <c r="G16" i="69"/>
  <c r="F20" i="52"/>
  <c r="N20" i="52"/>
  <c r="D20" i="52"/>
  <c r="Q12" i="79"/>
  <c r="Q20" i="79"/>
  <c r="V12" i="79"/>
  <c r="V20" i="79"/>
  <c r="J12" i="79"/>
  <c r="J20" i="79"/>
  <c r="R12" i="79"/>
  <c r="R20" i="79"/>
  <c r="S12" i="79"/>
  <c r="S20" i="79"/>
  <c r="E12" i="79"/>
  <c r="E20" i="79"/>
  <c r="T12" i="79"/>
  <c r="T20" i="79"/>
  <c r="D12" i="79"/>
  <c r="D20" i="79"/>
  <c r="G12" i="79"/>
  <c r="G20" i="79"/>
  <c r="V39" i="79"/>
  <c r="F12" i="79"/>
  <c r="F20" i="79"/>
  <c r="H12" i="79"/>
  <c r="H20" i="79"/>
  <c r="J39" i="79"/>
  <c r="U12" i="79"/>
  <c r="U20" i="79"/>
  <c r="R39" i="79"/>
  <c r="Q39" i="79"/>
  <c r="U39" i="79"/>
  <c r="I12" i="79"/>
  <c r="I20" i="79"/>
  <c r="S39" i="79"/>
  <c r="C12" i="79"/>
  <c r="C20" i="79"/>
  <c r="H39" i="79"/>
  <c r="N12" i="79"/>
  <c r="N20" i="79"/>
  <c r="C39" i="79"/>
  <c r="M12" i="79"/>
  <c r="M20" i="79"/>
  <c r="O12" i="79"/>
  <c r="O20" i="79"/>
  <c r="F39" i="79"/>
  <c r="G39" i="79"/>
  <c r="L12" i="79"/>
  <c r="L20" i="79"/>
  <c r="K12" i="79"/>
  <c r="K20" i="79"/>
  <c r="P12" i="79"/>
  <c r="P20" i="79"/>
  <c r="M58" i="79"/>
  <c r="E39" i="79"/>
  <c r="B39" i="52"/>
  <c r="C41" i="69"/>
  <c r="C58" i="69"/>
  <c r="C58" i="52"/>
  <c r="E41" i="69"/>
  <c r="E58" i="69"/>
  <c r="E58" i="52"/>
  <c r="G41" i="69"/>
  <c r="G58" i="69"/>
  <c r="G58" i="52"/>
  <c r="I41" i="69"/>
  <c r="I58" i="69"/>
  <c r="I58" i="52"/>
  <c r="K41" i="69"/>
  <c r="K58" i="69"/>
  <c r="K58" i="52"/>
  <c r="M41" i="69"/>
  <c r="M58" i="69"/>
  <c r="M58" i="52"/>
  <c r="O41" i="69"/>
  <c r="O58" i="69"/>
  <c r="O58" i="52"/>
  <c r="Q41" i="69"/>
  <c r="Q58" i="69"/>
  <c r="Q58" i="52"/>
  <c r="B58" i="52"/>
  <c r="R41" i="52"/>
  <c r="D22" i="69"/>
  <c r="D39" i="69"/>
  <c r="D39" i="52"/>
  <c r="D41" i="69"/>
  <c r="D58" i="69"/>
  <c r="D58" i="52"/>
  <c r="F22" i="69"/>
  <c r="F39" i="69"/>
  <c r="F39" i="52"/>
  <c r="F3" i="69"/>
  <c r="J22" i="69"/>
  <c r="J39" i="69"/>
  <c r="J39" i="52"/>
  <c r="L22" i="69"/>
  <c r="L39" i="69"/>
  <c r="L39" i="52"/>
  <c r="L41" i="69"/>
  <c r="L58" i="69"/>
  <c r="L58" i="52"/>
  <c r="N22" i="69"/>
  <c r="N39" i="69"/>
  <c r="N39" i="52"/>
  <c r="N3" i="69"/>
  <c r="R44" i="52"/>
  <c r="R52" i="52"/>
  <c r="R49" i="52"/>
  <c r="R47" i="52"/>
  <c r="R24" i="52"/>
  <c r="R26" i="52"/>
  <c r="R28" i="52"/>
  <c r="R30" i="52"/>
  <c r="R32" i="52"/>
  <c r="R34" i="52"/>
  <c r="R36" i="52"/>
  <c r="R42" i="52"/>
  <c r="R50" i="52"/>
  <c r="R45" i="52"/>
  <c r="R43" i="52"/>
  <c r="R57" i="52"/>
  <c r="C22" i="69"/>
  <c r="C39" i="69"/>
  <c r="C39" i="52"/>
  <c r="E39" i="52"/>
  <c r="E22" i="69"/>
  <c r="E39" i="69"/>
  <c r="G22" i="69"/>
  <c r="G39" i="69"/>
  <c r="G39" i="52"/>
  <c r="I39" i="52"/>
  <c r="I22" i="69"/>
  <c r="I39" i="69"/>
  <c r="K22" i="69"/>
  <c r="K39" i="69"/>
  <c r="K39" i="52"/>
  <c r="M22" i="69"/>
  <c r="M39" i="69"/>
  <c r="M39" i="52"/>
  <c r="O22" i="69"/>
  <c r="O39" i="69"/>
  <c r="O39" i="52"/>
  <c r="Q22" i="69"/>
  <c r="Q39" i="69"/>
  <c r="Q39" i="52"/>
  <c r="F41" i="69"/>
  <c r="F58" i="69"/>
  <c r="F58" i="52"/>
  <c r="H22" i="69"/>
  <c r="H39" i="69"/>
  <c r="H39" i="52"/>
  <c r="H41" i="69"/>
  <c r="H58" i="69"/>
  <c r="H58" i="52"/>
  <c r="J3" i="69"/>
  <c r="J20" i="69"/>
  <c r="J41" i="69"/>
  <c r="J58" i="69"/>
  <c r="J58" i="52"/>
  <c r="N41" i="69"/>
  <c r="N58" i="69"/>
  <c r="N58" i="52"/>
  <c r="P22" i="69"/>
  <c r="P39" i="69"/>
  <c r="P39" i="52"/>
  <c r="P41" i="69"/>
  <c r="P58" i="69"/>
  <c r="P58" i="52"/>
  <c r="R48" i="52"/>
  <c r="R56" i="52"/>
  <c r="R55" i="52"/>
  <c r="R23" i="52"/>
  <c r="R25" i="52"/>
  <c r="R27" i="52"/>
  <c r="R29" i="52"/>
  <c r="R31" i="52"/>
  <c r="R33" i="52"/>
  <c r="R35" i="52"/>
  <c r="R37" i="52"/>
  <c r="R46" i="52"/>
  <c r="R54" i="52"/>
  <c r="R53" i="52"/>
  <c r="R51" i="52"/>
  <c r="R38" i="52"/>
  <c r="R22" i="52"/>
  <c r="B20" i="52"/>
  <c r="H24" i="49"/>
  <c r="C20" i="69"/>
  <c r="F26" i="149"/>
  <c r="H20" i="69"/>
  <c r="P20" i="69"/>
  <c r="Q20" i="69"/>
  <c r="O20" i="69"/>
  <c r="L20" i="69"/>
  <c r="F20" i="69"/>
  <c r="E20" i="69"/>
  <c r="D20" i="69"/>
  <c r="M20" i="69"/>
  <c r="G20" i="69"/>
  <c r="N20" i="69"/>
  <c r="R39" i="52"/>
  <c r="R58" i="52"/>
  <c r="R20" i="52"/>
  <c r="C27" i="49"/>
  <c r="B41" i="79"/>
  <c r="W41" i="79"/>
  <c r="B22" i="79"/>
  <c r="I24" i="49"/>
  <c r="W31" i="77"/>
  <c r="B31" i="79"/>
  <c r="B63" i="48"/>
  <c r="W48" i="77"/>
  <c r="B48" i="79"/>
  <c r="W48" i="79"/>
  <c r="W49" i="77"/>
  <c r="B49" i="79"/>
  <c r="W49" i="79"/>
  <c r="B3" i="79"/>
  <c r="W22" i="79"/>
  <c r="W28" i="77"/>
  <c r="B28" i="79"/>
  <c r="W34" i="77"/>
  <c r="B34" i="79"/>
  <c r="W38" i="77"/>
  <c r="W29" i="77"/>
  <c r="B29" i="79"/>
  <c r="W52" i="77"/>
  <c r="B52" i="79"/>
  <c r="W52" i="79"/>
  <c r="W42" i="77"/>
  <c r="B42" i="79"/>
  <c r="W42" i="79"/>
  <c r="W33" i="77"/>
  <c r="B33" i="79"/>
  <c r="W50" i="77"/>
  <c r="B50" i="79"/>
  <c r="W50" i="79"/>
  <c r="B64" i="48"/>
  <c r="W47" i="77"/>
  <c r="B47" i="79"/>
  <c r="W47" i="79"/>
  <c r="W36" i="77"/>
  <c r="B36" i="79"/>
  <c r="W43" i="77"/>
  <c r="B43" i="79"/>
  <c r="W43" i="79"/>
  <c r="W45" i="77"/>
  <c r="B45" i="79"/>
  <c r="W45" i="79"/>
  <c r="W46" i="77"/>
  <c r="B46" i="79"/>
  <c r="W46" i="79"/>
  <c r="W56" i="77"/>
  <c r="W24" i="77"/>
  <c r="B24" i="79"/>
  <c r="W25" i="77"/>
  <c r="B25" i="79"/>
  <c r="W23" i="77"/>
  <c r="B23" i="79"/>
  <c r="W55" i="77"/>
  <c r="B55" i="79"/>
  <c r="W55" i="79"/>
  <c r="W37" i="77"/>
  <c r="W54" i="77"/>
  <c r="B54" i="79"/>
  <c r="W54" i="79"/>
  <c r="W51" i="77"/>
  <c r="B51" i="79"/>
  <c r="W51" i="79"/>
  <c r="W53" i="77"/>
  <c r="B53" i="79"/>
  <c r="W53" i="79"/>
  <c r="W44" i="77"/>
  <c r="B44" i="79"/>
  <c r="W44" i="79"/>
  <c r="W57" i="77"/>
  <c r="W57" i="79"/>
  <c r="W27" i="77"/>
  <c r="B27" i="79"/>
  <c r="W35" i="77"/>
  <c r="B35" i="79"/>
  <c r="W32" i="77"/>
  <c r="B32" i="79"/>
  <c r="W26" i="77"/>
  <c r="B26" i="79"/>
  <c r="W30" i="77"/>
  <c r="B30" i="79"/>
  <c r="W22" i="77"/>
  <c r="B39" i="77"/>
  <c r="W41" i="77"/>
  <c r="B58" i="77"/>
  <c r="B20" i="77"/>
  <c r="N6" i="149"/>
  <c r="N16" i="149"/>
  <c r="N17" i="149"/>
  <c r="N7" i="149"/>
  <c r="N10" i="149"/>
  <c r="N21" i="149"/>
  <c r="N20" i="149"/>
  <c r="W50" i="48"/>
  <c r="W47" i="48"/>
  <c r="W44" i="48"/>
  <c r="W45" i="48"/>
  <c r="W54" i="48"/>
  <c r="W51" i="48"/>
  <c r="W48" i="48"/>
  <c r="W49" i="48"/>
  <c r="W41" i="48"/>
  <c r="W22" i="48"/>
  <c r="W35" i="48"/>
  <c r="W37" i="48"/>
  <c r="B39" i="48"/>
  <c r="W31" i="48"/>
  <c r="W33" i="48"/>
  <c r="W30" i="48"/>
  <c r="W32" i="48"/>
  <c r="W24" i="48"/>
  <c r="W38" i="48"/>
  <c r="N14" i="149"/>
  <c r="N11" i="149"/>
  <c r="N8" i="149"/>
  <c r="N9" i="149"/>
  <c r="N18" i="149"/>
  <c r="N15" i="149"/>
  <c r="N12" i="149"/>
  <c r="N13" i="149"/>
  <c r="W42" i="48"/>
  <c r="W52" i="48"/>
  <c r="W53" i="48"/>
  <c r="W43" i="48"/>
  <c r="W46" i="48"/>
  <c r="B58" i="48"/>
  <c r="W56" i="48"/>
  <c r="W57" i="48"/>
  <c r="N19" i="149"/>
  <c r="W55" i="48"/>
  <c r="W27" i="48"/>
  <c r="W29" i="48"/>
  <c r="W23" i="48"/>
  <c r="W25" i="48"/>
  <c r="W26" i="48"/>
  <c r="W34" i="48"/>
  <c r="W36" i="48"/>
  <c r="W28" i="48"/>
  <c r="N5" i="149"/>
  <c r="J26" i="149"/>
  <c r="H26" i="149"/>
  <c r="W64" i="48"/>
  <c r="W20" i="48"/>
  <c r="W63" i="48"/>
  <c r="W38" i="79"/>
  <c r="W32" i="79"/>
  <c r="B13" i="79"/>
  <c r="W13" i="79"/>
  <c r="W37" i="79"/>
  <c r="B39" i="79"/>
  <c r="W24" i="79"/>
  <c r="B5" i="79"/>
  <c r="W5" i="79"/>
  <c r="W3" i="79"/>
  <c r="B58" i="79"/>
  <c r="W56" i="79"/>
  <c r="W58" i="79"/>
  <c r="W27" i="79"/>
  <c r="B8" i="79"/>
  <c r="W8" i="79"/>
  <c r="B9" i="79"/>
  <c r="W9" i="79"/>
  <c r="W28" i="79"/>
  <c r="B16" i="79"/>
  <c r="W16" i="79"/>
  <c r="W35" i="79"/>
  <c r="B17" i="79"/>
  <c r="W17" i="79"/>
  <c r="W36" i="79"/>
  <c r="B11" i="79"/>
  <c r="W11" i="79"/>
  <c r="W30" i="79"/>
  <c r="B4" i="79"/>
  <c r="W4" i="79"/>
  <c r="W23" i="79"/>
  <c r="B7" i="79"/>
  <c r="W7" i="79"/>
  <c r="W26" i="79"/>
  <c r="W25" i="79"/>
  <c r="B6" i="79"/>
  <c r="W6" i="79"/>
  <c r="W31" i="79"/>
  <c r="B12" i="79"/>
  <c r="W12" i="79"/>
  <c r="B14" i="79"/>
  <c r="W14" i="79"/>
  <c r="W33" i="79"/>
  <c r="W34" i="79"/>
  <c r="B15" i="79"/>
  <c r="W15" i="79"/>
  <c r="B10" i="79"/>
  <c r="W10" i="79"/>
  <c r="W29" i="79"/>
  <c r="W20" i="77"/>
  <c r="W39" i="77"/>
  <c r="W58" i="77"/>
  <c r="W58" i="48"/>
  <c r="W39" i="48"/>
  <c r="N25" i="149"/>
  <c r="N26" i="149"/>
  <c r="L26" i="149"/>
  <c r="I26" i="149"/>
  <c r="K26" i="149"/>
  <c r="W39" i="79"/>
  <c r="W20" i="79"/>
  <c r="X20" i="79"/>
  <c r="B20" i="79"/>
  <c r="B3" i="69"/>
  <c r="B37" i="56"/>
  <c r="B43" i="56"/>
  <c r="B49" i="56"/>
  <c r="B57" i="56"/>
  <c r="B29" i="56"/>
  <c r="B44" i="56"/>
  <c r="B52" i="56"/>
  <c r="B38" i="56"/>
  <c r="B36" i="56"/>
  <c r="B51" i="56"/>
  <c r="B35" i="56"/>
  <c r="B27" i="56"/>
  <c r="B42" i="56"/>
  <c r="B50" i="56"/>
  <c r="B41" i="56"/>
  <c r="B26" i="56"/>
  <c r="B24" i="56"/>
  <c r="B45" i="56"/>
  <c r="B53" i="56"/>
  <c r="B33" i="56"/>
  <c r="B25" i="56"/>
  <c r="B48" i="56"/>
  <c r="B56" i="56"/>
  <c r="B30" i="56"/>
  <c r="B28" i="56"/>
  <c r="B47" i="56"/>
  <c r="B55" i="56"/>
  <c r="B31" i="56"/>
  <c r="B23" i="56"/>
  <c r="B46" i="56"/>
  <c r="B54" i="56"/>
  <c r="B34" i="56"/>
  <c r="B32" i="56"/>
  <c r="B22" i="56"/>
  <c r="R3" i="69"/>
  <c r="B39" i="56"/>
  <c r="R22" i="56"/>
  <c r="B22" i="69"/>
  <c r="R34" i="56"/>
  <c r="B34" i="69"/>
  <c r="R34" i="69"/>
  <c r="R46" i="56"/>
  <c r="B46" i="69"/>
  <c r="R46" i="69"/>
  <c r="R31" i="56"/>
  <c r="B31" i="69"/>
  <c r="R31" i="69"/>
  <c r="R47" i="56"/>
  <c r="B47" i="69"/>
  <c r="R47" i="69"/>
  <c r="R30" i="56"/>
  <c r="B30" i="69"/>
  <c r="R30" i="69"/>
  <c r="R48" i="56"/>
  <c r="B48" i="69"/>
  <c r="R48" i="69"/>
  <c r="R33" i="56"/>
  <c r="B33" i="69"/>
  <c r="R33" i="69"/>
  <c r="R45" i="56"/>
  <c r="B45" i="69"/>
  <c r="R45" i="69"/>
  <c r="R26" i="56"/>
  <c r="B26" i="69"/>
  <c r="R26" i="69"/>
  <c r="R50" i="56"/>
  <c r="B50" i="69"/>
  <c r="R50" i="69"/>
  <c r="R27" i="56"/>
  <c r="B27" i="69"/>
  <c r="R27" i="69"/>
  <c r="R51" i="56"/>
  <c r="B51" i="69"/>
  <c r="R51" i="69"/>
  <c r="R38" i="56"/>
  <c r="B38" i="69"/>
  <c r="R38" i="69"/>
  <c r="R44" i="56"/>
  <c r="B44" i="69"/>
  <c r="R44" i="69"/>
  <c r="R57" i="56"/>
  <c r="B57" i="69"/>
  <c r="R57" i="69"/>
  <c r="R43" i="56"/>
  <c r="B43" i="69"/>
  <c r="R43" i="69"/>
  <c r="R32" i="56"/>
  <c r="B32" i="69"/>
  <c r="R32" i="69"/>
  <c r="R54" i="56"/>
  <c r="B54" i="69"/>
  <c r="R54" i="69"/>
  <c r="R23" i="56"/>
  <c r="B23" i="69"/>
  <c r="R23" i="69"/>
  <c r="R55" i="56"/>
  <c r="B55" i="69"/>
  <c r="R55" i="69"/>
  <c r="R28" i="56"/>
  <c r="B28" i="69"/>
  <c r="R28" i="69"/>
  <c r="R56" i="56"/>
  <c r="B56" i="69"/>
  <c r="R56" i="69"/>
  <c r="R25" i="56"/>
  <c r="B25" i="69"/>
  <c r="R25" i="69"/>
  <c r="R53" i="56"/>
  <c r="B53" i="69"/>
  <c r="R53" i="69"/>
  <c r="R24" i="56"/>
  <c r="B24" i="69"/>
  <c r="R24" i="69"/>
  <c r="B58" i="56"/>
  <c r="R41" i="56"/>
  <c r="B41" i="69"/>
  <c r="R42" i="56"/>
  <c r="B42" i="69"/>
  <c r="R42" i="69"/>
  <c r="R35" i="56"/>
  <c r="B35" i="69"/>
  <c r="R35" i="69"/>
  <c r="R36" i="56"/>
  <c r="B36" i="69"/>
  <c r="R36" i="69"/>
  <c r="R52" i="56"/>
  <c r="B52" i="69"/>
  <c r="R52" i="69"/>
  <c r="R29" i="56"/>
  <c r="B29" i="69"/>
  <c r="R29" i="69"/>
  <c r="R49" i="56"/>
  <c r="B49" i="69"/>
  <c r="R49" i="69"/>
  <c r="R37" i="56"/>
  <c r="B37" i="69"/>
  <c r="R37" i="69"/>
  <c r="B12" i="69"/>
  <c r="R12" i="69"/>
  <c r="B14" i="69"/>
  <c r="R14" i="69"/>
  <c r="B15" i="69"/>
  <c r="R15" i="69"/>
  <c r="B13" i="69"/>
  <c r="R13" i="69"/>
  <c r="B16" i="69"/>
  <c r="R16" i="69"/>
  <c r="B19" i="69"/>
  <c r="R19" i="69"/>
  <c r="B17" i="69"/>
  <c r="R17" i="69"/>
  <c r="B5" i="69"/>
  <c r="R5" i="69"/>
  <c r="B4" i="69"/>
  <c r="B6" i="69"/>
  <c r="R6" i="69"/>
  <c r="B18" i="69"/>
  <c r="R18" i="69"/>
  <c r="B7" i="69"/>
  <c r="R7" i="69"/>
  <c r="B8" i="69"/>
  <c r="R8" i="69"/>
  <c r="B10" i="69"/>
  <c r="R10" i="69"/>
  <c r="B11" i="69"/>
  <c r="R11" i="69"/>
  <c r="B9" i="69"/>
  <c r="R9" i="69"/>
  <c r="B20" i="56"/>
  <c r="D26" i="149"/>
  <c r="R20" i="56"/>
  <c r="R41" i="69"/>
  <c r="R58" i="69"/>
  <c r="B58" i="69"/>
  <c r="R39" i="56"/>
  <c r="R58" i="56"/>
  <c r="B39" i="69"/>
  <c r="R22" i="69"/>
  <c r="R39" i="69"/>
  <c r="R4" i="69"/>
  <c r="R20" i="69"/>
  <c r="B20" i="69"/>
  <c r="C61" i="103"/>
  <c r="T61" i="103"/>
  <c r="C4" i="103"/>
  <c r="T4" i="103"/>
  <c r="G26" i="149"/>
  <c r="C31" i="103"/>
  <c r="T31" i="103"/>
</calcChain>
</file>

<file path=xl/sharedStrings.xml><?xml version="1.0" encoding="utf-8"?>
<sst xmlns="http://schemas.openxmlformats.org/spreadsheetml/2006/main" count="7300" uniqueCount="448">
  <si>
    <t xml:space="preserve">Built Environments            </t>
  </si>
  <si>
    <t xml:space="preserve">Coll Arts &amp; Sciences          </t>
  </si>
  <si>
    <t xml:space="preserve">College Of Education          </t>
  </si>
  <si>
    <t xml:space="preserve">College Of Engineering        </t>
  </si>
  <si>
    <t xml:space="preserve">College Of Environment        </t>
  </si>
  <si>
    <t xml:space="preserve">Evans Sch Of Public Af        </t>
  </si>
  <si>
    <t xml:space="preserve">Foster Business School        </t>
  </si>
  <si>
    <t xml:space="preserve">Sch Of Public Health          </t>
  </si>
  <si>
    <t xml:space="preserve">School Of Dentistry           </t>
  </si>
  <si>
    <t xml:space="preserve">School Of Law                 </t>
  </si>
  <si>
    <t xml:space="preserve">School Of Medicine            </t>
  </si>
  <si>
    <t xml:space="preserve">School Of Nursing             </t>
  </si>
  <si>
    <t xml:space="preserve">School Of Pharmacy            </t>
  </si>
  <si>
    <t xml:space="preserve">School Of Social Work         </t>
  </si>
  <si>
    <t xml:space="preserve">The Information School        </t>
  </si>
  <si>
    <t xml:space="preserve">Dean-Graduate School          </t>
  </si>
  <si>
    <t xml:space="preserve">Undergrad Acad Affairs        </t>
  </si>
  <si>
    <t>Total</t>
  </si>
  <si>
    <t>Dentistry</t>
  </si>
  <si>
    <t>Nursing</t>
  </si>
  <si>
    <t>Medicine</t>
  </si>
  <si>
    <t>Undergraduate</t>
  </si>
  <si>
    <t>Graduate 
Tier I</t>
  </si>
  <si>
    <t>Graduate 
Tier II</t>
  </si>
  <si>
    <t>Graduate 
Tier III</t>
  </si>
  <si>
    <t>Master of Business Administration</t>
  </si>
  <si>
    <t>Master of Public Affairs</t>
  </si>
  <si>
    <t>Master of Library and Information Sciece</t>
  </si>
  <si>
    <t>Masters in College of Built Environment</t>
  </si>
  <si>
    <t>Nursing Master and Doctor of Nursing Practice</t>
  </si>
  <si>
    <t>Pharmacy (PharmD)</t>
  </si>
  <si>
    <t>Law (JD)</t>
  </si>
  <si>
    <t>Medicine
 (MD)</t>
  </si>
  <si>
    <t>Dentistry
 (DDS)</t>
  </si>
  <si>
    <t>TOTAL</t>
  </si>
  <si>
    <t>Graduate Tier I</t>
  </si>
  <si>
    <t>Graduate Tier II</t>
  </si>
  <si>
    <t>Graduate Tier III</t>
  </si>
  <si>
    <t>MBA</t>
  </si>
  <si>
    <t>MPA</t>
  </si>
  <si>
    <t>MLIS</t>
  </si>
  <si>
    <t>M Built Envir</t>
  </si>
  <si>
    <t>PharmD</t>
  </si>
  <si>
    <t>Undergrad</t>
  </si>
  <si>
    <t xml:space="preserve">Graduate School               </t>
  </si>
  <si>
    <t>Grad/Prof</t>
  </si>
  <si>
    <t>Percentage of tuition revenue distributed on basis of SCH</t>
  </si>
  <si>
    <t>Percentage of tuition revenue distributed on basis of major enrollments</t>
  </si>
  <si>
    <t>Percentage of tuition revenue distributed on basis of degree majors</t>
  </si>
  <si>
    <t>MPH</t>
  </si>
  <si>
    <t>Percentage of Incremental Tuition to go to Activity Generating Units</t>
  </si>
  <si>
    <t xml:space="preserve">BUILT ENVIRONMENTS            </t>
  </si>
  <si>
    <t xml:space="preserve">COLL ARTS &amp; SCIENCES          </t>
  </si>
  <si>
    <t xml:space="preserve">FOSTER BUSINESS SCHOOL        </t>
  </si>
  <si>
    <t xml:space="preserve">COLLEGE OF EDUCATION          </t>
  </si>
  <si>
    <t xml:space="preserve">COLLEGE OF ENGINEERING        </t>
  </si>
  <si>
    <t xml:space="preserve">COLLEGE OF ENVIRONMENT        </t>
  </si>
  <si>
    <t xml:space="preserve">GRADUATE SCHOOL               </t>
  </si>
  <si>
    <t xml:space="preserve">THE INFORMATION SCHOOL        </t>
  </si>
  <si>
    <t xml:space="preserve">SCHOOL OF LAW                 </t>
  </si>
  <si>
    <t xml:space="preserve">EVANS SCH OF PUBLIC AF        </t>
  </si>
  <si>
    <t xml:space="preserve">SCHOOL OF SOCIAL WORK         </t>
  </si>
  <si>
    <t xml:space="preserve">UNDERGRAD ACAD AFFAIRS        </t>
  </si>
  <si>
    <t xml:space="preserve">SCHOOL OF DENTISTRY           </t>
  </si>
  <si>
    <t xml:space="preserve">SCHOOL OF MEDICINE            </t>
  </si>
  <si>
    <t xml:space="preserve">SCHOOL OF NURSING             </t>
  </si>
  <si>
    <t xml:space="preserve">SCHOOL OF PHARMACY            </t>
  </si>
  <si>
    <t xml:space="preserve">SCH OF PUBLIC HEALTH          </t>
  </si>
  <si>
    <t>Master of Social Work</t>
  </si>
  <si>
    <t>Asian Law</t>
  </si>
  <si>
    <t>MSW</t>
  </si>
  <si>
    <t>Grad Tier I</t>
  </si>
  <si>
    <t>Grad Tier II</t>
  </si>
  <si>
    <t>Grad Tier III</t>
  </si>
  <si>
    <t>M Built Environ</t>
  </si>
  <si>
    <t>Doctor of Pharmacy</t>
  </si>
  <si>
    <t>Medicine (MD)</t>
  </si>
  <si>
    <t>Dentistry (DDS)</t>
  </si>
  <si>
    <t>College</t>
  </si>
  <si>
    <t>LLM</t>
  </si>
  <si>
    <t>Projection 2012-13</t>
  </si>
  <si>
    <t>70% of Total</t>
  </si>
  <si>
    <t>College of the Environment Graduate Programs</t>
  </si>
  <si>
    <t>Master of Education and Master in Teaching</t>
  </si>
  <si>
    <t>Doctor of Education and Education PhD</t>
  </si>
  <si>
    <t>Master of Chemical Engineering</t>
  </si>
  <si>
    <t>Master of Material Science and Engineering</t>
  </si>
  <si>
    <t>FY11 UG Degrees</t>
  </si>
  <si>
    <t>Coll of Environ Grad</t>
  </si>
  <si>
    <t>M Ed and M in Teaching</t>
  </si>
  <si>
    <t>EdD and PhD</t>
  </si>
  <si>
    <t>M Chem E</t>
  </si>
  <si>
    <t>M Matl Sci and Eng</t>
  </si>
  <si>
    <t>Post-True-Up</t>
  </si>
  <si>
    <t>Increment</t>
  </si>
  <si>
    <t>School/College</t>
  </si>
  <si>
    <t>Graduate School</t>
  </si>
  <si>
    <t>70% of Increment</t>
  </si>
  <si>
    <t>Law</t>
  </si>
  <si>
    <t>Bach Degrees</t>
  </si>
  <si>
    <t>Nursing Master and DNP</t>
  </si>
  <si>
    <t>2009-10 Bach Degrees</t>
  </si>
  <si>
    <t>2011-12 True-Up</t>
  </si>
  <si>
    <t>Tuition Group</t>
  </si>
  <si>
    <t>Before Aid Adjustment</t>
  </si>
  <si>
    <t>Tuition Category</t>
  </si>
  <si>
    <t>UW Seattle Total</t>
  </si>
  <si>
    <t>UW Bothell</t>
  </si>
  <si>
    <t>UW Tacoma</t>
  </si>
  <si>
    <t>UW Total</t>
  </si>
  <si>
    <t>Total before Aid</t>
  </si>
  <si>
    <t>Total Distributed</t>
  </si>
  <si>
    <t>Distributed on the Basis of SCH</t>
  </si>
  <si>
    <t>Distributed on the Basis of Degree Majors (Undergraduates) or Major Enrollments (Graduate/Professional)</t>
  </si>
  <si>
    <t>FY12UG Degrees</t>
  </si>
  <si>
    <t>FY12 UG Degrees</t>
  </si>
  <si>
    <t>02 Graduate Tier I</t>
  </si>
  <si>
    <t>03 Graduate Tier II</t>
  </si>
  <si>
    <t>04 Graduate Tier III</t>
  </si>
  <si>
    <t>01 Undergraduate</t>
  </si>
  <si>
    <t>2012-13 FTE</t>
  </si>
  <si>
    <t>2012-13 Net Op</t>
  </si>
  <si>
    <t>2012-13 Net Op After Add'l Aid</t>
  </si>
  <si>
    <t>2012-13 Add'l Aid</t>
  </si>
  <si>
    <t>FTE</t>
  </si>
  <si>
    <t>FTE dif</t>
  </si>
  <si>
    <t>NetOp Dif</t>
  </si>
  <si>
    <t>TUITION_GROUP_NAME</t>
  </si>
  <si>
    <t>01</t>
  </si>
  <si>
    <t>03</t>
  </si>
  <si>
    <t>07</t>
  </si>
  <si>
    <t>09</t>
  </si>
  <si>
    <t>11</t>
  </si>
  <si>
    <t>13</t>
  </si>
  <si>
    <t>15</t>
  </si>
  <si>
    <t>17</t>
  </si>
  <si>
    <t>19</t>
  </si>
  <si>
    <t>21</t>
  </si>
  <si>
    <t>23</t>
  </si>
  <si>
    <t>TUITION_GROUP_SORT</t>
  </si>
  <si>
    <t>05</t>
  </si>
  <si>
    <t>Coll Environ Graduate</t>
  </si>
  <si>
    <t>M Education and M Teaching</t>
  </si>
  <si>
    <t>Doct Educ and Educ PhD</t>
  </si>
  <si>
    <t>Public Health Graduate</t>
  </si>
  <si>
    <t>25</t>
  </si>
  <si>
    <t>Coll Built Env - March &amp; MSRE</t>
  </si>
  <si>
    <t>27</t>
  </si>
  <si>
    <t>33</t>
  </si>
  <si>
    <t>37</t>
  </si>
  <si>
    <t>39</t>
  </si>
  <si>
    <t>41</t>
  </si>
  <si>
    <t>Master of Laws (LLM)</t>
  </si>
  <si>
    <t>45</t>
  </si>
  <si>
    <t>Nursing Master and Doct Nursing Practice</t>
  </si>
  <si>
    <t>47</t>
  </si>
  <si>
    <t>51</t>
  </si>
  <si>
    <t>Coll Built Env - Con Mgmt, Larch, Urb DP</t>
  </si>
  <si>
    <t>31</t>
  </si>
  <si>
    <t>Master of Matl Sci and Engineering</t>
  </si>
  <si>
    <t>43</t>
  </si>
  <si>
    <t>Law PhD</t>
  </si>
  <si>
    <t>49</t>
  </si>
  <si>
    <t>53</t>
  </si>
  <si>
    <t>Graduate Dentistry</t>
  </si>
  <si>
    <t>Master of Chemical Engr</t>
  </si>
  <si>
    <t>Master of Matl Sci and Engr</t>
  </si>
  <si>
    <t>Master of Indust and Sys Engr</t>
  </si>
  <si>
    <t>Global MPA</t>
  </si>
  <si>
    <t>Net Op</t>
  </si>
  <si>
    <t>Add'l Aid</t>
  </si>
  <si>
    <t>Net Op After Add'l Aid</t>
  </si>
  <si>
    <t>Master of Indust &amp; Sys Engr</t>
  </si>
  <si>
    <t>UG Degrees</t>
  </si>
  <si>
    <t>29</t>
  </si>
  <si>
    <t>35</t>
  </si>
  <si>
    <t>NR Aid</t>
  </si>
  <si>
    <t>FY15</t>
  </si>
  <si>
    <t>CURRIC_COLL_NAME</t>
  </si>
  <si>
    <t>05 MLIS</t>
  </si>
  <si>
    <t>06 Coll Environ Graduate</t>
  </si>
  <si>
    <t>07 M Education and M Teaching</t>
  </si>
  <si>
    <t>08 Doct Educ and Educ PhD</t>
  </si>
  <si>
    <t>09 MSW</t>
  </si>
  <si>
    <t>11 MPH</t>
  </si>
  <si>
    <t>13 College of Built Environments Masters</t>
  </si>
  <si>
    <t>14 Master of Chemical Engineering</t>
  </si>
  <si>
    <t>16 Master of Matl Sci and Engineering</t>
  </si>
  <si>
    <t>17 MPA</t>
  </si>
  <si>
    <t>19 Nursing Master and Doct Nursing Practice</t>
  </si>
  <si>
    <t>20 PharmD</t>
  </si>
  <si>
    <t>21 MBA</t>
  </si>
  <si>
    <t>22 Law (JD)</t>
  </si>
  <si>
    <t>23 Master of Laws (LLM)</t>
  </si>
  <si>
    <t>25 Medicine (MD)</t>
  </si>
  <si>
    <t>26 Dentistry (DDS)</t>
  </si>
  <si>
    <t>Table 4: FY14 Actual Tuition (Net Operating Fee) Revenue by Tuition Group</t>
  </si>
  <si>
    <t>Group Code</t>
  </si>
  <si>
    <t>Net Operating</t>
  </si>
  <si>
    <t>NetOp</t>
  </si>
  <si>
    <t>Net Operating Fee Revenue</t>
  </si>
  <si>
    <t>FY15 Projected Tuition (Net Operating Fee) Revenue by Tuition Group</t>
  </si>
  <si>
    <t>Distributed Based on SCH</t>
  </si>
  <si>
    <t>SCH</t>
  </si>
  <si>
    <t>Distributed Based on Degrees/Majors</t>
  </si>
  <si>
    <t>TOTAL DISTRIBUTED
UG: 60% SCH, 40% Degrees
Grad: 20% SCH, 80% Majors</t>
  </si>
  <si>
    <t>Education Graduate</t>
  </si>
  <si>
    <t>CBE Masters</t>
  </si>
  <si>
    <t>Engineering Masters</t>
  </si>
  <si>
    <t>Law Graduate</t>
  </si>
  <si>
    <t>Nursing Graduate</t>
  </si>
  <si>
    <t>CBE Graduate</t>
  </si>
  <si>
    <t>Dentistry Graduate</t>
  </si>
  <si>
    <t>After Risk Pool Subtraction</t>
  </si>
  <si>
    <t>Risk Pool</t>
  </si>
  <si>
    <t>These two columns show the calibration to actual collections</t>
  </si>
  <si>
    <t>Distributed Based on Degrees (UG)/Majors (Grad)</t>
  </si>
  <si>
    <r>
      <t xml:space="preserve">FY14 Actual Net Operating Fee Revenue </t>
    </r>
    <r>
      <rPr>
        <b/>
        <sz val="12"/>
        <color theme="1"/>
        <rFont val="Calibri"/>
        <family val="2"/>
        <scheme val="minor"/>
      </rPr>
      <t>(in $1,000s)</t>
    </r>
  </si>
  <si>
    <t>Coll of Environ Graduate</t>
  </si>
  <si>
    <r>
      <t xml:space="preserve">FY14 Projected Net Operating Fee Revenue </t>
    </r>
    <r>
      <rPr>
        <b/>
        <sz val="12"/>
        <color theme="1"/>
        <rFont val="Calibri"/>
        <family val="2"/>
        <scheme val="minor"/>
      </rPr>
      <t>(in $1,000s)</t>
    </r>
  </si>
  <si>
    <r>
      <t xml:space="preserve">FY14 True-Up Revenue </t>
    </r>
    <r>
      <rPr>
        <b/>
        <sz val="12"/>
        <color theme="1"/>
        <rFont val="Calibri"/>
        <family val="2"/>
        <scheme val="minor"/>
      </rPr>
      <t>(in $1,000s)</t>
    </r>
  </si>
  <si>
    <t>TG_LongName</t>
  </si>
  <si>
    <t>252</t>
  </si>
  <si>
    <t>254</t>
  </si>
  <si>
    <t>256</t>
  </si>
  <si>
    <t>258</t>
  </si>
  <si>
    <t>260</t>
  </si>
  <si>
    <t>263</t>
  </si>
  <si>
    <t>267</t>
  </si>
  <si>
    <t>268</t>
  </si>
  <si>
    <t>270</t>
  </si>
  <si>
    <t>272</t>
  </si>
  <si>
    <t>302</t>
  </si>
  <si>
    <t>304</t>
  </si>
  <si>
    <t>306</t>
  </si>
  <si>
    <t>308</t>
  </si>
  <si>
    <t>310</t>
  </si>
  <si>
    <t>320 UAA</t>
  </si>
  <si>
    <t>330 Grad</t>
  </si>
  <si>
    <r>
      <t xml:space="preserve">FY15 Projected Net Operating Fee Revenue </t>
    </r>
    <r>
      <rPr>
        <b/>
        <sz val="12"/>
        <color theme="1"/>
        <rFont val="Calibri"/>
        <family val="2"/>
        <scheme val="minor"/>
      </rPr>
      <t>(in $1,000s)</t>
    </r>
  </si>
  <si>
    <t>Grad 1</t>
  </si>
  <si>
    <t>Grad 2</t>
  </si>
  <si>
    <t>Grad 3</t>
  </si>
  <si>
    <t>CoEnv Grad</t>
  </si>
  <si>
    <t>PH Grad</t>
  </si>
  <si>
    <t>Nurs</t>
  </si>
  <si>
    <t>Pharm</t>
  </si>
  <si>
    <t>Med</t>
  </si>
  <si>
    <t>Dent</t>
  </si>
  <si>
    <t>Grad Dent</t>
  </si>
  <si>
    <t>Ed Grad</t>
  </si>
  <si>
    <t>CBE Mast</t>
  </si>
  <si>
    <t>Engr Mast</t>
  </si>
  <si>
    <t>Law Grad</t>
  </si>
  <si>
    <t>Difference from Projected</t>
  </si>
  <si>
    <t>Difference</t>
  </si>
  <si>
    <t>TotMjrEnr</t>
  </si>
  <si>
    <r>
      <t xml:space="preserve">FY15 Distribution of 3% </t>
    </r>
    <r>
      <rPr>
        <b/>
        <sz val="12"/>
        <color theme="1"/>
        <rFont val="Calibri"/>
        <family val="2"/>
        <scheme val="minor"/>
      </rPr>
      <t>(in $1,000s) - Total disbursed = $2.802m</t>
    </r>
  </si>
  <si>
    <t>FY15 Projected SCH
(No Change from FY14)</t>
  </si>
  <si>
    <t>Projected Majors/Degrees for FY15
(No change from FY 14 numbers, which reflect FY14 enrollments and FY13 degrees)</t>
  </si>
  <si>
    <t>Bothell</t>
  </si>
  <si>
    <t>Tacoma</t>
  </si>
  <si>
    <t>Based on SCH</t>
  </si>
  <si>
    <t>Based on Degrees</t>
  </si>
  <si>
    <t>FY14</t>
  </si>
  <si>
    <t>Diff</t>
  </si>
  <si>
    <t>FY14 SCH</t>
  </si>
  <si>
    <t>FY Majors/Degrees</t>
  </si>
  <si>
    <t>Major Enrollments - 2014-15
Degree Majors - 2013-14</t>
  </si>
  <si>
    <t>HCTot</t>
  </si>
  <si>
    <t>FTETot</t>
  </si>
  <si>
    <t>GrossOp</t>
  </si>
  <si>
    <t>ROp</t>
  </si>
  <si>
    <t>NMOp</t>
  </si>
  <si>
    <t>OpWvr</t>
  </si>
  <si>
    <t>FY15 Tuition (Net Operating Fee) Revenue by Tuition Group</t>
  </si>
  <si>
    <t>FY15 Actual SCH</t>
  </si>
  <si>
    <t>Prov Reinvest</t>
  </si>
  <si>
    <t>Change from FY15 Projection</t>
  </si>
  <si>
    <t>Change in % Distribution from FY15 Projection</t>
  </si>
  <si>
    <r>
      <t xml:space="preserve">FY16 Projected Net Operating Fee Revenue </t>
    </r>
    <r>
      <rPr>
        <b/>
        <sz val="12"/>
        <color theme="1"/>
        <rFont val="Calibri"/>
        <family val="2"/>
        <scheme val="minor"/>
      </rPr>
      <t>(in $1,000s)</t>
    </r>
  </si>
  <si>
    <t>After Subtraction of Risk Pool</t>
  </si>
  <si>
    <t>FY16 Projected SCH (no change from FY15 actuals)</t>
  </si>
  <si>
    <t>FY16 Projected major enrollments (same as FY15); FY15 projected degrees (same as FY14 with slight reduction in A&amp;S and increase in Foster and Engineering)</t>
  </si>
  <si>
    <t>SumOfFTE1</t>
  </si>
  <si>
    <t>SumOfGOp1</t>
  </si>
  <si>
    <t>SumOfNM1</t>
  </si>
  <si>
    <t>SumOfOWvr1</t>
  </si>
  <si>
    <t>SumOfSet1</t>
  </si>
  <si>
    <t>SumOfNet0</t>
  </si>
  <si>
    <t>SumOfNet1</t>
  </si>
  <si>
    <t>NAME</t>
  </si>
  <si>
    <t>BOTHELL</t>
  </si>
  <si>
    <t>TACOMA</t>
  </si>
  <si>
    <t>314</t>
  </si>
  <si>
    <t>NOTE: This projection was done without grouping the various grad/non-professional categories in a school/college. The sum of the different categories is presented in FY14ProjRevToColl</t>
  </si>
  <si>
    <t>FY14 Projected</t>
  </si>
  <si>
    <t>FY14 Actual</t>
  </si>
  <si>
    <t>FY14 True-Up</t>
  </si>
  <si>
    <t>FY15 Projected</t>
  </si>
  <si>
    <t>FY15 Actual wo Mapping Change</t>
  </si>
  <si>
    <t>FY15 True-Up</t>
  </si>
  <si>
    <t>FY15 Actual with Mapping Change</t>
  </si>
  <si>
    <t>FY15 Effect of Mapping Change</t>
  </si>
  <si>
    <t>FY15 Incremental</t>
  </si>
  <si>
    <t>FY16 Incremental</t>
  </si>
  <si>
    <t>FY16 Projected with Tuition Reduction</t>
  </si>
  <si>
    <t>FY16 Effect of Reduction</t>
  </si>
  <si>
    <t>FY13 Projected</t>
  </si>
  <si>
    <t>FY13Actual</t>
  </si>
  <si>
    <t>FY13 True-Up</t>
  </si>
  <si>
    <t>Seattle Total</t>
  </si>
  <si>
    <t>FY12Actual</t>
  </si>
  <si>
    <t>FY12 True-Up</t>
  </si>
  <si>
    <t>FY13 Incremental</t>
  </si>
  <si>
    <t>FY14 Incremental</t>
  </si>
  <si>
    <t>Provost Reinvestment</t>
  </si>
  <si>
    <t>FY12 Projected</t>
  </si>
  <si>
    <t>FY12RevToColl</t>
  </si>
  <si>
    <t>A</t>
  </si>
  <si>
    <t>B</t>
  </si>
  <si>
    <t>Column Heading</t>
  </si>
  <si>
    <t>D</t>
  </si>
  <si>
    <t>K</t>
  </si>
  <si>
    <t>M</t>
  </si>
  <si>
    <t>SPREADSHEET TITLE</t>
  </si>
  <si>
    <t>Created by</t>
  </si>
  <si>
    <t>Contact</t>
  </si>
  <si>
    <t>Date created</t>
  </si>
  <si>
    <t>Purpose</t>
  </si>
  <si>
    <t>FinalProjectionsFY16.xlsx</t>
  </si>
  <si>
    <t>Carol Diem</t>
  </si>
  <si>
    <t>cdiem@uw.edu</t>
  </si>
  <si>
    <t>Projected 2011-12 SCH</t>
  </si>
  <si>
    <t>Projected 2011-12 Tuition Revenue by Tuition Group</t>
  </si>
  <si>
    <t>30% Tax</t>
  </si>
  <si>
    <t>Actual 2011-12 SCH</t>
  </si>
  <si>
    <t>Actual 2011-12 Major Enrollments and 2010-11 Degree Awards</t>
  </si>
  <si>
    <t>Projected 2012-13 Major Enrollments and Actual 2010-11 Degree Awards</t>
  </si>
  <si>
    <t>2012-13 Projected SCH</t>
  </si>
  <si>
    <t>2011-12 Final Revenue Distribution</t>
  </si>
  <si>
    <t>2011-12 Projected Revenue Distribution</t>
  </si>
  <si>
    <t>Final 2011-12 Revenue by Tuition Group</t>
  </si>
  <si>
    <r>
      <t xml:space="preserve">Projected 2011-12 Major Enrollments and </t>
    </r>
    <r>
      <rPr>
        <b/>
        <i/>
        <sz val="12"/>
        <color theme="1"/>
        <rFont val="Calibri"/>
        <family val="2"/>
        <scheme val="minor"/>
      </rPr>
      <t>Actual</t>
    </r>
    <r>
      <rPr>
        <b/>
        <sz val="12"/>
        <color theme="1"/>
        <rFont val="Calibri"/>
        <family val="2"/>
        <scheme val="minor"/>
      </rPr>
      <t xml:space="preserve"> 2009-10 Degrees</t>
    </r>
  </si>
  <si>
    <t>FY13 Projected Tuition Revenue by Tuition Group</t>
  </si>
  <si>
    <t>2012-13 Projected Revenue Distribution</t>
  </si>
  <si>
    <t>FY12ProjRevToColl</t>
  </si>
  <si>
    <t>E = D - B</t>
  </si>
  <si>
    <t>F</t>
  </si>
  <si>
    <t>G = F - D</t>
  </si>
  <si>
    <t>H</t>
  </si>
  <si>
    <t>P</t>
  </si>
  <si>
    <t>V</t>
  </si>
  <si>
    <t>FY12TrueUp</t>
  </si>
  <si>
    <t>FY13ProjRevToColl</t>
  </si>
  <si>
    <t>FY13RevToColl</t>
  </si>
  <si>
    <t>FY13TrueUp</t>
  </si>
  <si>
    <t>FY14ProjRevToColl</t>
  </si>
  <si>
    <t>FY14RevToColl</t>
  </si>
  <si>
    <t>FY14TrueUp</t>
  </si>
  <si>
    <t>FY15ProjRevToColl</t>
  </si>
  <si>
    <t>FY15Incremental</t>
  </si>
  <si>
    <t>FY15MappingChg</t>
  </si>
  <si>
    <t>FY15TrueUp</t>
  </si>
  <si>
    <t>FY15RevToColl</t>
  </si>
  <si>
    <t>FY15RevToCollwoMapChg</t>
  </si>
  <si>
    <t>FY16ProjRevToColl</t>
  </si>
  <si>
    <t>FY12ProjRev</t>
  </si>
  <si>
    <t>FY12Revenue</t>
  </si>
  <si>
    <t>FY13ProjRev</t>
  </si>
  <si>
    <t>FY13Revenue</t>
  </si>
  <si>
    <t>FY14ProjRev</t>
  </si>
  <si>
    <t>FY14Revenue</t>
  </si>
  <si>
    <t>FY15ProjRev</t>
  </si>
  <si>
    <t>FY15Revenue</t>
  </si>
  <si>
    <t>FY16ProjRev0</t>
  </si>
  <si>
    <t>FY16ProjRevToColl0</t>
  </si>
  <si>
    <t>FY16 Projected Revenue with no RUG tuition Reduction</t>
  </si>
  <si>
    <t>FY16Incremental</t>
  </si>
  <si>
    <t>FY16ProjRev</t>
  </si>
  <si>
    <t>FY16EffectReduction</t>
  </si>
  <si>
    <t>FY12 "Setting the Baseline"</t>
  </si>
  <si>
    <r>
      <t>Baseline Reset</t>
    </r>
    <r>
      <rPr>
        <b/>
        <vertAlign val="superscript"/>
        <sz val="8"/>
        <color theme="1"/>
        <rFont val="Calibri"/>
        <family val="2"/>
        <scheme val="minor"/>
      </rPr>
      <t>1</t>
    </r>
  </si>
  <si>
    <r>
      <t>FY13 UAA and Grad School Negative True-Ups</t>
    </r>
    <r>
      <rPr>
        <b/>
        <vertAlign val="superscript"/>
        <sz val="8"/>
        <color theme="1"/>
        <rFont val="Calibri"/>
        <family val="2"/>
        <scheme val="minor"/>
      </rPr>
      <t>2</t>
    </r>
  </si>
  <si>
    <r>
      <t>FY14UAA and Grad School Negative True-Ups</t>
    </r>
    <r>
      <rPr>
        <b/>
        <vertAlign val="superscript"/>
        <sz val="8"/>
        <color theme="1"/>
        <rFont val="Calibri"/>
        <family val="2"/>
        <scheme val="minor"/>
      </rPr>
      <t>2</t>
    </r>
  </si>
  <si>
    <r>
      <t>Spreadsheet Tab for Seattle Units</t>
    </r>
    <r>
      <rPr>
        <vertAlign val="superscript"/>
        <sz val="11"/>
        <color theme="1"/>
        <rFont val="Calibri"/>
        <family val="2"/>
        <scheme val="minor"/>
      </rPr>
      <t>3</t>
    </r>
  </si>
  <si>
    <r>
      <t>Spreadsheet Tab for UWB, UWT, and PRF</t>
    </r>
    <r>
      <rPr>
        <vertAlign val="superscript"/>
        <sz val="11"/>
        <color theme="1"/>
        <rFont val="Calibri"/>
        <family val="2"/>
        <scheme val="minor"/>
      </rPr>
      <t>4</t>
    </r>
  </si>
  <si>
    <r>
      <rPr>
        <vertAlign val="superscript"/>
        <sz val="11"/>
        <color theme="1"/>
        <rFont val="Calibri"/>
        <family val="2"/>
        <scheme val="minor"/>
      </rPr>
      <t xml:space="preserve">2 </t>
    </r>
    <r>
      <rPr>
        <sz val="11"/>
        <color theme="1"/>
        <rFont val="Calibri"/>
        <family val="2"/>
        <scheme val="minor"/>
      </rPr>
      <t>In FY13 and FY14, the negative true-ups for Undergrad Academic Affairs (282) and The Grad School (266) were "forgiven", as they resulted from corrections to curricula, majors, and degrees incorrectly mapped to those two colleges (a problem known at the launch of ABB). The calculation of that "forgiveness" is done here in order to make the appropriate change of that amount from tuition revenue to the supplement for those two units.</t>
    </r>
  </si>
  <si>
    <r>
      <rPr>
        <vertAlign val="superscript"/>
        <sz val="11"/>
        <color theme="1"/>
        <rFont val="Calibri"/>
        <family val="2"/>
        <scheme val="minor"/>
      </rPr>
      <t xml:space="preserve">3 </t>
    </r>
    <r>
      <rPr>
        <sz val="11"/>
        <color theme="1"/>
        <rFont val="Calibri"/>
        <family val="2"/>
        <scheme val="minor"/>
      </rPr>
      <t>The tab names shown in</t>
    </r>
    <r>
      <rPr>
        <b/>
        <sz val="11"/>
        <color theme="0" tint="-0.499984740745262"/>
        <rFont val="Calibri"/>
        <family val="2"/>
        <scheme val="minor"/>
      </rPr>
      <t xml:space="preserve"> gray</t>
    </r>
    <r>
      <rPr>
        <sz val="11"/>
        <color theme="1"/>
        <rFont val="Calibri"/>
        <family val="2"/>
        <scheme val="minor"/>
      </rPr>
      <t xml:space="preserve"> font indicate tabs that provide the calculations shown here for Seattle units, with a breakout by tuition group, SCH, and majors/degrees. Tabs are not available for all such calculations, as it is only possible to have one if tuition groups are the same for each distribution calculation.</t>
    </r>
  </si>
  <si>
    <r>
      <rPr>
        <vertAlign val="superscript"/>
        <sz val="11"/>
        <color theme="1"/>
        <rFont val="Calibri"/>
        <family val="2"/>
        <scheme val="minor"/>
      </rPr>
      <t xml:space="preserve">4 </t>
    </r>
    <r>
      <rPr>
        <sz val="11"/>
        <color theme="1"/>
        <rFont val="Calibri"/>
        <family val="2"/>
        <scheme val="minor"/>
      </rPr>
      <t>Since 100% of revenue generated by UW Bothell and UW Tacoma is distributed to those units, and since the 30% tax also remains in one lump until the Provost makes decisions about investments, those amounts can be found on the FYXXProjRev and FYXXRevenue tabs (rather than the ToColl Tabs)</t>
    </r>
  </si>
  <si>
    <t>File</t>
  </si>
  <si>
    <t>Adj for $2.96m, $3.7m Aid Pool</t>
  </si>
  <si>
    <t>Risk Pool Adjustment</t>
  </si>
  <si>
    <r>
      <rPr>
        <vertAlign val="superscript"/>
        <sz val="11"/>
        <color theme="1"/>
        <rFont val="Calibri"/>
        <family val="2"/>
        <scheme val="minor"/>
      </rPr>
      <t xml:space="preserve">1 </t>
    </r>
    <r>
      <rPr>
        <sz val="11"/>
        <color theme="1"/>
        <rFont val="Calibri"/>
        <family val="2"/>
        <scheme val="minor"/>
      </rPr>
      <t>The values shown in the "Setting th Baseline" documents were slightly different from those that were used as the basis for all later adjustments (incremental revenue and true-ups). This difference was a result of a decision made about financial aid between the publication of the "Setting the Baseline" document and the publication of the FY12 Regents' budget item. In order to ensure that all ABB documents correspond, a single "reset" has been done. It is revenue neutral for all units; that is, a reduction in tuition revenue is associated with an increase in the supplement of the same amount.</t>
    </r>
  </si>
  <si>
    <t>C</t>
  </si>
  <si>
    <t>I = H - F</t>
  </si>
  <si>
    <t>J</t>
  </si>
  <si>
    <t>L = K - H</t>
  </si>
  <si>
    <t>N = M - K</t>
  </si>
  <si>
    <t>O</t>
  </si>
  <si>
    <t>Q = P - M</t>
  </si>
  <si>
    <t>R</t>
  </si>
  <si>
    <t>S</t>
  </si>
  <si>
    <t>T = S - R</t>
  </si>
  <si>
    <t>U = S - (P + T)</t>
  </si>
  <si>
    <t>W = V - S</t>
  </si>
  <si>
    <t>X</t>
  </si>
  <si>
    <t>Y = X - W</t>
  </si>
  <si>
    <t>Navigating the File</t>
  </si>
  <si>
    <t>Actual 2012-13 Major Enrollments and Actual 2011-12 Degree Awards</t>
  </si>
  <si>
    <t>Actual FY13 SCH Distribution by Tuition Group</t>
  </si>
  <si>
    <t xml:space="preserve"> FY13 Actual Tuition (Net Operating Fee) Revenue by Tuition Group</t>
  </si>
  <si>
    <t>2012-13 Final Tuition Revenue Distribution</t>
  </si>
  <si>
    <t>2012-13 True-Up</t>
  </si>
  <si>
    <t>Projected 2013-14 Major Enrollments and Actual 2012-13 Degrees</t>
  </si>
  <si>
    <t>Projected 2013-14 SCH Distribution by Tuition Group</t>
  </si>
  <si>
    <t>FY14 Projected Tuition (Net Operating Fee) Revenue by Tuition Group</t>
  </si>
  <si>
    <t>Distribution of State Funds - handled as if resident undergraduate tuition had increased by 3%</t>
  </si>
  <si>
    <t>Major Enrollments - 2014-15
Degree Majors - 2013-14
without mapping change</t>
  </si>
  <si>
    <t>FY15 Actual SCH
without mapping change</t>
  </si>
  <si>
    <r>
      <t xml:space="preserve">FY15 Actual Net Operating Fee Revenue </t>
    </r>
    <r>
      <rPr>
        <b/>
        <sz val="12"/>
        <color theme="1"/>
        <rFont val="Calibri"/>
        <family val="2"/>
        <scheme val="minor"/>
      </rPr>
      <t>(in $1,000s)
Before Mapping Adjustments</t>
    </r>
  </si>
  <si>
    <r>
      <t xml:space="preserve">FY15 True-Up </t>
    </r>
    <r>
      <rPr>
        <b/>
        <sz val="12"/>
        <color theme="1"/>
        <rFont val="Calibri"/>
        <family val="2"/>
        <scheme val="minor"/>
      </rPr>
      <t>(in $1,000s)</t>
    </r>
  </si>
  <si>
    <r>
      <t xml:space="preserve">FY15 Actual Net Operating Fee Revenue </t>
    </r>
    <r>
      <rPr>
        <b/>
        <sz val="12"/>
        <color theme="1"/>
        <rFont val="Calibri"/>
        <family val="2"/>
        <scheme val="minor"/>
      </rPr>
      <t>(in $1,000s)
After mapping adjustments</t>
    </r>
  </si>
  <si>
    <t>FY15 Effect of Mapping Changes</t>
  </si>
  <si>
    <t>FY16 Projected Tuition (Net Operating Fee) Revenue by Tuition Group - Assuming RUG tuition at 2014-15 rates</t>
  </si>
  <si>
    <t>FY15 Incremental Net Operating Fee Revenue (in $1,000s)</t>
  </si>
  <si>
    <r>
      <t xml:space="preserve">Distribution of FY16 Incremental Net Operating Fee Revenue </t>
    </r>
    <r>
      <rPr>
        <b/>
        <sz val="12"/>
        <color theme="1"/>
        <rFont val="Calibri"/>
        <family val="2"/>
        <scheme val="minor"/>
      </rPr>
      <t>(in $1,000s)</t>
    </r>
  </si>
  <si>
    <t>FY16 Projected Tuition (Net Operating Fee) Revenue by Tuition Group with 5% RUG Operating Fee Reduction</t>
  </si>
  <si>
    <r>
      <t xml:space="preserve">FY16 Projected Net Operating Fee Revenue </t>
    </r>
    <r>
      <rPr>
        <b/>
        <sz val="12"/>
        <color theme="1"/>
        <rFont val="Calibri"/>
        <family val="2"/>
        <scheme val="minor"/>
      </rPr>
      <t>(in $1,000s) (with 5% RUG Operating Fee Reduction)</t>
    </r>
  </si>
  <si>
    <t>Effect of FY16 5% RUG Operating Fee Reduction</t>
  </si>
  <si>
    <t>Summary of year by year changes to ABB tuition distribution calculations - From Spring 2011 forward</t>
  </si>
  <si>
    <t>Source data</t>
  </si>
  <si>
    <t xml:space="preserve">This spreadsheet shows the history of ABB tuition distributions since "Setting the Baseline" in FY12. 
Towards the end of each Spring quarter, the final distribution of revenue for the prior fiscal year is calculated. At the same time, the calculation of the projection of revenue for the coming fiscal year is also completed. This file includes tabs that show projected and actual net operating fee revenue (referred to here as “tuition revenue”) as well the detailed calculations of the distribution of tuition revenue to schools and colleges for each fiscal year since FY12. In addition, the calculations of the true-up (which is the difference between actual tuition revenue for the year and the revenue that had previously been projected for the year) and incremental tuition revenue (the difference between the revenue projected for the coming year and the actual tuition revenue realized in the current year) are shown.
The “Summary” tab summarizes the projected and actual distributions for each year. It shows the calculation of incremental and true-up distributions beginning with the projection for 2011-12. Column C on the “Summary” tab shows the one adjustment that was made in order to reconcile the formula-driven distributions here with the original "Setting the Baseline" documents (the difference is small). The tuition figures here now match the ABB allocation information that is published each year by OPB.
All calculations included here follow the methodology spelled out in the "Activity Based Budgeting Tuition Revenue Distribution Manual", which can be found at: http://opb.washington.edu/sites/default/files/opb/Budget/ABB-Manual.pdf
</t>
  </si>
  <si>
    <t>It is expected that all data needed for these calculations will be available in the Enterprise Data Warehouse (EDW) by the beginning of the FY17 year (and perhaps sooner). At that time, reports will be built out of EDW that will provide the type of information included here (as well as providing additional information). In the meantime, it is still the case that the source data for these calculations are derived from three Access databases housed in OPB, which use data from both the Planning and Budgeting Database (PNBDB) and the EDW. These databases are:</t>
  </si>
  <si>
    <r>
      <t xml:space="preserve">1. The </t>
    </r>
    <r>
      <rPr>
        <b/>
        <i/>
        <sz val="11"/>
        <color theme="1"/>
        <rFont val="Calibri"/>
        <family val="2"/>
        <scheme val="minor"/>
      </rPr>
      <t>Tuition Schedule Model</t>
    </r>
    <r>
      <rPr>
        <i/>
        <sz val="11"/>
        <color theme="1"/>
        <rFont val="Calibri"/>
        <family val="2"/>
        <scheme val="minor"/>
      </rPr>
      <t>. This database does the calculations required to provide the amount of operating fees charged to a student in a given year and quarter given the campus of enrollment, tuition category, residency, and credits taken. 
Table: "Quarterly Per Credit TF w NRDiff"
File:///I:\groups\opb\USERS\Janis%20Campbell\Databases%20(Access)\New%20Tuition%20Models\Tuition%20Schedule%20Model.accdb</t>
    </r>
  </si>
  <si>
    <r>
      <t xml:space="preserve">2. The </t>
    </r>
    <r>
      <rPr>
        <b/>
        <i/>
        <sz val="11"/>
        <color theme="1"/>
        <rFont val="Calibri"/>
        <family val="2"/>
        <scheme val="minor"/>
      </rPr>
      <t>Tuition Revenue Projection Model</t>
    </r>
    <r>
      <rPr>
        <i/>
        <sz val="11"/>
        <color theme="1"/>
        <rFont val="Calibri"/>
        <family val="2"/>
        <scheme val="minor"/>
      </rPr>
      <t>. This database does the calculations required to project or estimate tuition revenue for a given fiscal year. It combines information about census day enrollment by credits taken, campus, tuition category, and residency with the tuition schedule (noted in #1) to determine "gross tuition revenue" (the total amount charged). It then uses information (from EDW) about financial aid awards, along with internal logic about financial aid set-asides, to project or estimate total net revenue. The output of this database can be found in the FYXXRevenue and FYXXProjRev tabs.
file: ///I:\groups\opb\OFFICE\IR\Activity%20Based%20Budgeting\Tuition%20Revenue\Tuition%20Revenue%20Projection%20FY2016%20-%20NewTC.accdb</t>
    </r>
  </si>
  <si>
    <r>
      <t xml:space="preserve">3. </t>
    </r>
    <r>
      <rPr>
        <b/>
        <i/>
        <sz val="11"/>
        <color theme="1"/>
        <rFont val="Calibri"/>
        <family val="2"/>
        <scheme val="minor"/>
      </rPr>
      <t>Distribution Parameters Model</t>
    </r>
    <r>
      <rPr>
        <i/>
        <sz val="11"/>
        <color theme="1"/>
        <rFont val="Calibri"/>
        <family val="2"/>
        <scheme val="minor"/>
      </rPr>
      <t>. This database determines the number (and percentage) of SCH, major enrollments, and degree majors from each tuition group generated by each school or college. The calculations in which the distribution parameters are combined with revenue projections or estimates are all contained in this Excel file. They can be found in the FYXXRevToColl and FYXXProjRevToColl tabs.
file:///I:\groups\opb\OFFICE\IR\Activity%20Based%20Budgeting\Tuition%20Distribution\ABB%20Distribution%20Parameters.accdb</t>
    </r>
  </si>
  <si>
    <r>
      <t xml:space="preserve">For each fiscal year since FY12, there are several tabs.They are:
</t>
    </r>
    <r>
      <rPr>
        <b/>
        <i/>
        <sz val="11"/>
        <color theme="1"/>
        <rFont val="Calibri"/>
        <family val="2"/>
        <scheme val="minor"/>
      </rPr>
      <t>FYXXProjRev</t>
    </r>
    <r>
      <rPr>
        <i/>
        <sz val="11"/>
        <color theme="1"/>
        <rFont val="Calibri"/>
        <family val="2"/>
        <scheme val="minor"/>
      </rPr>
      <t xml:space="preserve">: This tab shows the net operating fee revenue projected for FYXX (for Fiscal Year XX) . It is produced in the Spring quarter prior to the beginning of the fiscal year.
</t>
    </r>
    <r>
      <rPr>
        <b/>
        <i/>
        <sz val="11"/>
        <color theme="1"/>
        <rFont val="Calibri"/>
        <family val="2"/>
        <scheme val="minor"/>
      </rPr>
      <t>FYXXProjRevToColl</t>
    </r>
    <r>
      <rPr>
        <i/>
        <sz val="11"/>
        <color theme="1"/>
        <rFont val="Calibri"/>
        <family val="2"/>
        <scheme val="minor"/>
      </rPr>
      <t xml:space="preserve">: This tab shows the detailed calculations that determine the distribution of projected net op fee revenue for the coming fiscal year. These calculations are done in the Spring quarter prior to the beginning of a fiscal year.
</t>
    </r>
    <r>
      <rPr>
        <b/>
        <i/>
        <sz val="11"/>
        <color theme="1"/>
        <rFont val="Calibri"/>
        <family val="2"/>
        <scheme val="minor"/>
      </rPr>
      <t xml:space="preserve">FYXXIncremental: </t>
    </r>
    <r>
      <rPr>
        <i/>
        <sz val="11"/>
        <color theme="1"/>
        <rFont val="Calibri"/>
        <family val="2"/>
        <scheme val="minor"/>
      </rPr>
      <t xml:space="preserve">The difference between the distribution of projected revenue for the coming year and the final distribution of revenue for the prior year (after the true-up). A separate tab for the incremental calculations is available only when the tuition groups are identical in the coming and the current year. When they are not identical, the calculation is only shown in the </t>
    </r>
    <r>
      <rPr>
        <b/>
        <i/>
        <sz val="11"/>
        <color theme="1"/>
        <rFont val="Calibri"/>
        <family val="2"/>
        <scheme val="minor"/>
      </rPr>
      <t>Summary</t>
    </r>
    <r>
      <rPr>
        <i/>
        <sz val="11"/>
        <color theme="1"/>
        <rFont val="Calibri"/>
        <family val="2"/>
        <scheme val="minor"/>
      </rPr>
      <t xml:space="preserve"> tab. The incremental distribution for a fiscal year is calculated in the Spring quarter prior to the beginning of that year.</t>
    </r>
    <r>
      <rPr>
        <b/>
        <i/>
        <sz val="11"/>
        <color theme="1"/>
        <rFont val="Calibri"/>
        <family val="2"/>
        <scheme val="minor"/>
      </rPr>
      <t xml:space="preserve">
FYXXProjMajors</t>
    </r>
    <r>
      <rPr>
        <i/>
        <sz val="11"/>
        <color theme="1"/>
        <rFont val="Calibri"/>
        <family val="2"/>
        <scheme val="minor"/>
      </rPr>
      <t xml:space="preserve">: This is used to calculate the distribution of revenue in FYXXProjRevToColl. The tab shows projected majors/degrees for FYXX. In most instances, the number of "projected" majors/degrees is the count of degrees from two years prior to FYXX and majors from the current year (one year prior to FYXX). When new tuition groups are created, the majors from existing tuition groups may need to be split. In addition, adjustments are occasionally made for anticipated enrollment shifts.
</t>
    </r>
    <r>
      <rPr>
        <b/>
        <i/>
        <sz val="11"/>
        <color theme="1"/>
        <rFont val="Calibri"/>
        <family val="2"/>
        <scheme val="minor"/>
      </rPr>
      <t>FYXXProjSCH</t>
    </r>
    <r>
      <rPr>
        <i/>
        <sz val="11"/>
        <color theme="1"/>
        <rFont val="Calibri"/>
        <family val="2"/>
        <scheme val="minor"/>
      </rPr>
      <t xml:space="preserve">: Used for the FYXX projection. Projected SCH for FYXX are usually the SCH from the current year (one year prior to FYXX), but sometimes adjustments are made for anticipated enrollment changes.
</t>
    </r>
    <r>
      <rPr>
        <b/>
        <i/>
        <sz val="11"/>
        <color theme="1"/>
        <rFont val="Calibri"/>
        <family val="2"/>
        <scheme val="minor"/>
      </rPr>
      <t>FYXXRevenue</t>
    </r>
    <r>
      <rPr>
        <i/>
        <sz val="11"/>
        <color theme="1"/>
        <rFont val="Calibri"/>
        <family val="2"/>
        <scheme val="minor"/>
      </rPr>
      <t xml:space="preserve">: This tab shows the estimated actual revenue for FYXX by tuition group, calculated as of Spring census day of FYXX
</t>
    </r>
    <r>
      <rPr>
        <b/>
        <i/>
        <sz val="11"/>
        <color theme="1"/>
        <rFont val="Calibri"/>
        <family val="2"/>
        <scheme val="minor"/>
      </rPr>
      <t>FYXXRevToColl</t>
    </r>
    <r>
      <rPr>
        <i/>
        <sz val="11"/>
        <color theme="1"/>
        <rFont val="Calibri"/>
        <family val="2"/>
        <scheme val="minor"/>
      </rPr>
      <t xml:space="preserve">: This tab shows the detailed calculations of the distribution of net operating fee revenue to units for a given fiscal year. These calculations are done in the Spring quarter at the end of the fiscal year.
</t>
    </r>
    <r>
      <rPr>
        <b/>
        <i/>
        <sz val="11"/>
        <color theme="1"/>
        <rFont val="Calibri"/>
        <family val="2"/>
        <scheme val="minor"/>
      </rPr>
      <t>FYXXMajors</t>
    </r>
    <r>
      <rPr>
        <i/>
        <sz val="11"/>
        <color theme="1"/>
        <rFont val="Calibri"/>
        <family val="2"/>
        <scheme val="minor"/>
      </rPr>
      <t xml:space="preserve">: Used for distribution calculations in FYXXRevToColl. Actual major enrollments for FYXX as of Spring census day. The "Undergraduate" row or column shows actual degree majors awarded one year prior to FYXX.
</t>
    </r>
    <r>
      <rPr>
        <b/>
        <i/>
        <sz val="11"/>
        <color theme="1"/>
        <rFont val="Calibri"/>
        <family val="2"/>
        <scheme val="minor"/>
      </rPr>
      <t>FYXXSCH</t>
    </r>
    <r>
      <rPr>
        <i/>
        <sz val="11"/>
        <color theme="1"/>
        <rFont val="Calibri"/>
        <family val="2"/>
        <scheme val="minor"/>
      </rPr>
      <t xml:space="preserve">: Used for distribution calculations in FYXXRevToColl. Actual SCH for FYXX as of Spring Census day of FYXX.
</t>
    </r>
    <r>
      <rPr>
        <b/>
        <i/>
        <sz val="11"/>
        <color theme="1"/>
        <rFont val="Calibri"/>
        <family val="2"/>
        <scheme val="minor"/>
      </rPr>
      <t>FYXXTrueUp</t>
    </r>
    <r>
      <rPr>
        <i/>
        <sz val="11"/>
        <color theme="1"/>
        <rFont val="Calibri"/>
        <family val="2"/>
        <scheme val="minor"/>
      </rPr>
      <t>: The difference between the final distribution of revenue in FYXXRevToColl and FYXXProjRevToColl.</t>
    </r>
  </si>
  <si>
    <t>Change from Original FY16 Projection</t>
  </si>
  <si>
    <t>FY16 Projected Tuition (Net Operating Fee) Revenue by Tuition Group with 5% RUG Operating Fee Reduction, Update Based on Autumn 15 Enrollments; Risk Pool Reduced</t>
  </si>
  <si>
    <t>FY16 Projected Tuition (Net Operating Fee) Revenue by Tuition Group Assuming 2014-15 RUG Tuition and Based on Autumn 2015 Enrollments; Risk Pool Reduced.</t>
  </si>
  <si>
    <r>
      <t xml:space="preserve">FY16 Projected Net Operating Fee Revenue </t>
    </r>
    <r>
      <rPr>
        <b/>
        <sz val="12"/>
        <color theme="1"/>
        <rFont val="Calibri"/>
        <family val="2"/>
        <scheme val="minor"/>
      </rPr>
      <t>(in $1,000s) , 5% reduction in RUG op fee, Updated using Autumn 2015 Enrollments and 2014-15 Degrees</t>
    </r>
  </si>
  <si>
    <t>Difference in FY16 Projected Net Operating Fee Revenue (in $1,000s) Once Autumn 15 enrollments and 14-15 degrees are taken into account</t>
  </si>
  <si>
    <t>FY16 True-Up Estimate based on Autumn 2015 Enrollments</t>
  </si>
  <si>
    <r>
      <t xml:space="preserve">There are also some additional tabs designed to accomodate a few calculations representing changes from the calculations described in the above descriptions of the standard tabs.
1. The Legislature provided the UW with additional state funding in order to hold resident undergraduate tuition flat for FY14 and FY15. To pass that funding to along to units, those funds were distributed as a tuition increase of 3% for resident undergraduate tuition would have been (though the funds were added to unit supplements rather than to the tuition base). The tab showing those distributions is </t>
    </r>
    <r>
      <rPr>
        <b/>
        <i/>
        <sz val="11"/>
        <color theme="1"/>
        <rFont val="Calibri"/>
        <family val="2"/>
        <scheme val="minor"/>
      </rPr>
      <t>FY14_15_3%</t>
    </r>
    <r>
      <rPr>
        <i/>
        <sz val="11"/>
        <color theme="1"/>
        <rFont val="Calibri"/>
        <family val="2"/>
        <scheme val="minor"/>
      </rPr>
      <t xml:space="preserve">.
2. When ABB was launched, it was known that some curricula, majors, and degrees were incorrectly mapped to the Grad School or Undergraduate Academic Affairs instead of other academic units. The final correction to this mapping problem was made when FY15 True-Up calculations were done. 
     </t>
    </r>
    <r>
      <rPr>
        <b/>
        <i/>
        <sz val="11"/>
        <color theme="1"/>
        <rFont val="Calibri"/>
        <family val="2"/>
        <scheme val="minor"/>
      </rPr>
      <t>FY15MajorswoMapChg</t>
    </r>
    <r>
      <rPr>
        <i/>
        <sz val="11"/>
        <color theme="1"/>
        <rFont val="Calibri"/>
        <family val="2"/>
        <scheme val="minor"/>
      </rPr>
      <t xml:space="preserve"> shows the distribution of major enrollments for FY15 and degree majors for FY14 before corrections were made.
     </t>
    </r>
    <r>
      <rPr>
        <b/>
        <i/>
        <sz val="11"/>
        <color theme="1"/>
        <rFont val="Calibri"/>
        <family val="2"/>
        <scheme val="minor"/>
      </rPr>
      <t xml:space="preserve">FY15SCHwoMapChg </t>
    </r>
    <r>
      <rPr>
        <i/>
        <sz val="11"/>
        <color theme="1"/>
        <rFont val="Calibri"/>
        <family val="2"/>
        <scheme val="minor"/>
      </rPr>
      <t xml:space="preserve">shows the distribution of SCH for FY15 before corrections were made.
     </t>
    </r>
    <r>
      <rPr>
        <b/>
        <i/>
        <sz val="11"/>
        <color theme="1"/>
        <rFont val="Calibri"/>
        <family val="2"/>
        <scheme val="minor"/>
      </rPr>
      <t>FY15RevToCollwoMapChg</t>
    </r>
    <r>
      <rPr>
        <i/>
        <sz val="11"/>
        <color theme="1"/>
        <rFont val="Calibri"/>
        <family val="2"/>
        <scheme val="minor"/>
      </rPr>
      <t xml:space="preserve"> shows the distribution of revenue based on SCH, major enrollments, and degrees before the mapping corrections were made. 
     </t>
    </r>
    <r>
      <rPr>
        <b/>
        <i/>
        <sz val="11"/>
        <color theme="1"/>
        <rFont val="Calibri"/>
        <family val="2"/>
        <scheme val="minor"/>
      </rPr>
      <t xml:space="preserve">FY15Majors </t>
    </r>
    <r>
      <rPr>
        <i/>
        <sz val="11"/>
        <color theme="1"/>
        <rFont val="Calibri"/>
        <family val="2"/>
        <scheme val="minor"/>
      </rPr>
      <t xml:space="preserve">shows the distribution of major enrollments for FY15 and degree majors for FY14 after the corrections were made.
     </t>
    </r>
    <r>
      <rPr>
        <b/>
        <i/>
        <sz val="11"/>
        <color theme="1"/>
        <rFont val="Calibri"/>
        <family val="2"/>
        <scheme val="minor"/>
      </rPr>
      <t xml:space="preserve">FY15SCH </t>
    </r>
    <r>
      <rPr>
        <i/>
        <sz val="11"/>
        <color theme="1"/>
        <rFont val="Calibri"/>
        <family val="2"/>
        <scheme val="minor"/>
      </rPr>
      <t xml:space="preserve">shows the distribution of SCH for FY15 after corrections were made.
     </t>
    </r>
    <r>
      <rPr>
        <b/>
        <i/>
        <sz val="11"/>
        <color theme="1"/>
        <rFont val="Calibri"/>
        <family val="2"/>
        <scheme val="minor"/>
      </rPr>
      <t>FY15RevToColl</t>
    </r>
    <r>
      <rPr>
        <i/>
        <sz val="11"/>
        <color theme="1"/>
        <rFont val="Calibri"/>
        <family val="2"/>
        <scheme val="minor"/>
      </rPr>
      <t xml:space="preserve"> shows the distribution of revenue to units after the corrections were made. 
     </t>
    </r>
    <r>
      <rPr>
        <b/>
        <i/>
        <sz val="11"/>
        <color theme="1"/>
        <rFont val="Calibri"/>
        <family val="2"/>
        <scheme val="minor"/>
      </rPr>
      <t>FY15MappingChg</t>
    </r>
    <r>
      <rPr>
        <i/>
        <sz val="11"/>
        <color theme="1"/>
        <rFont val="Calibri"/>
        <family val="2"/>
        <scheme val="minor"/>
      </rPr>
      <t xml:space="preserve"> shows the effect of these corrections 
         (that is, it shows the difference between the distribution of revenue to colleges with the correction made and that without the correction in place). 
         More information about these adjustments can be found on the </t>
    </r>
    <r>
      <rPr>
        <b/>
        <i/>
        <sz val="11"/>
        <color theme="1"/>
        <rFont val="Calibri"/>
        <family val="2"/>
        <scheme val="minor"/>
      </rPr>
      <t>Summary</t>
    </r>
    <r>
      <rPr>
        <i/>
        <sz val="11"/>
        <color theme="1"/>
        <rFont val="Calibri"/>
        <family val="2"/>
        <scheme val="minor"/>
      </rPr>
      <t xml:space="preserve"> tab.
</t>
    </r>
  </si>
  <si>
    <t>3. For FY16, the Legislature reduced the operating fee for resident undergrads by 5%. Funds to backfill the revenue loss were provided by the state,  but the amount provided was less than the projected revenue lost. Nevertheless, UW Administration chose to replace all lost revenue for units. The tabs FY16ProjRev0 and FY16ProjRevToColl0 show the revenue and distribution of revenue that would have occurred if tuition had not been reduced. FY16ProjRev and FY16ProjRevToColl show the revenue and distribution given the 5% reduction. FY16EffectReduction shows the difference between the two; that is, it shows the distribution to UW Seattle units of the revenue loss.The amount of revenue lost will be added to each unit's supplement.
4. For the first time, we are providing quarterly updates of the projection for FY16. The tab FY16ProjRevAut16provides an updated tuition projection for FY16, based on Fall 2015 enrollments (along with the average fall to annual FTE from FY14 and FY15 for the purpose of converting Fall to full year). 
5. Similarly, Autumn15Diff shows the difference between the projected distribution to school and college taking into account both Fall 2015 enrollments and degree awards for 2014-15 (which will be used for the FY16 true-up). Autumn15Diff can be taken as an estimate of FY16 true-up based on Fall 2015 census day.</t>
  </si>
  <si>
    <t>FY16 Projected major enrollments (same as FY15); FY15 preliminary estimate of undergrad degrees</t>
  </si>
  <si>
    <t>Updated 11/8/2015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</si>
</sst>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quot;$&quot;#,##0"/>
    <numFmt numFmtId="165" formatCode="_(* #,##0_);_(* \(#,##0\);_(* &quot;-&quot;??_);_(@_)"/>
    <numFmt numFmtId="166" formatCode="0.0%"/>
    <numFmt numFmtId="167" formatCode="&quot;$&quot;#,##0.00"/>
    <numFmt numFmtId="168" formatCode="0.00000000"/>
    <numFmt numFmtId="169" formatCode="0.000%"/>
    <numFmt numFmtId="170" formatCode="0.000"/>
    <numFmt numFmtId="171" formatCode="0.0000"/>
    <numFmt numFmtId="172" formatCode="&quot;$&quot;#,##0,"/>
    <numFmt numFmtId="173" formatCode="&quot;$&quot;#,##0.000,"/>
    <numFmt numFmtId="174" formatCode="&quot;$&quot;#,##0.0000,"/>
    <numFmt numFmtId="175" formatCode="_(* #,##0.000000_);_(* \(#,##0.000000\);_(* &quot;-&quot;??_);_(@_)"/>
    <numFmt numFmtId="176" formatCode="_(* #,##0.0_);_(* \(#,##0.0\);_(* &quot;-&quot;??_);_(@_)"/>
    <numFmt numFmtId="177" formatCode="_(* #,##0.0000_);_(* \(#,##0.0000\);_(* &quot;-&quot;??_);_(@_)"/>
    <numFmt numFmtId="178" formatCode="&quot;$&quot;#,##0.0,"/>
  </numFmts>
  <fonts count="56">
    <font>
      <sz val="11"/>
      <color theme="1"/>
      <name val="Calibri"/>
      <family val="2"/>
      <scheme val="minor"/>
    </font>
    <font>
      <sz val="10"/>
      <color indexed="8"/>
      <name val="Arial"/>
      <family val="2"/>
    </font>
    <font>
      <sz val="11"/>
      <color indexed="8"/>
      <name val="Calibri"/>
      <family val="2"/>
    </font>
    <font>
      <b/>
      <sz val="11"/>
      <color indexed="8"/>
      <name val="Calibri"/>
      <family val="2"/>
    </font>
    <font>
      <sz val="1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b/>
      <sz val="11"/>
      <color theme="1"/>
      <name val="Calibri"/>
      <family val="2"/>
      <scheme val="minor"/>
    </font>
    <font>
      <b/>
      <sz val="11"/>
      <color theme="7" tint="-0.499984740745262"/>
      <name val="Calibri"/>
      <family val="2"/>
      <scheme val="minor"/>
    </font>
    <font>
      <b/>
      <sz val="11"/>
      <color indexed="8"/>
      <name val="Calibri"/>
      <family val="2"/>
      <scheme val="minor"/>
    </font>
    <font>
      <b/>
      <sz val="10"/>
      <color indexed="8"/>
      <name val="Calibri"/>
      <family val="2"/>
      <scheme val="minor"/>
    </font>
    <font>
      <sz val="10"/>
      <name val="Verdana"/>
      <family val="2"/>
    </font>
    <font>
      <b/>
      <sz val="12"/>
      <color theme="7" tint="-0.499984740745262"/>
      <name val="Calibri"/>
      <family val="2"/>
      <scheme val="minor"/>
    </font>
    <font>
      <sz val="12"/>
      <color theme="1"/>
      <name val="Calibri"/>
      <family val="2"/>
      <scheme val="minor"/>
    </font>
    <font>
      <b/>
      <sz val="11"/>
      <color theme="7" tint="-0.499984740745262"/>
      <name val="Calibri"/>
      <family val="2"/>
    </font>
    <font>
      <sz val="11"/>
      <color indexed="8"/>
      <name val="Calibri"/>
      <family val="2"/>
      <scheme val="minor"/>
    </font>
    <font>
      <b/>
      <i/>
      <sz val="11"/>
      <color theme="1"/>
      <name val="Calibri"/>
      <family val="2"/>
      <scheme val="minor"/>
    </font>
    <font>
      <i/>
      <sz val="11"/>
      <color theme="1"/>
      <name val="Calibri"/>
      <family val="2"/>
      <scheme val="minor"/>
    </font>
    <font>
      <b/>
      <sz val="16"/>
      <color theme="1"/>
      <name val="Calibri"/>
      <family val="2"/>
      <scheme val="minor"/>
    </font>
    <font>
      <sz val="11"/>
      <color indexed="8"/>
      <name val="Calibri"/>
      <family val="2"/>
    </font>
    <font>
      <sz val="10"/>
      <color indexed="8"/>
      <name val="Arial"/>
      <family val="2"/>
    </font>
    <font>
      <sz val="12"/>
      <color indexed="8"/>
      <name val="Calibri"/>
      <family val="2"/>
    </font>
    <font>
      <sz val="12"/>
      <color theme="1"/>
      <name val="Calibri"/>
      <family val="2"/>
    </font>
    <font>
      <sz val="11"/>
      <color indexed="8"/>
      <name val="Calibri"/>
      <family val="2"/>
    </font>
    <font>
      <sz val="10"/>
      <color indexed="8"/>
      <name val="Arial"/>
      <family val="2"/>
    </font>
    <font>
      <sz val="9"/>
      <color theme="1"/>
      <name val="Calibri"/>
      <family val="2"/>
      <scheme val="minor"/>
    </font>
    <font>
      <sz val="9"/>
      <color indexed="8"/>
      <name val="Calibri"/>
      <family val="2"/>
    </font>
    <font>
      <sz val="9"/>
      <color theme="1"/>
      <name val="Calibri"/>
      <family val="2"/>
    </font>
    <font>
      <sz val="9"/>
      <color indexed="8"/>
      <name val="Arial"/>
      <family val="2"/>
    </font>
    <font>
      <b/>
      <sz val="10"/>
      <color indexed="8"/>
      <name val="Calibri"/>
      <family val="2"/>
    </font>
    <font>
      <sz val="10"/>
      <color indexed="8"/>
      <name val="Calibri"/>
      <family val="2"/>
    </font>
    <font>
      <b/>
      <i/>
      <sz val="10"/>
      <color theme="1"/>
      <name val="Calibri"/>
      <family val="2"/>
      <scheme val="minor"/>
    </font>
    <font>
      <sz val="9"/>
      <color indexed="8"/>
      <name val="Calibri"/>
      <family val="2"/>
      <scheme val="minor"/>
    </font>
    <font>
      <sz val="12"/>
      <color indexed="8"/>
      <name val="Calibri"/>
      <family val="2"/>
      <scheme val="minor"/>
    </font>
    <font>
      <b/>
      <sz val="12"/>
      <color indexed="8"/>
      <name val="Calibri"/>
      <family val="2"/>
      <scheme val="minor"/>
    </font>
    <font>
      <b/>
      <sz val="12"/>
      <color indexed="8"/>
      <name val="Calibri"/>
      <family val="2"/>
    </font>
    <font>
      <b/>
      <sz val="14"/>
      <color indexed="8"/>
      <name val="Calibri"/>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b/>
      <sz val="8"/>
      <color theme="1"/>
      <name val="Calibri"/>
      <family val="2"/>
      <scheme val="minor"/>
    </font>
    <font>
      <u/>
      <sz val="11"/>
      <color theme="10"/>
      <name val="Calibri"/>
      <family val="2"/>
      <scheme val="minor"/>
    </font>
    <font>
      <b/>
      <i/>
      <sz val="12"/>
      <color theme="1"/>
      <name val="Calibri"/>
      <family val="2"/>
      <scheme val="minor"/>
    </font>
    <font>
      <b/>
      <vertAlign val="superscript"/>
      <sz val="8"/>
      <color theme="1"/>
      <name val="Calibri"/>
      <family val="2"/>
      <scheme val="minor"/>
    </font>
    <font>
      <b/>
      <sz val="8"/>
      <color theme="0" tint="-0.499984740745262"/>
      <name val="Calibri"/>
      <family val="2"/>
      <scheme val="minor"/>
    </font>
    <font>
      <vertAlign val="superscript"/>
      <sz val="11"/>
      <color theme="1"/>
      <name val="Calibri"/>
      <family val="2"/>
      <scheme val="minor"/>
    </font>
    <font>
      <b/>
      <sz val="11"/>
      <color theme="0" tint="-0.499984740745262"/>
      <name val="Calibri"/>
      <family val="2"/>
      <scheme val="minor"/>
    </font>
    <font>
      <b/>
      <u/>
      <sz val="10"/>
      <color theme="10"/>
      <name val="Calibri"/>
      <family val="2"/>
      <scheme val="minor"/>
    </font>
    <font>
      <b/>
      <sz val="14"/>
      <color theme="1"/>
      <name val="Calibri (Body)"/>
    </font>
  </fonts>
  <fills count="13">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CC"/>
        <bgColor indexed="64"/>
      </patternFill>
    </fill>
    <fill>
      <patternFill patternType="solid">
        <fgColor rgb="FFD5EDFF"/>
        <bgColor indexed="64"/>
      </patternFill>
    </fill>
    <fill>
      <patternFill patternType="solid">
        <fgColor indexed="22"/>
        <bgColor indexed="0"/>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ABDBFF"/>
        <bgColor indexed="64"/>
      </patternFill>
    </fill>
    <fill>
      <patternFill patternType="solid">
        <fgColor theme="0" tint="-0.249977111117893"/>
        <bgColor indexed="64"/>
      </patternFill>
    </fill>
  </fills>
  <borders count="47">
    <border>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theme="7" tint="-0.499984740745262"/>
      </left>
      <right/>
      <top/>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thin">
        <color auto="1"/>
      </left>
      <right/>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8"/>
      </right>
      <top style="thin">
        <color indexed="8"/>
      </top>
      <bottom/>
      <diagonal/>
    </border>
    <border>
      <left/>
      <right/>
      <top/>
      <bottom style="thin">
        <color auto="1"/>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indexed="8"/>
      </right>
      <top style="thin">
        <color indexed="8"/>
      </top>
      <bottom/>
      <diagonal/>
    </border>
    <border>
      <left style="thin">
        <color auto="1"/>
      </left>
      <right style="thin">
        <color auto="1"/>
      </right>
      <top/>
      <bottom style="hair">
        <color auto="1"/>
      </bottom>
      <diagonal/>
    </border>
    <border>
      <left/>
      <right/>
      <top style="hair">
        <color auto="1"/>
      </top>
      <bottom style="hair">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bottom style="hair">
        <color auto="1"/>
      </bottom>
      <diagonal/>
    </border>
    <border>
      <left/>
      <right/>
      <top style="thin">
        <color auto="1"/>
      </top>
      <bottom style="thin">
        <color auto="1"/>
      </bottom>
      <diagonal/>
    </border>
    <border>
      <left/>
      <right/>
      <top style="hair">
        <color auto="1"/>
      </top>
      <bottom style="thin">
        <color auto="1"/>
      </bottom>
      <diagonal/>
    </border>
  </borders>
  <cellStyleXfs count="27">
    <xf numFmtId="0" fontId="0"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13" fillId="0" borderId="0"/>
    <xf numFmtId="0" fontId="1" fillId="0" borderId="0"/>
    <xf numFmtId="0" fontId="1" fillId="0" borderId="0"/>
    <xf numFmtId="0" fontId="1" fillId="0" borderId="0"/>
    <xf numFmtId="0" fontId="22" fillId="0" borderId="0"/>
    <xf numFmtId="0" fontId="26" fillId="0" borderId="0"/>
    <xf numFmtId="0" fontId="1" fillId="0" borderId="0"/>
    <xf numFmtId="0" fontId="1" fillId="0" borderId="0"/>
    <xf numFmtId="0" fontId="1" fillId="0" borderId="0"/>
    <xf numFmtId="0" fontId="40" fillId="0" borderId="0"/>
    <xf numFmtId="0" fontId="44" fillId="0" borderId="0"/>
    <xf numFmtId="0" fontId="44" fillId="0" borderId="0"/>
    <xf numFmtId="0" fontId="46" fillId="0" borderId="0"/>
    <xf numFmtId="0" fontId="48" fillId="0" borderId="0" applyNumberFormat="0" applyFill="0" applyBorder="0" applyAlignment="0" applyProtection="0"/>
  </cellStyleXfs>
  <cellXfs count="667">
    <xf numFmtId="0" fontId="0" fillId="0" borderId="0" xfId="0"/>
    <xf numFmtId="37" fontId="2" fillId="0" borderId="0" xfId="1" applyNumberFormat="1" applyFont="1" applyFill="1" applyBorder="1" applyAlignment="1">
      <alignment horizontal="center" wrapText="1"/>
    </xf>
    <xf numFmtId="0" fontId="0" fillId="0" borderId="0" xfId="0" applyAlignment="1">
      <alignment horizontal="center" vertical="center"/>
    </xf>
    <xf numFmtId="0" fontId="0" fillId="0" borderId="0" xfId="0" applyFill="1" applyBorder="1"/>
    <xf numFmtId="0" fontId="0" fillId="0" borderId="0" xfId="0"/>
    <xf numFmtId="0" fontId="4" fillId="0" borderId="0" xfId="0" applyFont="1"/>
    <xf numFmtId="0" fontId="0" fillId="0" borderId="0" xfId="0" applyAlignment="1">
      <alignment vertical="center"/>
    </xf>
    <xf numFmtId="165" fontId="0" fillId="0" borderId="0" xfId="0" applyNumberFormat="1"/>
    <xf numFmtId="164" fontId="0" fillId="0" borderId="0" xfId="0" applyNumberFormat="1"/>
    <xf numFmtId="0" fontId="0" fillId="0" borderId="0" xfId="0" applyAlignment="1">
      <alignment horizontal="center"/>
    </xf>
    <xf numFmtId="164" fontId="2" fillId="0" borderId="0" xfId="8" applyNumberFormat="1" applyFont="1" applyFill="1" applyBorder="1" applyAlignment="1">
      <alignment horizontal="right" wrapText="1"/>
    </xf>
    <xf numFmtId="0" fontId="11" fillId="0" borderId="0" xfId="0" applyFont="1"/>
    <xf numFmtId="0" fontId="11" fillId="0" borderId="0" xfId="0" applyFont="1" applyAlignment="1">
      <alignment horizontal="center" vertical="center"/>
    </xf>
    <xf numFmtId="0" fontId="6" fillId="0" borderId="0" xfId="0" applyFont="1" applyAlignment="1">
      <alignment vertical="center"/>
    </xf>
    <xf numFmtId="164" fontId="0" fillId="0" borderId="7" xfId="0" applyNumberFormat="1" applyBorder="1"/>
    <xf numFmtId="0" fontId="0" fillId="0" borderId="0" xfId="0"/>
    <xf numFmtId="0" fontId="2" fillId="0" borderId="0" xfId="1" applyFont="1" applyFill="1" applyBorder="1" applyAlignment="1">
      <alignment horizontal="center" wrapText="1"/>
    </xf>
    <xf numFmtId="0" fontId="10" fillId="0" borderId="3" xfId="0" applyFont="1" applyFill="1" applyBorder="1" applyAlignment="1">
      <alignment horizontal="center" vertical="center" wrapText="1"/>
    </xf>
    <xf numFmtId="0" fontId="0" fillId="0" borderId="0" xfId="0" applyFill="1"/>
    <xf numFmtId="9" fontId="0" fillId="0" borderId="0" xfId="0" applyNumberFormat="1" applyFill="1" applyBorder="1" applyAlignment="1" applyProtection="1">
      <alignment horizontal="center" vertical="center"/>
      <protection locked="0"/>
    </xf>
    <xf numFmtId="9" fontId="14" fillId="0" borderId="4" xfId="0" applyNumberFormat="1" applyFont="1" applyFill="1" applyBorder="1" applyAlignment="1">
      <alignment horizontal="center" vertical="center" wrapText="1"/>
    </xf>
    <xf numFmtId="0" fontId="15" fillId="0" borderId="0" xfId="0" applyFont="1" applyFill="1"/>
    <xf numFmtId="0" fontId="14" fillId="0" borderId="0" xfId="0" applyFont="1" applyFill="1" applyBorder="1" applyAlignment="1">
      <alignment horizontal="center" vertical="center" wrapText="1"/>
    </xf>
    <xf numFmtId="9" fontId="9" fillId="0" borderId="4" xfId="0" applyNumberFormat="1" applyFont="1" applyFill="1" applyBorder="1" applyAlignment="1" applyProtection="1">
      <alignment horizontal="center" vertical="center"/>
      <protection locked="0"/>
    </xf>
    <xf numFmtId="0" fontId="16" fillId="0" borderId="5" xfId="1" applyFont="1" applyFill="1" applyBorder="1" applyAlignment="1">
      <alignment horizontal="center" wrapText="1"/>
    </xf>
    <xf numFmtId="3" fontId="0" fillId="0" borderId="0" xfId="0" applyNumberFormat="1"/>
    <xf numFmtId="0" fontId="0" fillId="0" borderId="7" xfId="0" applyBorder="1"/>
    <xf numFmtId="164" fontId="2" fillId="0" borderId="7" xfId="5" applyNumberFormat="1" applyFont="1" applyFill="1" applyBorder="1" applyAlignment="1">
      <alignment wrapText="1"/>
    </xf>
    <xf numFmtId="0" fontId="11" fillId="0" borderId="0" xfId="0" applyFont="1"/>
    <xf numFmtId="0" fontId="2" fillId="0" borderId="7" xfId="8" applyFont="1" applyFill="1" applyBorder="1" applyAlignment="1">
      <alignment wrapText="1"/>
    </xf>
    <xf numFmtId="165" fontId="0" fillId="0" borderId="7" xfId="0" applyNumberFormat="1" applyBorder="1"/>
    <xf numFmtId="0" fontId="0" fillId="0" borderId="0" xfId="0" applyAlignment="1">
      <alignment vertical="center" wrapText="1"/>
    </xf>
    <xf numFmtId="0" fontId="0" fillId="0" borderId="0" xfId="0"/>
    <xf numFmtId="0" fontId="6"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3" fillId="0" borderId="17" xfId="3" applyFont="1" applyFill="1" applyBorder="1" applyAlignment="1">
      <alignment horizontal="center" vertical="center" wrapText="1"/>
    </xf>
    <xf numFmtId="164" fontId="9" fillId="0" borderId="17" xfId="0" applyNumberFormat="1" applyFont="1" applyFill="1" applyBorder="1" applyAlignment="1">
      <alignment vertical="center"/>
    </xf>
    <xf numFmtId="164" fontId="11" fillId="0" borderId="17" xfId="0" applyNumberFormat="1" applyFont="1" applyFill="1" applyBorder="1" applyAlignment="1">
      <alignment horizontal="right" vertical="center"/>
    </xf>
    <xf numFmtId="0" fontId="3" fillId="0" borderId="18" xfId="3" applyFont="1" applyFill="1" applyBorder="1" applyAlignment="1">
      <alignment horizontal="center" vertical="center" wrapText="1"/>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0" fontId="3" fillId="0" borderId="18" xfId="1" applyFont="1" applyFill="1" applyBorder="1" applyAlignment="1">
      <alignment horizontal="center" vertical="center" wrapText="1"/>
    </xf>
    <xf numFmtId="164" fontId="9" fillId="0" borderId="18" xfId="0" applyNumberFormat="1" applyFont="1" applyFill="1" applyBorder="1" applyAlignment="1">
      <alignment horizontal="right" vertical="center"/>
    </xf>
    <xf numFmtId="0" fontId="3" fillId="0" borderId="19" xfId="3" applyFont="1" applyFill="1" applyBorder="1" applyAlignment="1">
      <alignment horizontal="center" vertical="center" wrapText="1"/>
    </xf>
    <xf numFmtId="164" fontId="9" fillId="0" borderId="19" xfId="0" applyNumberFormat="1" applyFont="1" applyFill="1" applyBorder="1" applyAlignment="1">
      <alignment vertical="center"/>
    </xf>
    <xf numFmtId="164" fontId="9" fillId="0" borderId="19" xfId="0" applyNumberFormat="1" applyFont="1" applyFill="1" applyBorder="1" applyAlignment="1">
      <alignment horizontal="right" vertical="center"/>
    </xf>
    <xf numFmtId="0" fontId="5" fillId="0" borderId="0" xfId="0" applyFont="1" applyAlignment="1">
      <alignment vertical="center"/>
    </xf>
    <xf numFmtId="0" fontId="9" fillId="0" borderId="7" xfId="0" applyFont="1" applyFill="1" applyBorder="1" applyAlignment="1">
      <alignment horizontal="center" vertical="center"/>
    </xf>
    <xf numFmtId="164" fontId="9" fillId="0" borderId="7" xfId="0" applyNumberFormat="1" applyFont="1" applyFill="1" applyBorder="1" applyAlignment="1">
      <alignment vertical="center"/>
    </xf>
    <xf numFmtId="164" fontId="11" fillId="0" borderId="7" xfId="0" applyNumberFormat="1" applyFont="1" applyFill="1" applyBorder="1" applyAlignment="1">
      <alignment horizontal="right" vertical="center"/>
    </xf>
    <xf numFmtId="164" fontId="2" fillId="0" borderId="7" xfId="5" applyNumberFormat="1" applyFont="1" applyFill="1" applyBorder="1" applyAlignment="1">
      <alignment horizontal="right" wrapText="1"/>
    </xf>
    <xf numFmtId="0" fontId="0" fillId="2" borderId="7" xfId="0" applyFill="1" applyBorder="1"/>
    <xf numFmtId="164" fontId="2" fillId="2" borderId="7" xfId="8" applyNumberFormat="1" applyFont="1" applyFill="1" applyBorder="1" applyAlignment="1">
      <alignment horizontal="right" wrapText="1"/>
    </xf>
    <xf numFmtId="166" fontId="0" fillId="0" borderId="0" xfId="0" applyNumberFormat="1"/>
    <xf numFmtId="166" fontId="11" fillId="0" borderId="0" xfId="0" applyNumberFormat="1" applyFont="1"/>
    <xf numFmtId="1" fontId="0" fillId="0" borderId="0" xfId="0" applyNumberFormat="1"/>
    <xf numFmtId="164" fontId="2" fillId="0" borderId="7" xfId="16" applyNumberFormat="1" applyFont="1" applyFill="1" applyBorder="1" applyAlignment="1">
      <alignment horizontal="right" wrapText="1"/>
    </xf>
    <xf numFmtId="166" fontId="0" fillId="0" borderId="0" xfId="0" applyNumberFormat="1" applyBorder="1"/>
    <xf numFmtId="167" fontId="0" fillId="0" borderId="0" xfId="0" applyNumberFormat="1"/>
    <xf numFmtId="168" fontId="0" fillId="0" borderId="0" xfId="0" applyNumberFormat="1"/>
    <xf numFmtId="164" fontId="0" fillId="0" borderId="0" xfId="0" applyNumberFormat="1" applyAlignment="1">
      <alignment vertical="center"/>
    </xf>
    <xf numFmtId="0" fontId="0" fillId="0" borderId="0" xfId="0" applyAlignment="1"/>
    <xf numFmtId="0" fontId="9" fillId="0" borderId="7" xfId="0" applyFont="1" applyBorder="1" applyAlignment="1">
      <alignment horizontal="center" vertical="center"/>
    </xf>
    <xf numFmtId="0" fontId="9" fillId="0" borderId="7" xfId="0" applyFont="1" applyBorder="1" applyAlignment="1">
      <alignment horizontal="center" vertical="center" wrapText="1"/>
    </xf>
    <xf numFmtId="0" fontId="3" fillId="0" borderId="7" xfId="5" applyFont="1" applyFill="1" applyBorder="1" applyAlignment="1">
      <alignment wrapText="1"/>
    </xf>
    <xf numFmtId="164" fontId="0" fillId="0" borderId="7" xfId="0" applyNumberFormat="1" applyFont="1" applyBorder="1"/>
    <xf numFmtId="164" fontId="9" fillId="0" borderId="7" xfId="0" applyNumberFormat="1" applyFont="1" applyBorder="1"/>
    <xf numFmtId="0" fontId="9" fillId="0" borderId="0" xfId="0" applyFont="1" applyAlignment="1">
      <alignment horizontal="center" vertical="center"/>
    </xf>
    <xf numFmtId="0" fontId="9" fillId="0" borderId="0" xfId="0" applyFont="1"/>
    <xf numFmtId="164" fontId="3" fillId="0" borderId="7" xfId="5" applyNumberFormat="1" applyFont="1" applyFill="1" applyBorder="1" applyAlignment="1">
      <alignment wrapText="1"/>
    </xf>
    <xf numFmtId="0" fontId="18" fillId="0" borderId="7" xfId="0" applyFont="1" applyBorder="1"/>
    <xf numFmtId="164" fontId="19" fillId="0" borderId="7" xfId="0" applyNumberFormat="1" applyFont="1" applyBorder="1"/>
    <xf numFmtId="164" fontId="18" fillId="0" borderId="7" xfId="0" applyNumberFormat="1" applyFont="1" applyBorder="1"/>
    <xf numFmtId="0" fontId="20" fillId="0" borderId="0" xfId="0" applyFont="1" applyAlignment="1">
      <alignment vertical="center"/>
    </xf>
    <xf numFmtId="0" fontId="15" fillId="0" borderId="0" xfId="0" applyFont="1" applyAlignment="1">
      <alignment wrapText="1"/>
    </xf>
    <xf numFmtId="0" fontId="9" fillId="0" borderId="0" xfId="0" applyFont="1" applyFill="1" applyBorder="1" applyAlignment="1">
      <alignment horizontal="center" vertical="center"/>
    </xf>
    <xf numFmtId="0" fontId="6" fillId="0" borderId="0" xfId="0" applyFont="1" applyBorder="1" applyAlignment="1">
      <alignment vertical="center"/>
    </xf>
    <xf numFmtId="0" fontId="0" fillId="0" borderId="0" xfId="0" applyBorder="1"/>
    <xf numFmtId="0" fontId="3" fillId="5" borderId="17" xfId="3" applyFont="1" applyFill="1" applyBorder="1" applyAlignment="1">
      <alignment horizontal="center" vertical="center" wrapText="1"/>
    </xf>
    <xf numFmtId="164" fontId="9" fillId="5" borderId="17" xfId="0" applyNumberFormat="1" applyFont="1" applyFill="1" applyBorder="1" applyAlignment="1">
      <alignment vertical="center"/>
    </xf>
    <xf numFmtId="164" fontId="11" fillId="5" borderId="17" xfId="0" applyNumberFormat="1" applyFont="1" applyFill="1" applyBorder="1" applyAlignment="1">
      <alignment horizontal="right" vertical="center"/>
    </xf>
    <xf numFmtId="0" fontId="3" fillId="5" borderId="18" xfId="3" applyFont="1" applyFill="1" applyBorder="1" applyAlignment="1">
      <alignment horizontal="center" vertical="center" wrapText="1"/>
    </xf>
    <xf numFmtId="164" fontId="9" fillId="5" borderId="18" xfId="0" applyNumberFormat="1" applyFont="1" applyFill="1" applyBorder="1" applyAlignment="1">
      <alignment vertical="center"/>
    </xf>
    <xf numFmtId="164" fontId="11" fillId="5" borderId="18" xfId="0" applyNumberFormat="1" applyFont="1" applyFill="1" applyBorder="1" applyAlignment="1">
      <alignment horizontal="right" vertical="center"/>
    </xf>
    <xf numFmtId="0" fontId="3" fillId="5" borderId="18" xfId="1" applyFont="1" applyFill="1" applyBorder="1" applyAlignment="1">
      <alignment horizontal="center" vertical="center" wrapText="1"/>
    </xf>
    <xf numFmtId="164" fontId="9" fillId="5" borderId="18" xfId="0" applyNumberFormat="1" applyFont="1" applyFill="1" applyBorder="1" applyAlignment="1">
      <alignment horizontal="right" vertical="center"/>
    </xf>
    <xf numFmtId="0" fontId="3" fillId="5" borderId="19" xfId="3" applyFont="1" applyFill="1" applyBorder="1" applyAlignment="1">
      <alignment horizontal="center" vertical="center" wrapText="1"/>
    </xf>
    <xf numFmtId="164" fontId="9" fillId="5" borderId="19" xfId="0" applyNumberFormat="1" applyFont="1" applyFill="1" applyBorder="1" applyAlignment="1">
      <alignment vertical="center"/>
    </xf>
    <xf numFmtId="164" fontId="9" fillId="5" borderId="19" xfId="0" applyNumberFormat="1" applyFont="1" applyFill="1" applyBorder="1" applyAlignment="1">
      <alignment horizontal="right" vertical="center"/>
    </xf>
    <xf numFmtId="0" fontId="9" fillId="5" borderId="7" xfId="0" applyFont="1" applyFill="1" applyBorder="1" applyAlignment="1">
      <alignment horizontal="center" vertical="center"/>
    </xf>
    <xf numFmtId="164" fontId="9" fillId="5" borderId="7" xfId="0" applyNumberFormat="1" applyFont="1" applyFill="1" applyBorder="1" applyAlignment="1">
      <alignment vertical="center"/>
    </xf>
    <xf numFmtId="164" fontId="11" fillId="5" borderId="7" xfId="0" applyNumberFormat="1" applyFont="1" applyFill="1" applyBorder="1" applyAlignment="1">
      <alignment horizontal="right" vertical="center"/>
    </xf>
    <xf numFmtId="0" fontId="3" fillId="6" borderId="17" xfId="3" applyFont="1" applyFill="1" applyBorder="1" applyAlignment="1">
      <alignment horizontal="center" vertical="center" wrapText="1"/>
    </xf>
    <xf numFmtId="164" fontId="9" fillId="6" borderId="17" xfId="0" applyNumberFormat="1" applyFont="1" applyFill="1" applyBorder="1" applyAlignment="1">
      <alignment vertical="center"/>
    </xf>
    <xf numFmtId="164" fontId="11" fillId="6" borderId="17" xfId="0" applyNumberFormat="1" applyFont="1" applyFill="1" applyBorder="1" applyAlignment="1">
      <alignment horizontal="right" vertical="center"/>
    </xf>
    <xf numFmtId="0" fontId="3" fillId="6" borderId="18" xfId="3" applyFont="1" applyFill="1" applyBorder="1" applyAlignment="1">
      <alignment horizontal="center" vertical="center" wrapText="1"/>
    </xf>
    <xf numFmtId="164" fontId="9" fillId="6" borderId="18" xfId="0" applyNumberFormat="1" applyFont="1" applyFill="1" applyBorder="1" applyAlignment="1">
      <alignment vertical="center"/>
    </xf>
    <xf numFmtId="164" fontId="11" fillId="6" borderId="18" xfId="0" applyNumberFormat="1" applyFont="1" applyFill="1" applyBorder="1" applyAlignment="1">
      <alignment horizontal="right" vertical="center"/>
    </xf>
    <xf numFmtId="0" fontId="3" fillId="6" borderId="18" xfId="1" applyFont="1" applyFill="1" applyBorder="1" applyAlignment="1">
      <alignment horizontal="center" vertical="center" wrapText="1"/>
    </xf>
    <xf numFmtId="164" fontId="9" fillId="6" borderId="18" xfId="0" applyNumberFormat="1" applyFont="1" applyFill="1" applyBorder="1" applyAlignment="1">
      <alignment horizontal="right" vertical="center"/>
    </xf>
    <xf numFmtId="0" fontId="3" fillId="6" borderId="19" xfId="3" applyFont="1" applyFill="1" applyBorder="1" applyAlignment="1">
      <alignment horizontal="center" vertical="center" wrapText="1"/>
    </xf>
    <xf numFmtId="164" fontId="9" fillId="6" borderId="19" xfId="0" applyNumberFormat="1" applyFont="1" applyFill="1" applyBorder="1" applyAlignment="1">
      <alignment vertical="center"/>
    </xf>
    <xf numFmtId="164" fontId="9" fillId="6" borderId="19" xfId="0" applyNumberFormat="1" applyFont="1" applyFill="1" applyBorder="1" applyAlignment="1">
      <alignment horizontal="right" vertical="center"/>
    </xf>
    <xf numFmtId="0" fontId="9" fillId="6" borderId="7" xfId="0" applyFont="1" applyFill="1" applyBorder="1" applyAlignment="1">
      <alignment horizontal="center" vertical="center"/>
    </xf>
    <xf numFmtId="164" fontId="9" fillId="6" borderId="7" xfId="0" applyNumberFormat="1" applyFont="1" applyFill="1" applyBorder="1" applyAlignment="1">
      <alignment vertical="center"/>
    </xf>
    <xf numFmtId="164" fontId="11" fillId="6" borderId="7" xfId="0" applyNumberFormat="1" applyFont="1" applyFill="1" applyBorder="1" applyAlignment="1">
      <alignment horizontal="right" vertical="center"/>
    </xf>
    <xf numFmtId="0" fontId="8" fillId="2" borderId="7" xfId="0" applyFont="1" applyFill="1" applyBorder="1" applyAlignment="1">
      <alignment horizontal="center" vertical="center" wrapText="1"/>
    </xf>
    <xf numFmtId="164" fontId="9" fillId="2" borderId="17" xfId="0" applyNumberFormat="1" applyFont="1" applyFill="1" applyBorder="1" applyAlignment="1">
      <alignment vertical="center"/>
    </xf>
    <xf numFmtId="164" fontId="9" fillId="2" borderId="18" xfId="0" applyNumberFormat="1" applyFont="1" applyFill="1" applyBorder="1" applyAlignment="1">
      <alignment vertical="center"/>
    </xf>
    <xf numFmtId="164" fontId="9" fillId="2" borderId="19" xfId="0" applyNumberFormat="1" applyFont="1" applyFill="1" applyBorder="1" applyAlignment="1">
      <alignment vertical="center"/>
    </xf>
    <xf numFmtId="164" fontId="9" fillId="2" borderId="7" xfId="0" applyNumberFormat="1" applyFont="1" applyFill="1" applyBorder="1" applyAlignment="1">
      <alignment vertical="center"/>
    </xf>
    <xf numFmtId="0" fontId="2" fillId="5" borderId="7" xfId="14" applyFont="1" applyFill="1" applyBorder="1" applyAlignment="1">
      <alignment wrapText="1"/>
    </xf>
    <xf numFmtId="166" fontId="2" fillId="5" borderId="7" xfId="6" applyNumberFormat="1" applyFont="1" applyFill="1" applyBorder="1" applyAlignment="1">
      <alignment horizontal="right" wrapText="1"/>
    </xf>
    <xf numFmtId="166" fontId="0" fillId="5" borderId="7" xfId="0" applyNumberFormat="1" applyFill="1" applyBorder="1"/>
    <xf numFmtId="166" fontId="0" fillId="5" borderId="7" xfId="0" applyNumberFormat="1" applyFill="1" applyBorder="1" applyAlignment="1">
      <alignment horizontal="center"/>
    </xf>
    <xf numFmtId="0" fontId="2" fillId="5" borderId="7" xfId="14" applyFont="1" applyFill="1" applyBorder="1" applyAlignment="1">
      <alignment horizontal="right" wrapText="1"/>
    </xf>
    <xf numFmtId="0" fontId="1" fillId="5" borderId="7" xfId="14" applyFill="1" applyBorder="1"/>
    <xf numFmtId="0" fontId="0" fillId="5" borderId="7" xfId="0" applyFill="1" applyBorder="1"/>
    <xf numFmtId="165" fontId="0" fillId="5" borderId="7" xfId="2" applyNumberFormat="1" applyFont="1" applyFill="1" applyBorder="1"/>
    <xf numFmtId="0" fontId="2" fillId="0" borderId="16" xfId="7" applyFont="1" applyFill="1" applyBorder="1" applyAlignment="1">
      <alignment horizontal="center" vertical="center" wrapText="1"/>
    </xf>
    <xf numFmtId="0" fontId="2" fillId="0" borderId="6" xfId="7" applyFont="1" applyFill="1" applyBorder="1" applyAlignment="1">
      <alignment horizontal="center" vertical="center" wrapText="1"/>
    </xf>
    <xf numFmtId="0" fontId="2" fillId="0" borderId="7" xfId="7" applyFont="1" applyFill="1" applyBorder="1" applyAlignment="1">
      <alignment horizontal="center" vertical="center" wrapText="1"/>
    </xf>
    <xf numFmtId="0" fontId="2" fillId="0" borderId="7" xfId="14" applyFont="1" applyFill="1" applyBorder="1" applyAlignment="1">
      <alignment horizontal="center" vertical="center" wrapText="1"/>
    </xf>
    <xf numFmtId="0" fontId="2" fillId="5" borderId="7" xfId="15" applyFont="1" applyFill="1" applyBorder="1" applyAlignment="1">
      <alignment wrapText="1"/>
    </xf>
    <xf numFmtId="0" fontId="2" fillId="5" borderId="7" xfId="15" applyFont="1" applyFill="1" applyBorder="1" applyAlignment="1">
      <alignment horizontal="right" wrapText="1"/>
    </xf>
    <xf numFmtId="0" fontId="1" fillId="5" borderId="7" xfId="15" applyFill="1" applyBorder="1"/>
    <xf numFmtId="0" fontId="7" fillId="0" borderId="0" xfId="0" applyFont="1" applyAlignment="1">
      <alignment vertical="center"/>
    </xf>
    <xf numFmtId="0" fontId="2" fillId="6" borderId="7" xfId="9" applyFont="1" applyFill="1" applyBorder="1" applyAlignment="1">
      <alignment wrapText="1"/>
    </xf>
    <xf numFmtId="166" fontId="2" fillId="6" borderId="7" xfId="4" applyNumberFormat="1" applyFont="1" applyFill="1" applyBorder="1" applyAlignment="1">
      <alignment horizontal="right" wrapText="1"/>
    </xf>
    <xf numFmtId="0" fontId="2" fillId="6" borderId="1" xfId="4" applyFont="1" applyFill="1" applyBorder="1" applyAlignment="1">
      <alignment wrapText="1"/>
    </xf>
    <xf numFmtId="166" fontId="0" fillId="6" borderId="2" xfId="0" applyNumberFormat="1" applyFill="1" applyBorder="1"/>
    <xf numFmtId="166" fontId="0" fillId="6" borderId="2" xfId="0" applyNumberFormat="1" applyFill="1" applyBorder="1" applyAlignment="1">
      <alignment horizontal="right"/>
    </xf>
    <xf numFmtId="165" fontId="2" fillId="6" borderId="15" xfId="2" applyNumberFormat="1" applyFont="1" applyFill="1" applyBorder="1" applyAlignment="1">
      <alignment horizontal="right" wrapText="1"/>
    </xf>
    <xf numFmtId="165" fontId="2" fillId="6" borderId="7" xfId="2" applyNumberFormat="1" applyFont="1" applyFill="1" applyBorder="1" applyAlignment="1">
      <alignment horizontal="right" wrapText="1"/>
    </xf>
    <xf numFmtId="165" fontId="1" fillId="6" borderId="7" xfId="2" applyNumberFormat="1" applyFont="1" applyFill="1" applyBorder="1"/>
    <xf numFmtId="0" fontId="2" fillId="6" borderId="15" xfId="4" applyFont="1" applyFill="1" applyBorder="1" applyAlignment="1">
      <alignment horizontal="right" wrapText="1"/>
    </xf>
    <xf numFmtId="165" fontId="1" fillId="6" borderId="15" xfId="2" applyNumberFormat="1" applyFont="1" applyFill="1" applyBorder="1"/>
    <xf numFmtId="0" fontId="2" fillId="6" borderId="16" xfId="4" applyFont="1" applyFill="1" applyBorder="1" applyAlignment="1">
      <alignment horizontal="right" wrapText="1"/>
    </xf>
    <xf numFmtId="0" fontId="0" fillId="6" borderId="7" xfId="0" applyFill="1" applyBorder="1" applyAlignment="1"/>
    <xf numFmtId="165" fontId="0" fillId="6" borderId="7" xfId="2" applyNumberFormat="1" applyFont="1" applyFill="1" applyBorder="1" applyAlignment="1"/>
    <xf numFmtId="0" fontId="2" fillId="0" borderId="15" xfId="7" applyFont="1" applyFill="1" applyBorder="1" applyAlignment="1">
      <alignment horizontal="center" vertical="center" wrapText="1"/>
    </xf>
    <xf numFmtId="0" fontId="2" fillId="0" borderId="20" xfId="7" applyFont="1" applyFill="1" applyBorder="1" applyAlignment="1">
      <alignment horizontal="center" vertical="center" wrapText="1"/>
    </xf>
    <xf numFmtId="0" fontId="2" fillId="6" borderId="12" xfId="9" applyFont="1" applyFill="1" applyBorder="1" applyAlignment="1">
      <alignment wrapText="1"/>
    </xf>
    <xf numFmtId="166" fontId="2" fillId="6" borderId="8" xfId="7" applyNumberFormat="1" applyFont="1" applyFill="1" applyBorder="1" applyAlignment="1">
      <alignment horizontal="right" wrapText="1"/>
    </xf>
    <xf numFmtId="166" fontId="2" fillId="6" borderId="7" xfId="7" applyNumberFormat="1" applyFont="1" applyFill="1" applyBorder="1" applyAlignment="1">
      <alignment horizontal="right" wrapText="1"/>
    </xf>
    <xf numFmtId="166" fontId="0" fillId="6" borderId="9" xfId="0" applyNumberFormat="1" applyFill="1" applyBorder="1" applyAlignment="1">
      <alignment horizontal="right"/>
    </xf>
    <xf numFmtId="0" fontId="0" fillId="6" borderId="12" xfId="0" applyFill="1" applyBorder="1"/>
    <xf numFmtId="165" fontId="0" fillId="6" borderId="15" xfId="2" applyNumberFormat="1" applyFont="1" applyFill="1" applyBorder="1"/>
    <xf numFmtId="165" fontId="1" fillId="6" borderId="8" xfId="2" applyNumberFormat="1" applyFont="1" applyFill="1" applyBorder="1"/>
    <xf numFmtId="165" fontId="2" fillId="6" borderId="8" xfId="2" applyNumberFormat="1" applyFont="1" applyFill="1" applyBorder="1" applyAlignment="1">
      <alignment horizontal="right" wrapText="1"/>
    </xf>
    <xf numFmtId="165" fontId="1" fillId="6" borderId="15" xfId="2" applyNumberFormat="1" applyFont="1" applyFill="1" applyBorder="1" applyAlignment="1">
      <alignment horizontal="right"/>
    </xf>
    <xf numFmtId="165" fontId="0" fillId="6" borderId="15" xfId="2" applyNumberFormat="1" applyFont="1" applyFill="1" applyBorder="1" applyAlignment="1"/>
    <xf numFmtId="165" fontId="0" fillId="0" borderId="0" xfId="2" applyNumberFormat="1" applyFont="1"/>
    <xf numFmtId="165" fontId="9" fillId="0" borderId="7" xfId="2" applyNumberFormat="1" applyFont="1" applyBorder="1"/>
    <xf numFmtId="165" fontId="19" fillId="0" borderId="7" xfId="2" applyNumberFormat="1" applyFont="1" applyBorder="1"/>
    <xf numFmtId="0" fontId="2" fillId="0" borderId="12" xfId="8" applyFont="1" applyFill="1" applyBorder="1" applyAlignment="1">
      <alignment wrapText="1"/>
    </xf>
    <xf numFmtId="0" fontId="3" fillId="0" borderId="12" xfId="5" applyFont="1" applyFill="1" applyBorder="1" applyAlignment="1">
      <alignment wrapText="1"/>
    </xf>
    <xf numFmtId="0" fontId="18" fillId="0" borderId="12" xfId="0" applyFont="1" applyBorder="1"/>
    <xf numFmtId="164" fontId="0" fillId="0" borderId="8" xfId="0" applyNumberFormat="1" applyBorder="1"/>
    <xf numFmtId="164" fontId="2" fillId="0" borderId="8" xfId="5" applyNumberFormat="1" applyFont="1" applyFill="1" applyBorder="1" applyAlignment="1">
      <alignment wrapText="1"/>
    </xf>
    <xf numFmtId="164" fontId="19" fillId="0" borderId="8" xfId="0" applyNumberFormat="1" applyFont="1" applyBorder="1"/>
    <xf numFmtId="0" fontId="9" fillId="0" borderId="12" xfId="0" applyFont="1" applyBorder="1" applyAlignment="1">
      <alignment horizontal="center" vertical="center"/>
    </xf>
    <xf numFmtId="0" fontId="9" fillId="0" borderId="8" xfId="0" applyFont="1" applyBorder="1" applyAlignment="1">
      <alignment horizontal="center" vertical="center" wrapText="1"/>
    </xf>
    <xf numFmtId="165" fontId="21" fillId="0" borderId="7" xfId="2" applyNumberFormat="1" applyFont="1" applyFill="1" applyBorder="1" applyAlignment="1">
      <alignment horizontal="right" wrapText="1"/>
    </xf>
    <xf numFmtId="0" fontId="0" fillId="0" borderId="10" xfId="0" applyBorder="1"/>
    <xf numFmtId="164" fontId="21" fillId="0" borderId="7" xfId="17" applyNumberFormat="1" applyFont="1" applyFill="1" applyBorder="1" applyAlignment="1">
      <alignment horizontal="right" wrapText="1"/>
    </xf>
    <xf numFmtId="164" fontId="9" fillId="0" borderId="7" xfId="0" applyNumberFormat="1" applyFont="1" applyBorder="1"/>
    <xf numFmtId="165" fontId="0" fillId="0" borderId="0" xfId="2" applyNumberFormat="1" applyFont="1" applyAlignment="1">
      <alignment horizontal="center" vertical="center"/>
    </xf>
    <xf numFmtId="0" fontId="0" fillId="0" borderId="5" xfId="0" applyBorder="1" applyAlignment="1">
      <alignment horizontal="center" vertical="center"/>
    </xf>
    <xf numFmtId="0" fontId="9" fillId="0" borderId="0" xfId="0" applyFont="1" applyFill="1" applyBorder="1" applyAlignment="1">
      <alignment horizontal="center" vertical="center" wrapText="1"/>
    </xf>
    <xf numFmtId="169" fontId="2" fillId="5" borderId="7" xfId="6" applyNumberFormat="1" applyFont="1" applyFill="1" applyBorder="1" applyAlignment="1">
      <alignment horizontal="right" wrapText="1"/>
    </xf>
    <xf numFmtId="165" fontId="5" fillId="9" borderId="7" xfId="2" applyNumberFormat="1" applyFont="1" applyFill="1" applyBorder="1"/>
    <xf numFmtId="0" fontId="17" fillId="9" borderId="7" xfId="14" applyFont="1" applyFill="1" applyBorder="1" applyAlignment="1">
      <alignment horizontal="right" wrapText="1"/>
    </xf>
    <xf numFmtId="165" fontId="17" fillId="9" borderId="7" xfId="2" applyNumberFormat="1" applyFont="1" applyFill="1" applyBorder="1" applyAlignment="1">
      <alignment horizontal="right" wrapText="1"/>
    </xf>
    <xf numFmtId="165" fontId="17" fillId="9" borderId="7" xfId="2" applyNumberFormat="1" applyFont="1" applyFill="1" applyBorder="1"/>
    <xf numFmtId="0" fontId="2" fillId="0" borderId="23" xfId="7" applyFont="1" applyFill="1" applyBorder="1" applyAlignment="1">
      <alignment horizontal="center" vertical="center" wrapText="1"/>
    </xf>
    <xf numFmtId="166" fontId="2" fillId="6" borderId="23" xfId="4" applyNumberFormat="1" applyFont="1" applyFill="1" applyBorder="1" applyAlignment="1">
      <alignment horizontal="right" wrapText="1"/>
    </xf>
    <xf numFmtId="0" fontId="2" fillId="6" borderId="23" xfId="4" applyFont="1" applyFill="1" applyBorder="1" applyAlignment="1">
      <alignment wrapText="1"/>
    </xf>
    <xf numFmtId="166" fontId="0" fillId="6" borderId="23" xfId="0" applyNumberFormat="1" applyFill="1" applyBorder="1"/>
    <xf numFmtId="166" fontId="0" fillId="6" borderId="23" xfId="0" applyNumberFormat="1" applyFill="1" applyBorder="1" applyAlignment="1">
      <alignment horizontal="right"/>
    </xf>
    <xf numFmtId="165" fontId="24" fillId="5" borderId="7" xfId="2" applyNumberFormat="1" applyFont="1" applyFill="1" applyBorder="1"/>
    <xf numFmtId="165" fontId="23" fillId="5" borderId="7" xfId="2" applyNumberFormat="1" applyFont="1" applyFill="1" applyBorder="1" applyAlignment="1">
      <alignment horizontal="right" wrapText="1"/>
    </xf>
    <xf numFmtId="165" fontId="23" fillId="5" borderId="7" xfId="2" applyNumberFormat="1" applyFont="1" applyFill="1" applyBorder="1"/>
    <xf numFmtId="165" fontId="1" fillId="5" borderId="7" xfId="2" applyNumberFormat="1" applyFont="1" applyFill="1" applyBorder="1"/>
    <xf numFmtId="165" fontId="2" fillId="5" borderId="7" xfId="2" applyNumberFormat="1" applyFont="1" applyFill="1" applyBorder="1" applyAlignment="1">
      <alignment horizontal="right" wrapText="1"/>
    </xf>
    <xf numFmtId="165" fontId="3" fillId="0" borderId="7" xfId="2" applyNumberFormat="1" applyFont="1" applyFill="1" applyBorder="1" applyAlignment="1">
      <alignment horizontal="right" wrapText="1"/>
    </xf>
    <xf numFmtId="164" fontId="3" fillId="0" borderId="8" xfId="5" applyNumberFormat="1" applyFont="1" applyFill="1" applyBorder="1" applyAlignment="1">
      <alignment wrapText="1"/>
    </xf>
    <xf numFmtId="165" fontId="18" fillId="0" borderId="7" xfId="2" applyNumberFormat="1" applyFont="1" applyBorder="1"/>
    <xf numFmtId="164" fontId="18" fillId="0" borderId="8" xfId="0" applyNumberFormat="1" applyFont="1" applyBorder="1"/>
    <xf numFmtId="164" fontId="0" fillId="0" borderId="23" xfId="0" applyNumberFormat="1" applyBorder="1"/>
    <xf numFmtId="164" fontId="9" fillId="0" borderId="23" xfId="0" applyNumberFormat="1" applyFont="1" applyBorder="1"/>
    <xf numFmtId="164" fontId="3" fillId="0" borderId="23" xfId="5" applyNumberFormat="1" applyFont="1" applyFill="1" applyBorder="1" applyAlignment="1">
      <alignment wrapText="1"/>
    </xf>
    <xf numFmtId="164" fontId="18" fillId="0" borderId="23" xfId="0" applyNumberFormat="1" applyFont="1" applyBorder="1"/>
    <xf numFmtId="164" fontId="9" fillId="4" borderId="7" xfId="0" applyNumberFormat="1" applyFont="1" applyFill="1" applyBorder="1" applyAlignment="1">
      <alignment vertical="center"/>
    </xf>
    <xf numFmtId="0" fontId="9" fillId="0" borderId="26" xfId="0" applyFont="1" applyBorder="1" applyAlignment="1">
      <alignment horizontal="center" vertical="center" wrapText="1"/>
    </xf>
    <xf numFmtId="164" fontId="0" fillId="0" borderId="26" xfId="0" applyNumberFormat="1" applyBorder="1"/>
    <xf numFmtId="43" fontId="0" fillId="0" borderId="0" xfId="0" applyNumberFormat="1"/>
    <xf numFmtId="164" fontId="11" fillId="0" borderId="0" xfId="0" applyNumberFormat="1" applyFont="1" applyFill="1" applyBorder="1" applyAlignment="1">
      <alignment horizontal="right" vertical="center"/>
    </xf>
    <xf numFmtId="0" fontId="25" fillId="7" borderId="24" xfId="18" applyFont="1" applyFill="1" applyBorder="1" applyAlignment="1">
      <alignment horizontal="center"/>
    </xf>
    <xf numFmtId="0" fontId="25" fillId="0" borderId="25" xfId="18" applyFont="1" applyFill="1" applyBorder="1" applyAlignment="1">
      <alignment wrapText="1"/>
    </xf>
    <xf numFmtId="0" fontId="25" fillId="0" borderId="25" xfId="18" applyFont="1" applyFill="1" applyBorder="1" applyAlignment="1">
      <alignment horizontal="right" wrapText="1"/>
    </xf>
    <xf numFmtId="0" fontId="26" fillId="0" borderId="0" xfId="18"/>
    <xf numFmtId="164" fontId="9" fillId="0" borderId="17" xfId="0" applyNumberFormat="1" applyFont="1" applyFill="1" applyBorder="1" applyAlignment="1">
      <alignment vertical="center"/>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164" fontId="9" fillId="0" borderId="19" xfId="0" applyNumberFormat="1" applyFont="1" applyFill="1" applyBorder="1" applyAlignment="1">
      <alignment vertical="center"/>
    </xf>
    <xf numFmtId="0" fontId="0" fillId="0" borderId="0" xfId="0" applyAlignment="1">
      <alignment horizontal="center"/>
    </xf>
    <xf numFmtId="0" fontId="18" fillId="0" borderId="0" xfId="0" applyFont="1" applyBorder="1"/>
    <xf numFmtId="165" fontId="18" fillId="0" borderId="29" xfId="2" applyNumberFormat="1" applyFont="1" applyBorder="1"/>
    <xf numFmtId="164" fontId="18" fillId="0" borderId="0" xfId="0" applyNumberFormat="1" applyFont="1" applyBorder="1"/>
    <xf numFmtId="164" fontId="9" fillId="0" borderId="0" xfId="0" applyNumberFormat="1" applyFont="1" applyBorder="1"/>
    <xf numFmtId="165" fontId="18" fillId="0" borderId="0" xfId="2" applyNumberFormat="1" applyFont="1" applyBorder="1"/>
    <xf numFmtId="164" fontId="0" fillId="0" borderId="0" xfId="0" applyNumberFormat="1" applyBorder="1"/>
    <xf numFmtId="171" fontId="18" fillId="0" borderId="0" xfId="0" applyNumberFormat="1" applyFont="1" applyBorder="1"/>
    <xf numFmtId="0" fontId="3" fillId="0" borderId="23" xfId="19" applyFont="1" applyFill="1" applyBorder="1" applyAlignment="1">
      <alignment horizontal="center" vertical="center"/>
    </xf>
    <xf numFmtId="164" fontId="3" fillId="0" borderId="23" xfId="19" applyNumberFormat="1" applyFont="1" applyFill="1" applyBorder="1" applyAlignment="1">
      <alignment horizontal="center" vertical="center"/>
    </xf>
    <xf numFmtId="164" fontId="9" fillId="0" borderId="23" xfId="0" applyNumberFormat="1" applyFont="1" applyBorder="1" applyAlignment="1">
      <alignment horizontal="center" vertical="center" wrapText="1"/>
    </xf>
    <xf numFmtId="0" fontId="9" fillId="0" borderId="23" xfId="0" applyFont="1" applyBorder="1" applyAlignment="1">
      <alignment horizontal="center" vertical="center"/>
    </xf>
    <xf numFmtId="0" fontId="2" fillId="0" borderId="0" xfId="19" applyFont="1" applyFill="1" applyBorder="1" applyAlignment="1">
      <alignment wrapText="1"/>
    </xf>
    <xf numFmtId="0" fontId="2" fillId="0" borderId="36" xfId="19" applyFont="1" applyFill="1" applyBorder="1" applyAlignment="1">
      <alignment wrapText="1"/>
    </xf>
    <xf numFmtId="0" fontId="2" fillId="0" borderId="31" xfId="19" applyFont="1" applyFill="1" applyBorder="1" applyAlignment="1">
      <alignment wrapText="1"/>
    </xf>
    <xf numFmtId="0" fontId="2" fillId="0" borderId="11" xfId="19" applyFont="1" applyFill="1" applyBorder="1" applyAlignment="1">
      <alignment wrapText="1"/>
    </xf>
    <xf numFmtId="0" fontId="3" fillId="0" borderId="23" xfId="5" applyFont="1" applyFill="1" applyBorder="1" applyAlignment="1">
      <alignment wrapText="1"/>
    </xf>
    <xf numFmtId="0" fontId="3" fillId="0" borderId="36" xfId="5" applyFont="1" applyFill="1" applyBorder="1" applyAlignment="1">
      <alignment wrapText="1"/>
    </xf>
    <xf numFmtId="0" fontId="3" fillId="0" borderId="31" xfId="5" applyFont="1" applyFill="1" applyBorder="1" applyAlignment="1">
      <alignment wrapText="1"/>
    </xf>
    <xf numFmtId="0" fontId="18" fillId="0" borderId="23" xfId="0" applyFont="1" applyBorder="1"/>
    <xf numFmtId="165" fontId="2" fillId="0" borderId="33" xfId="2" applyNumberFormat="1" applyFont="1" applyFill="1" applyBorder="1" applyAlignment="1">
      <alignment horizontal="right" wrapText="1"/>
    </xf>
    <xf numFmtId="164" fontId="2" fillId="0" borderId="36" xfId="19" applyNumberFormat="1" applyFont="1" applyFill="1" applyBorder="1" applyAlignment="1">
      <alignment horizontal="right" wrapText="1"/>
    </xf>
    <xf numFmtId="164" fontId="0" fillId="0" borderId="36" xfId="0" applyNumberFormat="1" applyBorder="1"/>
    <xf numFmtId="164" fontId="2" fillId="0" borderId="36" xfId="5" applyNumberFormat="1" applyFont="1" applyFill="1" applyBorder="1" applyAlignment="1">
      <alignment horizontal="right" wrapText="1"/>
    </xf>
    <xf numFmtId="165" fontId="2" fillId="0" borderId="14" xfId="2" applyNumberFormat="1" applyFont="1" applyFill="1" applyBorder="1" applyAlignment="1">
      <alignment horizontal="right" wrapText="1"/>
    </xf>
    <xf numFmtId="164" fontId="2" fillId="0" borderId="11" xfId="19" applyNumberFormat="1" applyFont="1" applyFill="1" applyBorder="1" applyAlignment="1">
      <alignment horizontal="right" wrapText="1"/>
    </xf>
    <xf numFmtId="164" fontId="0" fillId="0" borderId="11" xfId="0" applyNumberFormat="1" applyBorder="1"/>
    <xf numFmtId="164" fontId="2" fillId="0" borderId="11" xfId="5" applyNumberFormat="1" applyFont="1" applyFill="1" applyBorder="1" applyAlignment="1">
      <alignment horizontal="right" wrapText="1"/>
    </xf>
    <xf numFmtId="164" fontId="2" fillId="0" borderId="31" xfId="19" applyNumberFormat="1" applyFont="1" applyFill="1" applyBorder="1" applyAlignment="1">
      <alignment horizontal="right" wrapText="1"/>
    </xf>
    <xf numFmtId="165" fontId="9" fillId="0" borderId="23" xfId="2" applyNumberFormat="1" applyFont="1" applyBorder="1"/>
    <xf numFmtId="164" fontId="2" fillId="0" borderId="23" xfId="5" applyNumberFormat="1" applyFont="1" applyFill="1" applyBorder="1" applyAlignment="1">
      <alignment horizontal="right" wrapText="1"/>
    </xf>
    <xf numFmtId="164" fontId="3" fillId="0" borderId="36" xfId="5" applyNumberFormat="1" applyFont="1" applyFill="1" applyBorder="1" applyAlignment="1">
      <alignment wrapText="1"/>
    </xf>
    <xf numFmtId="164" fontId="9" fillId="0" borderId="36" xfId="0" applyNumberFormat="1" applyFont="1" applyBorder="1"/>
    <xf numFmtId="0" fontId="0" fillId="2" borderId="36" xfId="0" applyFill="1" applyBorder="1"/>
    <xf numFmtId="164" fontId="3" fillId="0" borderId="31" xfId="5" applyNumberFormat="1" applyFont="1" applyFill="1" applyBorder="1" applyAlignment="1">
      <alignment wrapText="1"/>
    </xf>
    <xf numFmtId="164" fontId="9" fillId="0" borderId="31" xfId="0" applyNumberFormat="1" applyFont="1" applyBorder="1"/>
    <xf numFmtId="0" fontId="0" fillId="2" borderId="31" xfId="0" applyFill="1" applyBorder="1"/>
    <xf numFmtId="165" fontId="18" fillId="0" borderId="23" xfId="2" applyNumberFormat="1" applyFont="1" applyBorder="1"/>
    <xf numFmtId="164" fontId="2" fillId="2" borderId="23" xfId="8" applyNumberFormat="1" applyFont="1" applyFill="1" applyBorder="1" applyAlignment="1">
      <alignment horizontal="right" wrapText="1"/>
    </xf>
    <xf numFmtId="165" fontId="2" fillId="0" borderId="36" xfId="2" applyNumberFormat="1" applyFont="1" applyFill="1" applyBorder="1" applyAlignment="1">
      <alignment horizontal="right" wrapText="1"/>
    </xf>
    <xf numFmtId="165" fontId="2" fillId="0" borderId="31" xfId="2" applyNumberFormat="1" applyFont="1" applyFill="1" applyBorder="1" applyAlignment="1">
      <alignment horizontal="right" wrapText="1"/>
    </xf>
    <xf numFmtId="0" fontId="3" fillId="0" borderId="36" xfId="19" applyFont="1" applyFill="1" applyBorder="1" applyAlignment="1">
      <alignment horizontal="center" vertical="center"/>
    </xf>
    <xf numFmtId="0" fontId="3" fillId="0" borderId="33" xfId="19" applyFont="1" applyFill="1" applyBorder="1" applyAlignment="1">
      <alignment horizontal="center" vertical="center"/>
    </xf>
    <xf numFmtId="164" fontId="3" fillId="0" borderId="36" xfId="19" applyNumberFormat="1" applyFont="1" applyFill="1" applyBorder="1" applyAlignment="1">
      <alignment horizontal="center" vertical="center"/>
    </xf>
    <xf numFmtId="164" fontId="9" fillId="0" borderId="36" xfId="0" applyNumberFormat="1" applyFont="1" applyBorder="1" applyAlignment="1">
      <alignment horizontal="center" vertical="center" wrapText="1"/>
    </xf>
    <xf numFmtId="0" fontId="9" fillId="0" borderId="36"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164" fontId="2" fillId="0" borderId="0" xfId="5" applyNumberFormat="1" applyFont="1" applyFill="1" applyBorder="1" applyAlignment="1">
      <alignment horizontal="right" wrapText="1"/>
    </xf>
    <xf numFmtId="0" fontId="2" fillId="6" borderId="23" xfId="9" applyFont="1" applyFill="1" applyBorder="1" applyAlignment="1">
      <alignment horizontal="center" vertical="center" wrapText="1"/>
    </xf>
    <xf numFmtId="0" fontId="2" fillId="0" borderId="16" xfId="7" applyFont="1" applyFill="1" applyBorder="1" applyAlignment="1">
      <alignment horizontal="left" vertical="center" wrapText="1"/>
    </xf>
    <xf numFmtId="0" fontId="2" fillId="0" borderId="6" xfId="7" applyFont="1" applyFill="1" applyBorder="1" applyAlignment="1">
      <alignment horizontal="left" vertical="center" wrapText="1"/>
    </xf>
    <xf numFmtId="0" fontId="2" fillId="0" borderId="7" xfId="7" applyFont="1" applyFill="1" applyBorder="1" applyAlignment="1">
      <alignment horizontal="left" vertical="center" wrapText="1"/>
    </xf>
    <xf numFmtId="0" fontId="2" fillId="0" borderId="7" xfId="14" applyFont="1" applyFill="1" applyBorder="1" applyAlignment="1">
      <alignment horizontal="left" vertical="center" wrapText="1"/>
    </xf>
    <xf numFmtId="0" fontId="0" fillId="0" borderId="0" xfId="0" applyFill="1" applyAlignment="1">
      <alignment horizontal="left"/>
    </xf>
    <xf numFmtId="0" fontId="17" fillId="9" borderId="7" xfId="14" applyFont="1" applyFill="1" applyBorder="1" applyAlignment="1">
      <alignment horizontal="center" vertical="center" wrapText="1"/>
    </xf>
    <xf numFmtId="0" fontId="5" fillId="9" borderId="7" xfId="0" applyFont="1" applyFill="1" applyBorder="1" applyAlignment="1">
      <alignment horizontal="center" vertical="center"/>
    </xf>
    <xf numFmtId="0" fontId="0" fillId="0" borderId="0" xfId="0" applyAlignment="1">
      <alignment horizontal="left"/>
    </xf>
    <xf numFmtId="2" fontId="9" fillId="0" borderId="36" xfId="0" applyNumberFormat="1" applyFont="1" applyBorder="1" applyAlignment="1">
      <alignment horizontal="center" vertical="center" wrapText="1"/>
    </xf>
    <xf numFmtId="0" fontId="0" fillId="0" borderId="0" xfId="0" quotePrefix="1"/>
    <xf numFmtId="0" fontId="0" fillId="0" borderId="0" xfId="0" applyAlignment="1">
      <alignment wrapText="1"/>
    </xf>
    <xf numFmtId="0" fontId="6" fillId="0" borderId="0" xfId="0" applyFont="1" applyAlignment="1">
      <alignment vertical="center" wrapText="1"/>
    </xf>
    <xf numFmtId="0" fontId="2" fillId="5" borderId="7" xfId="14" applyFont="1" applyFill="1" applyBorder="1" applyAlignment="1">
      <alignment horizontal="center" vertical="center" wrapText="1"/>
    </xf>
    <xf numFmtId="166" fontId="0" fillId="5" borderId="7" xfId="0" applyNumberFormat="1" applyFill="1" applyBorder="1" applyAlignment="1">
      <alignment horizontal="center" vertical="center" wrapText="1"/>
    </xf>
    <xf numFmtId="0" fontId="0" fillId="0" borderId="23" xfId="0" applyBorder="1"/>
    <xf numFmtId="0" fontId="0" fillId="0" borderId="0" xfId="0" applyBorder="1" applyAlignment="1">
      <alignment horizontal="center"/>
    </xf>
    <xf numFmtId="0" fontId="0" fillId="0" borderId="0" xfId="0" applyAlignment="1">
      <alignment horizontal="center"/>
    </xf>
    <xf numFmtId="0" fontId="9" fillId="0" borderId="34" xfId="0" applyFont="1" applyBorder="1" applyAlignment="1">
      <alignment horizontal="center" vertical="center"/>
    </xf>
    <xf numFmtId="0" fontId="0" fillId="0" borderId="0" xfId="0" quotePrefix="1" applyAlignment="1">
      <alignment horizontal="left"/>
    </xf>
    <xf numFmtId="0" fontId="2" fillId="0" borderId="36" xfId="19" quotePrefix="1" applyFont="1" applyFill="1" applyBorder="1" applyAlignment="1">
      <alignment wrapText="1"/>
    </xf>
    <xf numFmtId="0" fontId="2" fillId="0" borderId="11" xfId="19" quotePrefix="1" applyFont="1" applyFill="1" applyBorder="1" applyAlignment="1">
      <alignment wrapText="1"/>
    </xf>
    <xf numFmtId="0" fontId="9" fillId="0" borderId="23" xfId="0" applyFont="1" applyFill="1" applyBorder="1" applyAlignment="1">
      <alignment horizontal="center" vertical="center"/>
    </xf>
    <xf numFmtId="0" fontId="2" fillId="0" borderId="38" xfId="7" applyFont="1" applyFill="1" applyBorder="1" applyAlignment="1">
      <alignment horizontal="center" vertical="center" wrapText="1"/>
    </xf>
    <xf numFmtId="0" fontId="2" fillId="5" borderId="23" xfId="14" applyFont="1" applyFill="1" applyBorder="1" applyAlignment="1">
      <alignment horizontal="center" vertical="center" wrapText="1"/>
    </xf>
    <xf numFmtId="166" fontId="0" fillId="5" borderId="23" xfId="0" applyNumberFormat="1" applyFill="1" applyBorder="1" applyAlignment="1">
      <alignment horizontal="center" vertical="center" wrapText="1"/>
    </xf>
    <xf numFmtId="0" fontId="2" fillId="0" borderId="0" xfId="7" applyFont="1" applyFill="1" applyBorder="1" applyAlignment="1">
      <alignment horizontal="center" vertical="center" wrapText="1"/>
    </xf>
    <xf numFmtId="0" fontId="3" fillId="0" borderId="39"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19" xfId="1" applyFont="1" applyFill="1" applyBorder="1" applyAlignment="1">
      <alignment horizontal="center" vertical="center" wrapText="1"/>
    </xf>
    <xf numFmtId="0" fontId="0" fillId="0" borderId="40" xfId="0" quotePrefix="1" applyBorder="1"/>
    <xf numFmtId="0" fontId="2" fillId="0" borderId="41" xfId="19" applyFont="1" applyFill="1" applyBorder="1" applyAlignment="1">
      <alignment wrapText="1"/>
    </xf>
    <xf numFmtId="0" fontId="2" fillId="0" borderId="42" xfId="19" applyFont="1" applyFill="1" applyBorder="1" applyAlignment="1">
      <alignment wrapText="1"/>
    </xf>
    <xf numFmtId="0" fontId="2" fillId="0" borderId="43" xfId="19" applyFont="1" applyFill="1" applyBorder="1" applyAlignment="1">
      <alignment wrapText="1"/>
    </xf>
    <xf numFmtId="164" fontId="11" fillId="4" borderId="23" xfId="0" applyNumberFormat="1" applyFont="1" applyFill="1" applyBorder="1" applyAlignment="1">
      <alignment horizontal="right" vertical="center"/>
    </xf>
    <xf numFmtId="164" fontId="9" fillId="4" borderId="23" xfId="0" applyNumberFormat="1" applyFont="1" applyFill="1" applyBorder="1" applyAlignment="1">
      <alignment horizontal="right" vertical="center"/>
    </xf>
    <xf numFmtId="0" fontId="3" fillId="0" borderId="0" xfId="19" applyFont="1" applyFill="1" applyBorder="1" applyAlignment="1">
      <alignment wrapText="1"/>
    </xf>
    <xf numFmtId="0" fontId="9" fillId="0" borderId="23" xfId="0" applyFont="1" applyBorder="1" applyAlignment="1">
      <alignment horizontal="left"/>
    </xf>
    <xf numFmtId="0" fontId="0" fillId="0" borderId="27" xfId="0" applyBorder="1" applyAlignment="1"/>
    <xf numFmtId="0" fontId="9" fillId="0" borderId="23" xfId="0" applyFont="1" applyBorder="1" applyAlignment="1">
      <alignment vertical="center" wrapText="1"/>
    </xf>
    <xf numFmtId="164" fontId="11" fillId="0" borderId="44" xfId="0" applyNumberFormat="1" applyFont="1" applyFill="1" applyBorder="1" applyAlignment="1">
      <alignment horizontal="right" vertical="center"/>
    </xf>
    <xf numFmtId="164" fontId="9" fillId="0" borderId="44" xfId="0" applyNumberFormat="1" applyFont="1" applyFill="1" applyBorder="1" applyAlignment="1">
      <alignment horizontal="right" vertical="center"/>
    </xf>
    <xf numFmtId="164" fontId="9" fillId="0" borderId="27" xfId="0" applyNumberFormat="1" applyFont="1" applyFill="1" applyBorder="1" applyAlignment="1">
      <alignment horizontal="right" vertical="center"/>
    </xf>
    <xf numFmtId="0" fontId="2" fillId="0" borderId="35" xfId="19" applyFont="1" applyFill="1" applyBorder="1" applyAlignment="1">
      <alignment wrapText="1"/>
    </xf>
    <xf numFmtId="164" fontId="9" fillId="4" borderId="23" xfId="0" applyNumberFormat="1" applyFont="1" applyFill="1" applyBorder="1" applyAlignment="1">
      <alignment vertical="center"/>
    </xf>
    <xf numFmtId="0" fontId="9" fillId="0" borderId="23" xfId="0" applyFont="1" applyBorder="1"/>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28" fillId="5" borderId="7" xfId="14" applyFont="1" applyFill="1" applyBorder="1" applyAlignment="1">
      <alignment horizontal="center" vertical="center" wrapText="1"/>
    </xf>
    <xf numFmtId="166" fontId="27" fillId="5" borderId="7" xfId="0" applyNumberFormat="1" applyFont="1" applyFill="1" applyBorder="1" applyAlignment="1">
      <alignment horizontal="center" vertical="center" wrapText="1"/>
    </xf>
    <xf numFmtId="0" fontId="28" fillId="0" borderId="38" xfId="7" applyFont="1" applyFill="1" applyBorder="1" applyAlignment="1">
      <alignment horizontal="center" vertical="center" wrapText="1"/>
    </xf>
    <xf numFmtId="0" fontId="27" fillId="0" borderId="0" xfId="0" applyFont="1" applyAlignment="1">
      <alignment horizontal="left"/>
    </xf>
    <xf numFmtId="0" fontId="27" fillId="0" borderId="0" xfId="0" applyFont="1" applyAlignment="1">
      <alignment horizontal="right" wrapText="1"/>
    </xf>
    <xf numFmtId="0" fontId="27" fillId="0" borderId="0" xfId="0" applyFont="1" applyAlignment="1">
      <alignment horizontal="right"/>
    </xf>
    <xf numFmtId="0" fontId="6" fillId="0" borderId="0" xfId="0" applyFont="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vertical="center" wrapText="1"/>
    </xf>
    <xf numFmtId="0" fontId="27" fillId="0" borderId="0" xfId="0" applyFont="1" applyAlignment="1">
      <alignment horizontal="center" vertical="center"/>
    </xf>
    <xf numFmtId="0" fontId="28" fillId="5" borderId="36" xfId="14" applyFont="1" applyFill="1" applyBorder="1" applyAlignment="1">
      <alignment horizontal="right" vertical="center" wrapText="1"/>
    </xf>
    <xf numFmtId="166" fontId="27" fillId="5" borderId="36" xfId="0" applyNumberFormat="1" applyFont="1" applyFill="1" applyBorder="1" applyAlignment="1">
      <alignment horizontal="right" vertical="center" wrapText="1"/>
    </xf>
    <xf numFmtId="0" fontId="28" fillId="0" borderId="17" xfId="19" applyFont="1" applyFill="1" applyBorder="1" applyAlignment="1">
      <alignment horizontal="left" vertical="center" wrapText="1"/>
    </xf>
    <xf numFmtId="0" fontId="28" fillId="0" borderId="17" xfId="7" applyFont="1" applyFill="1" applyBorder="1" applyAlignment="1">
      <alignment horizontal="left" vertical="center" wrapText="1"/>
    </xf>
    <xf numFmtId="166" fontId="28" fillId="5" borderId="17" xfId="2" applyNumberFormat="1" applyFont="1" applyFill="1" applyBorder="1" applyAlignment="1">
      <alignment horizontal="right" vertical="center" wrapText="1"/>
    </xf>
    <xf numFmtId="0" fontId="28" fillId="0" borderId="18" xfId="19" applyFont="1" applyFill="1" applyBorder="1" applyAlignment="1">
      <alignment horizontal="left" wrapText="1"/>
    </xf>
    <xf numFmtId="0" fontId="28" fillId="0" borderId="18" xfId="7" applyFont="1" applyFill="1" applyBorder="1" applyAlignment="1">
      <alignment horizontal="left" vertical="center" wrapText="1"/>
    </xf>
    <xf numFmtId="0" fontId="28" fillId="0" borderId="18" xfId="14" applyFont="1" applyFill="1" applyBorder="1" applyAlignment="1">
      <alignment horizontal="left" vertical="center" wrapText="1"/>
    </xf>
    <xf numFmtId="0" fontId="28" fillId="0" borderId="19" xfId="19" applyFont="1" applyFill="1" applyBorder="1" applyAlignment="1">
      <alignment horizontal="left" wrapText="1"/>
    </xf>
    <xf numFmtId="0" fontId="28" fillId="0" borderId="19" xfId="14" applyFont="1" applyFill="1" applyBorder="1" applyAlignment="1">
      <alignment horizontal="left" vertical="center" wrapText="1"/>
    </xf>
    <xf numFmtId="0" fontId="28" fillId="5" borderId="36" xfId="14" applyFont="1" applyFill="1" applyBorder="1" applyAlignment="1">
      <alignment horizontal="center" vertical="center" wrapText="1"/>
    </xf>
    <xf numFmtId="0" fontId="27" fillId="5" borderId="36" xfId="0" applyFont="1" applyFill="1" applyBorder="1" applyAlignment="1">
      <alignment horizontal="center" vertical="center"/>
    </xf>
    <xf numFmtId="165" fontId="28" fillId="5" borderId="17" xfId="2" applyNumberFormat="1" applyFont="1" applyFill="1" applyBorder="1" applyAlignment="1">
      <alignment horizontal="right" vertical="center" wrapText="1"/>
    </xf>
    <xf numFmtId="165" fontId="29" fillId="5" borderId="17" xfId="2" applyNumberFormat="1" applyFont="1" applyFill="1" applyBorder="1" applyAlignment="1">
      <alignment horizontal="right" vertical="center"/>
    </xf>
    <xf numFmtId="0" fontId="28" fillId="0" borderId="18" xfId="19" applyFont="1" applyFill="1" applyBorder="1" applyAlignment="1">
      <alignment horizontal="left" vertical="center" wrapText="1"/>
    </xf>
    <xf numFmtId="165" fontId="28" fillId="5" borderId="18" xfId="2" applyNumberFormat="1" applyFont="1" applyFill="1" applyBorder="1" applyAlignment="1">
      <alignment horizontal="right" vertical="center" wrapText="1"/>
    </xf>
    <xf numFmtId="165" fontId="28" fillId="5" borderId="18" xfId="2" applyNumberFormat="1" applyFont="1" applyFill="1" applyBorder="1" applyAlignment="1">
      <alignment horizontal="right" vertical="center"/>
    </xf>
    <xf numFmtId="165" fontId="29" fillId="5" borderId="18" xfId="2" applyNumberFormat="1" applyFont="1" applyFill="1" applyBorder="1" applyAlignment="1">
      <alignment horizontal="right" vertical="center"/>
    </xf>
    <xf numFmtId="0" fontId="28" fillId="0" borderId="19" xfId="19" applyFont="1" applyFill="1" applyBorder="1" applyAlignment="1">
      <alignment horizontal="left" vertical="center" wrapText="1"/>
    </xf>
    <xf numFmtId="165" fontId="28" fillId="5" borderId="19" xfId="2" applyNumberFormat="1" applyFont="1" applyFill="1" applyBorder="1" applyAlignment="1">
      <alignment horizontal="right" vertical="center"/>
    </xf>
    <xf numFmtId="165" fontId="28" fillId="5" borderId="19" xfId="2" applyNumberFormat="1" applyFont="1" applyFill="1" applyBorder="1" applyAlignment="1">
      <alignment horizontal="right" vertical="center" wrapText="1"/>
    </xf>
    <xf numFmtId="165" fontId="29" fillId="5" borderId="19" xfId="2" applyNumberFormat="1" applyFont="1" applyFill="1" applyBorder="1" applyAlignment="1">
      <alignment horizontal="right" vertical="center"/>
    </xf>
    <xf numFmtId="0" fontId="27" fillId="0" borderId="0" xfId="0" applyFont="1" applyAlignment="1">
      <alignment horizontal="left" vertical="center"/>
    </xf>
    <xf numFmtId="165" fontId="30" fillId="5" borderId="7" xfId="2" applyNumberFormat="1" applyFont="1" applyFill="1" applyBorder="1" applyAlignment="1">
      <alignment horizontal="right" vertical="center"/>
    </xf>
    <xf numFmtId="165" fontId="28" fillId="5" borderId="7" xfId="2" applyNumberFormat="1" applyFont="1" applyFill="1" applyBorder="1" applyAlignment="1">
      <alignment horizontal="right" vertical="center" wrapText="1"/>
    </xf>
    <xf numFmtId="165" fontId="27" fillId="5" borderId="7" xfId="2" applyNumberFormat="1" applyFont="1" applyFill="1" applyBorder="1" applyAlignment="1">
      <alignment horizontal="right" vertical="center"/>
    </xf>
    <xf numFmtId="0" fontId="31" fillId="0" borderId="23" xfId="19" applyFont="1" applyFill="1" applyBorder="1" applyAlignment="1">
      <alignment horizontal="center" vertical="center"/>
    </xf>
    <xf numFmtId="164" fontId="31" fillId="0" borderId="23" xfId="19" applyNumberFormat="1" applyFont="1" applyFill="1" applyBorder="1" applyAlignment="1">
      <alignment horizontal="center" vertical="center"/>
    </xf>
    <xf numFmtId="164" fontId="31" fillId="0" borderId="23" xfId="19" applyNumberFormat="1" applyFont="1" applyFill="1" applyBorder="1" applyAlignment="1">
      <alignment horizontal="center" vertical="center" wrapText="1"/>
    </xf>
    <xf numFmtId="164" fontId="8" fillId="0" borderId="23" xfId="0" applyNumberFormat="1" applyFont="1" applyBorder="1" applyAlignment="1">
      <alignment horizontal="center" vertical="center" wrapText="1"/>
    </xf>
    <xf numFmtId="0" fontId="8" fillId="0" borderId="23" xfId="0" applyFont="1" applyBorder="1" applyAlignment="1">
      <alignment horizontal="center" vertical="center"/>
    </xf>
    <xf numFmtId="0" fontId="4" fillId="0" borderId="0" xfId="0" applyFont="1" applyAlignment="1">
      <alignment horizontal="center" vertical="center"/>
    </xf>
    <xf numFmtId="164" fontId="32" fillId="0" borderId="0" xfId="8" applyNumberFormat="1" applyFont="1" applyFill="1" applyBorder="1" applyAlignment="1">
      <alignment horizontal="right" wrapText="1"/>
    </xf>
    <xf numFmtId="164" fontId="4" fillId="0" borderId="0" xfId="0" applyNumberFormat="1" applyFont="1"/>
    <xf numFmtId="0" fontId="33" fillId="0" borderId="0" xfId="0" applyFont="1" applyBorder="1"/>
    <xf numFmtId="165" fontId="33" fillId="0" borderId="29" xfId="2" applyNumberFormat="1" applyFont="1" applyBorder="1"/>
    <xf numFmtId="164" fontId="33" fillId="0" borderId="29" xfId="0" applyNumberFormat="1" applyFont="1" applyBorder="1"/>
    <xf numFmtId="164" fontId="33" fillId="0" borderId="0" xfId="0" applyNumberFormat="1" applyFont="1" applyBorder="1"/>
    <xf numFmtId="164" fontId="8" fillId="0" borderId="0" xfId="0" applyNumberFormat="1" applyFont="1" applyBorder="1"/>
    <xf numFmtId="165" fontId="33" fillId="0" borderId="0" xfId="2" applyNumberFormat="1" applyFont="1" applyBorder="1"/>
    <xf numFmtId="171" fontId="33" fillId="0" borderId="0" xfId="0" applyNumberFormat="1" applyFont="1" applyBorder="1"/>
    <xf numFmtId="0" fontId="4" fillId="0" borderId="0" xfId="0" applyFont="1" applyBorder="1"/>
    <xf numFmtId="164" fontId="33" fillId="0" borderId="0" xfId="0" applyNumberFormat="1" applyFont="1" applyFill="1" applyBorder="1"/>
    <xf numFmtId="165" fontId="4" fillId="0" borderId="0" xfId="0" applyNumberFormat="1" applyFont="1"/>
    <xf numFmtId="164" fontId="4" fillId="0" borderId="0" xfId="0" applyNumberFormat="1" applyFont="1" applyBorder="1"/>
    <xf numFmtId="165" fontId="4" fillId="0" borderId="0" xfId="2" applyNumberFormat="1" applyFont="1"/>
    <xf numFmtId="0" fontId="32" fillId="0" borderId="36" xfId="19" applyFont="1" applyFill="1" applyBorder="1" applyAlignment="1">
      <alignment vertical="center" wrapText="1"/>
    </xf>
    <xf numFmtId="165" fontId="32" fillId="0" borderId="33" xfId="2" applyNumberFormat="1" applyFont="1" applyFill="1" applyBorder="1" applyAlignment="1">
      <alignment horizontal="right" vertical="center" wrapText="1"/>
    </xf>
    <xf numFmtId="164" fontId="32" fillId="0" borderId="36" xfId="19" applyNumberFormat="1" applyFont="1" applyFill="1" applyBorder="1" applyAlignment="1">
      <alignment horizontal="right" vertical="center" wrapText="1"/>
    </xf>
    <xf numFmtId="164" fontId="4" fillId="0" borderId="36" xfId="0" applyNumberFormat="1" applyFont="1" applyBorder="1" applyAlignment="1">
      <alignment vertical="center"/>
    </xf>
    <xf numFmtId="164" fontId="32" fillId="0" borderId="36" xfId="5" applyNumberFormat="1" applyFont="1" applyFill="1" applyBorder="1" applyAlignment="1">
      <alignment horizontal="right" vertical="center" wrapText="1"/>
    </xf>
    <xf numFmtId="0" fontId="4" fillId="0" borderId="0" xfId="0" applyFont="1" applyAlignment="1">
      <alignment vertical="center"/>
    </xf>
    <xf numFmtId="0" fontId="32" fillId="0" borderId="11" xfId="19" applyFont="1" applyFill="1" applyBorder="1" applyAlignment="1">
      <alignment vertical="center" wrapText="1"/>
    </xf>
    <xf numFmtId="165" fontId="32" fillId="0" borderId="14" xfId="2" applyNumberFormat="1" applyFont="1" applyFill="1" applyBorder="1" applyAlignment="1">
      <alignment horizontal="right" vertical="center" wrapText="1"/>
    </xf>
    <xf numFmtId="164" fontId="32" fillId="0" borderId="11" xfId="19" applyNumberFormat="1" applyFont="1" applyFill="1" applyBorder="1" applyAlignment="1">
      <alignment horizontal="right" vertical="center" wrapText="1"/>
    </xf>
    <xf numFmtId="164" fontId="4" fillId="0" borderId="11" xfId="0" applyNumberFormat="1" applyFont="1" applyBorder="1" applyAlignment="1">
      <alignment vertical="center"/>
    </xf>
    <xf numFmtId="164" fontId="32" fillId="0" borderId="11" xfId="5" applyNumberFormat="1" applyFont="1" applyFill="1" applyBorder="1" applyAlignment="1">
      <alignment horizontal="right" vertical="center" wrapText="1"/>
    </xf>
    <xf numFmtId="164" fontId="32" fillId="0" borderId="31" xfId="19" applyNumberFormat="1" applyFont="1" applyFill="1" applyBorder="1" applyAlignment="1">
      <alignment horizontal="right" vertical="center" wrapText="1"/>
    </xf>
    <xf numFmtId="0" fontId="31" fillId="0" borderId="23" xfId="5" applyFont="1" applyFill="1" applyBorder="1" applyAlignment="1">
      <alignment vertical="center" wrapText="1"/>
    </xf>
    <xf numFmtId="165" fontId="8" fillId="0" borderId="23" xfId="2" applyNumberFormat="1" applyFont="1" applyBorder="1" applyAlignment="1">
      <alignment vertical="center"/>
    </xf>
    <xf numFmtId="164" fontId="8" fillId="0" borderId="23" xfId="0" applyNumberFormat="1" applyFont="1" applyBorder="1" applyAlignment="1">
      <alignment vertical="center"/>
    </xf>
    <xf numFmtId="164" fontId="32" fillId="0" borderId="23" xfId="5" applyNumberFormat="1" applyFont="1" applyFill="1" applyBorder="1" applyAlignment="1">
      <alignment horizontal="right" vertical="center" wrapText="1"/>
    </xf>
    <xf numFmtId="0" fontId="31" fillId="0" borderId="36" xfId="5" applyFont="1" applyFill="1" applyBorder="1" applyAlignment="1">
      <alignment vertical="center" wrapText="1"/>
    </xf>
    <xf numFmtId="165" fontId="32" fillId="0" borderId="36" xfId="2" applyNumberFormat="1" applyFont="1" applyFill="1" applyBorder="1" applyAlignment="1">
      <alignment horizontal="right" vertical="center" wrapText="1"/>
    </xf>
    <xf numFmtId="164" fontId="31" fillId="0" borderId="36" xfId="5" applyNumberFormat="1" applyFont="1" applyFill="1" applyBorder="1" applyAlignment="1">
      <alignment vertical="center" wrapText="1"/>
    </xf>
    <xf numFmtId="164" fontId="8" fillId="0" borderId="36" xfId="0" applyNumberFormat="1" applyFont="1" applyBorder="1" applyAlignment="1">
      <alignment vertical="center"/>
    </xf>
    <xf numFmtId="0" fontId="4" fillId="2" borderId="36" xfId="0" applyFont="1" applyFill="1" applyBorder="1" applyAlignment="1">
      <alignment vertical="center"/>
    </xf>
    <xf numFmtId="0" fontId="31" fillId="0" borderId="31" xfId="5" applyFont="1" applyFill="1" applyBorder="1" applyAlignment="1">
      <alignment vertical="center" wrapText="1"/>
    </xf>
    <xf numFmtId="165" fontId="32" fillId="0" borderId="31" xfId="2" applyNumberFormat="1" applyFont="1" applyFill="1" applyBorder="1" applyAlignment="1">
      <alignment horizontal="right" vertical="center" wrapText="1"/>
    </xf>
    <xf numFmtId="164" fontId="31" fillId="0" borderId="31" xfId="5" applyNumberFormat="1" applyFont="1" applyFill="1" applyBorder="1" applyAlignment="1">
      <alignment vertical="center" wrapText="1"/>
    </xf>
    <xf numFmtId="164" fontId="8" fillId="0" borderId="31" xfId="0" applyNumberFormat="1" applyFont="1" applyBorder="1" applyAlignment="1">
      <alignment vertical="center"/>
    </xf>
    <xf numFmtId="0" fontId="4" fillId="2" borderId="31" xfId="0" applyFont="1" applyFill="1" applyBorder="1" applyAlignment="1">
      <alignment vertical="center"/>
    </xf>
    <xf numFmtId="0" fontId="33" fillId="0" borderId="23" xfId="0" applyFont="1" applyBorder="1" applyAlignment="1">
      <alignment vertical="center"/>
    </xf>
    <xf numFmtId="165" fontId="33" fillId="0" borderId="23" xfId="2" applyNumberFormat="1" applyFont="1" applyBorder="1" applyAlignment="1">
      <alignment vertical="center"/>
    </xf>
    <xf numFmtId="164" fontId="33" fillId="0" borderId="23" xfId="0" applyNumberFormat="1" applyFont="1" applyBorder="1" applyAlignment="1">
      <alignment vertical="center"/>
    </xf>
    <xf numFmtId="164" fontId="32" fillId="2" borderId="23" xfId="8" applyNumberFormat="1" applyFont="1" applyFill="1" applyBorder="1" applyAlignment="1">
      <alignment horizontal="right" vertical="center" wrapText="1"/>
    </xf>
    <xf numFmtId="166" fontId="28" fillId="5" borderId="18" xfId="2" applyNumberFormat="1" applyFont="1" applyFill="1" applyBorder="1" applyAlignment="1">
      <alignment horizontal="right" vertical="center" wrapText="1"/>
    </xf>
    <xf numFmtId="166" fontId="28" fillId="5" borderId="19" xfId="2" applyNumberFormat="1" applyFont="1" applyFill="1" applyBorder="1" applyAlignment="1">
      <alignment horizontal="right" vertical="center" wrapText="1"/>
    </xf>
    <xf numFmtId="0" fontId="32" fillId="0" borderId="11" xfId="19" quotePrefix="1" applyFont="1" applyFill="1" applyBorder="1" applyAlignment="1">
      <alignment vertical="center" wrapText="1"/>
    </xf>
    <xf numFmtId="0" fontId="3" fillId="0" borderId="39" xfId="1" applyFont="1" applyFill="1" applyBorder="1" applyAlignment="1">
      <alignment horizontal="center" vertical="center" wrapText="1"/>
    </xf>
    <xf numFmtId="164" fontId="0" fillId="0" borderId="23" xfId="0" applyNumberFormat="1" applyBorder="1" applyAlignment="1">
      <alignment wrapText="1"/>
    </xf>
    <xf numFmtId="0" fontId="0" fillId="0" borderId="23" xfId="0" applyBorder="1" applyAlignment="1">
      <alignment horizontal="center" vertical="center"/>
    </xf>
    <xf numFmtId="0" fontId="8" fillId="0" borderId="27" xfId="0" applyFont="1" applyBorder="1" applyAlignment="1">
      <alignment horizontal="center" vertical="center"/>
    </xf>
    <xf numFmtId="0" fontId="0" fillId="0" borderId="5" xfId="0" applyBorder="1" applyAlignment="1">
      <alignment horizontal="center"/>
    </xf>
    <xf numFmtId="0" fontId="28" fillId="0" borderId="5" xfId="19" applyFont="1" applyFill="1" applyBorder="1" applyAlignment="1">
      <alignment horizontal="left" wrapText="1"/>
    </xf>
    <xf numFmtId="0" fontId="0" fillId="0" borderId="28" xfId="0" applyBorder="1"/>
    <xf numFmtId="0" fontId="28" fillId="0" borderId="41" xfId="19" applyFont="1" applyFill="1" applyBorder="1" applyAlignment="1">
      <alignment horizontal="left" wrapText="1"/>
    </xf>
    <xf numFmtId="0" fontId="28" fillId="0" borderId="42" xfId="19" applyFont="1" applyFill="1" applyBorder="1" applyAlignment="1">
      <alignment horizontal="left" wrapText="1"/>
    </xf>
    <xf numFmtId="0" fontId="0" fillId="0" borderId="43" xfId="0" applyBorder="1"/>
    <xf numFmtId="0" fontId="28" fillId="0" borderId="43" xfId="19" applyFont="1" applyFill="1" applyBorder="1" applyAlignment="1">
      <alignment horizontal="left" wrapText="1"/>
    </xf>
    <xf numFmtId="0" fontId="3" fillId="0" borderId="31" xfId="3" applyFont="1" applyFill="1" applyBorder="1" applyAlignment="1">
      <alignment horizontal="center" vertical="center" wrapText="1"/>
    </xf>
    <xf numFmtId="0" fontId="2" fillId="0" borderId="18" xfId="19" applyFont="1" applyFill="1" applyBorder="1" applyAlignment="1">
      <alignment horizontal="left" vertical="center" wrapText="1"/>
    </xf>
    <xf numFmtId="0" fontId="0" fillId="0" borderId="5" xfId="0" applyBorder="1"/>
    <xf numFmtId="172" fontId="0" fillId="0" borderId="18" xfId="0" applyNumberFormat="1" applyFont="1" applyFill="1" applyBorder="1" applyAlignment="1">
      <alignment vertical="center"/>
    </xf>
    <xf numFmtId="0" fontId="28" fillId="3" borderId="32" xfId="19" applyFont="1" applyFill="1" applyBorder="1" applyAlignment="1">
      <alignment horizontal="left" wrapText="1"/>
    </xf>
    <xf numFmtId="0" fontId="2" fillId="3" borderId="17" xfId="19" applyFont="1" applyFill="1" applyBorder="1" applyAlignment="1">
      <alignment horizontal="left" vertical="center" wrapText="1"/>
    </xf>
    <xf numFmtId="172" fontId="0" fillId="3" borderId="17" xfId="0" applyNumberFormat="1" applyFont="1" applyFill="1" applyBorder="1" applyAlignment="1">
      <alignment vertical="center"/>
    </xf>
    <xf numFmtId="0" fontId="2" fillId="3" borderId="18" xfId="19" applyFont="1" applyFill="1" applyBorder="1" applyAlignment="1">
      <alignment horizontal="left" vertical="center" wrapText="1"/>
    </xf>
    <xf numFmtId="172" fontId="0" fillId="3" borderId="18" xfId="0" applyNumberFormat="1" applyFont="1" applyFill="1" applyBorder="1" applyAlignment="1">
      <alignment vertical="center"/>
    </xf>
    <xf numFmtId="0" fontId="28" fillId="3" borderId="5" xfId="19" applyFont="1" applyFill="1" applyBorder="1" applyAlignment="1">
      <alignment horizontal="left" wrapText="1"/>
    </xf>
    <xf numFmtId="0" fontId="28" fillId="3" borderId="35" xfId="19" applyFont="1" applyFill="1" applyBorder="1" applyAlignment="1">
      <alignment horizontal="left" wrapText="1"/>
    </xf>
    <xf numFmtId="0" fontId="2" fillId="3" borderId="19" xfId="19" applyFont="1" applyFill="1" applyBorder="1" applyAlignment="1">
      <alignment horizontal="left" vertical="center" wrapText="1"/>
    </xf>
    <xf numFmtId="172" fontId="0" fillId="3" borderId="19" xfId="0" applyNumberFormat="1" applyFont="1" applyFill="1" applyBorder="1" applyAlignment="1">
      <alignment vertical="center"/>
    </xf>
    <xf numFmtId="172" fontId="17" fillId="3" borderId="19" xfId="0" applyNumberFormat="1" applyFont="1" applyFill="1" applyBorder="1" applyAlignment="1">
      <alignment horizontal="right" vertical="center"/>
    </xf>
    <xf numFmtId="0" fontId="9" fillId="8" borderId="23" xfId="0" applyFont="1" applyFill="1" applyBorder="1" applyAlignment="1">
      <alignment vertical="center"/>
    </xf>
    <xf numFmtId="172" fontId="11" fillId="8" borderId="23" xfId="0" applyNumberFormat="1" applyFont="1" applyFill="1" applyBorder="1" applyAlignment="1">
      <alignment horizontal="right" vertical="center"/>
    </xf>
    <xf numFmtId="172" fontId="9" fillId="8" borderId="23" xfId="0" applyNumberFormat="1" applyFont="1" applyFill="1" applyBorder="1" applyAlignment="1">
      <alignment horizontal="right" vertical="center"/>
    </xf>
    <xf numFmtId="0" fontId="9" fillId="8" borderId="23" xfId="0" applyFont="1" applyFill="1" applyBorder="1" applyAlignment="1">
      <alignment vertical="center" wrapText="1"/>
    </xf>
    <xf numFmtId="0" fontId="3" fillId="8" borderId="23" xfId="3" applyFont="1" applyFill="1" applyBorder="1" applyAlignment="1">
      <alignment horizontal="center" vertical="center" wrapText="1"/>
    </xf>
    <xf numFmtId="0" fontId="3" fillId="8" borderId="23" xfId="1" applyFont="1" applyFill="1" applyBorder="1" applyAlignment="1">
      <alignment horizontal="center" vertical="center" wrapText="1"/>
    </xf>
    <xf numFmtId="0" fontId="9" fillId="8" borderId="23" xfId="0" applyFont="1" applyFill="1" applyBorder="1" applyAlignment="1">
      <alignment horizontal="center" vertical="center"/>
    </xf>
    <xf numFmtId="0" fontId="9" fillId="8" borderId="39" xfId="0" applyFont="1" applyFill="1" applyBorder="1" applyAlignment="1">
      <alignment horizontal="left"/>
    </xf>
    <xf numFmtId="0" fontId="3" fillId="8" borderId="39" xfId="3" applyFont="1" applyFill="1" applyBorder="1" applyAlignment="1">
      <alignment horizontal="center" vertical="center" wrapText="1"/>
    </xf>
    <xf numFmtId="0" fontId="3" fillId="8" borderId="39" xfId="1" applyFont="1" applyFill="1" applyBorder="1" applyAlignment="1">
      <alignment horizontal="center" vertical="center" wrapText="1"/>
    </xf>
    <xf numFmtId="0" fontId="9" fillId="8" borderId="39" xfId="0" applyFont="1" applyFill="1" applyBorder="1" applyAlignment="1">
      <alignment horizontal="center" vertical="center"/>
    </xf>
    <xf numFmtId="0" fontId="0" fillId="0" borderId="0" xfId="0" applyAlignment="1">
      <alignment horizontal="center"/>
    </xf>
    <xf numFmtId="0" fontId="8" fillId="0" borderId="31" xfId="0" applyFont="1" applyBorder="1"/>
    <xf numFmtId="0" fontId="31" fillId="0" borderId="17" xfId="19" applyFont="1" applyFill="1" applyBorder="1" applyAlignment="1">
      <alignment wrapText="1"/>
    </xf>
    <xf numFmtId="0" fontId="31" fillId="0" borderId="18" xfId="19" applyFont="1" applyFill="1" applyBorder="1" applyAlignment="1">
      <alignment wrapText="1"/>
    </xf>
    <xf numFmtId="0" fontId="31" fillId="0" borderId="19" xfId="19" applyFont="1" applyFill="1" applyBorder="1" applyAlignment="1">
      <alignment wrapText="1"/>
    </xf>
    <xf numFmtId="172" fontId="2" fillId="5" borderId="17" xfId="19" applyNumberFormat="1" applyFont="1" applyFill="1" applyBorder="1" applyAlignment="1">
      <alignment horizontal="left" vertical="center" wrapText="1"/>
    </xf>
    <xf numFmtId="172" fontId="0" fillId="5" borderId="17" xfId="0" applyNumberFormat="1" applyFont="1" applyFill="1" applyBorder="1" applyAlignment="1">
      <alignment vertical="center"/>
    </xf>
    <xf numFmtId="172" fontId="9" fillId="5" borderId="17" xfId="0" applyNumberFormat="1" applyFont="1" applyFill="1" applyBorder="1" applyAlignment="1">
      <alignment vertical="center"/>
    </xf>
    <xf numFmtId="172" fontId="2" fillId="0" borderId="18" xfId="19" applyNumberFormat="1" applyFont="1" applyFill="1" applyBorder="1" applyAlignment="1">
      <alignment horizontal="left" vertical="center" wrapText="1"/>
    </xf>
    <xf numFmtId="172" fontId="9" fillId="0" borderId="18" xfId="0" applyNumberFormat="1" applyFont="1" applyFill="1" applyBorder="1" applyAlignment="1">
      <alignment vertical="center"/>
    </xf>
    <xf numFmtId="172" fontId="2" fillId="5" borderId="18" xfId="19" applyNumberFormat="1" applyFont="1" applyFill="1" applyBorder="1" applyAlignment="1">
      <alignment horizontal="left" vertical="center" wrapText="1"/>
    </xf>
    <xf numFmtId="172" fontId="0" fillId="5" borderId="18" xfId="0" applyNumberFormat="1" applyFont="1" applyFill="1" applyBorder="1" applyAlignment="1">
      <alignment vertical="center"/>
    </xf>
    <xf numFmtId="172" fontId="9" fillId="5" borderId="18" xfId="0" applyNumberFormat="1" applyFont="1" applyFill="1" applyBorder="1" applyAlignment="1">
      <alignment vertical="center"/>
    </xf>
    <xf numFmtId="172" fontId="2" fillId="5" borderId="19" xfId="19" applyNumberFormat="1" applyFont="1" applyFill="1" applyBorder="1" applyAlignment="1">
      <alignment horizontal="left" vertical="center" wrapText="1"/>
    </xf>
    <xf numFmtId="172" fontId="11" fillId="5" borderId="18" xfId="0" applyNumberFormat="1" applyFont="1" applyFill="1" applyBorder="1" applyAlignment="1">
      <alignment horizontal="right" vertical="center"/>
    </xf>
    <xf numFmtId="172" fontId="9" fillId="10" borderId="31" xfId="0" applyNumberFormat="1" applyFont="1" applyFill="1" applyBorder="1" applyAlignment="1">
      <alignment vertical="center"/>
    </xf>
    <xf numFmtId="172" fontId="9" fillId="10" borderId="23" xfId="0" applyNumberFormat="1" applyFont="1" applyFill="1" applyBorder="1" applyAlignment="1">
      <alignment vertical="center"/>
    </xf>
    <xf numFmtId="172" fontId="3" fillId="0" borderId="0" xfId="19" applyNumberFormat="1" applyFont="1" applyFill="1" applyBorder="1" applyAlignment="1">
      <alignment wrapText="1"/>
    </xf>
    <xf numFmtId="172" fontId="3" fillId="6" borderId="39" xfId="3" applyNumberFormat="1" applyFont="1" applyFill="1" applyBorder="1" applyAlignment="1">
      <alignment horizontal="center" vertical="center" wrapText="1"/>
    </xf>
    <xf numFmtId="172" fontId="3" fillId="6" borderId="39" xfId="1" applyNumberFormat="1" applyFont="1" applyFill="1" applyBorder="1" applyAlignment="1">
      <alignment horizontal="center" vertical="center" wrapText="1"/>
    </xf>
    <xf numFmtId="172" fontId="3" fillId="6" borderId="31" xfId="3" applyNumberFormat="1" applyFont="1" applyFill="1" applyBorder="1" applyAlignment="1">
      <alignment horizontal="center" vertical="center" wrapText="1"/>
    </xf>
    <xf numFmtId="172" fontId="9" fillId="6" borderId="31" xfId="0" applyNumberFormat="1" applyFont="1" applyFill="1" applyBorder="1" applyAlignment="1">
      <alignment horizontal="center" vertical="center"/>
    </xf>
    <xf numFmtId="172" fontId="2" fillId="6" borderId="17" xfId="19" applyNumberFormat="1" applyFont="1" applyFill="1" applyBorder="1" applyAlignment="1">
      <alignment horizontal="left" vertical="center" wrapText="1"/>
    </xf>
    <xf numFmtId="172" fontId="0" fillId="6" borderId="17" xfId="0" applyNumberFormat="1" applyFont="1" applyFill="1" applyBorder="1" applyAlignment="1">
      <alignment vertical="center"/>
    </xf>
    <xf numFmtId="172" fontId="2" fillId="6" borderId="18" xfId="19" applyNumberFormat="1" applyFont="1" applyFill="1" applyBorder="1" applyAlignment="1">
      <alignment horizontal="left" vertical="center" wrapText="1"/>
    </xf>
    <xf numFmtId="172" fontId="0" fillId="6" borderId="18" xfId="0" applyNumberFormat="1" applyFont="1" applyFill="1" applyBorder="1" applyAlignment="1">
      <alignment vertical="center"/>
    </xf>
    <xf numFmtId="172" fontId="2" fillId="6" borderId="19" xfId="19" applyNumberFormat="1" applyFont="1" applyFill="1" applyBorder="1" applyAlignment="1">
      <alignment horizontal="left" vertical="center" wrapText="1"/>
    </xf>
    <xf numFmtId="172" fontId="9" fillId="11" borderId="19" xfId="0" applyNumberFormat="1" applyFont="1" applyFill="1" applyBorder="1" applyAlignment="1">
      <alignment vertical="center"/>
    </xf>
    <xf numFmtId="172" fontId="9" fillId="11" borderId="23" xfId="0" applyNumberFormat="1" applyFont="1" applyFill="1" applyBorder="1" applyAlignment="1">
      <alignment vertical="center"/>
    </xf>
    <xf numFmtId="0" fontId="2" fillId="7" borderId="24" xfId="20" applyFont="1" applyFill="1" applyBorder="1" applyAlignment="1">
      <alignment horizontal="center"/>
    </xf>
    <xf numFmtId="0" fontId="2" fillId="0" borderId="25" xfId="20" applyFont="1" applyFill="1" applyBorder="1" applyAlignment="1">
      <alignment wrapText="1"/>
    </xf>
    <xf numFmtId="0" fontId="2" fillId="0" borderId="25" xfId="20" applyFont="1" applyFill="1" applyBorder="1" applyAlignment="1">
      <alignment horizontal="right" wrapText="1"/>
    </xf>
    <xf numFmtId="0" fontId="1" fillId="0" borderId="0" xfId="20"/>
    <xf numFmtId="164" fontId="4" fillId="0" borderId="0" xfId="2" applyNumberFormat="1" applyFont="1"/>
    <xf numFmtId="0" fontId="0" fillId="0" borderId="0" xfId="0" applyFont="1" applyAlignment="1">
      <alignment vertical="center"/>
    </xf>
    <xf numFmtId="0" fontId="34" fillId="0" borderId="7" xfId="14" applyFont="1" applyFill="1" applyBorder="1" applyAlignment="1">
      <alignment horizontal="left" vertical="center" wrapText="1"/>
    </xf>
    <xf numFmtId="165" fontId="34" fillId="5" borderId="7" xfId="2" applyNumberFormat="1" applyFont="1" applyFill="1" applyBorder="1" applyAlignment="1">
      <alignment horizontal="right" vertical="center"/>
    </xf>
    <xf numFmtId="165" fontId="34" fillId="5" borderId="7" xfId="2" applyNumberFormat="1" applyFont="1" applyFill="1" applyBorder="1" applyAlignment="1">
      <alignment horizontal="right" vertical="center" wrapText="1"/>
    </xf>
    <xf numFmtId="0" fontId="9" fillId="0" borderId="23" xfId="0" applyFont="1" applyBorder="1" applyAlignment="1">
      <alignment horizontal="center" vertical="center" wrapText="1"/>
    </xf>
    <xf numFmtId="164" fontId="9" fillId="0" borderId="23" xfId="0" applyNumberFormat="1" applyFont="1" applyFill="1" applyBorder="1" applyAlignment="1">
      <alignment horizontal="center" vertical="center" wrapText="1"/>
    </xf>
    <xf numFmtId="164" fontId="9" fillId="0" borderId="36" xfId="0" applyNumberFormat="1" applyFont="1" applyFill="1" applyBorder="1" applyAlignment="1">
      <alignment horizontal="center" vertical="center" wrapText="1"/>
    </xf>
    <xf numFmtId="164" fontId="0" fillId="0" borderId="36" xfId="0" applyNumberFormat="1" applyFill="1" applyBorder="1"/>
    <xf numFmtId="164" fontId="0" fillId="0" borderId="11" xfId="0" applyNumberFormat="1" applyFill="1" applyBorder="1"/>
    <xf numFmtId="164" fontId="9" fillId="0" borderId="23" xfId="0" applyNumberFormat="1" applyFont="1" applyFill="1" applyBorder="1"/>
    <xf numFmtId="164" fontId="9" fillId="0" borderId="36" xfId="0" applyNumberFormat="1" applyFont="1" applyFill="1" applyBorder="1"/>
    <xf numFmtId="164" fontId="9" fillId="0" borderId="31" xfId="0" applyNumberFormat="1" applyFont="1" applyFill="1" applyBorder="1"/>
    <xf numFmtId="164" fontId="18" fillId="0" borderId="23" xfId="0" applyNumberFormat="1" applyFont="1" applyFill="1" applyBorder="1"/>
    <xf numFmtId="164" fontId="2" fillId="5" borderId="17" xfId="19" applyNumberFormat="1" applyFont="1" applyFill="1" applyBorder="1" applyAlignment="1">
      <alignment horizontal="left" vertical="center" wrapText="1"/>
    </xf>
    <xf numFmtId="164" fontId="0" fillId="5" borderId="17" xfId="0" applyNumberFormat="1" applyFont="1" applyFill="1" applyBorder="1" applyAlignment="1">
      <alignment vertical="center"/>
    </xf>
    <xf numFmtId="165" fontId="28" fillId="3" borderId="32" xfId="2" applyNumberFormat="1" applyFont="1" applyFill="1" applyBorder="1" applyAlignment="1">
      <alignment horizontal="left" wrapText="1"/>
    </xf>
    <xf numFmtId="165" fontId="2" fillId="3" borderId="17" xfId="2" applyNumberFormat="1" applyFont="1" applyFill="1" applyBorder="1" applyAlignment="1">
      <alignment horizontal="left" vertical="center" wrapText="1"/>
    </xf>
    <xf numFmtId="165" fontId="0" fillId="3" borderId="17" xfId="2" applyNumberFormat="1" applyFont="1" applyFill="1" applyBorder="1" applyAlignment="1">
      <alignment vertical="center"/>
    </xf>
    <xf numFmtId="164" fontId="0" fillId="5" borderId="23" xfId="0" applyNumberFormat="1" applyFont="1" applyFill="1" applyBorder="1" applyAlignment="1">
      <alignment vertical="center"/>
    </xf>
    <xf numFmtId="164" fontId="0" fillId="6" borderId="23" xfId="0" applyNumberFormat="1" applyFont="1" applyFill="1" applyBorder="1" applyAlignment="1">
      <alignment vertical="center"/>
    </xf>
    <xf numFmtId="164" fontId="0" fillId="3" borderId="23" xfId="0" applyNumberFormat="1" applyFill="1" applyBorder="1"/>
    <xf numFmtId="164" fontId="0" fillId="6" borderId="23" xfId="0" applyNumberFormat="1" applyFont="1" applyFill="1" applyBorder="1" applyAlignment="1">
      <alignment vertical="center" wrapText="1"/>
    </xf>
    <xf numFmtId="0" fontId="9" fillId="8" borderId="28" xfId="0" applyFont="1" applyFill="1" applyBorder="1" applyAlignment="1">
      <alignment vertical="center" wrapText="1"/>
    </xf>
    <xf numFmtId="164" fontId="0" fillId="6" borderId="23" xfId="0" applyNumberFormat="1" applyFont="1" applyFill="1" applyBorder="1"/>
    <xf numFmtId="164" fontId="0" fillId="3" borderId="23" xfId="0" applyNumberFormat="1" applyFont="1" applyFill="1" applyBorder="1"/>
    <xf numFmtId="0" fontId="0" fillId="5" borderId="23" xfId="0" applyFill="1" applyBorder="1" applyAlignment="1">
      <alignment horizontal="center" vertical="center" wrapText="1"/>
    </xf>
    <xf numFmtId="0" fontId="0" fillId="6" borderId="23" xfId="0" applyFill="1" applyBorder="1" applyAlignment="1">
      <alignment horizontal="center" vertical="center" wrapText="1"/>
    </xf>
    <xf numFmtId="0" fontId="0" fillId="3" borderId="23" xfId="0" applyFill="1" applyBorder="1" applyAlignment="1">
      <alignment horizontal="center" vertical="center" wrapText="1"/>
    </xf>
    <xf numFmtId="164" fontId="2" fillId="6" borderId="23" xfId="19" applyNumberFormat="1" applyFont="1" applyFill="1" applyBorder="1" applyAlignment="1">
      <alignment horizontal="left" vertical="center" wrapText="1"/>
    </xf>
    <xf numFmtId="173" fontId="0" fillId="0" borderId="0" xfId="0" applyNumberFormat="1"/>
    <xf numFmtId="43" fontId="18" fillId="0" borderId="0" xfId="2" applyNumberFormat="1" applyFont="1" applyBorder="1"/>
    <xf numFmtId="174" fontId="0" fillId="0" borderId="0" xfId="0" applyNumberFormat="1"/>
    <xf numFmtId="175" fontId="0" fillId="0" borderId="0" xfId="0" applyNumberFormat="1" applyAlignment="1">
      <alignment horizontal="center"/>
    </xf>
    <xf numFmtId="0" fontId="9" fillId="0" borderId="0" xfId="0" applyFont="1" applyAlignment="1">
      <alignment vertical="center" wrapText="1"/>
    </xf>
    <xf numFmtId="0" fontId="9" fillId="0" borderId="27" xfId="0" applyFont="1" applyBorder="1" applyAlignment="1">
      <alignment vertical="center" wrapText="1"/>
    </xf>
    <xf numFmtId="0" fontId="9" fillId="0" borderId="30" xfId="0" applyFont="1" applyBorder="1" applyAlignment="1">
      <alignment vertical="center" wrapText="1"/>
    </xf>
    <xf numFmtId="0" fontId="15" fillId="0" borderId="0" xfId="0" applyFont="1"/>
    <xf numFmtId="0" fontId="23" fillId="6" borderId="23" xfId="9" applyFont="1" applyFill="1" applyBorder="1" applyAlignment="1">
      <alignment horizontal="center" vertical="center" wrapText="1"/>
    </xf>
    <xf numFmtId="0" fontId="23" fillId="6" borderId="23" xfId="4" applyFont="1" applyFill="1" applyBorder="1" applyAlignment="1">
      <alignment wrapText="1"/>
    </xf>
    <xf numFmtId="0" fontId="23" fillId="0" borderId="17" xfId="19" applyFont="1" applyFill="1" applyBorder="1" applyAlignment="1">
      <alignment vertical="center" wrapText="1"/>
    </xf>
    <xf numFmtId="166" fontId="35" fillId="9" borderId="17" xfId="14" applyNumberFormat="1" applyFont="1" applyFill="1" applyBorder="1" applyAlignment="1">
      <alignment horizontal="right" vertical="center" wrapText="1"/>
    </xf>
    <xf numFmtId="0" fontId="15" fillId="0" borderId="0" xfId="0" applyFont="1" applyAlignment="1">
      <alignment vertical="center"/>
    </xf>
    <xf numFmtId="0" fontId="23" fillId="0" borderId="18" xfId="19" applyFont="1" applyFill="1" applyBorder="1" applyAlignment="1">
      <alignment vertical="center" wrapText="1"/>
    </xf>
    <xf numFmtId="166" fontId="35" fillId="9" borderId="18" xfId="14" applyNumberFormat="1" applyFont="1" applyFill="1" applyBorder="1" applyAlignment="1">
      <alignment horizontal="right" vertical="center" wrapText="1"/>
    </xf>
    <xf numFmtId="0" fontId="36" fillId="0" borderId="0" xfId="0" applyFont="1" applyAlignment="1">
      <alignment vertical="center"/>
    </xf>
    <xf numFmtId="0" fontId="23" fillId="0" borderId="19" xfId="19" applyFont="1" applyFill="1" applyBorder="1" applyAlignment="1">
      <alignment vertical="center" wrapText="1"/>
    </xf>
    <xf numFmtId="166" fontId="35" fillId="9" borderId="19" xfId="14" applyNumberFormat="1" applyFont="1" applyFill="1" applyBorder="1" applyAlignment="1">
      <alignment horizontal="right" vertical="center" wrapText="1"/>
    </xf>
    <xf numFmtId="0" fontId="35" fillId="9" borderId="36" xfId="14" applyFont="1" applyFill="1" applyBorder="1" applyAlignment="1">
      <alignment horizontal="center" vertical="center" wrapText="1"/>
    </xf>
    <xf numFmtId="0" fontId="15" fillId="9" borderId="36" xfId="0" applyFont="1" applyFill="1" applyBorder="1" applyAlignment="1">
      <alignment horizontal="center" vertical="center"/>
    </xf>
    <xf numFmtId="0" fontId="35" fillId="9" borderId="17" xfId="14" applyFont="1" applyFill="1" applyBorder="1" applyAlignment="1">
      <alignment horizontal="right" vertical="center" wrapText="1"/>
    </xf>
    <xf numFmtId="165" fontId="35" fillId="9" borderId="17" xfId="2" applyNumberFormat="1" applyFont="1" applyFill="1" applyBorder="1" applyAlignment="1">
      <alignment horizontal="right" vertical="center" wrapText="1"/>
    </xf>
    <xf numFmtId="165" fontId="15" fillId="9" borderId="17" xfId="2" applyNumberFormat="1" applyFont="1" applyFill="1" applyBorder="1" applyAlignment="1">
      <alignment vertical="center"/>
    </xf>
    <xf numFmtId="165" fontId="35" fillId="9" borderId="18" xfId="2" applyNumberFormat="1" applyFont="1" applyFill="1" applyBorder="1" applyAlignment="1">
      <alignment horizontal="right" vertical="center" wrapText="1"/>
    </xf>
    <xf numFmtId="165" fontId="35" fillId="9" borderId="18" xfId="2" applyNumberFormat="1" applyFont="1" applyFill="1" applyBorder="1" applyAlignment="1">
      <alignment vertical="center"/>
    </xf>
    <xf numFmtId="165" fontId="15" fillId="9" borderId="18" xfId="2" applyNumberFormat="1" applyFont="1" applyFill="1" applyBorder="1" applyAlignment="1">
      <alignment vertical="center"/>
    </xf>
    <xf numFmtId="165" fontId="35" fillId="9" borderId="19" xfId="2" applyNumberFormat="1" applyFont="1" applyFill="1" applyBorder="1" applyAlignment="1">
      <alignment vertical="center"/>
    </xf>
    <xf numFmtId="165" fontId="35" fillId="9" borderId="19" xfId="2" applyNumberFormat="1" applyFont="1" applyFill="1" applyBorder="1" applyAlignment="1">
      <alignment horizontal="right" vertical="center" wrapText="1"/>
    </xf>
    <xf numFmtId="165" fontId="15" fillId="9" borderId="19" xfId="2" applyNumberFormat="1" applyFont="1" applyFill="1" applyBorder="1" applyAlignment="1">
      <alignment vertical="center"/>
    </xf>
    <xf numFmtId="165" fontId="35" fillId="9" borderId="7" xfId="2" applyNumberFormat="1" applyFont="1" applyFill="1" applyBorder="1"/>
    <xf numFmtId="165" fontId="35" fillId="9" borderId="7" xfId="2" applyNumberFormat="1" applyFont="1" applyFill="1" applyBorder="1" applyAlignment="1">
      <alignment horizontal="right" wrapText="1"/>
    </xf>
    <xf numFmtId="165" fontId="15" fillId="9" borderId="7" xfId="2" applyNumberFormat="1" applyFont="1" applyFill="1" applyBorder="1"/>
    <xf numFmtId="0" fontId="23" fillId="7" borderId="24" xfId="21" applyFont="1" applyFill="1" applyBorder="1" applyAlignment="1">
      <alignment horizontal="center"/>
    </xf>
    <xf numFmtId="0" fontId="23" fillId="0" borderId="25" xfId="21" applyFont="1" applyFill="1" applyBorder="1" applyAlignment="1">
      <alignment horizontal="right" wrapText="1"/>
    </xf>
    <xf numFmtId="0" fontId="15" fillId="0" borderId="23" xfId="0" applyFont="1" applyBorder="1"/>
    <xf numFmtId="0" fontId="37" fillId="0" borderId="0" xfId="7" applyFont="1" applyFill="1" applyBorder="1" applyAlignment="1">
      <alignment vertical="center" wrapText="1"/>
    </xf>
    <xf numFmtId="0" fontId="37" fillId="0" borderId="27" xfId="7" applyFont="1" applyFill="1" applyBorder="1" applyAlignment="1">
      <alignment vertical="center" wrapText="1"/>
    </xf>
    <xf numFmtId="0" fontId="37" fillId="0" borderId="30" xfId="7" applyFont="1" applyFill="1" applyBorder="1" applyAlignment="1">
      <alignment vertical="center" wrapText="1"/>
    </xf>
    <xf numFmtId="0" fontId="23" fillId="0" borderId="17" xfId="7" applyFont="1" applyFill="1" applyBorder="1" applyAlignment="1">
      <alignment horizontal="left" vertical="center" wrapText="1"/>
    </xf>
    <xf numFmtId="0" fontId="23" fillId="0" borderId="18" xfId="7" applyFont="1" applyFill="1" applyBorder="1" applyAlignment="1">
      <alignment horizontal="left" vertical="center" wrapText="1"/>
    </xf>
    <xf numFmtId="0" fontId="23" fillId="0" borderId="18" xfId="14" applyFont="1" applyFill="1" applyBorder="1" applyAlignment="1">
      <alignment horizontal="left" vertical="center" wrapText="1"/>
    </xf>
    <xf numFmtId="0" fontId="23" fillId="0" borderId="19" xfId="14" applyFont="1" applyFill="1" applyBorder="1" applyAlignment="1">
      <alignment horizontal="left" vertical="center" wrapText="1"/>
    </xf>
    <xf numFmtId="0" fontId="15" fillId="0" borderId="0" xfId="0" applyFont="1" applyFill="1" applyAlignment="1">
      <alignment horizontal="left"/>
    </xf>
    <xf numFmtId="0" fontId="23" fillId="0" borderId="38" xfId="7" applyFont="1" applyFill="1" applyBorder="1" applyAlignment="1">
      <alignment horizontal="left" vertical="center" wrapText="1"/>
    </xf>
    <xf numFmtId="0" fontId="23" fillId="0" borderId="7" xfId="14" applyFont="1" applyFill="1" applyBorder="1" applyAlignment="1">
      <alignment horizontal="left" vertical="center" wrapText="1"/>
    </xf>
    <xf numFmtId="0" fontId="0" fillId="0" borderId="0" xfId="0" applyAlignment="1">
      <alignment horizontal="center"/>
    </xf>
    <xf numFmtId="0" fontId="39" fillId="7" borderId="24" xfId="22" applyFont="1" applyFill="1" applyBorder="1" applyAlignment="1">
      <alignment horizontal="center"/>
    </xf>
    <xf numFmtId="0" fontId="39" fillId="0" borderId="25" xfId="22" applyFont="1" applyFill="1" applyBorder="1" applyAlignment="1">
      <alignment wrapText="1"/>
    </xf>
    <xf numFmtId="0" fontId="39" fillId="0" borderId="22" xfId="22" applyFont="1" applyFill="1" applyBorder="1" applyAlignment="1">
      <alignment wrapText="1"/>
    </xf>
    <xf numFmtId="0" fontId="39" fillId="0" borderId="0" xfId="22" applyFont="1" applyFill="1" applyBorder="1" applyAlignment="1">
      <alignment wrapText="1"/>
    </xf>
    <xf numFmtId="3" fontId="39" fillId="7" borderId="24" xfId="22" applyNumberFormat="1" applyFont="1" applyFill="1" applyBorder="1" applyAlignment="1">
      <alignment horizontal="center"/>
    </xf>
    <xf numFmtId="3" fontId="39" fillId="0" borderId="25" xfId="22" applyNumberFormat="1" applyFont="1" applyFill="1" applyBorder="1" applyAlignment="1">
      <alignment horizontal="right" wrapText="1"/>
    </xf>
    <xf numFmtId="176" fontId="2" fillId="0" borderId="14" xfId="2" applyNumberFormat="1" applyFont="1" applyFill="1" applyBorder="1" applyAlignment="1">
      <alignment horizontal="right" wrapText="1"/>
    </xf>
    <xf numFmtId="0" fontId="41" fillId="5" borderId="7" xfId="14" applyFont="1" applyFill="1" applyBorder="1" applyAlignment="1">
      <alignment horizontal="center" vertical="center" wrapText="1"/>
    </xf>
    <xf numFmtId="166" fontId="42" fillId="5" borderId="7" xfId="0" applyNumberFormat="1" applyFont="1" applyFill="1" applyBorder="1" applyAlignment="1">
      <alignment horizontal="center" vertical="center" wrapText="1"/>
    </xf>
    <xf numFmtId="0" fontId="41" fillId="5" borderId="36" xfId="14" applyFont="1" applyFill="1" applyBorder="1" applyAlignment="1">
      <alignment horizontal="center" vertical="center" wrapText="1"/>
    </xf>
    <xf numFmtId="0" fontId="42" fillId="5" borderId="36" xfId="0" applyFont="1" applyFill="1" applyBorder="1" applyAlignment="1">
      <alignment horizontal="center" vertical="center"/>
    </xf>
    <xf numFmtId="164" fontId="3" fillId="0" borderId="23" xfId="5" applyNumberFormat="1" applyFont="1" applyFill="1" applyBorder="1" applyAlignment="1">
      <alignment horizontal="right" wrapText="1"/>
    </xf>
    <xf numFmtId="0" fontId="28" fillId="0" borderId="42" xfId="19" quotePrefix="1" applyFont="1" applyFill="1" applyBorder="1" applyAlignment="1">
      <alignment horizontal="left" wrapText="1"/>
    </xf>
    <xf numFmtId="0" fontId="28" fillId="0" borderId="18" xfId="19" quotePrefix="1" applyFont="1" applyFill="1" applyBorder="1" applyAlignment="1">
      <alignment horizontal="left" vertical="center" wrapText="1"/>
    </xf>
    <xf numFmtId="0" fontId="28" fillId="0" borderId="18" xfId="19" quotePrefix="1" applyFont="1" applyFill="1" applyBorder="1" applyAlignment="1">
      <alignment horizontal="left" wrapText="1"/>
    </xf>
    <xf numFmtId="0" fontId="23" fillId="0" borderId="18" xfId="19" quotePrefix="1" applyFont="1" applyFill="1" applyBorder="1" applyAlignment="1">
      <alignment vertical="center" wrapText="1"/>
    </xf>
    <xf numFmtId="165" fontId="0" fillId="0" borderId="23" xfId="0" applyNumberFormat="1" applyBorder="1"/>
    <xf numFmtId="166" fontId="28" fillId="5" borderId="18" xfId="2" applyNumberFormat="1" applyFont="1" applyFill="1" applyBorder="1" applyAlignment="1">
      <alignment horizontal="right" vertical="center"/>
    </xf>
    <xf numFmtId="166" fontId="28" fillId="5" borderId="19" xfId="2" applyNumberFormat="1" applyFont="1" applyFill="1" applyBorder="1" applyAlignment="1">
      <alignment horizontal="right" vertical="center"/>
    </xf>
    <xf numFmtId="166" fontId="35" fillId="9" borderId="18" xfId="2" applyNumberFormat="1" applyFont="1" applyFill="1" applyBorder="1" applyAlignment="1">
      <alignment horizontal="right" vertical="center" wrapText="1"/>
    </xf>
    <xf numFmtId="166" fontId="35" fillId="9" borderId="18" xfId="2" applyNumberFormat="1" applyFont="1" applyFill="1" applyBorder="1" applyAlignment="1">
      <alignment vertical="center"/>
    </xf>
    <xf numFmtId="166" fontId="35" fillId="9" borderId="19" xfId="2" applyNumberFormat="1" applyFont="1" applyFill="1" applyBorder="1" applyAlignment="1">
      <alignment vertical="center"/>
    </xf>
    <xf numFmtId="166" fontId="35" fillId="9" borderId="19" xfId="2" applyNumberFormat="1" applyFont="1" applyFill="1" applyBorder="1" applyAlignment="1">
      <alignment horizontal="right" vertical="center" wrapText="1"/>
    </xf>
    <xf numFmtId="0" fontId="0" fillId="0" borderId="0" xfId="0" applyAlignment="1">
      <alignment horizontal="center"/>
    </xf>
    <xf numFmtId="164" fontId="0" fillId="0" borderId="37" xfId="0" applyNumberFormat="1" applyFill="1" applyBorder="1"/>
    <xf numFmtId="0" fontId="43" fillId="7" borderId="24" xfId="23" applyFont="1" applyFill="1" applyBorder="1" applyAlignment="1">
      <alignment horizontal="center"/>
    </xf>
    <xf numFmtId="0" fontId="43" fillId="0" borderId="25" xfId="23" applyFont="1" applyFill="1" applyBorder="1" applyAlignment="1">
      <alignment wrapText="1"/>
    </xf>
    <xf numFmtId="0" fontId="43" fillId="0" borderId="25" xfId="23" applyFont="1" applyFill="1" applyBorder="1" applyAlignment="1">
      <alignment horizontal="right" wrapText="1"/>
    </xf>
    <xf numFmtId="173" fontId="11" fillId="8" borderId="23" xfId="0" applyNumberFormat="1" applyFont="1" applyFill="1" applyBorder="1" applyAlignment="1">
      <alignment horizontal="right" vertical="center"/>
    </xf>
    <xf numFmtId="173" fontId="9" fillId="8" borderId="23" xfId="0" applyNumberFormat="1" applyFont="1" applyFill="1" applyBorder="1" applyAlignment="1">
      <alignment horizontal="right" vertical="center"/>
    </xf>
    <xf numFmtId="0" fontId="43" fillId="7" borderId="24" xfId="24" applyFont="1" applyFill="1" applyBorder="1" applyAlignment="1">
      <alignment horizontal="center"/>
    </xf>
    <xf numFmtId="0" fontId="43" fillId="0" borderId="25" xfId="24" applyFont="1" applyFill="1" applyBorder="1" applyAlignment="1">
      <alignment wrapText="1"/>
    </xf>
    <xf numFmtId="0" fontId="43" fillId="0" borderId="25" xfId="24" applyFont="1" applyFill="1" applyBorder="1" applyAlignment="1">
      <alignment horizontal="right" wrapText="1"/>
    </xf>
    <xf numFmtId="165" fontId="43" fillId="0" borderId="25" xfId="2" applyNumberFormat="1" applyFont="1" applyFill="1" applyBorder="1" applyAlignment="1">
      <alignment horizontal="right" wrapText="1"/>
    </xf>
    <xf numFmtId="177" fontId="0" fillId="0" borderId="0" xfId="0" applyNumberFormat="1"/>
    <xf numFmtId="0" fontId="0" fillId="0" borderId="0" xfId="0" applyAlignment="1">
      <alignment horizontal="center"/>
    </xf>
    <xf numFmtId="178" fontId="11" fillId="8" borderId="23" xfId="0" applyNumberFormat="1" applyFont="1" applyFill="1" applyBorder="1" applyAlignment="1">
      <alignment horizontal="right" vertical="center"/>
    </xf>
    <xf numFmtId="0" fontId="45" fillId="7" borderId="24" xfId="25" applyFont="1" applyFill="1" applyBorder="1" applyAlignment="1">
      <alignment horizontal="center"/>
    </xf>
    <xf numFmtId="0" fontId="45" fillId="0" borderId="25" xfId="25" applyFont="1" applyFill="1" applyBorder="1" applyAlignment="1">
      <alignment wrapText="1"/>
    </xf>
    <xf numFmtId="0" fontId="45" fillId="0" borderId="25" xfId="25" applyFont="1" applyFill="1" applyBorder="1" applyAlignment="1">
      <alignment horizontal="right" wrapText="1"/>
    </xf>
    <xf numFmtId="0" fontId="46" fillId="0" borderId="0" xfId="25"/>
    <xf numFmtId="165" fontId="2" fillId="6" borderId="24" xfId="2" applyNumberFormat="1" applyFont="1" applyFill="1" applyBorder="1" applyAlignment="1">
      <alignment horizontal="right" wrapText="1"/>
    </xf>
    <xf numFmtId="165" fontId="2" fillId="6" borderId="23" xfId="2" applyNumberFormat="1" applyFont="1" applyFill="1" applyBorder="1" applyAlignment="1">
      <alignment horizontal="right" wrapText="1"/>
    </xf>
    <xf numFmtId="0" fontId="2" fillId="6" borderId="24" xfId="4" applyFont="1" applyFill="1" applyBorder="1" applyAlignment="1">
      <alignment horizontal="right" wrapText="1"/>
    </xf>
    <xf numFmtId="165" fontId="1" fillId="6" borderId="24" xfId="2" applyNumberFormat="1" applyFont="1" applyFill="1" applyBorder="1"/>
    <xf numFmtId="0" fontId="2" fillId="0" borderId="0" xfId="12"/>
    <xf numFmtId="0" fontId="0" fillId="0" borderId="0" xfId="0" applyAlignment="1">
      <alignment horizontal="center"/>
    </xf>
    <xf numFmtId="0" fontId="0" fillId="0" borderId="0" xfId="0" applyAlignment="1">
      <alignment horizontal="center"/>
    </xf>
    <xf numFmtId="0" fontId="47" fillId="0" borderId="0" xfId="0" applyFont="1" applyAlignment="1">
      <alignment wrapText="1"/>
    </xf>
    <xf numFmtId="0" fontId="47" fillId="0" borderId="0" xfId="0" applyFont="1" applyAlignment="1">
      <alignment horizontal="center" vertical="center" wrapText="1"/>
    </xf>
    <xf numFmtId="0" fontId="47" fillId="0" borderId="0" xfId="0" applyFont="1" applyAlignment="1">
      <alignment vertical="center" wrapText="1"/>
    </xf>
    <xf numFmtId="0" fontId="0" fillId="0" borderId="0" xfId="0" applyBorder="1" applyAlignment="1">
      <alignment horizontal="center" vertical="center"/>
    </xf>
    <xf numFmtId="164" fontId="4" fillId="0" borderId="0" xfId="0" applyNumberFormat="1" applyFont="1" applyAlignment="1">
      <alignment vertical="center"/>
    </xf>
    <xf numFmtId="165" fontId="0" fillId="0" borderId="0" xfId="2" applyNumberFormat="1" applyFont="1" applyBorder="1"/>
    <xf numFmtId="0" fontId="19" fillId="0" borderId="0" xfId="0" applyFont="1" applyAlignment="1">
      <alignment wrapText="1"/>
    </xf>
    <xf numFmtId="0" fontId="9" fillId="12" borderId="0" xfId="0" applyFont="1" applyFill="1"/>
    <xf numFmtId="0" fontId="0" fillId="12" borderId="0" xfId="0" applyFill="1" applyAlignment="1">
      <alignment wrapText="1"/>
    </xf>
    <xf numFmtId="0" fontId="19" fillId="0" borderId="0" xfId="0" applyFont="1" applyFill="1" applyAlignment="1">
      <alignment wrapText="1"/>
    </xf>
    <xf numFmtId="0" fontId="0" fillId="0" borderId="0" xfId="0" applyFont="1" applyAlignment="1">
      <alignment horizontal="left" wrapText="1"/>
    </xf>
    <xf numFmtId="0" fontId="0" fillId="0" borderId="0" xfId="0" applyFont="1" applyAlignment="1">
      <alignment horizontal="left" vertical="center" wrapText="1"/>
    </xf>
    <xf numFmtId="0" fontId="9" fillId="0" borderId="23" xfId="0" applyFont="1" applyBorder="1" applyAlignment="1">
      <alignment horizontal="center"/>
    </xf>
    <xf numFmtId="0" fontId="0" fillId="0" borderId="0" xfId="0" applyAlignment="1">
      <alignment horizontal="center"/>
    </xf>
    <xf numFmtId="0" fontId="48" fillId="0" borderId="0" xfId="26" applyFill="1" applyAlignment="1">
      <alignment wrapText="1"/>
    </xf>
    <xf numFmtId="0" fontId="9" fillId="0" borderId="0" xfId="0" applyFont="1" applyAlignment="1">
      <alignment vertical="top"/>
    </xf>
    <xf numFmtId="0" fontId="19" fillId="0" borderId="0" xfId="0" applyFont="1" applyFill="1" applyAlignment="1">
      <alignment vertical="top" wrapText="1"/>
    </xf>
    <xf numFmtId="164" fontId="0" fillId="0" borderId="23" xfId="0" applyNumberFormat="1" applyBorder="1" applyAlignment="1">
      <alignment horizontal="center"/>
    </xf>
    <xf numFmtId="0" fontId="51" fillId="0" borderId="0" xfId="0" applyFont="1" applyAlignment="1">
      <alignment horizontal="center" vertical="center" wrapText="1"/>
    </xf>
    <xf numFmtId="164" fontId="2" fillId="0" borderId="23" xfId="16" applyNumberFormat="1" applyFont="1" applyFill="1" applyBorder="1" applyAlignment="1">
      <alignment horizontal="right" wrapText="1"/>
    </xf>
    <xf numFmtId="164" fontId="2" fillId="0" borderId="23" xfId="5" applyNumberFormat="1" applyFont="1" applyFill="1" applyBorder="1" applyAlignment="1">
      <alignment wrapText="1"/>
    </xf>
    <xf numFmtId="0" fontId="9" fillId="0" borderId="23" xfId="0" applyFont="1" applyBorder="1" applyAlignment="1">
      <alignment horizontal="center"/>
    </xf>
    <xf numFmtId="170" fontId="9" fillId="0" borderId="23" xfId="0" applyNumberFormat="1" applyFont="1" applyFill="1" applyBorder="1" applyAlignment="1">
      <alignment horizontal="center" vertical="center" wrapText="1"/>
    </xf>
    <xf numFmtId="164" fontId="0" fillId="0" borderId="23" xfId="0" applyNumberFormat="1" applyFill="1" applyBorder="1"/>
    <xf numFmtId="0" fontId="6" fillId="0" borderId="0" xfId="0" applyFont="1"/>
    <xf numFmtId="164" fontId="8" fillId="0" borderId="23" xfId="0" applyNumberFormat="1" applyFont="1" applyFill="1" applyBorder="1" applyAlignment="1">
      <alignment vertical="center"/>
    </xf>
    <xf numFmtId="0" fontId="19" fillId="0" borderId="0" xfId="0" applyFont="1" applyFill="1" applyAlignment="1">
      <alignment horizontal="left" wrapText="1"/>
    </xf>
    <xf numFmtId="0" fontId="9" fillId="0" borderId="23" xfId="0" applyFont="1" applyBorder="1" applyAlignment="1">
      <alignment horizontal="center"/>
    </xf>
    <xf numFmtId="0" fontId="9" fillId="0" borderId="0" xfId="0" applyFont="1" applyAlignment="1">
      <alignment horizontal="left" vertical="top"/>
    </xf>
    <xf numFmtId="170" fontId="9" fillId="0" borderId="36" xfId="0" applyNumberFormat="1" applyFont="1" applyBorder="1" applyAlignment="1">
      <alignment horizontal="center" vertical="center" wrapText="1"/>
    </xf>
    <xf numFmtId="0" fontId="28" fillId="0" borderId="34" xfId="19" applyFont="1" applyFill="1" applyBorder="1" applyAlignment="1">
      <alignment horizontal="left" wrapText="1"/>
    </xf>
    <xf numFmtId="164" fontId="0" fillId="0" borderId="0" xfId="0" applyNumberFormat="1" applyBorder="1" applyAlignment="1">
      <alignment horizontal="right"/>
    </xf>
    <xf numFmtId="0" fontId="9" fillId="0" borderId="0" xfId="0" applyFont="1" applyAlignment="1">
      <alignment horizontal="left" vertical="top"/>
    </xf>
    <xf numFmtId="0" fontId="6" fillId="0" borderId="0" xfId="0" applyFont="1" applyAlignment="1">
      <alignment horizontal="center" wrapText="1"/>
    </xf>
    <xf numFmtId="0" fontId="0" fillId="0" borderId="0" xfId="0" applyAlignment="1">
      <alignment horizontal="left" wrapText="1"/>
    </xf>
    <xf numFmtId="0" fontId="54" fillId="0" borderId="0" xfId="26" applyFont="1" applyAlignment="1">
      <alignment horizontal="center" vertical="center" wrapText="1"/>
    </xf>
    <xf numFmtId="0" fontId="0" fillId="0" borderId="0" xfId="0" applyFont="1" applyAlignment="1">
      <alignment horizontal="left" wrapText="1"/>
    </xf>
    <xf numFmtId="0" fontId="0" fillId="0" borderId="0" xfId="0" applyFont="1" applyAlignment="1">
      <alignment horizontal="left" vertical="center" wrapText="1"/>
    </xf>
    <xf numFmtId="0" fontId="55" fillId="0" borderId="27" xfId="0" applyFont="1" applyBorder="1" applyAlignment="1">
      <alignment horizontal="left" vertical="center" wrapText="1"/>
    </xf>
    <xf numFmtId="0" fontId="7" fillId="0" borderId="27" xfId="0" applyFont="1" applyBorder="1" applyAlignment="1">
      <alignment horizontal="left" vertical="center" wrapText="1"/>
    </xf>
    <xf numFmtId="0" fontId="0" fillId="8" borderId="32" xfId="0" applyFill="1" applyBorder="1" applyAlignment="1">
      <alignment horizontal="center"/>
    </xf>
    <xf numFmtId="0" fontId="0" fillId="8" borderId="35" xfId="0" applyFill="1" applyBorder="1" applyAlignment="1">
      <alignment horizontal="center"/>
    </xf>
    <xf numFmtId="0" fontId="6" fillId="0" borderId="46" xfId="0" applyFont="1" applyBorder="1" applyAlignment="1">
      <alignment horizontal="center" vertical="center"/>
    </xf>
    <xf numFmtId="0" fontId="6" fillId="0" borderId="28" xfId="0" applyFont="1" applyBorder="1" applyAlignment="1">
      <alignment horizontal="center" vertical="center"/>
    </xf>
    <xf numFmtId="0" fontId="6" fillId="0" borderId="45" xfId="0" applyFont="1" applyBorder="1" applyAlignment="1">
      <alignment horizontal="center" vertical="center"/>
    </xf>
    <xf numFmtId="172" fontId="3" fillId="0" borderId="45" xfId="19" applyNumberFormat="1" applyFont="1" applyFill="1" applyBorder="1" applyAlignment="1">
      <alignment horizontal="center" vertical="center" wrapText="1"/>
    </xf>
    <xf numFmtId="0" fontId="6" fillId="0" borderId="21" xfId="0" applyFont="1" applyBorder="1" applyAlignment="1">
      <alignment horizontal="center" vertical="center"/>
    </xf>
    <xf numFmtId="0" fontId="6" fillId="0" borderId="27" xfId="0" applyFont="1" applyBorder="1" applyAlignment="1">
      <alignment horizontal="center" vertical="center"/>
    </xf>
    <xf numFmtId="0" fontId="38" fillId="0" borderId="0" xfId="7" applyFont="1" applyFill="1" applyBorder="1" applyAlignment="1">
      <alignment horizontal="left" vertical="center" wrapText="1"/>
    </xf>
    <xf numFmtId="0" fontId="38" fillId="0" borderId="14" xfId="7" applyFont="1" applyFill="1" applyBorder="1" applyAlignment="1">
      <alignment horizontal="left" vertical="center" wrapText="1"/>
    </xf>
    <xf numFmtId="0" fontId="7" fillId="0" borderId="0" xfId="0" applyFont="1" applyBorder="1" applyAlignment="1">
      <alignment horizontal="left" vertical="center" wrapText="1"/>
    </xf>
    <xf numFmtId="0" fontId="28" fillId="0" borderId="28" xfId="7" applyFont="1" applyFill="1" applyBorder="1" applyAlignment="1">
      <alignment horizontal="center" vertical="center" wrapText="1"/>
    </xf>
    <xf numFmtId="0" fontId="28" fillId="0" borderId="26" xfId="7" applyFont="1" applyFill="1" applyBorder="1" applyAlignment="1">
      <alignment horizontal="center" vertical="center" wrapText="1"/>
    </xf>
    <xf numFmtId="0" fontId="9" fillId="0" borderId="23" xfId="0" applyFont="1" applyBorder="1" applyAlignment="1">
      <alignment horizontal="center"/>
    </xf>
    <xf numFmtId="164" fontId="3" fillId="0" borderId="45" xfId="19" applyNumberFormat="1" applyFont="1" applyFill="1" applyBorder="1" applyAlignment="1">
      <alignment horizontal="center" vertical="center" wrapText="1"/>
    </xf>
    <xf numFmtId="0" fontId="9" fillId="0" borderId="0" xfId="0" applyFont="1" applyAlignment="1">
      <alignment horizontal="left"/>
    </xf>
    <xf numFmtId="0" fontId="6" fillId="0" borderId="0" xfId="0" applyFont="1" applyBorder="1" applyAlignment="1">
      <alignment horizontal="left"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8" fillId="0" borderId="0" xfId="0" applyFont="1" applyBorder="1" applyAlignment="1">
      <alignment horizontal="center" vertical="center"/>
    </xf>
    <xf numFmtId="0" fontId="8" fillId="0" borderId="23" xfId="0" applyFont="1" applyBorder="1" applyAlignment="1">
      <alignment horizontal="center" vertical="center" wrapText="1"/>
    </xf>
    <xf numFmtId="0" fontId="15" fillId="0" borderId="27" xfId="0" applyFont="1" applyBorder="1" applyAlignment="1">
      <alignment horizontal="center"/>
    </xf>
    <xf numFmtId="0" fontId="15" fillId="0" borderId="30" xfId="0" applyFont="1" applyBorder="1" applyAlignment="1">
      <alignment horizontal="center"/>
    </xf>
    <xf numFmtId="0" fontId="27" fillId="0" borderId="27" xfId="0" applyFont="1" applyBorder="1" applyAlignment="1">
      <alignment horizontal="center" vertical="center"/>
    </xf>
    <xf numFmtId="0" fontId="27" fillId="0" borderId="30" xfId="0" applyFont="1" applyBorder="1" applyAlignment="1">
      <alignment horizontal="center" vertical="center"/>
    </xf>
    <xf numFmtId="0" fontId="3" fillId="0" borderId="0" xfId="19" applyFont="1" applyFill="1" applyBorder="1" applyAlignment="1">
      <alignment horizontal="left"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3" xfId="0" applyFont="1" applyBorder="1" applyAlignment="1">
      <alignment horizontal="left" vertical="center"/>
    </xf>
    <xf numFmtId="0" fontId="7" fillId="0" borderId="12"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8" xfId="0" applyFont="1" applyFill="1" applyBorder="1" applyAlignment="1">
      <alignment horizontal="left"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21" xfId="0" applyFont="1" applyBorder="1" applyAlignment="1">
      <alignment horizontal="center" vertical="center" wrapText="1"/>
    </xf>
    <xf numFmtId="0" fontId="6" fillId="0" borderId="27" xfId="0" applyFont="1" applyBorder="1" applyAlignment="1">
      <alignment horizontal="center" vertical="center" wrapText="1"/>
    </xf>
  </cellXfs>
  <cellStyles count="27">
    <cellStyle name="Comma" xfId="2" builtinId="3"/>
    <cellStyle name="Comma 2" xfId="11"/>
    <cellStyle name="Hyperlink" xfId="26" builtinId="8"/>
    <cellStyle name="Normal" xfId="0" builtinId="0"/>
    <cellStyle name="Normal 2" xfId="12"/>
    <cellStyle name="Normal 3" xfId="13"/>
    <cellStyle name="Normal 4" xfId="10"/>
    <cellStyle name="Normal_Degrees" xfId="4"/>
    <cellStyle name="Normal_FY12IncrRev" xfId="8"/>
    <cellStyle name="Normal_FY12IncrRev_2" xfId="16"/>
    <cellStyle name="Normal_FY13FinalSCH_1" xfId="18"/>
    <cellStyle name="Normal_FY13Revenue" xfId="17"/>
    <cellStyle name="Normal_FY14Majors" xfId="21"/>
    <cellStyle name="Normal_FY14Revenue" xfId="19"/>
    <cellStyle name="Normal_FY14SCH" xfId="20"/>
    <cellStyle name="Normal_FY15MajorswoGradAdj" xfId="25"/>
    <cellStyle name="Normal_FY15Revenue" xfId="22"/>
    <cellStyle name="Normal_FY15Revenue_1" xfId="24"/>
    <cellStyle name="Normal_FY16ProjRev" xfId="23"/>
    <cellStyle name="Normal_Incremental Revenue" xfId="5"/>
    <cellStyle name="Normal_Majors" xfId="7"/>
    <cellStyle name="Normal_Majors2012" xfId="9"/>
    <cellStyle name="Normal_SCH" xfId="6"/>
    <cellStyle name="Normal_SCH2012" xfId="15"/>
    <cellStyle name="Normal_Sheet1" xfId="1"/>
    <cellStyle name="Normal_Sheet2 2 2" xfId="14"/>
    <cellStyle name="Normal_Sheet3" xfId="3"/>
  </cellStyles>
  <dxfs count="0"/>
  <tableStyles count="0" defaultTableStyle="TableStyleMedium9" defaultPivotStyle="PivotStyleLight16"/>
  <colors>
    <mruColors>
      <color rgb="FFFFFFCC"/>
      <color rgb="FFD5EDFF"/>
      <color rgb="FFABDBFF"/>
      <color rgb="FFFFFF99"/>
      <color rgb="FFBCE292"/>
      <color rgb="FFFBFBB1"/>
      <color rgb="FF967200"/>
      <color rgb="FFF4F3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782876</xdr:colOff>
      <xdr:row>1</xdr:row>
      <xdr:rowOff>169624</xdr:rowOff>
    </xdr:from>
    <xdr:to>
      <xdr:col>12</xdr:col>
      <xdr:colOff>1069932</xdr:colOff>
      <xdr:row>1</xdr:row>
      <xdr:rowOff>274007</xdr:rowOff>
    </xdr:to>
    <xdr:cxnSp macro="">
      <xdr:nvCxnSpPr>
        <xdr:cNvPr id="3" name="Straight Arrow Connector 2"/>
        <xdr:cNvCxnSpPr/>
      </xdr:nvCxnSpPr>
      <xdr:spPr>
        <a:xfrm flipH="1" flipV="1">
          <a:off x="12552123" y="534966"/>
          <a:ext cx="4201439" cy="1043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1122123</xdr:colOff>
      <xdr:row>1</xdr:row>
      <xdr:rowOff>130480</xdr:rowOff>
    </xdr:from>
    <xdr:to>
      <xdr:col>12</xdr:col>
      <xdr:colOff>2152911</xdr:colOff>
      <xdr:row>3</xdr:row>
      <xdr:rowOff>26096</xdr:rowOff>
    </xdr:to>
    <xdr:sp macro="" textlink="">
      <xdr:nvSpPr>
        <xdr:cNvPr id="4" name="TextBox 3"/>
        <xdr:cNvSpPr txBox="1"/>
      </xdr:nvSpPr>
      <xdr:spPr>
        <a:xfrm>
          <a:off x="16805753" y="495822"/>
          <a:ext cx="1030788" cy="469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Risk Pool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pb.washington.edu/Users/cdiem/Desktop/Provost%20Model%20Final%20Spring%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Incremental Changes"/>
      <sheetName val="FY12toFY13Change"/>
      <sheetName val="BudgetSummary"/>
      <sheetName val="FY13 ABB Budget"/>
      <sheetName val="Sheet1"/>
      <sheetName val="FY13ProjRevenueToCollege"/>
      <sheetName val="FY13ProjRevenue"/>
      <sheetName val="FY13ProjSCH"/>
      <sheetName val="FY13ProjMajors"/>
      <sheetName val="FY12RevenueToCollege"/>
      <sheetName val="FY12Revenue"/>
      <sheetName val="FY12FinalMajors"/>
      <sheetName val="FY12FinalSCH"/>
      <sheetName val="FY12ProjRevenueToCollege"/>
      <sheetName val="FY12ProjRevenue"/>
      <sheetName val="FY12ProjMajors"/>
      <sheetName val="FY12ProjSCH"/>
      <sheetName val="IncrementalTuitFY13"/>
      <sheetName val="RevbyTGDif"/>
      <sheetName val="FY13IncrColl"/>
      <sheetName val="FY12TrueUp"/>
      <sheetName val="SCHChgFY13"/>
      <sheetName val="SCHChgTrueUp"/>
      <sheetName val="MjrChgFY13"/>
      <sheetName val="MjrChgTrueUp"/>
    </sheetNames>
    <sheetDataSet>
      <sheetData sheetId="0">
        <row r="4">
          <cell r="I4">
            <v>0.6</v>
          </cell>
          <cell r="K4">
            <v>0.2</v>
          </cell>
        </row>
        <row r="6">
          <cell r="K6">
            <v>0.8</v>
          </cell>
        </row>
        <row r="8">
          <cell r="I8">
            <v>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diem@uw.ed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opb.washington.edu/sites/default/files/opb/Budget/Baseline.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R8"/>
  <sheetViews>
    <sheetView workbookViewId="0">
      <selection activeCell="I4" sqref="I4"/>
    </sheetView>
  </sheetViews>
  <sheetFormatPr defaultColWidth="8.85546875" defaultRowHeight="15" outlineLevelCol="1"/>
  <cols>
    <col min="1" max="1" width="32.7109375" style="4" customWidth="1"/>
    <col min="2" max="2" width="12.28515625" style="4" hidden="1" customWidth="1"/>
    <col min="3" max="3" width="19.42578125" style="4" hidden="1" customWidth="1"/>
    <col min="4" max="4" width="12.85546875" style="4" hidden="1" customWidth="1"/>
    <col min="5" max="5" width="2.85546875" style="4" hidden="1" customWidth="1"/>
    <col min="6" max="6" width="18.42578125" style="4" hidden="1" customWidth="1"/>
    <col min="7" max="7" width="14.42578125" style="4" hidden="1" customWidth="1" outlineLevel="1"/>
    <col min="8" max="8" width="11.42578125" style="4" hidden="1" customWidth="1" outlineLevel="1"/>
    <col min="9" max="9" width="16.42578125" style="4" customWidth="1" collapsed="1"/>
    <col min="10" max="10" width="4.85546875" style="4" customWidth="1"/>
    <col min="11" max="11" width="17.140625" style="4" customWidth="1"/>
    <col min="12" max="12" width="21" style="4" customWidth="1"/>
    <col min="13" max="13" width="4.140625" style="4" customWidth="1"/>
    <col min="14" max="14" width="19.140625" style="4" customWidth="1"/>
    <col min="15" max="16384" width="8.85546875" style="4"/>
  </cols>
  <sheetData>
    <row r="1" spans="1:18" ht="30.75" thickBot="1">
      <c r="A1" s="24" t="s">
        <v>50</v>
      </c>
      <c r="B1" s="1"/>
      <c r="C1" s="3"/>
      <c r="D1" s="1"/>
      <c r="E1" s="1"/>
      <c r="F1" s="1"/>
      <c r="G1" s="1"/>
      <c r="H1" s="1"/>
      <c r="I1" s="23">
        <v>0.7</v>
      </c>
      <c r="J1" s="18"/>
      <c r="K1" s="18"/>
    </row>
    <row r="2" spans="1:18" s="15" customFormat="1">
      <c r="A2" s="16"/>
      <c r="B2" s="1"/>
      <c r="C2" s="3"/>
      <c r="D2" s="1"/>
      <c r="E2" s="1"/>
      <c r="F2" s="1"/>
      <c r="G2" s="1"/>
      <c r="H2" s="1"/>
      <c r="I2" s="19"/>
      <c r="J2" s="18"/>
      <c r="K2" s="18"/>
    </row>
    <row r="3" spans="1:18" ht="15.75" thickBot="1">
      <c r="I3" s="18" t="s">
        <v>43</v>
      </c>
      <c r="J3" s="18"/>
      <c r="K3" s="18" t="s">
        <v>45</v>
      </c>
    </row>
    <row r="4" spans="1:18" ht="30.75" thickBot="1">
      <c r="A4" s="17" t="s">
        <v>46</v>
      </c>
      <c r="I4" s="20">
        <v>0.6</v>
      </c>
      <c r="J4" s="21"/>
      <c r="K4" s="20">
        <v>0.2</v>
      </c>
    </row>
    <row r="5" spans="1:18" ht="16.5" thickBot="1">
      <c r="A5" s="18"/>
      <c r="I5" s="21"/>
      <c r="J5" s="21"/>
      <c r="K5" s="21"/>
    </row>
    <row r="6" spans="1:18" ht="45.75" thickBot="1">
      <c r="A6" s="17" t="s">
        <v>47</v>
      </c>
      <c r="I6" s="20">
        <v>0</v>
      </c>
      <c r="J6" s="22"/>
      <c r="K6" s="20">
        <v>0.8</v>
      </c>
    </row>
    <row r="7" spans="1:18" ht="16.5" thickBot="1">
      <c r="A7" s="18"/>
      <c r="I7" s="21"/>
      <c r="J7" s="21"/>
      <c r="K7" s="21"/>
    </row>
    <row r="8" spans="1:18" customFormat="1" ht="49.5" customHeight="1" thickBot="1">
      <c r="A8" s="17" t="s">
        <v>48</v>
      </c>
      <c r="B8" s="4"/>
      <c r="C8" s="4"/>
      <c r="D8" s="4"/>
      <c r="I8" s="20">
        <v>0.4</v>
      </c>
      <c r="J8" s="22"/>
      <c r="K8" s="20">
        <v>0</v>
      </c>
      <c r="R8" s="11"/>
    </row>
  </sheetData>
  <sheetProtection selectLockedCells="1"/>
  <pageMargins left="0.7" right="0.2" top="0.5" bottom="0.5" header="0.05" footer="0.05"/>
  <pageSetup orientation="landscape" r:id="rId1"/>
  <headerFooter>
    <oddFooter xml:space="preserve">&amp;L&amp;9&amp;Z&amp;F, &amp;A
Revised/Printed &amp;D, &amp;T&amp;R&amp;9Page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35" workbookViewId="0">
      <selection activeCell="B35" sqref="B35"/>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428</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5115015.760298701</v>
      </c>
      <c r="D5" s="413">
        <f t="shared" si="0"/>
        <v>180519807.79687035</v>
      </c>
      <c r="E5" s="413">
        <f t="shared" si="0"/>
        <v>22879950.675604485</v>
      </c>
      <c r="F5" s="413">
        <f t="shared" si="0"/>
        <v>3597869.6931372709</v>
      </c>
      <c r="G5" s="413">
        <f t="shared" si="0"/>
        <v>28454237.118681431</v>
      </c>
      <c r="H5" s="413">
        <f t="shared" si="0"/>
        <v>13385956.632576143</v>
      </c>
      <c r="I5" s="413">
        <f t="shared" si="0"/>
        <v>3595037.3813183503</v>
      </c>
      <c r="J5" s="413">
        <f t="shared" si="0"/>
        <v>97646.071279805488</v>
      </c>
      <c r="K5" s="413">
        <f t="shared" si="0"/>
        <v>28768.247629177818</v>
      </c>
      <c r="L5" s="413">
        <f t="shared" si="0"/>
        <v>1049709.7436957087</v>
      </c>
      <c r="M5" s="413">
        <f t="shared" si="0"/>
        <v>9819.9306811135812</v>
      </c>
      <c r="N5" s="413">
        <f t="shared" si="0"/>
        <v>7393857.8000947796</v>
      </c>
      <c r="O5" s="413">
        <f t="shared" si="0"/>
        <v>3272650.8325942457</v>
      </c>
      <c r="P5" s="413">
        <f t="shared" si="0"/>
        <v>56568.333078527539</v>
      </c>
      <c r="Q5" s="413">
        <f t="shared" si="0"/>
        <v>5087220.7794707417</v>
      </c>
      <c r="R5" s="413">
        <f t="shared" si="0"/>
        <v>2449065.2791290977</v>
      </c>
      <c r="S5" s="413">
        <f t="shared" si="0"/>
        <v>39971.267138617259</v>
      </c>
      <c r="T5" s="413">
        <f t="shared" ref="T5:T26" si="1">SUM(C5:S5)</f>
        <v>277033153.34327847</v>
      </c>
      <c r="X5" s="495"/>
    </row>
    <row r="6" spans="1:24" ht="20.100000000000001" customHeight="1">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c r="A26" s="402"/>
      <c r="B26" s="421" t="s">
        <v>17</v>
      </c>
      <c r="C26" s="422">
        <f t="shared" ref="C26:S26" si="3">SUM(C5:C25)</f>
        <v>9645077.7245767023</v>
      </c>
      <c r="D26" s="422">
        <f t="shared" si="3"/>
        <v>190369868.06285706</v>
      </c>
      <c r="E26" s="422">
        <f t="shared" si="3"/>
        <v>27982334.096767291</v>
      </c>
      <c r="F26" s="422">
        <f t="shared" si="3"/>
        <v>8111434.2927134512</v>
      </c>
      <c r="G26" s="422">
        <f t="shared" si="3"/>
        <v>37575116.411852919</v>
      </c>
      <c r="H26" s="422">
        <f t="shared" si="3"/>
        <v>17071026.2013277</v>
      </c>
      <c r="I26" s="422">
        <f t="shared" si="3"/>
        <v>3869421.9370127982</v>
      </c>
      <c r="J26" s="422">
        <f t="shared" si="3"/>
        <v>11220669.669168949</v>
      </c>
      <c r="K26" s="422">
        <f t="shared" si="3"/>
        <v>4096128.3911342844</v>
      </c>
      <c r="L26" s="422">
        <f t="shared" si="3"/>
        <v>4274211.4387026802</v>
      </c>
      <c r="M26" s="422">
        <f t="shared" si="3"/>
        <v>6991692.4564765012</v>
      </c>
      <c r="N26" s="422">
        <f t="shared" si="3"/>
        <v>25296747.838452294</v>
      </c>
      <c r="O26" s="422">
        <f t="shared" si="3"/>
        <v>4804425.3254786124</v>
      </c>
      <c r="P26" s="422">
        <f t="shared" si="3"/>
        <v>6935649.6267352281</v>
      </c>
      <c r="Q26" s="422">
        <f t="shared" si="3"/>
        <v>8867503.1457702443</v>
      </c>
      <c r="R26" s="423">
        <f t="shared" si="3"/>
        <v>2449344.6736180647</v>
      </c>
      <c r="S26" s="423">
        <f t="shared" si="3"/>
        <v>1279088.016491486</v>
      </c>
      <c r="T26" s="422">
        <f t="shared" si="1"/>
        <v>370839739.30913621</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+UGpcntSCH*(VLOOKUP($A29,FY16ProjRev!$A$4:$I$24,9,FALSE))*VLOOKUP($A29,FY16ProjSCH!$A$3:$S$23,MATCH(C$28,FY16ProjSCH!$A$2:$S$2,0),FALSE)</f>
        <v>3666983.4105403437</v>
      </c>
      <c r="D29" s="438">
        <f>+UGpcntSCH*(VLOOKUP($A29,FY16ProjRev!$A$4:$I$24,9,FALSE))*VLOOKUP($A29,FY16ProjSCH!$A$3:$S$23,MATCH(D$28,FY16ProjSCH!$A$2:$S$2,0),FALSE)</f>
        <v>109863586.44482194</v>
      </c>
      <c r="E29" s="438">
        <f>+UGpcntSCH*(VLOOKUP($A29,FY16ProjRev!$A$4:$I$24,9,FALSE))*VLOOKUP($A29,FY16ProjSCH!$A$3:$S$23,MATCH(E$28,FY16ProjSCH!$A$2:$S$2,0),FALSE)</f>
        <v>10726822.025846846</v>
      </c>
      <c r="F29" s="438">
        <f>+UGpcntSCH*(VLOOKUP($A29,FY16ProjRev!$A$4:$I$24,9,FALSE))*VLOOKUP($A29,FY16ProjSCH!$A$3:$S$23,MATCH(F$28,FY16ProjSCH!$A$2:$S$2,0),FALSE)</f>
        <v>2292054.8063016096</v>
      </c>
      <c r="G29" s="438">
        <f>+UGpcntSCH*(VLOOKUP($A29,FY16ProjRev!$A$4:$I$24,9,FALSE))*VLOOKUP($A29,FY16ProjSCH!$A$3:$S$23,MATCH(G$28,FY16ProjSCH!$A$2:$S$2,0),FALSE)</f>
        <v>15809811.778827203</v>
      </c>
      <c r="H29" s="438">
        <f>+UGpcntSCH*(VLOOKUP($A29,FY16ProjRev!$A$4:$I$24,9,FALSE))*VLOOKUP($A29,FY16ProjSCH!$A$3:$S$23,MATCH(H$28,FY16ProjSCH!$A$2:$S$2,0),FALSE)</f>
        <v>9571942.8541947566</v>
      </c>
      <c r="I29" s="438">
        <f>+UGpcntSCH*(VLOOKUP($A29,FY16ProjRev!$A$4:$I$24,9,FALSE))*VLOOKUP($A29,FY16ProjSCH!$A$3:$S$23,MATCH(I$28,FY16ProjSCH!$A$2:$S$2,0),FALSE)</f>
        <v>2302151.3547483883</v>
      </c>
      <c r="J29" s="438">
        <f>+UGpcntSCH*(VLOOKUP($A29,FY16ProjRev!$A$4:$I$24,9,FALSE))*VLOOKUP($A29,FY16ProjSCH!$A$3:$S$23,MATCH(J$28,FY16ProjSCH!$A$2:$S$2,0),FALSE)</f>
        <v>97646.071279805488</v>
      </c>
      <c r="K29" s="438">
        <f>+UGpcntSCH*(VLOOKUP($A29,FY16ProjRev!$A$4:$I$24,9,FALSE))*VLOOKUP($A29,FY16ProjSCH!$A$3:$S$23,MATCH(K$28,FY16ProjSCH!$A$2:$S$2,0),FALSE)</f>
        <v>28768.247629177818</v>
      </c>
      <c r="L29" s="438">
        <f>+UGpcntSCH*(VLOOKUP($A29,FY16ProjRev!$A$4:$I$24,9,FALSE))*VLOOKUP($A29,FY16ProjSCH!$A$3:$S$23,MATCH(L$28,FY16ProjSCH!$A$2:$S$2,0),FALSE)</f>
        <v>519626.47280202433</v>
      </c>
      <c r="M29" s="438">
        <f>+UGpcntSCH*(VLOOKUP($A29,FY16ProjRev!$A$4:$I$24,9,FALSE))*VLOOKUP($A29,FY16ProjSCH!$A$3:$S$23,MATCH(M$28,FY16ProjSCH!$A$2:$S$2,0),FALSE)</f>
        <v>9819.9306811135812</v>
      </c>
      <c r="N29" s="438">
        <f>+UGpcntSCH*(VLOOKUP($A29,FY16ProjRev!$A$4:$I$24,9,FALSE))*VLOOKUP($A29,FY16ProjSCH!$A$3:$S$23,MATCH(N$28,FY16ProjSCH!$A$2:$S$2,0),FALSE)</f>
        <v>4743441.4456263576</v>
      </c>
      <c r="O29" s="438">
        <f>+UGpcntSCH*(VLOOKUP($A29,FY16ProjRev!$A$4:$I$24,9,FALSE))*VLOOKUP($A29,FY16ProjSCH!$A$3:$S$23,MATCH(O$28,FY16ProjSCH!$A$2:$S$2,0),FALSE)</f>
        <v>1436752.6748648998</v>
      </c>
      <c r="P29" s="438">
        <f>+UGpcntSCH*(VLOOKUP($A29,FY16ProjRev!$A$4:$I$24,9,FALSE))*VLOOKUP($A29,FY16ProjSCH!$A$3:$S$23,MATCH(P$28,FY16ProjSCH!$A$2:$S$2,0),FALSE)</f>
        <v>56568.333078527539</v>
      </c>
      <c r="Q29" s="438">
        <f>+UGpcntSCH*(VLOOKUP($A29,FY16ProjRev!$A$4:$I$24,9,FALSE))*VLOOKUP($A29,FY16ProjSCH!$A$3:$S$23,MATCH(Q$28,FY16ProjSCH!$A$2:$S$2,0),FALSE)</f>
        <v>2772954.79191051</v>
      </c>
      <c r="R29" s="438">
        <f>+UGpcntSCH*(VLOOKUP($A29,FY16ProjRev!$A$4:$I$24,9,FALSE))*VLOOKUP($A29,FY16ProjSCH!$A$3:$S$23,MATCH(R$28,FY16ProjSCH!$A$2:$S$2,0),FALSE)</f>
        <v>2280990.0956750028</v>
      </c>
      <c r="S29" s="438">
        <f>+UGpcntSCH*(VLOOKUP($A29,FY16ProjRev!$A$4:$I$24,9,FALSE))*VLOOKUP($A29,FY16ProjSCH!$A$3:$S$23,MATCH(S$28,FY16ProjSCH!$A$2:$S$2,0),FALSE)</f>
        <v>39971.267138617259</v>
      </c>
      <c r="T29" s="439">
        <f t="shared" ref="T29:T49" si="4">SUM(C29:Q29)+R29+S29</f>
        <v>166219892.00596708</v>
      </c>
    </row>
    <row r="30" spans="1:91" s="18" customFormat="1" ht="20.100000000000001" customHeight="1">
      <c r="A30" s="404" t="s">
        <v>129</v>
      </c>
      <c r="B30" s="440" t="s">
        <v>35</v>
      </c>
      <c r="C30" s="410">
        <f>+GPpcntSCH*(VLOOKUP($A30,FY16ProjRev!$A$4:$I$24,9,FALSE))*VLOOKUP($A30,FY16ProjSCH!$A$3:$S$23,MATCH(C$28,FY16ProjSCH!$A$2:$S$2,0),FALSE)</f>
        <v>22699.862942230429</v>
      </c>
      <c r="D30" s="410">
        <f>+GPpcntSCH*(VLOOKUP($A30,FY16ProjRev!$A$4:$I$24,9,FALSE))*VLOOKUP($A30,FY16ProjSCH!$A$3:$S$23,MATCH(D$28,FY16ProjSCH!$A$2:$S$2,0),FALSE)</f>
        <v>1874045.4765644493</v>
      </c>
      <c r="E30" s="410">
        <f>+GPpcntSCH*(VLOOKUP($A30,FY16ProjRev!$A$4:$I$24,9,FALSE))*VLOOKUP($A30,FY16ProjSCH!$A$3:$S$23,MATCH(E$28,FY16ProjSCH!$A$2:$S$2,0),FALSE)</f>
        <v>60581.911060570987</v>
      </c>
      <c r="F30" s="410">
        <f>+GPpcntSCH*(VLOOKUP($A30,FY16ProjRev!$A$4:$I$24,9,FALSE))*VLOOKUP($A30,FY16ProjSCH!$A$3:$S$23,MATCH(F$28,FY16ProjSCH!$A$2:$S$2,0),FALSE)</f>
        <v>15211.551104884038</v>
      </c>
      <c r="G30" s="410">
        <f>+GPpcntSCH*(VLOOKUP($A30,FY16ProjRev!$A$4:$I$24,9,FALSE))*VLOOKUP($A30,FY16ProjSCH!$A$3:$S$23,MATCH(G$28,FY16ProjSCH!$A$2:$S$2,0),FALSE)</f>
        <v>125098.85657684557</v>
      </c>
      <c r="H30" s="410">
        <f>+GPpcntSCH*(VLOOKUP($A30,FY16ProjRev!$A$4:$I$24,9,FALSE))*VLOOKUP($A30,FY16ProjSCH!$A$3:$S$23,MATCH(H$28,FY16ProjSCH!$A$2:$S$2,0),FALSE)</f>
        <v>14682.964386953705</v>
      </c>
      <c r="I30" s="410">
        <f>+GPpcntSCH*(VLOOKUP($A30,FY16ProjRev!$A$4:$I$24,9,FALSE))*VLOOKUP($A30,FY16ProjSCH!$A$3:$S$23,MATCH(I$28,FY16ProjSCH!$A$2:$S$2,0),FALSE)</f>
        <v>41817.082574044158</v>
      </c>
      <c r="J30" s="410">
        <f>+GPpcntSCH*(VLOOKUP($A30,FY16ProjRev!$A$4:$I$24,9,FALSE))*VLOOKUP($A30,FY16ProjSCH!$A$3:$S$23,MATCH(J$28,FY16ProjSCH!$A$2:$S$2,0),FALSE)</f>
        <v>5902.5516835553899</v>
      </c>
      <c r="K30" s="410">
        <f>+GPpcntSCH*(VLOOKUP($A30,FY16ProjRev!$A$4:$I$24,9,FALSE))*VLOOKUP($A30,FY16ProjSCH!$A$3:$S$23,MATCH(K$28,FY16ProjSCH!$A$2:$S$2,0),FALSE)</f>
        <v>14036.913953927742</v>
      </c>
      <c r="L30" s="410">
        <f>+GPpcntSCH*(VLOOKUP($A30,FY16ProjRev!$A$4:$I$24,9,FALSE))*VLOOKUP($A30,FY16ProjSCH!$A$3:$S$23,MATCH(L$28,FY16ProjSCH!$A$2:$S$2,0),FALSE)</f>
        <v>3142.1543788080926</v>
      </c>
      <c r="M30" s="410">
        <f>+GPpcntSCH*(VLOOKUP($A30,FY16ProjRev!$A$4:$I$24,9,FALSE))*VLOOKUP($A30,FY16ProjSCH!$A$3:$S$23,MATCH(M$28,FY16ProjSCH!$A$2:$S$2,0),FALSE)</f>
        <v>29.36592877390741</v>
      </c>
      <c r="N30" s="410">
        <f>+GPpcntSCH*(VLOOKUP($A30,FY16ProjRev!$A$4:$I$24,9,FALSE))*VLOOKUP($A30,FY16ProjSCH!$A$3:$S$23,MATCH(N$28,FY16ProjSCH!$A$2:$S$2,0),FALSE)</f>
        <v>363197.80707568687</v>
      </c>
      <c r="O30" s="410">
        <f>+GPpcntSCH*(VLOOKUP($A30,FY16ProjRev!$A$4:$I$24,9,FALSE))*VLOOKUP($A30,FY16ProjSCH!$A$3:$S$23,MATCH(O$28,FY16ProjSCH!$A$2:$S$2,0),FALSE)</f>
        <v>528.58671793033341</v>
      </c>
      <c r="P30" s="410">
        <f>+GPpcntSCH*(VLOOKUP($A30,FY16ProjRev!$A$4:$I$24,9,FALSE))*VLOOKUP($A30,FY16ProjSCH!$A$3:$S$23,MATCH(P$28,FY16ProjSCH!$A$2:$S$2,0),FALSE)</f>
        <v>52036.425787363929</v>
      </c>
      <c r="Q30" s="410">
        <f>+GPpcntSCH*(VLOOKUP($A30,FY16ProjRev!$A$4:$I$24,9,FALSE))*VLOOKUP($A30,FY16ProjSCH!$A$3:$S$23,MATCH(Q$28,FY16ProjSCH!$A$2:$S$2,0),FALSE)</f>
        <v>26957.922614447001</v>
      </c>
      <c r="R30" s="410">
        <f>+GPpcntSCH*(VLOOKUP($A30,FY16ProjRev!$A$4:$I$24,9,FALSE))*VLOOKUP($A30,FY16ProjSCH!$A$3:$S$23,MATCH(R$28,FY16ProjSCH!$A$2:$S$2,0),FALSE)</f>
        <v>146.82964386953705</v>
      </c>
      <c r="S30" s="410">
        <f>+GPpcntSCH*(VLOOKUP($A30,FY16ProjRev!$A$4:$I$24,9,FALSE))*VLOOKUP($A30,FY16ProjSCH!$A$3:$S$23,MATCH(S$28,FY16ProjSCH!$A$2:$S$2,0),FALSE)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+GPpcntSCH*(VLOOKUP($A31,FY16ProjRev!$A$4:$I$24,9,FALSE))*VLOOKUP($A31,FY16ProjSCH!$A$3:$S$23,MATCH(C$28,FY16ProjSCH!$A$2:$S$2,0),FALSE)</f>
        <v>0</v>
      </c>
      <c r="D31" s="443">
        <f>+GPpcntSCH*(VLOOKUP($A31,FY16ProjRev!$A$4:$I$24,9,FALSE))*VLOOKUP($A31,FY16ProjSCH!$A$3:$S$23,MATCH(D$28,FY16ProjSCH!$A$2:$S$2,0),FALSE)</f>
        <v>10852.57794875662</v>
      </c>
      <c r="E31" s="443">
        <f>+GPpcntSCH*(VLOOKUP($A31,FY16ProjRev!$A$4:$I$24,9,FALSE))*VLOOKUP($A31,FY16ProjSCH!$A$3:$S$23,MATCH(E$28,FY16ProjSCH!$A$2:$S$2,0),FALSE)</f>
        <v>0</v>
      </c>
      <c r="F31" s="443">
        <f>+GPpcntSCH*(VLOOKUP($A31,FY16ProjRev!$A$4:$I$24,9,FALSE))*VLOOKUP($A31,FY16ProjSCH!$A$3:$S$23,MATCH(F$28,FY16ProjSCH!$A$2:$S$2,0),FALSE)</f>
        <v>1296.5469230815431</v>
      </c>
      <c r="G31" s="443">
        <f>+GPpcntSCH*(VLOOKUP($A31,FY16ProjRev!$A$4:$I$24,9,FALSE))*VLOOKUP($A31,FY16ProjSCH!$A$3:$S$23,MATCH(G$28,FY16ProjSCH!$A$2:$S$2,0),FALSE)</f>
        <v>48.020256410427521</v>
      </c>
      <c r="H31" s="443">
        <f>+GPpcntSCH*(VLOOKUP($A31,FY16ProjRev!$A$4:$I$24,9,FALSE))*VLOOKUP($A31,FY16ProjSCH!$A$3:$S$23,MATCH(H$28,FY16ProjSCH!$A$2:$S$2,0),FALSE)</f>
        <v>0</v>
      </c>
      <c r="I31" s="443">
        <f>+GPpcntSCH*(VLOOKUP($A31,FY16ProjRev!$A$4:$I$24,9,FALSE))*VLOOKUP($A31,FY16ProjSCH!$A$3:$S$23,MATCH(I$28,FY16ProjSCH!$A$2:$S$2,0),FALSE)</f>
        <v>192.08102564171008</v>
      </c>
      <c r="J31" s="443">
        <f>+GPpcntSCH*(VLOOKUP($A31,FY16ProjRev!$A$4:$I$24,9,FALSE))*VLOOKUP($A31,FY16ProjSCH!$A$3:$S$23,MATCH(J$28,FY16ProjSCH!$A$2:$S$2,0),FALSE)</f>
        <v>288.12153846256513</v>
      </c>
      <c r="K31" s="443">
        <f>+GPpcntSCH*(VLOOKUP($A31,FY16ProjRev!$A$4:$I$24,9,FALSE))*VLOOKUP($A31,FY16ProjSCH!$A$3:$S$23,MATCH(K$28,FY16ProjSCH!$A$2:$S$2,0),FALSE)</f>
        <v>192.08102564171008</v>
      </c>
      <c r="L31" s="443">
        <f>+GPpcntSCH*(VLOOKUP($A31,FY16ProjRev!$A$4:$I$24,9,FALSE))*VLOOKUP($A31,FY16ProjSCH!$A$3:$S$23,MATCH(L$28,FY16ProjSCH!$A$2:$S$2,0),FALSE)</f>
        <v>33902.30102576183</v>
      </c>
      <c r="M31" s="443">
        <f>+GPpcntSCH*(VLOOKUP($A31,FY16ProjRev!$A$4:$I$24,9,FALSE))*VLOOKUP($A31,FY16ProjSCH!$A$3:$S$23,MATCH(M$28,FY16ProjSCH!$A$2:$S$2,0),FALSE)</f>
        <v>0</v>
      </c>
      <c r="N31" s="443">
        <f>+GPpcntSCH*(VLOOKUP($A31,FY16ProjRev!$A$4:$I$24,9,FALSE))*VLOOKUP($A31,FY16ProjSCH!$A$3:$S$23,MATCH(N$28,FY16ProjSCH!$A$2:$S$2,0),FALSE)</f>
        <v>178083.12089807045</v>
      </c>
      <c r="O31" s="443">
        <f>+GPpcntSCH*(VLOOKUP($A31,FY16ProjRev!$A$4:$I$24,9,FALSE))*VLOOKUP($A31,FY16ProjSCH!$A$3:$S$23,MATCH(O$28,FY16ProjSCH!$A$2:$S$2,0),FALSE)</f>
        <v>0</v>
      </c>
      <c r="P31" s="443">
        <f>+GPpcntSCH*(VLOOKUP($A31,FY16ProjRev!$A$4:$I$24,9,FALSE))*VLOOKUP($A31,FY16ProjSCH!$A$3:$S$23,MATCH(P$28,FY16ProjSCH!$A$2:$S$2,0),FALSE)</f>
        <v>192.08102564171008</v>
      </c>
      <c r="Q31" s="443">
        <f>+GPpcntSCH*(VLOOKUP($A31,FY16ProjRev!$A$4:$I$24,9,FALSE))*VLOOKUP($A31,FY16ProjSCH!$A$3:$S$23,MATCH(Q$28,FY16ProjSCH!$A$2:$S$2,0),FALSE)</f>
        <v>2737.1546153943686</v>
      </c>
      <c r="R31" s="443">
        <f>+GPpcntSCH*(VLOOKUP($A31,FY16ProjRev!$A$4:$I$24,9,FALSE))*VLOOKUP($A31,FY16ProjSCH!$A$3:$S$23,MATCH(R$28,FY16ProjSCH!$A$2:$S$2,0),FALSE)</f>
        <v>0</v>
      </c>
      <c r="S31" s="443">
        <f>+GPpcntSCH*(VLOOKUP($A31,FY16ProjRev!$A$4:$I$24,9,FALSE))*VLOOKUP($A31,FY16ProjSCH!$A$3:$S$23,MATCH(S$28,FY16ProjSCH!$A$2:$S$2,0),FALSE)</f>
        <v>144.06076923128256</v>
      </c>
      <c r="T31" s="444">
        <f t="shared" si="4"/>
        <v>227928.14705209422</v>
      </c>
    </row>
    <row r="32" spans="1:91" s="18" customFormat="1" ht="20.100000000000001" customHeight="1">
      <c r="A32" s="404" t="s">
        <v>130</v>
      </c>
      <c r="B32" s="440" t="s">
        <v>37</v>
      </c>
      <c r="C32" s="410">
        <f>+GPpcntSCH*(VLOOKUP($A32,FY16ProjRev!$A$4:$I$24,9,FALSE))*VLOOKUP($A32,FY16ProjSCH!$A$3:$S$23,MATCH(C$28,FY16ProjSCH!$A$2:$S$2,0),FALSE)</f>
        <v>8878.913793301097</v>
      </c>
      <c r="D32" s="410">
        <f>+GPpcntSCH*(VLOOKUP($A32,FY16ProjRev!$A$4:$I$24,9,FALSE))*VLOOKUP($A32,FY16ProjSCH!$A$3:$S$23,MATCH(D$28,FY16ProjSCH!$A$2:$S$2,0),FALSE)</f>
        <v>99132.614826238016</v>
      </c>
      <c r="E32" s="410">
        <f>+GPpcntSCH*(VLOOKUP($A32,FY16ProjRev!$A$4:$I$24,9,FALSE))*VLOOKUP($A32,FY16ProjSCH!$A$3:$S$23,MATCH(E$28,FY16ProjSCH!$A$2:$S$2,0),FALSE)</f>
        <v>7093.9775152663406</v>
      </c>
      <c r="F32" s="410">
        <f>+GPpcntSCH*(VLOOKUP($A32,FY16ProjRev!$A$4:$I$24,9,FALSE))*VLOOKUP($A32,FY16ProjSCH!$A$3:$S$23,MATCH(F$28,FY16ProjSCH!$A$2:$S$2,0),FALSE)</f>
        <v>5171.7384466135254</v>
      </c>
      <c r="G32" s="410">
        <f>+GPpcntSCH*(VLOOKUP($A32,FY16ProjRev!$A$4:$I$24,9,FALSE))*VLOOKUP($A32,FY16ProjSCH!$A$3:$S$23,MATCH(G$28,FY16ProjSCH!$A$2:$S$2,0),FALSE)</f>
        <v>1380076.1160989755</v>
      </c>
      <c r="H32" s="410">
        <f>+GPpcntSCH*(VLOOKUP($A32,FY16ProjRev!$A$4:$I$24,9,FALSE))*VLOOKUP($A32,FY16ProjSCH!$A$3:$S$23,MATCH(H$28,FY16ProjSCH!$A$2:$S$2,0),FALSE)</f>
        <v>13364.138286824331</v>
      </c>
      <c r="I32" s="410">
        <f>+GPpcntSCH*(VLOOKUP($A32,FY16ProjRev!$A$4:$I$24,9,FALSE))*VLOOKUP($A32,FY16ProjSCH!$A$3:$S$23,MATCH(I$28,FY16ProjSCH!$A$2:$S$2,0),FALSE)</f>
        <v>2929.126199851908</v>
      </c>
      <c r="J32" s="410">
        <f>+GPpcntSCH*(VLOOKUP($A32,FY16ProjRev!$A$4:$I$24,9,FALSE))*VLOOKUP($A32,FY16ProjSCH!$A$3:$S$23,MATCH(J$28,FY16ProjSCH!$A$2:$S$2,0),FALSE)</f>
        <v>5492.1116247223281</v>
      </c>
      <c r="K32" s="410">
        <f>+GPpcntSCH*(VLOOKUP($A32,FY16ProjRev!$A$4:$I$24,9,FALSE))*VLOOKUP($A32,FY16ProjSCH!$A$3:$S$23,MATCH(K$28,FY16ProjSCH!$A$2:$S$2,0),FALSE)</f>
        <v>732.28154996297701</v>
      </c>
      <c r="L32" s="410">
        <f>+GPpcntSCH*(VLOOKUP($A32,FY16ProjRev!$A$4:$I$24,9,FALSE))*VLOOKUP($A32,FY16ProjSCH!$A$3:$S$23,MATCH(L$28,FY16ProjSCH!$A$2:$S$2,0),FALSE)</f>
        <v>1006.8871311990935</v>
      </c>
      <c r="M32" s="410">
        <f>+GPpcntSCH*(VLOOKUP($A32,FY16ProjRev!$A$4:$I$24,9,FALSE))*VLOOKUP($A32,FY16ProjSCH!$A$3:$S$23,MATCH(M$28,FY16ProjSCH!$A$2:$S$2,0),FALSE)</f>
        <v>0</v>
      </c>
      <c r="N32" s="410">
        <f>+GPpcntSCH*(VLOOKUP($A32,FY16ProjRev!$A$4:$I$24,9,FALSE))*VLOOKUP($A32,FY16ProjSCH!$A$3:$S$23,MATCH(N$28,FY16ProjSCH!$A$2:$S$2,0),FALSE)</f>
        <v>30641.406106263319</v>
      </c>
      <c r="O32" s="410">
        <f>+GPpcntSCH*(VLOOKUP($A32,FY16ProjRev!$A$4:$I$24,9,FALSE))*VLOOKUP($A32,FY16ProjSCH!$A$3:$S$23,MATCH(O$28,FY16ProjSCH!$A$2:$S$2,0),FALSE)</f>
        <v>57941.777640820561</v>
      </c>
      <c r="P32" s="410">
        <f>+GPpcntSCH*(VLOOKUP($A32,FY16ProjRev!$A$4:$I$24,9,FALSE))*VLOOKUP($A32,FY16ProjSCH!$A$3:$S$23,MATCH(P$28,FY16ProjSCH!$A$2:$S$2,0),FALSE)</f>
        <v>549.21116247223279</v>
      </c>
      <c r="Q32" s="410">
        <f>+GPpcntSCH*(VLOOKUP($A32,FY16ProjRev!$A$4:$I$24,9,FALSE))*VLOOKUP($A32,FY16ProjSCH!$A$3:$S$23,MATCH(Q$28,FY16ProjSCH!$A$2:$S$2,0),FALSE)</f>
        <v>33959.556879533062</v>
      </c>
      <c r="R32" s="410">
        <f>+GPpcntSCH*(VLOOKUP($A32,FY16ProjRev!$A$4:$I$24,9,FALSE))*VLOOKUP($A32,FY16ProjSCH!$A$3:$S$23,MATCH(R$28,FY16ProjSCH!$A$2:$S$2,0),FALSE)</f>
        <v>0</v>
      </c>
      <c r="S32" s="410">
        <f>+GPpcntSCH*(VLOOKUP($A32,FY16ProjRev!$A$4:$I$24,9,FALSE))*VLOOKUP($A32,FY16ProjSCH!$A$3:$S$23,MATCH(S$28,FY16ProjSCH!$A$2:$S$2,0),FALSE)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+GPpcntSCH*(VLOOKUP($A33,FY16ProjRev!$A$4:$I$24,9,FALSE))*VLOOKUP($A33,FY16ProjSCH!$A$3:$S$23,MATCH(C$28,FY16ProjSCH!$A$2:$S$2,0),FALSE)</f>
        <v>618.63594378831669</v>
      </c>
      <c r="D33" s="443">
        <f>+GPpcntSCH*(VLOOKUP($A33,FY16ProjRev!$A$4:$I$24,9,FALSE))*VLOOKUP($A33,FY16ProjSCH!$A$3:$S$23,MATCH(D$28,FY16ProjSCH!$A$2:$S$2,0),FALSE)</f>
        <v>42818.444966491355</v>
      </c>
      <c r="E33" s="443">
        <f>+GPpcntSCH*(VLOOKUP($A33,FY16ProjRev!$A$4:$I$24,9,FALSE))*VLOOKUP($A33,FY16ProjSCH!$A$3:$S$23,MATCH(E$28,FY16ProjSCH!$A$2:$S$2,0),FALSE)</f>
        <v>1148.8953241783026</v>
      </c>
      <c r="F33" s="443">
        <f>+GPpcntSCH*(VLOOKUP($A33,FY16ProjRev!$A$4:$I$24,9,FALSE))*VLOOKUP($A33,FY16ProjSCH!$A$3:$S$23,MATCH(F$28,FY16ProjSCH!$A$2:$S$2,0),FALSE)</f>
        <v>662.82422548748218</v>
      </c>
      <c r="G33" s="443">
        <f>+GPpcntSCH*(VLOOKUP($A33,FY16ProjRev!$A$4:$I$24,9,FALSE))*VLOOKUP($A33,FY16ProjSCH!$A$3:$S$23,MATCH(G$28,FY16ProjSCH!$A$2:$S$2,0),FALSE)</f>
        <v>4683.9578601115409</v>
      </c>
      <c r="H33" s="443">
        <f>+GPpcntSCH*(VLOOKUP($A33,FY16ProjRev!$A$4:$I$24,9,FALSE))*VLOOKUP($A33,FY16ProjSCH!$A$3:$S$23,MATCH(H$28,FY16ProjSCH!$A$2:$S$2,0),FALSE)</f>
        <v>660128.74030383315</v>
      </c>
      <c r="I33" s="443">
        <f>+GPpcntSCH*(VLOOKUP($A33,FY16ProjRev!$A$4:$I$24,9,FALSE))*VLOOKUP($A33,FY16ProjSCH!$A$3:$S$23,MATCH(I$28,FY16ProjSCH!$A$2:$S$2,0),FALSE)</f>
        <v>0</v>
      </c>
      <c r="J33" s="443">
        <f>+GPpcntSCH*(VLOOKUP($A33,FY16ProjRev!$A$4:$I$24,9,FALSE))*VLOOKUP($A33,FY16ProjSCH!$A$3:$S$23,MATCH(J$28,FY16ProjSCH!$A$2:$S$2,0),FALSE)</f>
        <v>1104.707042479137</v>
      </c>
      <c r="K33" s="443">
        <f>+GPpcntSCH*(VLOOKUP($A33,FY16ProjRev!$A$4:$I$24,9,FALSE))*VLOOKUP($A33,FY16ProjSCH!$A$3:$S$23,MATCH(K$28,FY16ProjSCH!$A$2:$S$2,0),FALSE)</f>
        <v>6716.6188182731539</v>
      </c>
      <c r="L33" s="443">
        <f>+GPpcntSCH*(VLOOKUP($A33,FY16ProjRev!$A$4:$I$24,9,FALSE))*VLOOKUP($A33,FY16ProjSCH!$A$3:$S$23,MATCH(L$28,FY16ProjSCH!$A$2:$S$2,0),FALSE)</f>
        <v>0</v>
      </c>
      <c r="M33" s="443">
        <f>+GPpcntSCH*(VLOOKUP($A33,FY16ProjRev!$A$4:$I$24,9,FALSE))*VLOOKUP($A33,FY16ProjSCH!$A$3:$S$23,MATCH(M$28,FY16ProjSCH!$A$2:$S$2,0),FALSE)</f>
        <v>0</v>
      </c>
      <c r="N33" s="443">
        <f>+GPpcntSCH*(VLOOKUP($A33,FY16ProjRev!$A$4:$I$24,9,FALSE))*VLOOKUP($A33,FY16ProjSCH!$A$3:$S$23,MATCH(N$28,FY16ProjSCH!$A$2:$S$2,0),FALSE)</f>
        <v>1369.83673267413</v>
      </c>
      <c r="O33" s="443">
        <f>+GPpcntSCH*(VLOOKUP($A33,FY16ProjRev!$A$4:$I$24,9,FALSE))*VLOOKUP($A33,FY16ProjSCH!$A$3:$S$23,MATCH(O$28,FY16ProjSCH!$A$2:$S$2,0),FALSE)</f>
        <v>0</v>
      </c>
      <c r="P33" s="443">
        <f>+GPpcntSCH*(VLOOKUP($A33,FY16ProjRev!$A$4:$I$24,9,FALSE))*VLOOKUP($A33,FY16ProjSCH!$A$3:$S$23,MATCH(P$28,FY16ProjSCH!$A$2:$S$2,0),FALSE)</f>
        <v>0</v>
      </c>
      <c r="Q33" s="443">
        <f>+GPpcntSCH*(VLOOKUP($A33,FY16ProjRev!$A$4:$I$24,9,FALSE))*VLOOKUP($A33,FY16ProjSCH!$A$3:$S$23,MATCH(Q$28,FY16ProjSCH!$A$2:$S$2,0),FALSE)</f>
        <v>1546.5898594707919</v>
      </c>
      <c r="R33" s="443">
        <f>+GPpcntSCH*(VLOOKUP($A33,FY16ProjRev!$A$4:$I$24,9,FALSE))*VLOOKUP($A33,FY16ProjSCH!$A$3:$S$23,MATCH(R$28,FY16ProjSCH!$A$2:$S$2,0),FALSE)</f>
        <v>132.56484509749643</v>
      </c>
      <c r="S33" s="443">
        <f>+GPpcntSCH*(VLOOKUP($A33,FY16ProjRev!$A$4:$I$24,9,FALSE))*VLOOKUP($A33,FY16ProjSCH!$A$3:$S$23,MATCH(S$28,FY16ProjSCH!$A$2:$S$2,0),FALSE)</f>
        <v>1767.5312679666192</v>
      </c>
      <c r="T33" s="444">
        <f t="shared" si="4"/>
        <v>722699.34718985157</v>
      </c>
    </row>
    <row r="34" spans="1:91" s="18" customFormat="1" ht="20.100000000000001" customHeight="1">
      <c r="A34" s="404" t="s">
        <v>132</v>
      </c>
      <c r="B34" s="440" t="s">
        <v>206</v>
      </c>
      <c r="C34" s="410">
        <f>+GPpcntSCH*(VLOOKUP($A34,FY16ProjRev!$A$4:$I$24,9,FALSE))*VLOOKUP($A34,FY16ProjSCH!$A$3:$S$23,MATCH(C$28,FY16ProjSCH!$A$2:$S$2,0),FALSE)</f>
        <v>0</v>
      </c>
      <c r="D34" s="410">
        <f>+GPpcntSCH*(VLOOKUP($A34,FY16ProjRev!$A$4:$I$24,9,FALSE))*VLOOKUP($A34,FY16ProjSCH!$A$3:$S$23,MATCH(D$28,FY16ProjSCH!$A$2:$S$2,0),FALSE)</f>
        <v>28139.129030396929</v>
      </c>
      <c r="E34" s="410">
        <f>+GPpcntSCH*(VLOOKUP($A34,FY16ProjRev!$A$4:$I$24,9,FALSE))*VLOOKUP($A34,FY16ProjSCH!$A$3:$S$23,MATCH(E$28,FY16ProjSCH!$A$2:$S$2,0),FALSE)</f>
        <v>179.51597467557846</v>
      </c>
      <c r="F34" s="410">
        <f>+GPpcntSCH*(VLOOKUP($A34,FY16ProjRev!$A$4:$I$24,9,FALSE))*VLOOKUP($A34,FY16ProjSCH!$A$3:$S$23,MATCH(F$28,FY16ProjSCH!$A$2:$S$2,0),FALSE)</f>
        <v>846731.97355103481</v>
      </c>
      <c r="G34" s="410">
        <f>+GPpcntSCH*(VLOOKUP($A34,FY16ProjRev!$A$4:$I$24,9,FALSE))*VLOOKUP($A34,FY16ProjSCH!$A$3:$S$23,MATCH(G$28,FY16ProjSCH!$A$2:$S$2,0),FALSE)</f>
        <v>314.1529556822623</v>
      </c>
      <c r="H34" s="410">
        <f>+GPpcntSCH*(VLOOKUP($A34,FY16ProjRev!$A$4:$I$24,9,FALSE))*VLOOKUP($A34,FY16ProjSCH!$A$3:$S$23,MATCH(H$28,FY16ProjSCH!$A$2:$S$2,0),FALSE)</f>
        <v>3859.5934555249373</v>
      </c>
      <c r="I34" s="410">
        <f>+GPpcntSCH*(VLOOKUP($A34,FY16ProjRev!$A$4:$I$24,9,FALSE))*VLOOKUP($A34,FY16ProjSCH!$A$3:$S$23,MATCH(I$28,FY16ProjSCH!$A$2:$S$2,0),FALSE)</f>
        <v>762.94289237120859</v>
      </c>
      <c r="J34" s="410">
        <f>+GPpcntSCH*(VLOOKUP($A34,FY16ProjRev!$A$4:$I$24,9,FALSE))*VLOOKUP($A34,FY16ProjSCH!$A$3:$S$23,MATCH(J$28,FY16ProjSCH!$A$2:$S$2,0),FALSE)</f>
        <v>0</v>
      </c>
      <c r="K34" s="410">
        <f>+GPpcntSCH*(VLOOKUP($A34,FY16ProjRev!$A$4:$I$24,9,FALSE))*VLOOKUP($A34,FY16ProjSCH!$A$3:$S$23,MATCH(K$28,FY16ProjSCH!$A$2:$S$2,0),FALSE)</f>
        <v>5924.0271642940897</v>
      </c>
      <c r="L34" s="410">
        <f>+GPpcntSCH*(VLOOKUP($A34,FY16ProjRev!$A$4:$I$24,9,FALSE))*VLOOKUP($A34,FY16ProjSCH!$A$3:$S$23,MATCH(L$28,FY16ProjSCH!$A$2:$S$2,0),FALSE)</f>
        <v>2737.6186138025719</v>
      </c>
      <c r="M34" s="410">
        <f>+GPpcntSCH*(VLOOKUP($A34,FY16ProjRev!$A$4:$I$24,9,FALSE))*VLOOKUP($A34,FY16ProjSCH!$A$3:$S$23,MATCH(M$28,FY16ProjSCH!$A$2:$S$2,0),FALSE)</f>
        <v>0</v>
      </c>
      <c r="N34" s="410">
        <f>+GPpcntSCH*(VLOOKUP($A34,FY16ProjRev!$A$4:$I$24,9,FALSE))*VLOOKUP($A34,FY16ProjSCH!$A$3:$S$23,MATCH(N$28,FY16ProjSCH!$A$2:$S$2,0),FALSE)</f>
        <v>1211.7328290601547</v>
      </c>
      <c r="O34" s="410">
        <f>+GPpcntSCH*(VLOOKUP($A34,FY16ProjRev!$A$4:$I$24,9,FALSE))*VLOOKUP($A34,FY16ProjSCH!$A$3:$S$23,MATCH(O$28,FY16ProjSCH!$A$2:$S$2,0),FALSE)</f>
        <v>448.78993668894617</v>
      </c>
      <c r="P34" s="410">
        <f>+GPpcntSCH*(VLOOKUP($A34,FY16ProjRev!$A$4:$I$24,9,FALSE))*VLOOKUP($A34,FY16ProjSCH!$A$3:$S$23,MATCH(P$28,FY16ProjSCH!$A$2:$S$2,0),FALSE)</f>
        <v>0</v>
      </c>
      <c r="Q34" s="410">
        <f>+GPpcntSCH*(VLOOKUP($A34,FY16ProjRev!$A$4:$I$24,9,FALSE))*VLOOKUP($A34,FY16ProjSCH!$A$3:$S$23,MATCH(Q$28,FY16ProjSCH!$A$2:$S$2,0),FALSE)</f>
        <v>1615.6437720802064</v>
      </c>
      <c r="R34" s="410">
        <f>+GPpcntSCH*(VLOOKUP($A34,FY16ProjRev!$A$4:$I$24,9,FALSE))*VLOOKUP($A34,FY16ProjSCH!$A$3:$S$23,MATCH(R$28,FY16ProjSCH!$A$2:$S$2,0),FALSE)</f>
        <v>0</v>
      </c>
      <c r="S34" s="410">
        <f>+GPpcntSCH*(VLOOKUP($A34,FY16ProjRev!$A$4:$I$24,9,FALSE))*VLOOKUP($A34,FY16ProjSCH!$A$3:$S$23,MATCH(S$28,FY16ProjSCH!$A$2:$S$2,0),FALSE)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+GPpcntSCH*(VLOOKUP($A35,FY16ProjRev!$A$4:$I$24,9,FALSE))*VLOOKUP($A35,FY16ProjSCH!$A$3:$S$23,MATCH(C$28,FY16ProjSCH!$A$2:$S$2,0),FALSE)</f>
        <v>0</v>
      </c>
      <c r="D35" s="443">
        <f>+GPpcntSCH*(VLOOKUP($A35,FY16ProjRev!$A$4:$I$24,9,FALSE))*VLOOKUP($A35,FY16ProjSCH!$A$3:$S$23,MATCH(D$28,FY16ProjSCH!$A$2:$S$2,0),FALSE)</f>
        <v>0</v>
      </c>
      <c r="E35" s="443">
        <f>+GPpcntSCH*(VLOOKUP($A35,FY16ProjRev!$A$4:$I$24,9,FALSE))*VLOOKUP($A35,FY16ProjSCH!$A$3:$S$23,MATCH(E$28,FY16ProjSCH!$A$2:$S$2,0),FALSE)</f>
        <v>0</v>
      </c>
      <c r="F35" s="443">
        <f>+GPpcntSCH*(VLOOKUP($A35,FY16ProjRev!$A$4:$I$24,9,FALSE))*VLOOKUP($A35,FY16ProjSCH!$A$3:$S$23,MATCH(F$28,FY16ProjSCH!$A$2:$S$2,0),FALSE)</f>
        <v>0</v>
      </c>
      <c r="G35" s="443">
        <f>+GPpcntSCH*(VLOOKUP($A35,FY16ProjRev!$A$4:$I$24,9,FALSE))*VLOOKUP($A35,FY16ProjSCH!$A$3:$S$23,MATCH(G$28,FY16ProjSCH!$A$2:$S$2,0),FALSE)</f>
        <v>0</v>
      </c>
      <c r="H35" s="443">
        <f>+GPpcntSCH*(VLOOKUP($A35,FY16ProjRev!$A$4:$I$24,9,FALSE))*VLOOKUP($A35,FY16ProjSCH!$A$3:$S$23,MATCH(H$28,FY16ProjSCH!$A$2:$S$2,0),FALSE)</f>
        <v>0</v>
      </c>
      <c r="I35" s="443">
        <f>+GPpcntSCH*(VLOOKUP($A35,FY16ProjRev!$A$4:$I$24,9,FALSE))*VLOOKUP($A35,FY16ProjSCH!$A$3:$S$23,MATCH(I$28,FY16ProjSCH!$A$2:$S$2,0),FALSE)</f>
        <v>1055.4042833916644</v>
      </c>
      <c r="J35" s="443">
        <f>+GPpcntSCH*(VLOOKUP($A35,FY16ProjRev!$A$4:$I$24,9,FALSE))*VLOOKUP($A35,FY16ProjSCH!$A$3:$S$23,MATCH(J$28,FY16ProjSCH!$A$2:$S$2,0),FALSE)</f>
        <v>0</v>
      </c>
      <c r="K35" s="443">
        <f>+GPpcntSCH*(VLOOKUP($A35,FY16ProjRev!$A$4:$I$24,9,FALSE))*VLOOKUP($A35,FY16ProjSCH!$A$3:$S$23,MATCH(K$28,FY16ProjSCH!$A$2:$S$2,0),FALSE)</f>
        <v>0</v>
      </c>
      <c r="L35" s="443">
        <f>+GPpcntSCH*(VLOOKUP($A35,FY16ProjRev!$A$4:$I$24,9,FALSE))*VLOOKUP($A35,FY16ProjSCH!$A$3:$S$23,MATCH(L$28,FY16ProjSCH!$A$2:$S$2,0),FALSE)</f>
        <v>0</v>
      </c>
      <c r="M35" s="443">
        <f>+GPpcntSCH*(VLOOKUP($A35,FY16ProjRev!$A$4:$I$24,9,FALSE))*VLOOKUP($A35,FY16ProjSCH!$A$3:$S$23,MATCH(M$28,FY16ProjSCH!$A$2:$S$2,0),FALSE)</f>
        <v>0</v>
      </c>
      <c r="N35" s="443">
        <f>+GPpcntSCH*(VLOOKUP($A35,FY16ProjRev!$A$4:$I$24,9,FALSE))*VLOOKUP($A35,FY16ProjSCH!$A$3:$S$23,MATCH(N$28,FY16ProjSCH!$A$2:$S$2,0),FALSE)</f>
        <v>0</v>
      </c>
      <c r="O35" s="443">
        <f>+GPpcntSCH*(VLOOKUP($A35,FY16ProjRev!$A$4:$I$24,9,FALSE))*VLOOKUP($A35,FY16ProjSCH!$A$3:$S$23,MATCH(O$28,FY16ProjSCH!$A$2:$S$2,0),FALSE)</f>
        <v>0</v>
      </c>
      <c r="P35" s="443">
        <f>+GPpcntSCH*(VLOOKUP($A35,FY16ProjRev!$A$4:$I$24,9,FALSE))*VLOOKUP($A35,FY16ProjSCH!$A$3:$S$23,MATCH(P$28,FY16ProjSCH!$A$2:$S$2,0),FALSE)</f>
        <v>0</v>
      </c>
      <c r="Q35" s="443">
        <f>+GPpcntSCH*(VLOOKUP($A35,FY16ProjRev!$A$4:$I$24,9,FALSE))*VLOOKUP($A35,FY16ProjSCH!$A$3:$S$23,MATCH(Q$28,FY16ProjSCH!$A$2:$S$2,0),FALSE)</f>
        <v>0</v>
      </c>
      <c r="R35" s="443">
        <f>+GPpcntSCH*(VLOOKUP($A35,FY16ProjRev!$A$4:$I$24,9,FALSE))*VLOOKUP($A35,FY16ProjSCH!$A$3:$S$23,MATCH(R$28,FY16ProjSCH!$A$2:$S$2,0),FALSE)</f>
        <v>0</v>
      </c>
      <c r="S35" s="443">
        <f>+GPpcntSCH*(VLOOKUP($A35,FY16ProjRev!$A$4:$I$24,9,FALSE))*VLOOKUP($A35,FY16ProjSCH!$A$3:$S$23,MATCH(S$28,FY16ProjSCH!$A$2:$S$2,0),FALSE)</f>
        <v>0</v>
      </c>
      <c r="T35" s="444">
        <f t="shared" si="4"/>
        <v>1055.4042833916644</v>
      </c>
    </row>
    <row r="36" spans="1:91" s="18" customFormat="1" ht="20.100000000000001" customHeight="1">
      <c r="A36" s="404" t="s">
        <v>135</v>
      </c>
      <c r="B36" s="440" t="s">
        <v>70</v>
      </c>
      <c r="C36" s="410">
        <f>+GPpcntSCH*(VLOOKUP($A36,FY16ProjRev!$A$4:$I$24,9,FALSE))*VLOOKUP($A36,FY16ProjSCH!$A$3:$S$23,MATCH(C$28,FY16ProjSCH!$A$2:$S$2,0),FALSE)</f>
        <v>118.46815527494647</v>
      </c>
      <c r="D36" s="410">
        <f>+GPpcntSCH*(VLOOKUP($A36,FY16ProjRev!$A$4:$I$24,9,FALSE))*VLOOKUP($A36,FY16ProjSCH!$A$3:$S$23,MATCH(D$28,FY16ProjSCH!$A$2:$S$2,0),FALSE)</f>
        <v>6101.109996659743</v>
      </c>
      <c r="E36" s="410">
        <f>+GPpcntSCH*(VLOOKUP($A36,FY16ProjRev!$A$4:$I$24,9,FALSE))*VLOOKUP($A36,FY16ProjSCH!$A$3:$S$23,MATCH(E$28,FY16ProjSCH!$A$2:$S$2,0),FALSE)</f>
        <v>0</v>
      </c>
      <c r="F36" s="410">
        <f>+GPpcntSCH*(VLOOKUP($A36,FY16ProjRev!$A$4:$I$24,9,FALSE))*VLOOKUP($A36,FY16ProjSCH!$A$3:$S$23,MATCH(F$28,FY16ProjSCH!$A$2:$S$2,0),FALSE)</f>
        <v>888.51116456209843</v>
      </c>
      <c r="G36" s="410">
        <f>+GPpcntSCH*(VLOOKUP($A36,FY16ProjRev!$A$4:$I$24,9,FALSE))*VLOOKUP($A36,FY16ProjSCH!$A$3:$S$23,MATCH(G$28,FY16ProjSCH!$A$2:$S$2,0),FALSE)</f>
        <v>0</v>
      </c>
      <c r="H36" s="410">
        <f>+GPpcntSCH*(VLOOKUP($A36,FY16ProjRev!$A$4:$I$24,9,FALSE))*VLOOKUP($A36,FY16ProjSCH!$A$3:$S$23,MATCH(H$28,FY16ProjSCH!$A$2:$S$2,0),FALSE)</f>
        <v>177.7022329124197</v>
      </c>
      <c r="I36" s="410">
        <f>+GPpcntSCH*(VLOOKUP($A36,FY16ProjRev!$A$4:$I$24,9,FALSE))*VLOOKUP($A36,FY16ProjSCH!$A$3:$S$23,MATCH(I$28,FY16ProjSCH!$A$2:$S$2,0),FALSE)</f>
        <v>0</v>
      </c>
      <c r="J36" s="410">
        <f>+GPpcntSCH*(VLOOKUP($A36,FY16ProjRev!$A$4:$I$24,9,FALSE))*VLOOKUP($A36,FY16ProjSCH!$A$3:$S$23,MATCH(J$28,FY16ProjSCH!$A$2:$S$2,0),FALSE)</f>
        <v>0</v>
      </c>
      <c r="K36" s="410">
        <f>+GPpcntSCH*(VLOOKUP($A36,FY16ProjRev!$A$4:$I$24,9,FALSE))*VLOOKUP($A36,FY16ProjSCH!$A$3:$S$23,MATCH(K$28,FY16ProjSCH!$A$2:$S$2,0),FALSE)</f>
        <v>1895.4904843991435</v>
      </c>
      <c r="L36" s="410">
        <f>+GPpcntSCH*(VLOOKUP($A36,FY16ProjRev!$A$4:$I$24,9,FALSE))*VLOOKUP($A36,FY16ProjSCH!$A$3:$S$23,MATCH(L$28,FY16ProjSCH!$A$2:$S$2,0),FALSE)</f>
        <v>582981.79210801155</v>
      </c>
      <c r="M36" s="410">
        <f>+GPpcntSCH*(VLOOKUP($A36,FY16ProjRev!$A$4:$I$24,9,FALSE))*VLOOKUP($A36,FY16ProjSCH!$A$3:$S$23,MATCH(M$28,FY16ProjSCH!$A$2:$S$2,0),FALSE)</f>
        <v>0</v>
      </c>
      <c r="N36" s="410">
        <f>+GPpcntSCH*(VLOOKUP($A36,FY16ProjRev!$A$4:$I$24,9,FALSE))*VLOOKUP($A36,FY16ProjSCH!$A$3:$S$23,MATCH(N$28,FY16ProjSCH!$A$2:$S$2,0),FALSE)</f>
        <v>7048.8552388593143</v>
      </c>
      <c r="O36" s="410">
        <f>+GPpcntSCH*(VLOOKUP($A36,FY16ProjRev!$A$4:$I$24,9,FALSE))*VLOOKUP($A36,FY16ProjSCH!$A$3:$S$23,MATCH(O$28,FY16ProjSCH!$A$2:$S$2,0),FALSE)</f>
        <v>118.46815527494647</v>
      </c>
      <c r="P36" s="410">
        <f>+GPpcntSCH*(VLOOKUP($A36,FY16ProjRev!$A$4:$I$24,9,FALSE))*VLOOKUP($A36,FY16ProjSCH!$A$3:$S$23,MATCH(P$28,FY16ProjSCH!$A$2:$S$2,0),FALSE)</f>
        <v>0</v>
      </c>
      <c r="Q36" s="410">
        <f>+GPpcntSCH*(VLOOKUP($A36,FY16ProjRev!$A$4:$I$24,9,FALSE))*VLOOKUP($A36,FY16ProjSCH!$A$3:$S$23,MATCH(Q$28,FY16ProjSCH!$A$2:$S$2,0),FALSE)</f>
        <v>11136.006595844967</v>
      </c>
      <c r="R36" s="410">
        <f>+GPpcntSCH*(VLOOKUP($A36,FY16ProjRev!$A$4:$I$24,9,FALSE))*VLOOKUP($A36,FY16ProjSCH!$A$3:$S$23,MATCH(R$28,FY16ProjSCH!$A$2:$S$2,0),FALSE)</f>
        <v>0</v>
      </c>
      <c r="S36" s="410">
        <f>+GPpcntSCH*(VLOOKUP($A36,FY16ProjRev!$A$4:$I$24,9,FALSE))*VLOOKUP($A36,FY16ProjSCH!$A$3:$S$23,MATCH(S$28,FY16ProjSCH!$A$2:$S$2,0),FALSE)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+GPpcntSCH*(VLOOKUP($A37,FY16ProjRev!$A$4:$I$24,9,FALSE))*VLOOKUP($A37,FY16ProjSCH!$A$3:$S$23,MATCH(C$28,FY16ProjSCH!$A$2:$S$2,0),FALSE)</f>
        <v>144.91642426869643</v>
      </c>
      <c r="D37" s="443">
        <f>+GPpcntSCH*(VLOOKUP($A37,FY16ProjRev!$A$4:$I$24,9,FALSE))*VLOOKUP($A37,FY16ProjSCH!$A$3:$S$23,MATCH(D$28,FY16ProjSCH!$A$2:$S$2,0),FALSE)</f>
        <v>26133.261843121592</v>
      </c>
      <c r="E37" s="443">
        <f>+GPpcntSCH*(VLOOKUP($A37,FY16ProjRev!$A$4:$I$24,9,FALSE))*VLOOKUP($A37,FY16ProjSCH!$A$3:$S$23,MATCH(E$28,FY16ProjSCH!$A$2:$S$2,0),FALSE)</f>
        <v>289.83284853739286</v>
      </c>
      <c r="F37" s="443">
        <f>+GPpcntSCH*(VLOOKUP($A37,FY16ProjRev!$A$4:$I$24,9,FALSE))*VLOOKUP($A37,FY16ProjSCH!$A$3:$S$23,MATCH(F$28,FY16ProjSCH!$A$2:$S$2,0),FALSE)</f>
        <v>289.83284853739286</v>
      </c>
      <c r="G37" s="443">
        <f>+GPpcntSCH*(VLOOKUP($A37,FY16ProjRev!$A$4:$I$24,9,FALSE))*VLOOKUP($A37,FY16ProjSCH!$A$3:$S$23,MATCH(G$28,FY16ProjSCH!$A$2:$S$2,0),FALSE)</f>
        <v>2270.357313542911</v>
      </c>
      <c r="H37" s="443">
        <f>+GPpcntSCH*(VLOOKUP($A37,FY16ProjRev!$A$4:$I$24,9,FALSE))*VLOOKUP($A37,FY16ProjSCH!$A$3:$S$23,MATCH(H$28,FY16ProjSCH!$A$2:$S$2,0),FALSE)</f>
        <v>1400.858767930732</v>
      </c>
      <c r="I37" s="443">
        <f>+GPpcntSCH*(VLOOKUP($A37,FY16ProjRev!$A$4:$I$24,9,FALSE))*VLOOKUP($A37,FY16ProjSCH!$A$3:$S$23,MATCH(I$28,FY16ProjSCH!$A$2:$S$2,0),FALSE)</f>
        <v>193.22189902492858</v>
      </c>
      <c r="J37" s="443">
        <f>+GPpcntSCH*(VLOOKUP($A37,FY16ProjRev!$A$4:$I$24,9,FALSE))*VLOOKUP($A37,FY16ProjSCH!$A$3:$S$23,MATCH(J$28,FY16ProjSCH!$A$2:$S$2,0),FALSE)</f>
        <v>241.52737378116072</v>
      </c>
      <c r="K37" s="443">
        <f>+GPpcntSCH*(VLOOKUP($A37,FY16ProjRev!$A$4:$I$24,9,FALSE))*VLOOKUP($A37,FY16ProjSCH!$A$3:$S$23,MATCH(K$28,FY16ProjSCH!$A$2:$S$2,0),FALSE)</f>
        <v>1545.7751921994286</v>
      </c>
      <c r="L37" s="443">
        <f>+GPpcntSCH*(VLOOKUP($A37,FY16ProjRev!$A$4:$I$24,9,FALSE))*VLOOKUP($A37,FY16ProjSCH!$A$3:$S$23,MATCH(L$28,FY16ProjSCH!$A$2:$S$2,0),FALSE)</f>
        <v>434.74927280608927</v>
      </c>
      <c r="M37" s="443">
        <f>+GPpcntSCH*(VLOOKUP($A37,FY16ProjRev!$A$4:$I$24,9,FALSE))*VLOOKUP($A37,FY16ProjSCH!$A$3:$S$23,MATCH(M$28,FY16ProjSCH!$A$2:$S$2,0),FALSE)</f>
        <v>96.610949512464288</v>
      </c>
      <c r="N37" s="443">
        <f>+GPpcntSCH*(VLOOKUP($A37,FY16ProjRev!$A$4:$I$24,9,FALSE))*VLOOKUP($A37,FY16ProjSCH!$A$3:$S$23,MATCH(N$28,FY16ProjSCH!$A$2:$S$2,0),FALSE)</f>
        <v>13018.325446804563</v>
      </c>
      <c r="O37" s="443">
        <f>+GPpcntSCH*(VLOOKUP($A37,FY16ProjRev!$A$4:$I$24,9,FALSE))*VLOOKUP($A37,FY16ProjSCH!$A$3:$S$23,MATCH(O$28,FY16ProjSCH!$A$2:$S$2,0),FALSE)</f>
        <v>193.22189902492858</v>
      </c>
      <c r="P37" s="443">
        <f>+GPpcntSCH*(VLOOKUP($A37,FY16ProjRev!$A$4:$I$24,9,FALSE))*VLOOKUP($A37,FY16ProjSCH!$A$3:$S$23,MATCH(P$28,FY16ProjSCH!$A$2:$S$2,0),FALSE)</f>
        <v>2608.4956368365361</v>
      </c>
      <c r="Q37" s="443">
        <f>+GPpcntSCH*(VLOOKUP($A37,FY16ProjRev!$A$4:$I$24,9,FALSE))*VLOOKUP($A37,FY16ProjSCH!$A$3:$S$23,MATCH(Q$28,FY16ProjSCH!$A$2:$S$2,0),FALSE)</f>
        <v>423180.11160197167</v>
      </c>
      <c r="R37" s="443">
        <f>+GPpcntSCH*(VLOOKUP($A37,FY16ProjRev!$A$4:$I$24,9,FALSE))*VLOOKUP($A37,FY16ProjSCH!$A$3:$S$23,MATCH(R$28,FY16ProjSCH!$A$2:$S$2,0),FALSE)</f>
        <v>0</v>
      </c>
      <c r="S37" s="443">
        <f>+GPpcntSCH*(VLOOKUP($A37,FY16ProjRev!$A$4:$I$24,9,FALSE))*VLOOKUP($A37,FY16ProjSCH!$A$3:$S$23,MATCH(S$28,FY16ProjSCH!$A$2:$S$2,0),FALSE)</f>
        <v>869.49854561217853</v>
      </c>
      <c r="T37" s="444">
        <f t="shared" si="4"/>
        <v>472910.59786351264</v>
      </c>
    </row>
    <row r="38" spans="1:91" s="18" customFormat="1" ht="20.100000000000001" customHeight="1">
      <c r="A38" s="404" t="s">
        <v>137</v>
      </c>
      <c r="B38" s="440" t="s">
        <v>49</v>
      </c>
      <c r="C38" s="410">
        <f>+GPpcntSCH*(VLOOKUP($A38,FY16ProjRev!$A$4:$I$24,9,FALSE))*VLOOKUP($A38,FY16ProjSCH!$A$3:$S$23,MATCH(C$28,FY16ProjSCH!$A$2:$S$2,0),FALSE)</f>
        <v>1058.9883977142463</v>
      </c>
      <c r="D38" s="410">
        <f>+GPpcntSCH*(VLOOKUP($A38,FY16ProjRev!$A$4:$I$24,9,FALSE))*VLOOKUP($A38,FY16ProjSCH!$A$3:$S$23,MATCH(D$28,FY16ProjSCH!$A$2:$S$2,0),FALSE)</f>
        <v>7046.345877098639</v>
      </c>
      <c r="E38" s="410">
        <f>+GPpcntSCH*(VLOOKUP($A38,FY16ProjRev!$A$4:$I$24,9,FALSE))*VLOOKUP($A38,FY16ProjSCH!$A$3:$S$23,MATCH(E$28,FY16ProjSCH!$A$2:$S$2,0),FALSE)</f>
        <v>0</v>
      </c>
      <c r="F38" s="410">
        <f>+GPpcntSCH*(VLOOKUP($A38,FY16ProjRev!$A$4:$I$24,9,FALSE))*VLOOKUP($A38,FY16ProjSCH!$A$3:$S$23,MATCH(F$28,FY16ProjSCH!$A$2:$S$2,0),FALSE)</f>
        <v>122.19096896702844</v>
      </c>
      <c r="G38" s="410">
        <f>+GPpcntSCH*(VLOOKUP($A38,FY16ProjRev!$A$4:$I$24,9,FALSE))*VLOOKUP($A38,FY16ProjSCH!$A$3:$S$23,MATCH(G$28,FY16ProjSCH!$A$2:$S$2,0),FALSE)</f>
        <v>1262.6400126592939</v>
      </c>
      <c r="H38" s="410">
        <f>+GPpcntSCH*(VLOOKUP($A38,FY16ProjRev!$A$4:$I$24,9,FALSE))*VLOOKUP($A38,FY16ProjSCH!$A$3:$S$23,MATCH(H$28,FY16ProjSCH!$A$2:$S$2,0),FALSE)</f>
        <v>407.30322989009477</v>
      </c>
      <c r="I38" s="410">
        <f>+GPpcntSCH*(VLOOKUP($A38,FY16ProjRev!$A$4:$I$24,9,FALSE))*VLOOKUP($A38,FY16ProjSCH!$A$3:$S$23,MATCH(I$28,FY16ProjSCH!$A$2:$S$2,0),FALSE)</f>
        <v>0</v>
      </c>
      <c r="J38" s="410">
        <f>+GPpcntSCH*(VLOOKUP($A38,FY16ProjRev!$A$4:$I$24,9,FALSE))*VLOOKUP($A38,FY16ProjSCH!$A$3:$S$23,MATCH(J$28,FY16ProjSCH!$A$2:$S$2,0),FALSE)</f>
        <v>773.8761367911801</v>
      </c>
      <c r="K38" s="410">
        <f>+GPpcntSCH*(VLOOKUP($A38,FY16ProjRev!$A$4:$I$24,9,FALSE))*VLOOKUP($A38,FY16ProjSCH!$A$3:$S$23,MATCH(K$28,FY16ProjSCH!$A$2:$S$2,0),FALSE)</f>
        <v>1384.8309816263222</v>
      </c>
      <c r="L38" s="410">
        <f>+GPpcntSCH*(VLOOKUP($A38,FY16ProjRev!$A$4:$I$24,9,FALSE))*VLOOKUP($A38,FY16ProjSCH!$A$3:$S$23,MATCH(L$28,FY16ProjSCH!$A$2:$S$2,0),FALSE)</f>
        <v>3095.5045471647204</v>
      </c>
      <c r="M38" s="410">
        <f>+GPpcntSCH*(VLOOKUP($A38,FY16ProjRev!$A$4:$I$24,9,FALSE))*VLOOKUP($A38,FY16ProjSCH!$A$3:$S$23,MATCH(M$28,FY16ProjSCH!$A$2:$S$2,0),FALSE)</f>
        <v>366.57290690108528</v>
      </c>
      <c r="N38" s="410">
        <f>+GPpcntSCH*(VLOOKUP($A38,FY16ProjRev!$A$4:$I$24,9,FALSE))*VLOOKUP($A38,FY16ProjSCH!$A$3:$S$23,MATCH(N$28,FY16ProjSCH!$A$2:$S$2,0),FALSE)</f>
        <v>44172.035281580778</v>
      </c>
      <c r="O38" s="410">
        <f>+GPpcntSCH*(VLOOKUP($A38,FY16ProjRev!$A$4:$I$24,9,FALSE))*VLOOKUP($A38,FY16ProjSCH!$A$3:$S$23,MATCH(O$28,FY16ProjSCH!$A$2:$S$2,0),FALSE)</f>
        <v>407.30322989009477</v>
      </c>
      <c r="P38" s="410">
        <f>+GPpcntSCH*(VLOOKUP($A38,FY16ProjRev!$A$4:$I$24,9,FALSE))*VLOOKUP($A38,FY16ProjSCH!$A$3:$S$23,MATCH(P$28,FY16ProjSCH!$A$2:$S$2,0),FALSE)</f>
        <v>936.79742874721796</v>
      </c>
      <c r="Q38" s="410">
        <f>+GPpcntSCH*(VLOOKUP($A38,FY16ProjRev!$A$4:$I$24,9,FALSE))*VLOOKUP($A38,FY16ProjSCH!$A$3:$S$23,MATCH(Q$28,FY16ProjSCH!$A$2:$S$2,0),FALSE)</f>
        <v>191554.70901731157</v>
      </c>
      <c r="R38" s="410">
        <f>+GPpcntSCH*(VLOOKUP($A38,FY16ProjRev!$A$4:$I$24,9,FALSE))*VLOOKUP($A38,FY16ProjSCH!$A$3:$S$23,MATCH(R$28,FY16ProjSCH!$A$2:$S$2,0),FALSE)</f>
        <v>0</v>
      </c>
      <c r="S38" s="410">
        <f>+GPpcntSCH*(VLOOKUP($A38,FY16ProjRev!$A$4:$I$24,9,FALSE))*VLOOKUP($A38,FY16ProjSCH!$A$3:$S$23,MATCH(S$28,FY16ProjSCH!$A$2:$S$2,0),FALSE)</f>
        <v>448.03355287910426</v>
      </c>
      <c r="T38" s="441">
        <f t="shared" si="4"/>
        <v>253037.13156922138</v>
      </c>
    </row>
    <row r="39" spans="1:91" ht="20.100000000000001" customHeight="1">
      <c r="A39" s="553" t="s">
        <v>145</v>
      </c>
      <c r="B39" s="442" t="s">
        <v>207</v>
      </c>
      <c r="C39" s="443">
        <f>+GPpcntSCH*(VLOOKUP($A39,FY16ProjRev!$A$4:$I$24,9,FALSE))*VLOOKUP($A39,FY16ProjSCH!$A$3:$S$23,MATCH(C$28,FY16ProjSCH!$A$2:$S$2,0),FALSE)</f>
        <v>831983.02942494559</v>
      </c>
      <c r="D39" s="443">
        <f>+GPpcntSCH*(VLOOKUP($A39,FY16ProjRev!$A$4:$I$24,9,FALSE))*VLOOKUP($A39,FY16ProjSCH!$A$3:$S$23,MATCH(D$28,FY16ProjSCH!$A$2:$S$2,0),FALSE)</f>
        <v>15372.77889888541</v>
      </c>
      <c r="E39" s="443">
        <f>+GPpcntSCH*(VLOOKUP($A39,FY16ProjRev!$A$4:$I$24,9,FALSE))*VLOOKUP($A39,FY16ProjSCH!$A$3:$S$23,MATCH(E$28,FY16ProjSCH!$A$2:$S$2,0),FALSE)</f>
        <v>4460.8510197658552</v>
      </c>
      <c r="F39" s="443">
        <f>+GPpcntSCH*(VLOOKUP($A39,FY16ProjRev!$A$4:$I$24,9,FALSE))*VLOOKUP($A39,FY16ProjSCH!$A$3:$S$23,MATCH(F$28,FY16ProjSCH!$A$2:$S$2,0),FALSE)</f>
        <v>0</v>
      </c>
      <c r="G39" s="443">
        <f>+GPpcntSCH*(VLOOKUP($A39,FY16ProjRev!$A$4:$I$24,9,FALSE))*VLOOKUP($A39,FY16ProjSCH!$A$3:$S$23,MATCH(G$28,FY16ProjSCH!$A$2:$S$2,0),FALSE)</f>
        <v>4598.1079742201891</v>
      </c>
      <c r="H39" s="443">
        <f>+GPpcntSCH*(VLOOKUP($A39,FY16ProjRev!$A$4:$I$24,9,FALSE))*VLOOKUP($A39,FY16ProjSCH!$A$3:$S$23,MATCH(H$28,FY16ProjSCH!$A$2:$S$2,0),FALSE)</f>
        <v>11186.441788028222</v>
      </c>
      <c r="I39" s="443">
        <f>+GPpcntSCH*(VLOOKUP($A39,FY16ProjRev!$A$4:$I$24,9,FALSE))*VLOOKUP($A39,FY16ProjSCH!$A$3:$S$23,MATCH(I$28,FY16ProjSCH!$A$2:$S$2,0),FALSE)</f>
        <v>137.25695445433402</v>
      </c>
      <c r="J39" s="443">
        <f>+GPpcntSCH*(VLOOKUP($A39,FY16ProjRev!$A$4:$I$24,9,FALSE))*VLOOKUP($A39,FY16ProjSCH!$A$3:$S$23,MATCH(J$28,FY16ProjSCH!$A$2:$S$2,0),FALSE)</f>
        <v>411.77086336300204</v>
      </c>
      <c r="K39" s="443">
        <f>+GPpcntSCH*(VLOOKUP($A39,FY16ProjRev!$A$4:$I$24,9,FALSE))*VLOOKUP($A39,FY16ProjSCH!$A$3:$S$23,MATCH(K$28,FY16ProjSCH!$A$2:$S$2,0),FALSE)</f>
        <v>11598.212651391224</v>
      </c>
      <c r="L39" s="443">
        <f>+GPpcntSCH*(VLOOKUP($A39,FY16ProjRev!$A$4:$I$24,9,FALSE))*VLOOKUP($A39,FY16ProjSCH!$A$3:$S$23,MATCH(L$28,FY16ProjSCH!$A$2:$S$2,0),FALSE)</f>
        <v>0</v>
      </c>
      <c r="M39" s="443">
        <f>+GPpcntSCH*(VLOOKUP($A39,FY16ProjRev!$A$4:$I$24,9,FALSE))*VLOOKUP($A39,FY16ProjSCH!$A$3:$S$23,MATCH(M$28,FY16ProjSCH!$A$2:$S$2,0),FALSE)</f>
        <v>0</v>
      </c>
      <c r="N39" s="443">
        <f>+GPpcntSCH*(VLOOKUP($A39,FY16ProjRev!$A$4:$I$24,9,FALSE))*VLOOKUP($A39,FY16ProjSCH!$A$3:$S$23,MATCH(N$28,FY16ProjSCH!$A$2:$S$2,0),FALSE)</f>
        <v>480.39934059016906</v>
      </c>
      <c r="O39" s="443">
        <f>+GPpcntSCH*(VLOOKUP($A39,FY16ProjRev!$A$4:$I$24,9,FALSE))*VLOOKUP($A39,FY16ProjSCH!$A$3:$S$23,MATCH(O$28,FY16ProjSCH!$A$2:$S$2,0),FALSE)</f>
        <v>0</v>
      </c>
      <c r="P39" s="443">
        <f>+GPpcntSCH*(VLOOKUP($A39,FY16ProjRev!$A$4:$I$24,9,FALSE))*VLOOKUP($A39,FY16ProjSCH!$A$3:$S$23,MATCH(P$28,FY16ProjSCH!$A$2:$S$2,0),FALSE)</f>
        <v>0</v>
      </c>
      <c r="Q39" s="443">
        <f>+GPpcntSCH*(VLOOKUP($A39,FY16ProjRev!$A$4:$I$24,9,FALSE))*VLOOKUP($A39,FY16ProjSCH!$A$3:$S$23,MATCH(Q$28,FY16ProjSCH!$A$2:$S$2,0),FALSE)</f>
        <v>2745.1390890866801</v>
      </c>
      <c r="R39" s="443">
        <f>+GPpcntSCH*(VLOOKUP($A39,FY16ProjRev!$A$4:$I$24,9,FALSE))*VLOOKUP($A39,FY16ProjSCH!$A$3:$S$23,MATCH(R$28,FY16ProjSCH!$A$2:$S$2,0),FALSE)</f>
        <v>0</v>
      </c>
      <c r="S39" s="443">
        <f>+GPpcntSCH*(VLOOKUP($A39,FY16ProjRev!$A$4:$I$24,9,FALSE))*VLOOKUP($A39,FY16ProjSCH!$A$3:$S$23,MATCH(S$28,FY16ProjSCH!$A$2:$S$2,0),FALSE)</f>
        <v>0</v>
      </c>
      <c r="T39" s="444">
        <f t="shared" si="4"/>
        <v>882973.98800473067</v>
      </c>
    </row>
    <row r="40" spans="1:91" s="18" customFormat="1" ht="20.100000000000001" customHeight="1">
      <c r="A40" s="404" t="s">
        <v>147</v>
      </c>
      <c r="B40" s="440" t="s">
        <v>208</v>
      </c>
      <c r="C40" s="410">
        <f>+GPpcntSCH*(VLOOKUP($A40,FY16ProjRev!$A$4:$I$24,9,FALSE))*VLOOKUP($A40,FY16ProjSCH!$A$3:$S$23,MATCH(C$28,FY16ProjSCH!$A$2:$S$2,0),FALSE)</f>
        <v>0</v>
      </c>
      <c r="D40" s="410">
        <f>+GPpcntSCH*(VLOOKUP($A40,FY16ProjRev!$A$4:$I$24,9,FALSE))*VLOOKUP($A40,FY16ProjSCH!$A$3:$S$23,MATCH(D$28,FY16ProjSCH!$A$2:$S$2,0),FALSE)</f>
        <v>835.33391264014938</v>
      </c>
      <c r="E40" s="410">
        <f>+GPpcntSCH*(VLOOKUP($A40,FY16ProjRev!$A$4:$I$24,9,FALSE))*VLOOKUP($A40,FY16ProjSCH!$A$3:$S$23,MATCH(E$28,FY16ProjSCH!$A$2:$S$2,0),FALSE)</f>
        <v>208.83347816003734</v>
      </c>
      <c r="F40" s="410">
        <f>+GPpcntSCH*(VLOOKUP($A40,FY16ProjRev!$A$4:$I$24,9,FALSE))*VLOOKUP($A40,FY16ProjSCH!$A$3:$S$23,MATCH(F$28,FY16ProjSCH!$A$2:$S$2,0),FALSE)</f>
        <v>0</v>
      </c>
      <c r="G40" s="410">
        <f>+GPpcntSCH*(VLOOKUP($A40,FY16ProjRev!$A$4:$I$24,9,FALSE))*VLOOKUP($A40,FY16ProjSCH!$A$3:$S$23,MATCH(G$28,FY16ProjSCH!$A$2:$S$2,0),FALSE)</f>
        <v>224078.32206572007</v>
      </c>
      <c r="H40" s="410">
        <f>+GPpcntSCH*(VLOOKUP($A40,FY16ProjRev!$A$4:$I$24,9,FALSE))*VLOOKUP($A40,FY16ProjSCH!$A$3:$S$23,MATCH(H$28,FY16ProjSCH!$A$2:$S$2,0),FALSE)</f>
        <v>1461.8343471202613</v>
      </c>
      <c r="I40" s="410">
        <f>+GPpcntSCH*(VLOOKUP($A40,FY16ProjRev!$A$4:$I$24,9,FALSE))*VLOOKUP($A40,FY16ProjSCH!$A$3:$S$23,MATCH(I$28,FY16ProjSCH!$A$2:$S$2,0),FALSE)</f>
        <v>1044.1673908001867</v>
      </c>
      <c r="J40" s="410">
        <f>+GPpcntSCH*(VLOOKUP($A40,FY16ProjRev!$A$4:$I$24,9,FALSE))*VLOOKUP($A40,FY16ProjSCH!$A$3:$S$23,MATCH(J$28,FY16ProjSCH!$A$2:$S$2,0),FALSE)</f>
        <v>0</v>
      </c>
      <c r="K40" s="410">
        <f>+GPpcntSCH*(VLOOKUP($A40,FY16ProjRev!$A$4:$I$24,9,FALSE))*VLOOKUP($A40,FY16ProjSCH!$A$3:$S$23,MATCH(K$28,FY16ProjSCH!$A$2:$S$2,0),FALSE)</f>
        <v>0</v>
      </c>
      <c r="L40" s="410">
        <f>+GPpcntSCH*(VLOOKUP($A40,FY16ProjRev!$A$4:$I$24,9,FALSE))*VLOOKUP($A40,FY16ProjSCH!$A$3:$S$23,MATCH(L$28,FY16ProjSCH!$A$2:$S$2,0),FALSE)</f>
        <v>0</v>
      </c>
      <c r="M40" s="410">
        <f>+GPpcntSCH*(VLOOKUP($A40,FY16ProjRev!$A$4:$I$24,9,FALSE))*VLOOKUP($A40,FY16ProjSCH!$A$3:$S$23,MATCH(M$28,FY16ProjSCH!$A$2:$S$2,0),FALSE)</f>
        <v>0</v>
      </c>
      <c r="N40" s="410">
        <f>+GPpcntSCH*(VLOOKUP($A40,FY16ProjRev!$A$4:$I$24,9,FALSE))*VLOOKUP($A40,FY16ProjSCH!$A$3:$S$23,MATCH(N$28,FY16ProjSCH!$A$2:$S$2,0),FALSE)</f>
        <v>8771.0060827215675</v>
      </c>
      <c r="O40" s="410">
        <f>+GPpcntSCH*(VLOOKUP($A40,FY16ProjRev!$A$4:$I$24,9,FALSE))*VLOOKUP($A40,FY16ProjSCH!$A$3:$S$23,MATCH(O$28,FY16ProjSCH!$A$2:$S$2,0),FALSE)</f>
        <v>0</v>
      </c>
      <c r="P40" s="410">
        <f>+GPpcntSCH*(VLOOKUP($A40,FY16ProjRev!$A$4:$I$24,9,FALSE))*VLOOKUP($A40,FY16ProjSCH!$A$3:$S$23,MATCH(P$28,FY16ProjSCH!$A$2:$S$2,0),FALSE)</f>
        <v>0</v>
      </c>
      <c r="Q40" s="410">
        <f>+GPpcntSCH*(VLOOKUP($A40,FY16ProjRev!$A$4:$I$24,9,FALSE))*VLOOKUP($A40,FY16ProjSCH!$A$3:$S$23,MATCH(Q$28,FY16ProjSCH!$A$2:$S$2,0),FALSE)</f>
        <v>313.25021724005603</v>
      </c>
      <c r="R40" s="410">
        <f>+GPpcntSCH*(VLOOKUP($A40,FY16ProjRev!$A$4:$I$24,9,FALSE))*VLOOKUP($A40,FY16ProjSCH!$A$3:$S$23,MATCH(R$28,FY16ProjSCH!$A$2:$S$2,0),FALSE)</f>
        <v>0</v>
      </c>
      <c r="S40" s="410">
        <f>+GPpcntSCH*(VLOOKUP($A40,FY16ProjRev!$A$4:$I$24,9,FALSE))*VLOOKUP($A40,FY16ProjSCH!$A$3:$S$23,MATCH(S$28,FY16ProjSCH!$A$2:$S$2,0),FALSE)</f>
        <v>1253.0008689602241</v>
      </c>
      <c r="T40" s="441">
        <f t="shared" si="4"/>
        <v>237965.74836336257</v>
      </c>
    </row>
    <row r="41" spans="1:91" ht="20.100000000000001" customHeight="1">
      <c r="A41" s="404" t="s">
        <v>148</v>
      </c>
      <c r="B41" s="442" t="s">
        <v>39</v>
      </c>
      <c r="C41" s="443">
        <f>+GPpcntSCH*(VLOOKUP($A41,FY16ProjRev!$A$4:$I$24,9,FALSE))*VLOOKUP($A41,FY16ProjSCH!$A$3:$S$23,MATCH(C$28,FY16ProjSCH!$A$2:$S$2,0),FALSE)</f>
        <v>7807.8436168150229</v>
      </c>
      <c r="D41" s="443">
        <f>+GPpcntSCH*(VLOOKUP($A41,FY16ProjRev!$A$4:$I$24,9,FALSE))*VLOOKUP($A41,FY16ProjSCH!$A$3:$S$23,MATCH(D$28,FY16ProjSCH!$A$2:$S$2,0),FALSE)</f>
        <v>39612.270826593653</v>
      </c>
      <c r="E41" s="443">
        <f>+GPpcntSCH*(VLOOKUP($A41,FY16ProjRev!$A$4:$I$24,9,FALSE))*VLOOKUP($A41,FY16ProjSCH!$A$3:$S$23,MATCH(E$28,FY16ProjSCH!$A$2:$S$2,0),FALSE)</f>
        <v>13538.371042000363</v>
      </c>
      <c r="F41" s="443">
        <f>+GPpcntSCH*(VLOOKUP($A41,FY16ProjRev!$A$4:$I$24,9,FALSE))*VLOOKUP($A41,FY16ProjSCH!$A$3:$S$23,MATCH(F$28,FY16ProjSCH!$A$2:$S$2,0),FALSE)</f>
        <v>3581.5796407408366</v>
      </c>
      <c r="G41" s="443">
        <f>+GPpcntSCH*(VLOOKUP($A41,FY16ProjRev!$A$4:$I$24,9,FALSE))*VLOOKUP($A41,FY16ProjSCH!$A$3:$S$23,MATCH(G$28,FY16ProjSCH!$A$2:$S$2,0),FALSE)</f>
        <v>1719.1582275556013</v>
      </c>
      <c r="H41" s="443">
        <f>+GPpcntSCH*(VLOOKUP($A41,FY16ProjRev!$A$4:$I$24,9,FALSE))*VLOOKUP($A41,FY16ProjSCH!$A$3:$S$23,MATCH(H$28,FY16ProjSCH!$A$2:$S$2,0),FALSE)</f>
        <v>22134.16217977837</v>
      </c>
      <c r="I41" s="443">
        <f>+GPpcntSCH*(VLOOKUP($A41,FY16ProjRev!$A$4:$I$24,9,FALSE))*VLOOKUP($A41,FY16ProjSCH!$A$3:$S$23,MATCH(I$28,FY16ProjSCH!$A$2:$S$2,0),FALSE)</f>
        <v>1217.7370778518844</v>
      </c>
      <c r="J41" s="443">
        <f>+GPpcntSCH*(VLOOKUP($A41,FY16ProjRev!$A$4:$I$24,9,FALSE))*VLOOKUP($A41,FY16ProjSCH!$A$3:$S$23,MATCH(J$28,FY16ProjSCH!$A$2:$S$2,0),FALSE)</f>
        <v>4083.0007904445538</v>
      </c>
      <c r="K41" s="443">
        <f>+GPpcntSCH*(VLOOKUP($A41,FY16ProjRev!$A$4:$I$24,9,FALSE))*VLOOKUP($A41,FY16ProjSCH!$A$3:$S$23,MATCH(K$28,FY16ProjSCH!$A$2:$S$2,0),FALSE)</f>
        <v>765884.99037602043</v>
      </c>
      <c r="L41" s="443">
        <f>+GPpcntSCH*(VLOOKUP($A41,FY16ProjRev!$A$4:$I$24,9,FALSE))*VLOOKUP($A41,FY16ProjSCH!$A$3:$S$23,MATCH(L$28,FY16ProjSCH!$A$2:$S$2,0),FALSE)</f>
        <v>3151.7900838519363</v>
      </c>
      <c r="M41" s="443">
        <f>+GPpcntSCH*(VLOOKUP($A41,FY16ProjRev!$A$4:$I$24,9,FALSE))*VLOOKUP($A41,FY16ProjSCH!$A$3:$S$23,MATCH(M$28,FY16ProjSCH!$A$2:$S$2,0),FALSE)</f>
        <v>0</v>
      </c>
      <c r="N41" s="443">
        <f>+GPpcntSCH*(VLOOKUP($A41,FY16ProjRev!$A$4:$I$24,9,FALSE))*VLOOKUP($A41,FY16ProjSCH!$A$3:$S$23,MATCH(N$28,FY16ProjSCH!$A$2:$S$2,0),FALSE)</f>
        <v>4870.9483114075374</v>
      </c>
      <c r="O41" s="443">
        <f>+GPpcntSCH*(VLOOKUP($A41,FY16ProjRev!$A$4:$I$24,9,FALSE))*VLOOKUP($A41,FY16ProjSCH!$A$3:$S$23,MATCH(O$28,FY16ProjSCH!$A$2:$S$2,0),FALSE)</f>
        <v>0</v>
      </c>
      <c r="P41" s="443">
        <f>+GPpcntSCH*(VLOOKUP($A41,FY16ProjRev!$A$4:$I$24,9,FALSE))*VLOOKUP($A41,FY16ProjSCH!$A$3:$S$23,MATCH(P$28,FY16ProjSCH!$A$2:$S$2,0),FALSE)</f>
        <v>0</v>
      </c>
      <c r="Q41" s="443">
        <f>+GPpcntSCH*(VLOOKUP($A41,FY16ProjRev!$A$4:$I$24,9,FALSE))*VLOOKUP($A41,FY16ProjSCH!$A$3:$S$23,MATCH(Q$28,FY16ProjSCH!$A$2:$S$2,0),FALSE)</f>
        <v>19483.79324563015</v>
      </c>
      <c r="R41" s="443">
        <f>+GPpcntSCH*(VLOOKUP($A41,FY16ProjRev!$A$4:$I$24,9,FALSE))*VLOOKUP($A41,FY16ProjSCH!$A$3:$S$23,MATCH(R$28,FY16ProjSCH!$A$2:$S$2,0),FALSE)</f>
        <v>0</v>
      </c>
      <c r="S41" s="443">
        <f>+GPpcntSCH*(VLOOKUP($A41,FY16ProjRev!$A$4:$I$24,9,FALSE))*VLOOKUP($A41,FY16ProjSCH!$A$3:$S$23,MATCH(S$28,FY16ProjSCH!$A$2:$S$2,0),FALSE)</f>
        <v>214.89477844445017</v>
      </c>
      <c r="T41" s="444">
        <f t="shared" si="4"/>
        <v>887300.54019713472</v>
      </c>
    </row>
    <row r="42" spans="1:91" s="18" customFormat="1" ht="20.100000000000001" customHeight="1">
      <c r="A42" s="404" t="s">
        <v>149</v>
      </c>
      <c r="B42" s="440" t="s">
        <v>38</v>
      </c>
      <c r="C42" s="410">
        <f>+GPpcntSCH*(VLOOKUP($A42,FY16ProjRev!$A$4:$I$24,9,FALSE))*VLOOKUP($A42,FY16ProjSCH!$A$3:$S$23,MATCH(C$28,FY16ProjSCH!$A$2:$S$2,0),FALSE)</f>
        <v>2632.3744568184557</v>
      </c>
      <c r="D42" s="410">
        <f>+GPpcntSCH*(VLOOKUP($A42,FY16ProjRev!$A$4:$I$24,9,FALSE))*VLOOKUP($A42,FY16ProjSCH!$A$3:$S$23,MATCH(D$28,FY16ProjSCH!$A$2:$S$2,0),FALSE)</f>
        <v>4670.3417782262923</v>
      </c>
      <c r="E42" s="410">
        <f>+GPpcntSCH*(VLOOKUP($A42,FY16ProjRev!$A$4:$I$24,9,FALSE))*VLOOKUP($A42,FY16ProjSCH!$A$3:$S$23,MATCH(E$28,FY16ProjSCH!$A$2:$S$2,0),FALSE)</f>
        <v>941371.07188030309</v>
      </c>
      <c r="F42" s="410">
        <f>+GPpcntSCH*(VLOOKUP($A42,FY16ProjRev!$A$4:$I$24,9,FALSE))*VLOOKUP($A42,FY16ProjSCH!$A$3:$S$23,MATCH(F$28,FY16ProjSCH!$A$2:$S$2,0),FALSE)</f>
        <v>0</v>
      </c>
      <c r="G42" s="410">
        <f>+GPpcntSCH*(VLOOKUP($A42,FY16ProjRev!$A$4:$I$24,9,FALSE))*VLOOKUP($A42,FY16ProjSCH!$A$3:$S$23,MATCH(G$28,FY16ProjSCH!$A$2:$S$2,0),FALSE)</f>
        <v>4075.9346428156728</v>
      </c>
      <c r="H42" s="410">
        <f>+GPpcntSCH*(VLOOKUP($A42,FY16ProjRev!$A$4:$I$24,9,FALSE))*VLOOKUP($A42,FY16ProjSCH!$A$3:$S$23,MATCH(H$28,FY16ProjSCH!$A$2:$S$2,0),FALSE)</f>
        <v>0</v>
      </c>
      <c r="I42" s="410">
        <f>+GPpcntSCH*(VLOOKUP($A42,FY16ProjRev!$A$4:$I$24,9,FALSE))*VLOOKUP($A42,FY16ProjSCH!$A$3:$S$23,MATCH(I$28,FY16ProjSCH!$A$2:$S$2,0),FALSE)</f>
        <v>2377.6285416424762</v>
      </c>
      <c r="J42" s="410">
        <f>+GPpcntSCH*(VLOOKUP($A42,FY16ProjRev!$A$4:$I$24,9,FALSE))*VLOOKUP($A42,FY16ProjSCH!$A$3:$S$23,MATCH(J$28,FY16ProjSCH!$A$2:$S$2,0),FALSE)</f>
        <v>849.15305058659851</v>
      </c>
      <c r="K42" s="410">
        <f>+GPpcntSCH*(VLOOKUP($A42,FY16ProjRev!$A$4:$I$24,9,FALSE))*VLOOKUP($A42,FY16ProjSCH!$A$3:$S$23,MATCH(K$28,FY16ProjSCH!$A$2:$S$2,0),FALSE)</f>
        <v>4415.5958630503128</v>
      </c>
      <c r="L42" s="410">
        <f>+GPpcntSCH*(VLOOKUP($A42,FY16ProjRev!$A$4:$I$24,9,FALSE))*VLOOKUP($A42,FY16ProjSCH!$A$3:$S$23,MATCH(L$28,FY16ProjSCH!$A$2:$S$2,0),FALSE)</f>
        <v>0</v>
      </c>
      <c r="M42" s="410">
        <f>+GPpcntSCH*(VLOOKUP($A42,FY16ProjRev!$A$4:$I$24,9,FALSE))*VLOOKUP($A42,FY16ProjSCH!$A$3:$S$23,MATCH(M$28,FY16ProjSCH!$A$2:$S$2,0),FALSE)</f>
        <v>0</v>
      </c>
      <c r="N42" s="410">
        <f>+GPpcntSCH*(VLOOKUP($A42,FY16ProjRev!$A$4:$I$24,9,FALSE))*VLOOKUP($A42,FY16ProjSCH!$A$3:$S$23,MATCH(N$28,FY16ProjSCH!$A$2:$S$2,0),FALSE)</f>
        <v>1358.6448809385577</v>
      </c>
      <c r="O42" s="410">
        <f>+GPpcntSCH*(VLOOKUP($A42,FY16ProjRev!$A$4:$I$24,9,FALSE))*VLOOKUP($A42,FY16ProjSCH!$A$3:$S$23,MATCH(O$28,FY16ProjSCH!$A$2:$S$2,0),FALSE)</f>
        <v>0</v>
      </c>
      <c r="P42" s="410">
        <f>+GPpcntSCH*(VLOOKUP($A42,FY16ProjRev!$A$4:$I$24,9,FALSE))*VLOOKUP($A42,FY16ProjSCH!$A$3:$S$23,MATCH(P$28,FY16ProjSCH!$A$2:$S$2,0),FALSE)</f>
        <v>0</v>
      </c>
      <c r="Q42" s="410">
        <f>+GPpcntSCH*(VLOOKUP($A42,FY16ProjRev!$A$4:$I$24,9,FALSE))*VLOOKUP($A42,FY16ProjSCH!$A$3:$S$23,MATCH(Q$28,FY16ProjSCH!$A$2:$S$2,0),FALSE)</f>
        <v>1783.2214062318569</v>
      </c>
      <c r="R42" s="410">
        <f>+GPpcntSCH*(VLOOKUP($A42,FY16ProjRev!$A$4:$I$24,9,FALSE))*VLOOKUP($A42,FY16ProjSCH!$A$3:$S$23,MATCH(R$28,FY16ProjSCH!$A$2:$S$2,0),FALSE)</f>
        <v>0</v>
      </c>
      <c r="S42" s="410">
        <f>+GPpcntSCH*(VLOOKUP($A42,FY16ProjRev!$A$4:$I$24,9,FALSE))*VLOOKUP($A42,FY16ProjSCH!$A$3:$S$23,MATCH(S$28,FY16ProjSCH!$A$2:$S$2,0),FALSE)</f>
        <v>0</v>
      </c>
      <c r="T42" s="441">
        <f t="shared" si="4"/>
        <v>963533.96650061337</v>
      </c>
    </row>
    <row r="43" spans="1:91" ht="20.100000000000001" customHeight="1">
      <c r="A43" s="404" t="s">
        <v>150</v>
      </c>
      <c r="B43" s="442" t="s">
        <v>31</v>
      </c>
      <c r="C43" s="443">
        <f>+GPpcntSCH*(VLOOKUP($A43,FY16ProjRev!$A$4:$I$24,9,FALSE))*VLOOKUP($A43,FY16ProjSCH!$A$3:$S$23,MATCH(C$28,FY16ProjSCH!$A$2:$S$2,0),FALSE)</f>
        <v>1425.5340837005474</v>
      </c>
      <c r="D43" s="443">
        <f>+GPpcntSCH*(VLOOKUP($A43,FY16ProjRev!$A$4:$I$24,9,FALSE))*VLOOKUP($A43,FY16ProjSCH!$A$3:$S$23,MATCH(D$28,FY16ProjSCH!$A$2:$S$2,0),FALSE)</f>
        <v>12918.902633536209</v>
      </c>
      <c r="E43" s="443">
        <f>+GPpcntSCH*(VLOOKUP($A43,FY16ProjRev!$A$4:$I$24,9,FALSE))*VLOOKUP($A43,FY16ProjSCH!$A$3:$S$23,MATCH(E$28,FY16ProjSCH!$A$2:$S$2,0),FALSE)</f>
        <v>5167.5610534144844</v>
      </c>
      <c r="F43" s="443">
        <f>+GPpcntSCH*(VLOOKUP($A43,FY16ProjRev!$A$4:$I$24,9,FALSE))*VLOOKUP($A43,FY16ProjSCH!$A$3:$S$23,MATCH(F$28,FY16ProjSCH!$A$2:$S$2,0),FALSE)</f>
        <v>2316.4928860133891</v>
      </c>
      <c r="G43" s="443">
        <f>+GPpcntSCH*(VLOOKUP($A43,FY16ProjRev!$A$4:$I$24,9,FALSE))*VLOOKUP($A43,FY16ProjSCH!$A$3:$S$23,MATCH(G$28,FY16ProjSCH!$A$2:$S$2,0),FALSE)</f>
        <v>356.38352092513685</v>
      </c>
      <c r="H43" s="443">
        <f>+GPpcntSCH*(VLOOKUP($A43,FY16ProjRev!$A$4:$I$24,9,FALSE))*VLOOKUP($A43,FY16ProjSCH!$A$3:$S$23,MATCH(H$28,FY16ProjSCH!$A$2:$S$2,0),FALSE)</f>
        <v>267.28764069385261</v>
      </c>
      <c r="I43" s="443">
        <f>+GPpcntSCH*(VLOOKUP($A43,FY16ProjRev!$A$4:$I$24,9,FALSE))*VLOOKUP($A43,FY16ProjSCH!$A$3:$S$23,MATCH(I$28,FY16ProjSCH!$A$2:$S$2,0),FALSE)</f>
        <v>7127.6704185027365</v>
      </c>
      <c r="J43" s="443">
        <f>+GPpcntSCH*(VLOOKUP($A43,FY16ProjRev!$A$4:$I$24,9,FALSE))*VLOOKUP($A43,FY16ProjSCH!$A$3:$S$23,MATCH(J$28,FY16ProjSCH!$A$2:$S$2,0),FALSE)</f>
        <v>1979799.5546193663</v>
      </c>
      <c r="K43" s="443">
        <f>+GPpcntSCH*(VLOOKUP($A43,FY16ProjRev!$A$4:$I$24,9,FALSE))*VLOOKUP($A43,FY16ProjSCH!$A$3:$S$23,MATCH(K$28,FY16ProjSCH!$A$2:$S$2,0),FALSE)</f>
        <v>356.38352092513685</v>
      </c>
      <c r="L43" s="443">
        <f>+GPpcntSCH*(VLOOKUP($A43,FY16ProjRev!$A$4:$I$24,9,FALSE))*VLOOKUP($A43,FY16ProjSCH!$A$3:$S$23,MATCH(L$28,FY16ProjSCH!$A$2:$S$2,0),FALSE)</f>
        <v>267.28764069385261</v>
      </c>
      <c r="M43" s="443">
        <f>+GPpcntSCH*(VLOOKUP($A43,FY16ProjRev!$A$4:$I$24,9,FALSE))*VLOOKUP($A43,FY16ProjSCH!$A$3:$S$23,MATCH(M$28,FY16ProjSCH!$A$2:$S$2,0),FALSE)</f>
        <v>0</v>
      </c>
      <c r="N43" s="443">
        <f>+GPpcntSCH*(VLOOKUP($A43,FY16ProjRev!$A$4:$I$24,9,FALSE))*VLOOKUP($A43,FY16ProjSCH!$A$3:$S$23,MATCH(N$28,FY16ProjSCH!$A$2:$S$2,0),FALSE)</f>
        <v>89.095880231284212</v>
      </c>
      <c r="O43" s="443">
        <f>+GPpcntSCH*(VLOOKUP($A43,FY16ProjRev!$A$4:$I$24,9,FALSE))*VLOOKUP($A43,FY16ProjSCH!$A$3:$S$23,MATCH(O$28,FY16ProjSCH!$A$2:$S$2,0),FALSE)</f>
        <v>0</v>
      </c>
      <c r="P43" s="443">
        <f>+GPpcntSCH*(VLOOKUP($A43,FY16ProjRev!$A$4:$I$24,9,FALSE))*VLOOKUP($A43,FY16ProjSCH!$A$3:$S$23,MATCH(P$28,FY16ProjSCH!$A$2:$S$2,0),FALSE)</f>
        <v>267.28764069385261</v>
      </c>
      <c r="Q43" s="443">
        <f>+GPpcntSCH*(VLOOKUP($A43,FY16ProjRev!$A$4:$I$24,9,FALSE))*VLOOKUP($A43,FY16ProjSCH!$A$3:$S$23,MATCH(Q$28,FY16ProjSCH!$A$2:$S$2,0),FALSE)</f>
        <v>3831.1228499452204</v>
      </c>
      <c r="R43" s="443">
        <f>+GPpcntSCH*(VLOOKUP($A43,FY16ProjRev!$A$4:$I$24,9,FALSE))*VLOOKUP($A43,FY16ProjSCH!$A$3:$S$23,MATCH(R$28,FY16ProjSCH!$A$2:$S$2,0),FALSE)</f>
        <v>0</v>
      </c>
      <c r="S43" s="443">
        <f>+GPpcntSCH*(VLOOKUP($A43,FY16ProjRev!$A$4:$I$24,9,FALSE))*VLOOKUP($A43,FY16ProjSCH!$A$3:$S$23,MATCH(S$28,FY16ProjSCH!$A$2:$S$2,0),FALSE)</f>
        <v>712.7670418502737</v>
      </c>
      <c r="T43" s="444">
        <f t="shared" si="4"/>
        <v>2014903.3314304925</v>
      </c>
    </row>
    <row r="44" spans="1:91" s="18" customFormat="1" ht="20.100000000000001" customHeight="1">
      <c r="A44" s="404" t="s">
        <v>151</v>
      </c>
      <c r="B44" s="440" t="s">
        <v>209</v>
      </c>
      <c r="C44" s="410">
        <f>+GPpcntSCH*(VLOOKUP($A44,FY16ProjRev!$A$4:$I$24,9,FALSE))*VLOOKUP($A44,FY16ProjSCH!$A$3:$S$23,MATCH(C$28,FY16ProjSCH!$A$2:$S$2,0),FALSE)</f>
        <v>0</v>
      </c>
      <c r="D44" s="410">
        <f>+GPpcntSCH*(VLOOKUP($A44,FY16ProjRev!$A$4:$I$24,9,FALSE))*VLOOKUP($A44,FY16ProjSCH!$A$3:$S$23,MATCH(D$28,FY16ProjSCH!$A$2:$S$2,0),FALSE)</f>
        <v>10617.460913387731</v>
      </c>
      <c r="E44" s="410">
        <f>+GPpcntSCH*(VLOOKUP($A44,FY16ProjRev!$A$4:$I$24,9,FALSE))*VLOOKUP($A44,FY16ProjSCH!$A$3:$S$23,MATCH(E$28,FY16ProjSCH!$A$2:$S$2,0),FALSE)</f>
        <v>1158.2684632786613</v>
      </c>
      <c r="F44" s="410">
        <f>+GPpcntSCH*(VLOOKUP($A44,FY16ProjRev!$A$4:$I$24,9,FALSE))*VLOOKUP($A44,FY16ProjSCH!$A$3:$S$23,MATCH(F$28,FY16ProjSCH!$A$2:$S$2,0),FALSE)</f>
        <v>0</v>
      </c>
      <c r="G44" s="410">
        <f>+GPpcntSCH*(VLOOKUP($A44,FY16ProjRev!$A$4:$I$24,9,FALSE))*VLOOKUP($A44,FY16ProjSCH!$A$3:$S$23,MATCH(G$28,FY16ProjSCH!$A$2:$S$2,0),FALSE)</f>
        <v>0</v>
      </c>
      <c r="H44" s="410">
        <f>+GPpcntSCH*(VLOOKUP($A44,FY16ProjRev!$A$4:$I$24,9,FALSE))*VLOOKUP($A44,FY16ProjSCH!$A$3:$S$23,MATCH(H$28,FY16ProjSCH!$A$2:$S$2,0),FALSE)</f>
        <v>289.56711581966533</v>
      </c>
      <c r="I44" s="410">
        <f>+GPpcntSCH*(VLOOKUP($A44,FY16ProjRev!$A$4:$I$24,9,FALSE))*VLOOKUP($A44,FY16ProjSCH!$A$3:$S$23,MATCH(I$28,FY16ProjSCH!$A$2:$S$2,0),FALSE)</f>
        <v>0</v>
      </c>
      <c r="J44" s="410">
        <f>+GPpcntSCH*(VLOOKUP($A44,FY16ProjRev!$A$4:$I$24,9,FALSE))*VLOOKUP($A44,FY16ProjSCH!$A$3:$S$23,MATCH(J$28,FY16ProjSCH!$A$2:$S$2,0),FALSE)</f>
        <v>223159.72392502212</v>
      </c>
      <c r="K44" s="410">
        <f>+GPpcntSCH*(VLOOKUP($A44,FY16ProjRev!$A$4:$I$24,9,FALSE))*VLOOKUP($A44,FY16ProjSCH!$A$3:$S$23,MATCH(K$28,FY16ProjSCH!$A$2:$S$2,0),FALSE)</f>
        <v>2123.4921826775462</v>
      </c>
      <c r="L44" s="410">
        <f>+GPpcntSCH*(VLOOKUP($A44,FY16ProjRev!$A$4:$I$24,9,FALSE))*VLOOKUP($A44,FY16ProjSCH!$A$3:$S$23,MATCH(L$28,FY16ProjSCH!$A$2:$S$2,0),FALSE)</f>
        <v>0</v>
      </c>
      <c r="M44" s="410">
        <f>+GPpcntSCH*(VLOOKUP($A44,FY16ProjRev!$A$4:$I$24,9,FALSE))*VLOOKUP($A44,FY16ProjSCH!$A$3:$S$23,MATCH(M$28,FY16ProjSCH!$A$2:$S$2,0),FALSE)</f>
        <v>0</v>
      </c>
      <c r="N44" s="410">
        <f>+GPpcntSCH*(VLOOKUP($A44,FY16ProjRev!$A$4:$I$24,9,FALSE))*VLOOKUP($A44,FY16ProjSCH!$A$3:$S$23,MATCH(N$28,FY16ProjSCH!$A$2:$S$2,0),FALSE)</f>
        <v>289.56711581966533</v>
      </c>
      <c r="O44" s="410">
        <f>+GPpcntSCH*(VLOOKUP($A44,FY16ProjRev!$A$4:$I$24,9,FALSE))*VLOOKUP($A44,FY16ProjSCH!$A$3:$S$23,MATCH(O$28,FY16ProjSCH!$A$2:$S$2,0),FALSE)</f>
        <v>0</v>
      </c>
      <c r="P44" s="410">
        <f>+GPpcntSCH*(VLOOKUP($A44,FY16ProjRev!$A$4:$I$24,9,FALSE))*VLOOKUP($A44,FY16ProjSCH!$A$3:$S$23,MATCH(P$28,FY16ProjSCH!$A$2:$S$2,0),FALSE)</f>
        <v>0</v>
      </c>
      <c r="Q44" s="410">
        <f>+GPpcntSCH*(VLOOKUP($A44,FY16ProjRev!$A$4:$I$24,9,FALSE))*VLOOKUP($A44,FY16ProjSCH!$A$3:$S$23,MATCH(Q$28,FY16ProjSCH!$A$2:$S$2,0),FALSE)</f>
        <v>482.61185969944228</v>
      </c>
      <c r="R44" s="410">
        <f>+GPpcntSCH*(VLOOKUP($A44,FY16ProjRev!$A$4:$I$24,9,FALSE))*VLOOKUP($A44,FY16ProjSCH!$A$3:$S$23,MATCH(R$28,FY16ProjSCH!$A$2:$S$2,0),FALSE)</f>
        <v>0</v>
      </c>
      <c r="S44" s="410">
        <f>+GPpcntSCH*(VLOOKUP($A44,FY16ProjRev!$A$4:$I$24,9,FALSE))*VLOOKUP($A44,FY16ProjSCH!$A$3:$S$23,MATCH(S$28,FY16ProjSCH!$A$2:$S$2,0),FALSE)</f>
        <v>386.08948775955383</v>
      </c>
      <c r="T44" s="441">
        <f t="shared" si="4"/>
        <v>238506.78106346438</v>
      </c>
    </row>
    <row r="45" spans="1:91" ht="20.100000000000001" customHeight="1">
      <c r="A45" s="404" t="s">
        <v>153</v>
      </c>
      <c r="B45" s="442" t="s">
        <v>100</v>
      </c>
      <c r="C45" s="443">
        <f>+GPpcntSCH*(VLOOKUP($A45,FY16ProjRev!$A$4:$I$24,9,FALSE))*VLOOKUP($A45,FY16ProjSCH!$A$3:$S$23,MATCH(C$28,FY16ProjSCH!$A$2:$S$2,0),FALSE)</f>
        <v>587.5012211526913</v>
      </c>
      <c r="D45" s="443">
        <f>+GPpcntSCH*(VLOOKUP($A45,FY16ProjRev!$A$4:$I$24,9,FALSE))*VLOOKUP($A45,FY16ProjSCH!$A$3:$S$23,MATCH(D$28,FY16ProjSCH!$A$2:$S$2,0),FALSE)</f>
        <v>881.25183172903712</v>
      </c>
      <c r="E45" s="443">
        <f>+GPpcntSCH*(VLOOKUP($A45,FY16ProjRev!$A$4:$I$24,9,FALSE))*VLOOKUP($A45,FY16ProjSCH!$A$3:$S$23,MATCH(E$28,FY16ProjSCH!$A$2:$S$2,0),FALSE)</f>
        <v>1566.6699230738436</v>
      </c>
      <c r="F45" s="443">
        <f>+GPpcntSCH*(VLOOKUP($A45,FY16ProjRev!$A$4:$I$24,9,FALSE))*VLOOKUP($A45,FY16ProjSCH!$A$3:$S$23,MATCH(F$28,FY16ProjSCH!$A$2:$S$2,0),FALSE)</f>
        <v>0</v>
      </c>
      <c r="G45" s="443">
        <f>+GPpcntSCH*(VLOOKUP($A45,FY16ProjRev!$A$4:$I$24,9,FALSE))*VLOOKUP($A45,FY16ProjSCH!$A$3:$S$23,MATCH(G$28,FY16ProjSCH!$A$2:$S$2,0),FALSE)</f>
        <v>0</v>
      </c>
      <c r="H45" s="443">
        <f>+GPpcntSCH*(VLOOKUP($A45,FY16ProjRev!$A$4:$I$24,9,FALSE))*VLOOKUP($A45,FY16ProjSCH!$A$3:$S$23,MATCH(H$28,FY16ProjSCH!$A$2:$S$2,0),FALSE)</f>
        <v>0</v>
      </c>
      <c r="I45" s="443">
        <f>+GPpcntSCH*(VLOOKUP($A45,FY16ProjRev!$A$4:$I$24,9,FALSE))*VLOOKUP($A45,FY16ProjSCH!$A$3:$S$23,MATCH(I$28,FY16ProjSCH!$A$2:$S$2,0),FALSE)</f>
        <v>293.75061057634565</v>
      </c>
      <c r="J45" s="443">
        <f>+GPpcntSCH*(VLOOKUP($A45,FY16ProjRev!$A$4:$I$24,9,FALSE))*VLOOKUP($A45,FY16ProjSCH!$A$3:$S$23,MATCH(J$28,FY16ProjSCH!$A$2:$S$2,0),FALSE)</f>
        <v>0</v>
      </c>
      <c r="K45" s="443">
        <f>+GPpcntSCH*(VLOOKUP($A45,FY16ProjRev!$A$4:$I$24,9,FALSE))*VLOOKUP($A45,FY16ProjSCH!$A$3:$S$23,MATCH(K$28,FY16ProjSCH!$A$2:$S$2,0),FALSE)</f>
        <v>1958.3374038423044</v>
      </c>
      <c r="L45" s="443">
        <f>+GPpcntSCH*(VLOOKUP($A45,FY16ProjRev!$A$4:$I$24,9,FALSE))*VLOOKUP($A45,FY16ProjSCH!$A$3:$S$23,MATCH(L$28,FY16ProjSCH!$A$2:$S$2,0),FALSE)</f>
        <v>587.5012211526913</v>
      </c>
      <c r="M45" s="443">
        <f>+GPpcntSCH*(VLOOKUP($A45,FY16ProjRev!$A$4:$I$24,9,FALSE))*VLOOKUP($A45,FY16ProjSCH!$A$3:$S$23,MATCH(M$28,FY16ProjSCH!$A$2:$S$2,0),FALSE)</f>
        <v>0</v>
      </c>
      <c r="N45" s="443">
        <f>+GPpcntSCH*(VLOOKUP($A45,FY16ProjRev!$A$4:$I$24,9,FALSE))*VLOOKUP($A45,FY16ProjSCH!$A$3:$S$23,MATCH(N$28,FY16ProjSCH!$A$2:$S$2,0),FALSE)</f>
        <v>3916.6748076846088</v>
      </c>
      <c r="O45" s="443">
        <f>+GPpcntSCH*(VLOOKUP($A45,FY16ProjRev!$A$4:$I$24,9,FALSE))*VLOOKUP($A45,FY16ProjSCH!$A$3:$S$23,MATCH(O$28,FY16ProjSCH!$A$2:$S$2,0),FALSE)</f>
        <v>199750.41519191506</v>
      </c>
      <c r="P45" s="443">
        <f>+GPpcntSCH*(VLOOKUP($A45,FY16ProjRev!$A$4:$I$24,9,FALSE))*VLOOKUP($A45,FY16ProjSCH!$A$3:$S$23,MATCH(P$28,FY16ProjSCH!$A$2:$S$2,0),FALSE)</f>
        <v>5483.3447307584529</v>
      </c>
      <c r="Q45" s="443">
        <f>+GPpcntSCH*(VLOOKUP($A45,FY16ProjRev!$A$4:$I$24,9,FALSE))*VLOOKUP($A45,FY16ProjSCH!$A$3:$S$23,MATCH(Q$28,FY16ProjSCH!$A$2:$S$2,0),FALSE)</f>
        <v>4895.843509605761</v>
      </c>
      <c r="R45" s="443">
        <f>+GPpcntSCH*(VLOOKUP($A45,FY16ProjRev!$A$4:$I$24,9,FALSE))*VLOOKUP($A45,FY16ProjSCH!$A$3:$S$23,MATCH(R$28,FY16ProjSCH!$A$2:$S$2,0),FALSE)</f>
        <v>0</v>
      </c>
      <c r="S45" s="443">
        <f>+GPpcntSCH*(VLOOKUP($A45,FY16ProjRev!$A$4:$I$24,9,FALSE))*VLOOKUP($A45,FY16ProjSCH!$A$3:$S$23,MATCH(S$28,FY16ProjSCH!$A$2:$S$2,0),FALSE)</f>
        <v>97.916870192115226</v>
      </c>
      <c r="T45" s="444">
        <f t="shared" si="4"/>
        <v>220019.20732168292</v>
      </c>
    </row>
    <row r="46" spans="1:91" s="18" customFormat="1" ht="20.100000000000001" customHeight="1">
      <c r="A46" s="404" t="s">
        <v>155</v>
      </c>
      <c r="B46" s="440" t="s">
        <v>42</v>
      </c>
      <c r="C46" s="410">
        <f>+GPpcntSCH*(VLOOKUP($A46,FY16ProjRev!$A$4:$I$24,9,FALSE))*VLOOKUP($A46,FY16ProjSCH!$A$3:$S$23,MATCH(C$28,FY16ProjSCH!$A$2:$S$2,0),FALSE)</f>
        <v>0</v>
      </c>
      <c r="D46" s="410">
        <f>+GPpcntSCH*(VLOOKUP($A46,FY16ProjRev!$A$4:$I$24,9,FALSE))*VLOOKUP($A46,FY16ProjSCH!$A$3:$S$23,MATCH(D$28,FY16ProjSCH!$A$2:$S$2,0),FALSE)</f>
        <v>1791.6389596900917</v>
      </c>
      <c r="E46" s="410">
        <f>+GPpcntSCH*(VLOOKUP($A46,FY16ProjRev!$A$4:$I$24,9,FALSE))*VLOOKUP($A46,FY16ProjSCH!$A$3:$S$23,MATCH(E$28,FY16ProjSCH!$A$2:$S$2,0),FALSE)</f>
        <v>716.65558387603676</v>
      </c>
      <c r="F46" s="410">
        <f>+GPpcntSCH*(VLOOKUP($A46,FY16ProjRev!$A$4:$I$24,9,FALSE))*VLOOKUP($A46,FY16ProjSCH!$A$3:$S$23,MATCH(F$28,FY16ProjSCH!$A$2:$S$2,0),FALSE)</f>
        <v>0</v>
      </c>
      <c r="G46" s="410">
        <f>+GPpcntSCH*(VLOOKUP($A46,FY16ProjRev!$A$4:$I$24,9,FALSE))*VLOOKUP($A46,FY16ProjSCH!$A$3:$S$23,MATCH(G$28,FY16ProjSCH!$A$2:$S$2,0),FALSE)</f>
        <v>0</v>
      </c>
      <c r="H46" s="410">
        <f>+GPpcntSCH*(VLOOKUP($A46,FY16ProjRev!$A$4:$I$24,9,FALSE))*VLOOKUP($A46,FY16ProjSCH!$A$3:$S$23,MATCH(H$28,FY16ProjSCH!$A$2:$S$2,0),FALSE)</f>
        <v>0</v>
      </c>
      <c r="I46" s="410">
        <f>+GPpcntSCH*(VLOOKUP($A46,FY16ProjRev!$A$4:$I$24,9,FALSE))*VLOOKUP($A46,FY16ProjSCH!$A$3:$S$23,MATCH(I$28,FY16ProjSCH!$A$2:$S$2,0),FALSE)</f>
        <v>0</v>
      </c>
      <c r="J46" s="410">
        <f>+GPpcntSCH*(VLOOKUP($A46,FY16ProjRev!$A$4:$I$24,9,FALSE))*VLOOKUP($A46,FY16ProjSCH!$A$3:$S$23,MATCH(J$28,FY16ProjSCH!$A$2:$S$2,0),FALSE)</f>
        <v>0</v>
      </c>
      <c r="K46" s="410">
        <f>+GPpcntSCH*(VLOOKUP($A46,FY16ProjRev!$A$4:$I$24,9,FALSE))*VLOOKUP($A46,FY16ProjSCH!$A$3:$S$23,MATCH(K$28,FY16ProjSCH!$A$2:$S$2,0),FALSE)</f>
        <v>0</v>
      </c>
      <c r="L46" s="410">
        <f>+GPpcntSCH*(VLOOKUP($A46,FY16ProjRev!$A$4:$I$24,9,FALSE))*VLOOKUP($A46,FY16ProjSCH!$A$3:$S$23,MATCH(L$28,FY16ProjSCH!$A$2:$S$2,0),FALSE)</f>
        <v>0</v>
      </c>
      <c r="M46" s="410">
        <f>+GPpcntSCH*(VLOOKUP($A46,FY16ProjRev!$A$4:$I$24,9,FALSE))*VLOOKUP($A46,FY16ProjSCH!$A$3:$S$23,MATCH(M$28,FY16ProjSCH!$A$2:$S$2,0),FALSE)</f>
        <v>143.33111677520733</v>
      </c>
      <c r="N46" s="410">
        <f>+GPpcntSCH*(VLOOKUP($A46,FY16ProjRev!$A$4:$I$24,9,FALSE))*VLOOKUP($A46,FY16ProjSCH!$A$3:$S$23,MATCH(N$28,FY16ProjSCH!$A$2:$S$2,0),FALSE)</f>
        <v>141324.48114035444</v>
      </c>
      <c r="O46" s="410">
        <f>+GPpcntSCH*(VLOOKUP($A46,FY16ProjRev!$A$4:$I$24,9,FALSE))*VLOOKUP($A46,FY16ProjSCH!$A$3:$S$23,MATCH(O$28,FY16ProjSCH!$A$2:$S$2,0),FALSE)</f>
        <v>2651.6256603413358</v>
      </c>
      <c r="P46" s="410">
        <f>+GPpcntSCH*(VLOOKUP($A46,FY16ProjRev!$A$4:$I$24,9,FALSE))*VLOOKUP($A46,FY16ProjSCH!$A$3:$S$23,MATCH(P$28,FY16ProjSCH!$A$2:$S$2,0),FALSE)</f>
        <v>1182123.3856035224</v>
      </c>
      <c r="Q46" s="410">
        <f>+GPpcntSCH*(VLOOKUP($A46,FY16ProjRev!$A$4:$I$24,9,FALSE))*VLOOKUP($A46,FY16ProjSCH!$A$3:$S$23,MATCH(Q$28,FY16ProjSCH!$A$2:$S$2,0),FALSE)</f>
        <v>12469.807159443038</v>
      </c>
      <c r="R46" s="410">
        <f>+GPpcntSCH*(VLOOKUP($A46,FY16ProjRev!$A$4:$I$24,9,FALSE))*VLOOKUP($A46,FY16ProjSCH!$A$3:$S$23,MATCH(R$28,FY16ProjSCH!$A$2:$S$2,0),FALSE)</f>
        <v>0</v>
      </c>
      <c r="S46" s="410">
        <f>+GPpcntSCH*(VLOOKUP($A46,FY16ProjRev!$A$4:$I$24,9,FALSE))*VLOOKUP($A46,FY16ProjSCH!$A$3:$S$23,MATCH(S$28,FY16ProjSCH!$A$2:$S$2,0),FALSE)</f>
        <v>0</v>
      </c>
      <c r="T46" s="441">
        <f t="shared" si="4"/>
        <v>1341220.9252240027</v>
      </c>
    </row>
    <row r="47" spans="1:91" ht="20.100000000000001" customHeight="1">
      <c r="A47" s="404" t="s">
        <v>162</v>
      </c>
      <c r="B47" s="442" t="s">
        <v>76</v>
      </c>
      <c r="C47" s="443">
        <f>+GPpcntSCH*(VLOOKUP($A47,FY16ProjRev!$A$4:$I$24,9,FALSE))*VLOOKUP($A47,FY16ProjSCH!$A$3:$S$23,MATCH(C$28,FY16ProjSCH!$A$2:$S$2,0),FALSE)</f>
        <v>0</v>
      </c>
      <c r="D47" s="443">
        <f>+GPpcntSCH*(VLOOKUP($A47,FY16ProjRev!$A$4:$I$24,9,FALSE))*VLOOKUP($A47,FY16ProjSCH!$A$3:$S$23,MATCH(D$28,FY16ProjSCH!$A$2:$S$2,0),FALSE)</f>
        <v>820.12076249580105</v>
      </c>
      <c r="E47" s="443">
        <f>+GPpcntSCH*(VLOOKUP($A47,FY16ProjRev!$A$4:$I$24,9,FALSE))*VLOOKUP($A47,FY16ProjSCH!$A$3:$S$23,MATCH(E$28,FY16ProjSCH!$A$2:$S$2,0),FALSE)</f>
        <v>0</v>
      </c>
      <c r="F47" s="443">
        <f>+GPpcntSCH*(VLOOKUP($A47,FY16ProjRev!$A$4:$I$24,9,FALSE))*VLOOKUP($A47,FY16ProjSCH!$A$3:$S$23,MATCH(F$28,FY16ProjSCH!$A$2:$S$2,0),FALSE)</f>
        <v>0</v>
      </c>
      <c r="G47" s="443">
        <f>+GPpcntSCH*(VLOOKUP($A47,FY16ProjRev!$A$4:$I$24,9,FALSE))*VLOOKUP($A47,FY16ProjSCH!$A$3:$S$23,MATCH(G$28,FY16ProjSCH!$A$2:$S$2,0),FALSE)</f>
        <v>1025.1509531197512</v>
      </c>
      <c r="H47" s="443">
        <f>+GPpcntSCH*(VLOOKUP($A47,FY16ProjRev!$A$4:$I$24,9,FALSE))*VLOOKUP($A47,FY16ProjSCH!$A$3:$S$23,MATCH(H$28,FY16ProjSCH!$A$2:$S$2,0),FALSE)</f>
        <v>205.03019062395026</v>
      </c>
      <c r="I47" s="443">
        <f>+GPpcntSCH*(VLOOKUP($A47,FY16ProjRev!$A$4:$I$24,9,FALSE))*VLOOKUP($A47,FY16ProjSCH!$A$3:$S$23,MATCH(I$28,FY16ProjSCH!$A$2:$S$2,0),FALSE)</f>
        <v>0</v>
      </c>
      <c r="J47" s="443">
        <f>+GPpcntSCH*(VLOOKUP($A47,FY16ProjRev!$A$4:$I$24,9,FALSE))*VLOOKUP($A47,FY16ProjSCH!$A$3:$S$23,MATCH(J$28,FY16ProjSCH!$A$2:$S$2,0),FALSE)</f>
        <v>0</v>
      </c>
      <c r="K47" s="443">
        <f>+GPpcntSCH*(VLOOKUP($A47,FY16ProjRev!$A$4:$I$24,9,FALSE))*VLOOKUP($A47,FY16ProjSCH!$A$3:$S$23,MATCH(K$28,FY16ProjSCH!$A$2:$S$2,0),FALSE)</f>
        <v>0</v>
      </c>
      <c r="L47" s="443">
        <f>+GPpcntSCH*(VLOOKUP($A47,FY16ProjRev!$A$4:$I$24,9,FALSE))*VLOOKUP($A47,FY16ProjSCH!$A$3:$S$23,MATCH(L$28,FY16ProjSCH!$A$2:$S$2,0),FALSE)</f>
        <v>0</v>
      </c>
      <c r="M47" s="443">
        <f>+GPpcntSCH*(VLOOKUP($A47,FY16ProjRev!$A$4:$I$24,9,FALSE))*VLOOKUP($A47,FY16ProjSCH!$A$3:$S$23,MATCH(M$28,FY16ProjSCH!$A$2:$S$2,0),FALSE)</f>
        <v>0</v>
      </c>
      <c r="N47" s="443">
        <f>+GPpcntSCH*(VLOOKUP($A47,FY16ProjRev!$A$4:$I$24,9,FALSE))*VLOOKUP($A47,FY16ProjSCH!$A$3:$S$23,MATCH(N$28,FY16ProjSCH!$A$2:$S$2,0),FALSE)</f>
        <v>2905961.2351101213</v>
      </c>
      <c r="O47" s="443">
        <f>+GPpcntSCH*(VLOOKUP($A47,FY16ProjRev!$A$4:$I$24,9,FALSE))*VLOOKUP($A47,FY16ProjSCH!$A$3:$S$23,MATCH(O$28,FY16ProjSCH!$A$2:$S$2,0),FALSE)</f>
        <v>0</v>
      </c>
      <c r="P47" s="443">
        <f>+GPpcntSCH*(VLOOKUP($A47,FY16ProjRev!$A$4:$I$24,9,FALSE))*VLOOKUP($A47,FY16ProjSCH!$A$3:$S$23,MATCH(P$28,FY16ProjSCH!$A$2:$S$2,0),FALSE)</f>
        <v>0</v>
      </c>
      <c r="Q47" s="443">
        <f>+GPpcntSCH*(VLOOKUP($A47,FY16ProjRev!$A$4:$I$24,9,FALSE))*VLOOKUP($A47,FY16ProjSCH!$A$3:$S$23,MATCH(Q$28,FY16ProjSCH!$A$2:$S$2,0),FALSE)</f>
        <v>6560.9660999664084</v>
      </c>
      <c r="R47" s="443">
        <f>+GPpcntSCH*(VLOOKUP($A47,FY16ProjRev!$A$4:$I$24,9,FALSE))*VLOOKUP($A47,FY16ProjSCH!$A$3:$S$23,MATCH(R$28,FY16ProjSCH!$A$2:$S$2,0),FALSE)</f>
        <v>0</v>
      </c>
      <c r="S47" s="443">
        <f>+GPpcntSCH*(VLOOKUP($A47,FY16ProjRev!$A$4:$I$24,9,FALSE))*VLOOKUP($A47,FY16ProjSCH!$A$3:$S$23,MATCH(S$28,FY16ProjSCH!$A$2:$S$2,0),FALSE)</f>
        <v>0</v>
      </c>
      <c r="T47" s="444">
        <f t="shared" si="4"/>
        <v>2914572.5031163273</v>
      </c>
    </row>
    <row r="48" spans="1:91" s="18" customFormat="1" ht="20.100000000000001" customHeight="1">
      <c r="A48" s="404" t="s">
        <v>156</v>
      </c>
      <c r="B48" s="440" t="s">
        <v>77</v>
      </c>
      <c r="C48" s="410">
        <f>+GPpcntSCH*(VLOOKUP($A48,FY16ProjRev!$A$4:$I$24,9,FALSE))*VLOOKUP($A48,FY16ProjSCH!$A$3:$S$23,MATCH(C$28,FY16ProjSCH!$A$2:$S$2,0),FALSE)</f>
        <v>0</v>
      </c>
      <c r="D48" s="410">
        <f>+GPpcntSCH*(VLOOKUP($A48,FY16ProjRev!$A$4:$I$24,9,FALSE))*VLOOKUP($A48,FY16ProjSCH!$A$3:$S$23,MATCH(D$28,FY16ProjSCH!$A$2:$S$2,0),FALSE)</f>
        <v>457.54119576828214</v>
      </c>
      <c r="E48" s="410">
        <f>+GPpcntSCH*(VLOOKUP($A48,FY16ProjRev!$A$4:$I$24,9,FALSE))*VLOOKUP($A48,FY16ProjSCH!$A$3:$S$23,MATCH(E$28,FY16ProjSCH!$A$2:$S$2,0),FALSE)</f>
        <v>0</v>
      </c>
      <c r="F48" s="410">
        <f>+GPpcntSCH*(VLOOKUP($A48,FY16ProjRev!$A$4:$I$24,9,FALSE))*VLOOKUP($A48,FY16ProjSCH!$A$3:$S$23,MATCH(F$28,FY16ProjSCH!$A$2:$S$2,0),FALSE)</f>
        <v>0</v>
      </c>
      <c r="G48" s="410">
        <f>+GPpcntSCH*(VLOOKUP($A48,FY16ProjRev!$A$4:$I$24,9,FALSE))*VLOOKUP($A48,FY16ProjSCH!$A$3:$S$23,MATCH(G$28,FY16ProjSCH!$A$2:$S$2,0),FALSE)</f>
        <v>0</v>
      </c>
      <c r="H48" s="410">
        <f>+GPpcntSCH*(VLOOKUP($A48,FY16ProjRev!$A$4:$I$24,9,FALSE))*VLOOKUP($A48,FY16ProjSCH!$A$3:$S$23,MATCH(H$28,FY16ProjSCH!$A$2:$S$2,0),FALSE)</f>
        <v>0</v>
      </c>
      <c r="I48" s="410">
        <f>+GPpcntSCH*(VLOOKUP($A48,FY16ProjRev!$A$4:$I$24,9,FALSE))*VLOOKUP($A48,FY16ProjSCH!$A$3:$S$23,MATCH(I$28,FY16ProjSCH!$A$2:$S$2,0),FALSE)</f>
        <v>0</v>
      </c>
      <c r="J48" s="410">
        <f>+GPpcntSCH*(VLOOKUP($A48,FY16ProjRev!$A$4:$I$24,9,FALSE))*VLOOKUP($A48,FY16ProjSCH!$A$3:$S$23,MATCH(J$28,FY16ProjSCH!$A$2:$S$2,0),FALSE)</f>
        <v>0</v>
      </c>
      <c r="K48" s="410">
        <f>+GPpcntSCH*(VLOOKUP($A48,FY16ProjRev!$A$4:$I$24,9,FALSE))*VLOOKUP($A48,FY16ProjSCH!$A$3:$S$23,MATCH(K$28,FY16ProjSCH!$A$2:$S$2,0),FALSE)</f>
        <v>0</v>
      </c>
      <c r="L48" s="410">
        <f>+GPpcntSCH*(VLOOKUP($A48,FY16ProjRev!$A$4:$I$24,9,FALSE))*VLOOKUP($A48,FY16ProjSCH!$A$3:$S$23,MATCH(L$28,FY16ProjSCH!$A$2:$S$2,0),FALSE)</f>
        <v>0</v>
      </c>
      <c r="M48" s="410">
        <f>+GPpcntSCH*(VLOOKUP($A48,FY16ProjRev!$A$4:$I$24,9,FALSE))*VLOOKUP($A48,FY16ProjSCH!$A$3:$S$23,MATCH(M$28,FY16ProjSCH!$A$2:$S$2,0),FALSE)</f>
        <v>1087194.1380113997</v>
      </c>
      <c r="N48" s="410">
        <f>+GPpcntSCH*(VLOOKUP($A48,FY16ProjRev!$A$4:$I$24,9,FALSE))*VLOOKUP($A48,FY16ProjSCH!$A$3:$S$23,MATCH(N$28,FY16ProjSCH!$A$2:$S$2,0),FALSE)</f>
        <v>161893.32643601048</v>
      </c>
      <c r="O48" s="410">
        <f>+GPpcntSCH*(VLOOKUP($A48,FY16ProjRev!$A$4:$I$24,9,FALSE))*VLOOKUP($A48,FY16ProjSCH!$A$3:$S$23,MATCH(O$28,FY16ProjSCH!$A$2:$S$2,0),FALSE)</f>
        <v>0</v>
      </c>
      <c r="P48" s="410">
        <f>+GPpcntSCH*(VLOOKUP($A48,FY16ProjRev!$A$4:$I$24,9,FALSE))*VLOOKUP($A48,FY16ProjSCH!$A$3:$S$23,MATCH(P$28,FY16ProjSCH!$A$2:$S$2,0),FALSE)</f>
        <v>0</v>
      </c>
      <c r="Q48" s="410">
        <f>+GPpcntSCH*(VLOOKUP($A48,FY16ProjRev!$A$4:$I$24,9,FALSE))*VLOOKUP($A48,FY16ProjSCH!$A$3:$S$23,MATCH(Q$28,FY16ProjSCH!$A$2:$S$2,0),FALSE)</f>
        <v>0</v>
      </c>
      <c r="R48" s="410">
        <f>+GPpcntSCH*(VLOOKUP($A48,FY16ProjRev!$A$4:$I$24,9,FALSE))*VLOOKUP($A48,FY16ProjSCH!$A$3:$S$23,MATCH(R$28,FY16ProjSCH!$A$2:$S$2,0),FALSE)</f>
        <v>0</v>
      </c>
      <c r="S48" s="410">
        <f>+GPpcntSCH*(VLOOKUP($A48,FY16ProjRev!$A$4:$I$24,9,FALSE))*VLOOKUP($A48,FY16ProjSCH!$A$3:$S$23,MATCH(S$28,FY16ProjSCH!$A$2:$S$2,0),FALSE)</f>
        <v>0</v>
      </c>
      <c r="T48" s="441">
        <f t="shared" si="4"/>
        <v>1249545.0056431785</v>
      </c>
    </row>
    <row r="49" spans="1:20" ht="20.100000000000001" customHeight="1">
      <c r="A49" s="404" t="s">
        <v>163</v>
      </c>
      <c r="B49" s="445" t="s">
        <v>164</v>
      </c>
      <c r="C49" s="443">
        <f>+GPpcntSCH*(VLOOKUP($A49,FY16ProjRev!$A$4:$I$24,9,FALSE))*VLOOKUP($A49,FY16ProjSCH!$A$3:$S$23,MATCH(C$28,FY16ProjSCH!$A$2:$S$2,0),FALSE)</f>
        <v>0</v>
      </c>
      <c r="D49" s="443">
        <f>+GPpcntSCH*(VLOOKUP($A49,FY16ProjRev!$A$4:$I$24,9,FALSE))*VLOOKUP($A49,FY16ProjSCH!$A$3:$S$23,MATCH(D$28,FY16ProjSCH!$A$2:$S$2,0),FALSE)</f>
        <v>0</v>
      </c>
      <c r="E49" s="443">
        <f>+GPpcntSCH*(VLOOKUP($A49,FY16ProjRev!$A$4:$I$24,9,FALSE))*VLOOKUP($A49,FY16ProjSCH!$A$3:$S$23,MATCH(E$28,FY16ProjSCH!$A$2:$S$2,0),FALSE)</f>
        <v>0</v>
      </c>
      <c r="F49" s="443">
        <f>+GPpcntSCH*(VLOOKUP($A49,FY16ProjRev!$A$4:$I$24,9,FALSE))*VLOOKUP($A49,FY16ProjSCH!$A$3:$S$23,MATCH(F$28,FY16ProjSCH!$A$2:$S$2,0),FALSE)</f>
        <v>0</v>
      </c>
      <c r="G49" s="443">
        <f>+GPpcntSCH*(VLOOKUP($A49,FY16ProjRev!$A$4:$I$24,9,FALSE))*VLOOKUP($A49,FY16ProjSCH!$A$3:$S$23,MATCH(G$28,FY16ProjSCH!$A$2:$S$2,0),FALSE)</f>
        <v>0</v>
      </c>
      <c r="H49" s="443">
        <f>+GPpcntSCH*(VLOOKUP($A49,FY16ProjRev!$A$4:$I$24,9,FALSE))*VLOOKUP($A49,FY16ProjSCH!$A$3:$S$23,MATCH(H$28,FY16ProjSCH!$A$2:$S$2,0),FALSE)</f>
        <v>0</v>
      </c>
      <c r="I49" s="443">
        <f>+GPpcntSCH*(VLOOKUP($A49,FY16ProjRev!$A$4:$I$24,9,FALSE))*VLOOKUP($A49,FY16ProjSCH!$A$3:$S$23,MATCH(I$28,FY16ProjSCH!$A$2:$S$2,0),FALSE)</f>
        <v>0</v>
      </c>
      <c r="J49" s="443">
        <f>+GPpcntSCH*(VLOOKUP($A49,FY16ProjRev!$A$4:$I$24,9,FALSE))*VLOOKUP($A49,FY16ProjSCH!$A$3:$S$23,MATCH(J$28,FY16ProjSCH!$A$2:$S$2,0),FALSE)</f>
        <v>0</v>
      </c>
      <c r="K49" s="443">
        <f>+GPpcntSCH*(VLOOKUP($A49,FY16ProjRev!$A$4:$I$24,9,FALSE))*VLOOKUP($A49,FY16ProjSCH!$A$3:$S$23,MATCH(K$28,FY16ProjSCH!$A$2:$S$2,0),FALSE)</f>
        <v>0</v>
      </c>
      <c r="L49" s="443">
        <f>+GPpcntSCH*(VLOOKUP($A49,FY16ProjRev!$A$4:$I$24,9,FALSE))*VLOOKUP($A49,FY16ProjSCH!$A$3:$S$23,MATCH(L$28,FY16ProjSCH!$A$2:$S$2,0),FALSE)</f>
        <v>0</v>
      </c>
      <c r="M49" s="443">
        <f>+GPpcntSCH*(VLOOKUP($A49,FY16ProjRev!$A$4:$I$24,9,FALSE))*VLOOKUP($A49,FY16ProjSCH!$A$3:$S$23,MATCH(M$28,FY16ProjSCH!$A$2:$S$2,0),FALSE)</f>
        <v>176652.25692184805</v>
      </c>
      <c r="N49" s="443">
        <f>+GPpcntSCH*(VLOOKUP($A49,FY16ProjRev!$A$4:$I$24,9,FALSE))*VLOOKUP($A49,FY16ProjSCH!$A$3:$S$23,MATCH(N$28,FY16ProjSCH!$A$2:$S$2,0),FALSE)</f>
        <v>1857.9929935145828</v>
      </c>
      <c r="O49" s="443">
        <f>+GPpcntSCH*(VLOOKUP($A49,FY16ProjRev!$A$4:$I$24,9,FALSE))*VLOOKUP($A49,FY16ProjSCH!$A$3:$S$23,MATCH(O$28,FY16ProjSCH!$A$2:$S$2,0),FALSE)</f>
        <v>0</v>
      </c>
      <c r="P49" s="443">
        <f>+GPpcntSCH*(VLOOKUP($A49,FY16ProjRev!$A$4:$I$24,9,FALSE))*VLOOKUP($A49,FY16ProjSCH!$A$3:$S$23,MATCH(P$28,FY16ProjSCH!$A$2:$S$2,0),FALSE)</f>
        <v>0</v>
      </c>
      <c r="Q49" s="443">
        <f>+GPpcntSCH*(VLOOKUP($A49,FY16ProjRev!$A$4:$I$24,9,FALSE))*VLOOKUP($A49,FY16ProjSCH!$A$3:$S$23,MATCH(Q$28,FY16ProjSCH!$A$2:$S$2,0),FALSE)</f>
        <v>857.53522777596129</v>
      </c>
      <c r="R49" s="443">
        <f>+GPpcntSCH*(VLOOKUP($A49,FY16ProjRev!$A$4:$I$24,9,FALSE))*VLOOKUP($A49,FY16ProjSCH!$A$3:$S$23,MATCH(R$28,FY16ProjSCH!$A$2:$S$2,0),FALSE)</f>
        <v>0</v>
      </c>
      <c r="S49" s="443">
        <f>+GPpcntSCH*(VLOOKUP($A49,FY16ProjRev!$A$4:$I$24,9,FALSE))*VLOOKUP($A49,FY16ProjSCH!$A$3:$S$23,MATCH(S$28,FY16ProjSCH!$A$2:$S$2,0),FALSE)</f>
        <v>0</v>
      </c>
      <c r="T49" s="446">
        <f t="shared" si="4"/>
        <v>179367.78514313858</v>
      </c>
    </row>
    <row r="50" spans="1:20" ht="20.100000000000001" customHeight="1">
      <c r="A50" s="405"/>
      <c r="B50" s="447" t="s">
        <v>17</v>
      </c>
      <c r="C50" s="448">
        <f t="shared" ref="C50:S50" si="5">SUM(C29:C49)</f>
        <v>4544939.4790003542</v>
      </c>
      <c r="D50" s="448">
        <f t="shared" si="5"/>
        <v>112045833.0475881</v>
      </c>
      <c r="E50" s="448">
        <f t="shared" si="5"/>
        <v>11764304.441013949</v>
      </c>
      <c r="F50" s="448">
        <f t="shared" si="5"/>
        <v>3168328.048061532</v>
      </c>
      <c r="G50" s="448">
        <f t="shared" si="5"/>
        <v>17559418.937285785</v>
      </c>
      <c r="H50" s="448">
        <f t="shared" si="5"/>
        <v>10301508.47812069</v>
      </c>
      <c r="I50" s="448">
        <f t="shared" si="5"/>
        <v>2361299.4246165422</v>
      </c>
      <c r="J50" s="448">
        <f t="shared" si="5"/>
        <v>2319752.1699283798</v>
      </c>
      <c r="K50" s="448">
        <f t="shared" si="5"/>
        <v>847533.27879740926</v>
      </c>
      <c r="L50" s="448">
        <f t="shared" si="5"/>
        <v>1150934.058825277</v>
      </c>
      <c r="M50" s="448">
        <f t="shared" si="5"/>
        <v>1274302.2065163238</v>
      </c>
      <c r="N50" s="448">
        <f t="shared" si="5"/>
        <v>8612997.9373347536</v>
      </c>
      <c r="O50" s="448">
        <f t="shared" si="5"/>
        <v>1698792.8632967859</v>
      </c>
      <c r="P50" s="448">
        <f t="shared" si="5"/>
        <v>1300765.3620945639</v>
      </c>
      <c r="Q50" s="448">
        <f t="shared" si="5"/>
        <v>3519065.7775311871</v>
      </c>
      <c r="R50" s="448">
        <f t="shared" si="5"/>
        <v>2281269.4901639698</v>
      </c>
      <c r="S50" s="448">
        <f t="shared" si="5"/>
        <v>230164.19896306278</v>
      </c>
      <c r="T50" s="448">
        <f>SUM(C50:S50)</f>
        <v>184981209.19913867</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+UGpcntDeg*(VLOOKUP($A53,FY16ProjRev!$A$4:$I$24,9,FALSE))*VLOOKUP($A53,FY16ProjMjrs!$A$3:$S$23,MATCH(C$28,FY16ProjMjrs!$A$2:$S$2,0),FALSE)</f>
        <v>1448032.3497583573</v>
      </c>
      <c r="D53" s="455">
        <f>+UGpcntDeg*(VLOOKUP($A53,FY16ProjRev!$A$4:$I$24,9,FALSE))*VLOOKUP($A53,FY16ProjMjrs!$A$3:$S$23,MATCH(D$28,FY16ProjMjrs!$A$2:$S$2,0),FALSE)</f>
        <v>70656221.352048397</v>
      </c>
      <c r="E53" s="455">
        <f>+UGpcntDeg*(VLOOKUP($A53,FY16ProjRev!$A$4:$I$24,9,FALSE))*VLOOKUP($A53,FY16ProjMjrs!$A$3:$S$23,MATCH(E$28,FY16ProjMjrs!$A$2:$S$2,0),FALSE)</f>
        <v>12153128.649757639</v>
      </c>
      <c r="F53" s="455">
        <f>+UGpcntDeg*(VLOOKUP($A53,FY16ProjRev!$A$4:$I$24,9,FALSE))*VLOOKUP($A53,FY16ProjMjrs!$A$3:$S$23,MATCH(F$28,FY16ProjMjrs!$A$2:$S$2,0),FALSE)</f>
        <v>1305814.8868356613</v>
      </c>
      <c r="G53" s="455">
        <f>+UGpcntDeg*(VLOOKUP($A53,FY16ProjRev!$A$4:$I$24,9,FALSE))*VLOOKUP($A53,FY16ProjMjrs!$A$3:$S$23,MATCH(G$28,FY16ProjMjrs!$A$2:$S$2,0),FALSE)</f>
        <v>12644425.339854226</v>
      </c>
      <c r="H53" s="455">
        <f>+UGpcntDeg*(VLOOKUP($A53,FY16ProjRev!$A$4:$I$24,9,FALSE))*VLOOKUP($A53,FY16ProjMjrs!$A$3:$S$23,MATCH(H$28,FY16ProjMjrs!$A$2:$S$2,0),FALSE)</f>
        <v>3814013.7783813872</v>
      </c>
      <c r="I53" s="455">
        <f>+UGpcntDeg*(VLOOKUP($A53,FY16ProjRev!$A$4:$I$24,9,FALSE))*VLOOKUP($A53,FY16ProjMjrs!$A$3:$S$23,MATCH(I$28,FY16ProjMjrs!$A$2:$S$2,0),FALSE)</f>
        <v>1292886.0265699618</v>
      </c>
      <c r="J53" s="455">
        <f>+UGpcntDeg*(VLOOKUP($A53,FY16ProjRev!$A$4:$I$24,9,FALSE))*VLOOKUP($A53,FY16ProjMjrs!$A$3:$S$23,MATCH(J$28,FY16ProjMjrs!$A$2:$S$2,0),FALSE)</f>
        <v>0</v>
      </c>
      <c r="K53" s="455">
        <f>+UGpcntDeg*(VLOOKUP($A53,FY16ProjRev!$A$4:$I$24,9,FALSE))*VLOOKUP($A53,FY16ProjMjrs!$A$3:$S$23,MATCH(K$28,FY16ProjMjrs!$A$2:$S$2,0),FALSE)</f>
        <v>0</v>
      </c>
      <c r="L53" s="455">
        <f>+UGpcntDeg*(VLOOKUP($A53,FY16ProjRev!$A$4:$I$24,9,FALSE))*VLOOKUP($A53,FY16ProjMjrs!$A$3:$S$23,MATCH(L$28,FY16ProjMjrs!$A$2:$S$2,0),FALSE)</f>
        <v>530083.27089368436</v>
      </c>
      <c r="M53" s="455">
        <f>+UGpcntDeg*(VLOOKUP($A53,FY16ProjRev!$A$4:$I$24,9,FALSE))*VLOOKUP($A53,FY16ProjMjrs!$A$3:$S$23,MATCH(M$28,FY16ProjMjrs!$A$2:$S$2,0),FALSE)</f>
        <v>0</v>
      </c>
      <c r="N53" s="455">
        <f>+UGpcntDeg*(VLOOKUP($A53,FY16ProjRev!$A$4:$I$24,9,FALSE))*VLOOKUP($A53,FY16ProjMjrs!$A$3:$S$23,MATCH(N$28,FY16ProjMjrs!$A$2:$S$2,0),FALSE)</f>
        <v>2650416.3544684215</v>
      </c>
      <c r="O53" s="455">
        <f>+UGpcntDeg*(VLOOKUP($A53,FY16ProjRev!$A$4:$I$24,9,FALSE))*VLOOKUP($A53,FY16ProjMjrs!$A$3:$S$23,MATCH(O$28,FY16ProjMjrs!$A$2:$S$2,0),FALSE)</f>
        <v>1835898.1577293456</v>
      </c>
      <c r="P53" s="455">
        <f>+UGpcntDeg*(VLOOKUP($A53,FY16ProjRev!$A$4:$I$24,9,FALSE))*VLOOKUP($A53,FY16ProjMjrs!$A$3:$S$23,MATCH(P$28,FY16ProjMjrs!$A$2:$S$2,0),FALSE)</f>
        <v>0</v>
      </c>
      <c r="Q53" s="455">
        <f>+UGpcntDeg*(VLOOKUP($A53,FY16ProjRev!$A$4:$I$24,9,FALSE))*VLOOKUP($A53,FY16ProjMjrs!$A$3:$S$23,MATCH(Q$28,FY16ProjMjrs!$A$2:$S$2,0),FALSE)</f>
        <v>2314265.9875602312</v>
      </c>
      <c r="R53" s="455">
        <f>+UGpcntDeg*(VLOOKUP($A53,FY16ProjRev!$A$4:$I$24,9,FALSE))*VLOOKUP($A53,FY16ProjMjrs!$A$3:$S$23,MATCH(R$28,FY16ProjMjrs!$A$2:$S$2,0),FALSE)</f>
        <v>168075.18345409504</v>
      </c>
      <c r="S53" s="455">
        <f>+UGpcntDeg*(VLOOKUP($A53,FY16ProjRev!$A$4:$I$24,9,FALSE))*VLOOKUP($A53,FY16ProjMjrs!$A$3:$S$23,MATCH(S$28,FY16ProjMjrs!$A$2:$S$2,0),FALSE)</f>
        <v>0</v>
      </c>
      <c r="T53" s="455">
        <f t="shared" ref="T53:T74" si="6">SUM(C53:Q53)+R53+S53</f>
        <v>110813261.3373114</v>
      </c>
    </row>
    <row r="54" spans="1:20" s="18" customFormat="1" ht="20.100000000000001" customHeight="1">
      <c r="A54" s="404" t="s">
        <v>129</v>
      </c>
      <c r="B54" s="440" t="s">
        <v>35</v>
      </c>
      <c r="C54" s="410">
        <f>+GPpcntMjr*(VLOOKUP($A54,FY16ProjRev!$A$4:$I$24,9,FALSE))*VLOOKUP($A54,FY16ProjMjrs!$A$3:$S$23,MATCH(C$28,FY16ProjMjrs!$A$2:$S$2,0),FALSE)</f>
        <v>72437.926527908276</v>
      </c>
      <c r="D54" s="410">
        <f>+GPpcntMjr*(VLOOKUP($A54,FY16ProjRev!$A$4:$I$24,9,FALSE))*VLOOKUP($A54,FY16ProjMjrs!$A$3:$S$23,MATCH(D$28,FY16ProjMjrs!$A$2:$S$2,0),FALSE)</f>
        <v>7341209.1746731866</v>
      </c>
      <c r="E54" s="410">
        <f>+GPpcntMjr*(VLOOKUP($A54,FY16ProjRev!$A$4:$I$24,9,FALSE))*VLOOKUP($A54,FY16ProjMjrs!$A$3:$S$23,MATCH(E$28,FY16ProjMjrs!$A$2:$S$2,0),FALSE)</f>
        <v>273515.61913123989</v>
      </c>
      <c r="F54" s="410">
        <f>+GPpcntMjr*(VLOOKUP($A54,FY16ProjRev!$A$4:$I$24,9,FALSE))*VLOOKUP($A54,FY16ProjMjrs!$A$3:$S$23,MATCH(F$28,FY16ProjMjrs!$A$2:$S$2,0),FALSE)</f>
        <v>23729.66558672857</v>
      </c>
      <c r="G54" s="410">
        <f>+GPpcntMjr*(VLOOKUP($A54,FY16ProjRev!$A$4:$I$24,9,FALSE))*VLOOKUP($A54,FY16ProjMjrs!$A$3:$S$23,MATCH(G$28,FY16ProjMjrs!$A$2:$S$2,0),FALSE)</f>
        <v>450863.64614784293</v>
      </c>
      <c r="H54" s="410">
        <f>+GPpcntMjr*(VLOOKUP($A54,FY16ProjRev!$A$4:$I$24,9,FALSE))*VLOOKUP($A54,FY16ProjMjrs!$A$3:$S$23,MATCH(H$28,FY16ProjMjrs!$A$2:$S$2,0),FALSE)</f>
        <v>0</v>
      </c>
      <c r="I54" s="410">
        <f>+GPpcntMjr*(VLOOKUP($A54,FY16ProjRev!$A$4:$I$24,9,FALSE))*VLOOKUP($A54,FY16ProjMjrs!$A$3:$S$23,MATCH(I$28,FY16ProjMjrs!$A$2:$S$2,0),FALSE)</f>
        <v>186090.53539066087</v>
      </c>
      <c r="J54" s="410">
        <f>+GPpcntMjr*(VLOOKUP($A54,FY16ProjRev!$A$4:$I$24,9,FALSE))*VLOOKUP($A54,FY16ProjMjrs!$A$3:$S$23,MATCH(J$28,FY16ProjMjrs!$A$2:$S$2,0),FALSE)</f>
        <v>3746.7893031676695</v>
      </c>
      <c r="K54" s="410">
        <f>+GPpcntMjr*(VLOOKUP($A54,FY16ProjRev!$A$4:$I$24,9,FALSE))*VLOOKUP($A54,FY16ProjMjrs!$A$3:$S$23,MATCH(K$28,FY16ProjMjrs!$A$2:$S$2,0),FALSE)</f>
        <v>64944.347921572924</v>
      </c>
      <c r="L54" s="410">
        <f>+GPpcntMjr*(VLOOKUP($A54,FY16ProjRev!$A$4:$I$24,9,FALSE))*VLOOKUP($A54,FY16ProjMjrs!$A$3:$S$23,MATCH(L$28,FY16ProjMjrs!$A$2:$S$2,0),FALSE)</f>
        <v>1248.9297677225563</v>
      </c>
      <c r="M54" s="410">
        <f>+GPpcntMjr*(VLOOKUP($A54,FY16ProjRev!$A$4:$I$24,9,FALSE))*VLOOKUP($A54,FY16ProjMjrs!$A$3:$S$23,MATCH(M$28,FY16ProjMjrs!$A$2:$S$2,0),FALSE)</f>
        <v>0</v>
      </c>
      <c r="N54" s="410">
        <f>+GPpcntMjr*(VLOOKUP($A54,FY16ProjRev!$A$4:$I$24,9,FALSE))*VLOOKUP($A54,FY16ProjMjrs!$A$3:$S$23,MATCH(N$28,FY16ProjMjrs!$A$2:$S$2,0),FALSE)</f>
        <v>1597381.17291715</v>
      </c>
      <c r="O54" s="410">
        <f>+GPpcntMjr*(VLOOKUP($A54,FY16ProjRev!$A$4:$I$24,9,FALSE))*VLOOKUP($A54,FY16ProjMjrs!$A$3:$S$23,MATCH(O$28,FY16ProjMjrs!$A$2:$S$2,0),FALSE)</f>
        <v>2497.8595354451127</v>
      </c>
      <c r="P54" s="410">
        <f>+GPpcntMjr*(VLOOKUP($A54,FY16ProjRev!$A$4:$I$24,9,FALSE))*VLOOKUP($A54,FY16ProjMjrs!$A$3:$S$23,MATCH(P$28,FY16ProjMjrs!$A$2:$S$2,0),FALSE)</f>
        <v>259777.3916862917</v>
      </c>
      <c r="Q54" s="410">
        <f>+GPpcntMjr*(VLOOKUP($A54,FY16ProjRev!$A$4:$I$24,9,FALSE))*VLOOKUP($A54,FY16ProjMjrs!$A$3:$S$23,MATCH(Q$28,FY16ProjMjrs!$A$2:$S$2,0),FALSE)</f>
        <v>2497.8595354451127</v>
      </c>
      <c r="R54" s="410">
        <f>+GPpcntMjr*(VLOOKUP($A54,FY16ProjRev!$A$4:$I$24,9,FALSE))*VLOOKUP($A54,FY16ProjMjrs!$A$3:$S$23,MATCH(R$28,FY16ProjMjrs!$A$2:$S$2,0),FALSE)</f>
        <v>0</v>
      </c>
      <c r="S54" s="410">
        <f>+GPpcntMjr*(VLOOKUP($A54,FY16ProjRev!$A$4:$I$24,9,FALSE))*VLOOKUP($A54,FY16ProjMjrs!$A$3:$S$23,MATCH(S$28,FY16ProjMjrs!$A$2:$S$2,0),FALSE)</f>
        <v>896731.5732247954</v>
      </c>
      <c r="T54" s="410">
        <f t="shared" si="6"/>
        <v>11176672.491349157</v>
      </c>
    </row>
    <row r="55" spans="1:20" ht="20.100000000000001" customHeight="1">
      <c r="A55" s="404" t="s">
        <v>140</v>
      </c>
      <c r="B55" s="456" t="s">
        <v>36</v>
      </c>
      <c r="C55" s="457">
        <f>+GPpcntMjr*(VLOOKUP($A55,FY16ProjRev!$A$4:$I$24,9,FALSE))*VLOOKUP($A55,FY16ProjMjrs!$A$3:$S$23,MATCH(C$28,FY16ProjMjrs!$A$2:$S$2,0),FALSE)</f>
        <v>0</v>
      </c>
      <c r="D55" s="457">
        <f>+GPpcntMjr*(VLOOKUP($A55,FY16ProjRev!$A$4:$I$24,9,FALSE))*VLOOKUP($A55,FY16ProjMjrs!$A$3:$S$23,MATCH(D$28,FY16ProjMjrs!$A$2:$S$2,0),FALSE)</f>
        <v>0</v>
      </c>
      <c r="E55" s="457">
        <f>+GPpcntMjr*(VLOOKUP($A55,FY16ProjRev!$A$4:$I$24,9,FALSE))*VLOOKUP($A55,FY16ProjMjrs!$A$3:$S$23,MATCH(E$28,FY16ProjMjrs!$A$2:$S$2,0),FALSE)</f>
        <v>0</v>
      </c>
      <c r="F55" s="457">
        <f>+GPpcntMjr*(VLOOKUP($A55,FY16ProjRev!$A$4:$I$24,9,FALSE))*VLOOKUP($A55,FY16ProjMjrs!$A$3:$S$23,MATCH(F$28,FY16ProjMjrs!$A$2:$S$2,0),FALSE)</f>
        <v>0</v>
      </c>
      <c r="G55" s="457">
        <f>+GPpcntMjr*(VLOOKUP($A55,FY16ProjRev!$A$4:$I$24,9,FALSE))*VLOOKUP($A55,FY16ProjMjrs!$A$3:$S$23,MATCH(G$28,FY16ProjMjrs!$A$2:$S$2,0),FALSE)</f>
        <v>0</v>
      </c>
      <c r="H55" s="457">
        <f>+GPpcntMjr*(VLOOKUP($A55,FY16ProjRev!$A$4:$I$24,9,FALSE))*VLOOKUP($A55,FY16ProjMjrs!$A$3:$S$23,MATCH(H$28,FY16ProjMjrs!$A$2:$S$2,0),FALSE)</f>
        <v>0</v>
      </c>
      <c r="I55" s="457">
        <f>+GPpcntMjr*(VLOOKUP($A55,FY16ProjRev!$A$4:$I$24,9,FALSE))*VLOOKUP($A55,FY16ProjMjrs!$A$3:$S$23,MATCH(I$28,FY16ProjMjrs!$A$2:$S$2,0),FALSE)</f>
        <v>0</v>
      </c>
      <c r="J55" s="457">
        <f>+GPpcntMjr*(VLOOKUP($A55,FY16ProjRev!$A$4:$I$24,9,FALSE))*VLOOKUP($A55,FY16ProjMjrs!$A$3:$S$23,MATCH(J$28,FY16ProjMjrs!$A$2:$S$2,0),FALSE)</f>
        <v>0</v>
      </c>
      <c r="K55" s="457">
        <f>+GPpcntMjr*(VLOOKUP($A55,FY16ProjRev!$A$4:$I$24,9,FALSE))*VLOOKUP($A55,FY16ProjMjrs!$A$3:$S$23,MATCH(K$28,FY16ProjMjrs!$A$2:$S$2,0),FALSE)</f>
        <v>0</v>
      </c>
      <c r="L55" s="457">
        <f>+GPpcntMjr*(VLOOKUP($A55,FY16ProjRev!$A$4:$I$24,9,FALSE))*VLOOKUP($A55,FY16ProjMjrs!$A$3:$S$23,MATCH(L$28,FY16ProjMjrs!$A$2:$S$2,0),FALSE)</f>
        <v>225503.37953026342</v>
      </c>
      <c r="M55" s="457">
        <f>+GPpcntMjr*(VLOOKUP($A55,FY16ProjRev!$A$4:$I$24,9,FALSE))*VLOOKUP($A55,FY16ProjMjrs!$A$3:$S$23,MATCH(M$28,FY16ProjMjrs!$A$2:$S$2,0),FALSE)</f>
        <v>0</v>
      </c>
      <c r="N55" s="457">
        <f>+GPpcntMjr*(VLOOKUP($A55,FY16ProjRev!$A$4:$I$24,9,FALSE))*VLOOKUP($A55,FY16ProjMjrs!$A$3:$S$23,MATCH(N$28,FY16ProjMjrs!$A$2:$S$2,0),FALSE)</f>
        <v>686209.20867811353</v>
      </c>
      <c r="O55" s="457">
        <f>+GPpcntMjr*(VLOOKUP($A55,FY16ProjRev!$A$4:$I$24,9,FALSE))*VLOOKUP($A55,FY16ProjMjrs!$A$3:$S$23,MATCH(O$28,FY16ProjMjrs!$A$2:$S$2,0),FALSE)</f>
        <v>0</v>
      </c>
      <c r="P55" s="457">
        <f>+GPpcntMjr*(VLOOKUP($A55,FY16ProjRev!$A$4:$I$24,9,FALSE))*VLOOKUP($A55,FY16ProjMjrs!$A$3:$S$23,MATCH(P$28,FY16ProjMjrs!$A$2:$S$2,0),FALSE)</f>
        <v>0</v>
      </c>
      <c r="Q55" s="457">
        <f>+GPpcntMjr*(VLOOKUP($A55,FY16ProjRev!$A$4:$I$24,9,FALSE))*VLOOKUP($A55,FY16ProjMjrs!$A$3:$S$23,MATCH(Q$28,FY16ProjMjrs!$A$2:$S$2,0),FALSE)</f>
        <v>0</v>
      </c>
      <c r="R55" s="457">
        <f>+GPpcntMjr*(VLOOKUP($A55,FY16ProjRev!$A$4:$I$24,9,FALSE))*VLOOKUP($A55,FY16ProjMjrs!$A$3:$S$23,MATCH(R$28,FY16ProjMjrs!$A$2:$S$2,0),FALSE)</f>
        <v>0</v>
      </c>
      <c r="S55" s="457">
        <f>+GPpcntMjr*(VLOOKUP($A55,FY16ProjRev!$A$4:$I$24,9,FALSE))*VLOOKUP($A55,FY16ProjMjrs!$A$3:$S$23,MATCH(S$28,FY16ProjMjrs!$A$2:$S$2,0),FALSE)</f>
        <v>0</v>
      </c>
      <c r="T55" s="457">
        <f t="shared" si="6"/>
        <v>911712.5882083769</v>
      </c>
    </row>
    <row r="56" spans="1:20" s="18" customFormat="1" ht="20.100000000000001" customHeight="1">
      <c r="A56" s="404" t="s">
        <v>130</v>
      </c>
      <c r="B56" s="440" t="s">
        <v>37</v>
      </c>
      <c r="C56" s="410">
        <f>+GPpcntMjr*(VLOOKUP($A56,FY16ProjRev!$A$4:$I$24,9,FALSE))*VLOOKUP($A56,FY16ProjMjrs!$A$3:$S$23,MATCH(C$28,FY16ProjMjrs!$A$2:$S$2,0),FALSE)</f>
        <v>1976.5155323866422</v>
      </c>
      <c r="D56" s="410">
        <f>+GPpcntMjr*(VLOOKUP($A56,FY16ProjRev!$A$4:$I$24,9,FALSE))*VLOOKUP($A56,FY16ProjMjrs!$A$3:$S$23,MATCH(D$28,FY16ProjMjrs!$A$2:$S$2,0),FALSE)</f>
        <v>51389.403842052692</v>
      </c>
      <c r="E56" s="410">
        <f>+GPpcntMjr*(VLOOKUP($A56,FY16ProjRev!$A$4:$I$24,9,FALSE))*VLOOKUP($A56,FY16ProjMjrs!$A$3:$S$23,MATCH(E$28,FY16ProjMjrs!$A$2:$S$2,0),FALSE)</f>
        <v>13835.608726706496</v>
      </c>
      <c r="F56" s="410">
        <f>+GPpcntMjr*(VLOOKUP($A56,FY16ProjRev!$A$4:$I$24,9,FALSE))*VLOOKUP($A56,FY16ProjMjrs!$A$3:$S$23,MATCH(F$28,FY16ProjMjrs!$A$2:$S$2,0),FALSE)</f>
        <v>11859.093194319854</v>
      </c>
      <c r="G56" s="410">
        <f>+GPpcntMjr*(VLOOKUP($A56,FY16ProjRev!$A$4:$I$24,9,FALSE))*VLOOKUP($A56,FY16ProjMjrs!$A$3:$S$23,MATCH(G$28,FY16ProjMjrs!$A$2:$S$2,0),FALSE)</f>
        <v>5909781.4418360591</v>
      </c>
      <c r="H56" s="410">
        <f>+GPpcntMjr*(VLOOKUP($A56,FY16ProjRev!$A$4:$I$24,9,FALSE))*VLOOKUP($A56,FY16ProjMjrs!$A$3:$S$23,MATCH(H$28,FY16ProjMjrs!$A$2:$S$2,0),FALSE)</f>
        <v>3953.0310647732845</v>
      </c>
      <c r="I56" s="410">
        <f>+GPpcntMjr*(VLOOKUP($A56,FY16ProjRev!$A$4:$I$24,9,FALSE))*VLOOKUP($A56,FY16ProjMjrs!$A$3:$S$23,MATCH(I$28,FY16ProjMjrs!$A$2:$S$2,0),FALSE)</f>
        <v>0</v>
      </c>
      <c r="J56" s="410">
        <f>+GPpcntMjr*(VLOOKUP($A56,FY16ProjRev!$A$4:$I$24,9,FALSE))*VLOOKUP($A56,FY16ProjMjrs!$A$3:$S$23,MATCH(J$28,FY16ProjMjrs!$A$2:$S$2,0),FALSE)</f>
        <v>17788.639791479782</v>
      </c>
      <c r="K56" s="410">
        <f>+GPpcntMjr*(VLOOKUP($A56,FY16ProjRev!$A$4:$I$24,9,FALSE))*VLOOKUP($A56,FY16ProjMjrs!$A$3:$S$23,MATCH(K$28,FY16ProjMjrs!$A$2:$S$2,0),FALSE)</f>
        <v>0</v>
      </c>
      <c r="L56" s="410">
        <f>+GPpcntMjr*(VLOOKUP($A56,FY16ProjRev!$A$4:$I$24,9,FALSE))*VLOOKUP($A56,FY16ProjMjrs!$A$3:$S$23,MATCH(L$28,FY16ProjMjrs!$A$2:$S$2,0),FALSE)</f>
        <v>0</v>
      </c>
      <c r="M56" s="410">
        <f>+GPpcntMjr*(VLOOKUP($A56,FY16ProjRev!$A$4:$I$24,9,FALSE))*VLOOKUP($A56,FY16ProjMjrs!$A$3:$S$23,MATCH(M$28,FY16ProjMjrs!$A$2:$S$2,0),FALSE)</f>
        <v>0</v>
      </c>
      <c r="N56" s="410">
        <f>+GPpcntMjr*(VLOOKUP($A56,FY16ProjRev!$A$4:$I$24,9,FALSE))*VLOOKUP($A56,FY16ProjMjrs!$A$3:$S$23,MATCH(N$28,FY16ProjMjrs!$A$2:$S$2,0),FALSE)</f>
        <v>90919.714489785547</v>
      </c>
      <c r="O56" s="410">
        <f>+GPpcntMjr*(VLOOKUP($A56,FY16ProjRev!$A$4:$I$24,9,FALSE))*VLOOKUP($A56,FY16ProjMjrs!$A$3:$S$23,MATCH(O$28,FY16ProjMjrs!$A$2:$S$2,0),FALSE)</f>
        <v>385420.52881539526</v>
      </c>
      <c r="P56" s="410">
        <f>+GPpcntMjr*(VLOOKUP($A56,FY16ProjRev!$A$4:$I$24,9,FALSE))*VLOOKUP($A56,FY16ProjMjrs!$A$3:$S$23,MATCH(P$28,FY16ProjMjrs!$A$2:$S$2,0),FALSE)</f>
        <v>0</v>
      </c>
      <c r="Q56" s="410">
        <f>+GPpcntMjr*(VLOOKUP($A56,FY16ProjRev!$A$4:$I$24,9,FALSE))*VLOOKUP($A56,FY16ProjMjrs!$A$3:$S$23,MATCH(Q$28,FY16ProjMjrs!$A$2:$S$2,0),FALSE)</f>
        <v>79060.621295465695</v>
      </c>
      <c r="R56" s="410">
        <f>+GPpcntMjr*(VLOOKUP($A56,FY16ProjRev!$A$4:$I$24,9,FALSE))*VLOOKUP($A56,FY16ProjMjrs!$A$3:$S$23,MATCH(R$28,FY16ProjMjrs!$A$2:$S$2,0),FALSE)</f>
        <v>0</v>
      </c>
      <c r="S56" s="410">
        <f>+GPpcntMjr*(VLOOKUP($A56,FY16ProjRev!$A$4:$I$24,9,FALSE))*VLOOKUP($A56,FY16ProjMjrs!$A$3:$S$23,MATCH(S$28,FY16ProjMjrs!$A$2:$S$2,0),FALSE)</f>
        <v>57318.950439212625</v>
      </c>
      <c r="T56" s="410">
        <f t="shared" si="6"/>
        <v>6623303.5490276376</v>
      </c>
    </row>
    <row r="57" spans="1:20" ht="20.100000000000001" customHeight="1">
      <c r="A57" s="404" t="s">
        <v>131</v>
      </c>
      <c r="B57" s="456" t="s">
        <v>141</v>
      </c>
      <c r="C57" s="457">
        <f>+GPpcntMjr*(VLOOKUP($A57,FY16ProjRev!$A$4:$I$24,9,FALSE))*VLOOKUP($A57,FY16ProjMjrs!$A$3:$S$23,MATCH(C$28,FY16ProjMjrs!$A$2:$S$2,0),FALSE)</f>
        <v>0</v>
      </c>
      <c r="D57" s="457">
        <f>+GPpcntMjr*(VLOOKUP($A57,FY16ProjRev!$A$4:$I$24,9,FALSE))*VLOOKUP($A57,FY16ProjMjrs!$A$3:$S$23,MATCH(D$28,FY16ProjMjrs!$A$2:$S$2,0),FALSE)</f>
        <v>51218.947355765522</v>
      </c>
      <c r="E57" s="457">
        <f>+GPpcntMjr*(VLOOKUP($A57,FY16ProjRev!$A$4:$I$24,9,FALSE))*VLOOKUP($A57,FY16ProjMjrs!$A$3:$S$23,MATCH(E$28,FY16ProjMjrs!$A$2:$S$2,0),FALSE)</f>
        <v>0</v>
      </c>
      <c r="F57" s="457">
        <f>+GPpcntMjr*(VLOOKUP($A57,FY16ProjRev!$A$4:$I$24,9,FALSE))*VLOOKUP($A57,FY16ProjMjrs!$A$3:$S$23,MATCH(F$28,FY16ProjMjrs!$A$2:$S$2,0),FALSE)</f>
        <v>0</v>
      </c>
      <c r="G57" s="457">
        <f>+GPpcntMjr*(VLOOKUP($A57,FY16ProjRev!$A$4:$I$24,9,FALSE))*VLOOKUP($A57,FY16ProjMjrs!$A$3:$S$23,MATCH(G$28,FY16ProjMjrs!$A$2:$S$2,0),FALSE)</f>
        <v>0</v>
      </c>
      <c r="H57" s="457">
        <f>+GPpcntMjr*(VLOOKUP($A57,FY16ProjRev!$A$4:$I$24,9,FALSE))*VLOOKUP($A57,FY16ProjMjrs!$A$3:$S$23,MATCH(H$28,FY16ProjMjrs!$A$2:$S$2,0),FALSE)</f>
        <v>2839578.4414036404</v>
      </c>
      <c r="I57" s="457">
        <f>+GPpcntMjr*(VLOOKUP($A57,FY16ProjRev!$A$4:$I$24,9,FALSE))*VLOOKUP($A57,FY16ProjMjrs!$A$3:$S$23,MATCH(I$28,FY16ProjMjrs!$A$2:$S$2,0),FALSE)</f>
        <v>0</v>
      </c>
      <c r="J57" s="457">
        <f>+GPpcntMjr*(VLOOKUP($A57,FY16ProjRev!$A$4:$I$24,9,FALSE))*VLOOKUP($A57,FY16ProjMjrs!$A$3:$S$23,MATCH(J$28,FY16ProjMjrs!$A$2:$S$2,0),FALSE)</f>
        <v>0</v>
      </c>
      <c r="K57" s="457">
        <f>+GPpcntMjr*(VLOOKUP($A57,FY16ProjRev!$A$4:$I$24,9,FALSE))*VLOOKUP($A57,FY16ProjMjrs!$A$3:$S$23,MATCH(K$28,FY16ProjMjrs!$A$2:$S$2,0),FALSE)</f>
        <v>0</v>
      </c>
      <c r="L57" s="457">
        <f>+GPpcntMjr*(VLOOKUP($A57,FY16ProjRev!$A$4:$I$24,9,FALSE))*VLOOKUP($A57,FY16ProjMjrs!$A$3:$S$23,MATCH(L$28,FY16ProjMjrs!$A$2:$S$2,0),FALSE)</f>
        <v>0</v>
      </c>
      <c r="M57" s="457">
        <f>+GPpcntMjr*(VLOOKUP($A57,FY16ProjRev!$A$4:$I$24,9,FALSE))*VLOOKUP($A57,FY16ProjMjrs!$A$3:$S$23,MATCH(M$28,FY16ProjMjrs!$A$2:$S$2,0),FALSE)</f>
        <v>0</v>
      </c>
      <c r="N57" s="457">
        <f>+GPpcntMjr*(VLOOKUP($A57,FY16ProjRev!$A$4:$I$24,9,FALSE))*VLOOKUP($A57,FY16ProjMjrs!$A$3:$S$23,MATCH(N$28,FY16ProjMjrs!$A$2:$S$2,0),FALSE)</f>
        <v>0</v>
      </c>
      <c r="O57" s="457">
        <f>+GPpcntMjr*(VLOOKUP($A57,FY16ProjRev!$A$4:$I$24,9,FALSE))*VLOOKUP($A57,FY16ProjMjrs!$A$3:$S$23,MATCH(O$28,FY16ProjMjrs!$A$2:$S$2,0),FALSE)</f>
        <v>0</v>
      </c>
      <c r="P57" s="457">
        <f>+GPpcntMjr*(VLOOKUP($A57,FY16ProjRev!$A$4:$I$24,9,FALSE))*VLOOKUP($A57,FY16ProjMjrs!$A$3:$S$23,MATCH(P$28,FY16ProjMjrs!$A$2:$S$2,0),FALSE)</f>
        <v>0</v>
      </c>
      <c r="Q57" s="457">
        <f>+GPpcntMjr*(VLOOKUP($A57,FY16ProjRev!$A$4:$I$24,9,FALSE))*VLOOKUP($A57,FY16ProjMjrs!$A$3:$S$23,MATCH(Q$28,FY16ProjMjrs!$A$2:$S$2,0),FALSE)</f>
        <v>0</v>
      </c>
      <c r="R57" s="457">
        <f>+GPpcntMjr*(VLOOKUP($A57,FY16ProjRev!$A$4:$I$24,9,FALSE))*VLOOKUP($A57,FY16ProjMjrs!$A$3:$S$23,MATCH(R$28,FY16ProjMjrs!$A$2:$S$2,0),FALSE)</f>
        <v>0</v>
      </c>
      <c r="S57" s="457">
        <f>+GPpcntMjr*(VLOOKUP($A57,FY16ProjRev!$A$4:$I$24,9,FALSE))*VLOOKUP($A57,FY16ProjMjrs!$A$3:$S$23,MATCH(S$28,FY16ProjMjrs!$A$2:$S$2,0),FALSE)</f>
        <v>0</v>
      </c>
      <c r="T57" s="457">
        <f t="shared" si="6"/>
        <v>2890797.3887594058</v>
      </c>
    </row>
    <row r="58" spans="1:20" s="18" customFormat="1" ht="20.100000000000001" customHeight="1">
      <c r="A58" s="404" t="s">
        <v>132</v>
      </c>
      <c r="B58" s="440" t="s">
        <v>206</v>
      </c>
      <c r="C58" s="410">
        <f>+GPpcntMjr*(VLOOKUP($A58,FY16ProjRev!$A$4:$I$24,9,FALSE))*VLOOKUP($A58,FY16ProjMjrs!$A$3:$S$23,MATCH(C$28,FY16ProjMjrs!$A$2:$S$2,0),FALSE)</f>
        <v>0</v>
      </c>
      <c r="D58" s="410">
        <f>+GPpcntMjr*(VLOOKUP($A58,FY16ProjRev!$A$4:$I$24,9,FALSE))*VLOOKUP($A58,FY16ProjMjrs!$A$3:$S$23,MATCH(D$28,FY16ProjMjrs!$A$2:$S$2,0),FALSE)</f>
        <v>6174.9979422535534</v>
      </c>
      <c r="E58" s="410">
        <f>+GPpcntMjr*(VLOOKUP($A58,FY16ProjRev!$A$4:$I$24,9,FALSE))*VLOOKUP($A58,FY16ProjMjrs!$A$3:$S$23,MATCH(E$28,FY16ProjMjrs!$A$2:$S$2,0),FALSE)</f>
        <v>0</v>
      </c>
      <c r="F58" s="410">
        <f>+GPpcntMjr*(VLOOKUP($A58,FY16ProjRev!$A$4:$I$24,9,FALSE))*VLOOKUP($A58,FY16ProjMjrs!$A$3:$S$23,MATCH(F$28,FY16ProjMjrs!$A$2:$S$2,0),FALSE)</f>
        <v>3567090.4779751361</v>
      </c>
      <c r="G58" s="410">
        <f>+GPpcntMjr*(VLOOKUP($A58,FY16ProjRev!$A$4:$I$24,9,FALSE))*VLOOKUP($A58,FY16ProjMjrs!$A$3:$S$23,MATCH(G$28,FY16ProjMjrs!$A$2:$S$2,0),FALSE)</f>
        <v>0</v>
      </c>
      <c r="H58" s="410">
        <f>+GPpcntMjr*(VLOOKUP($A58,FY16ProjRev!$A$4:$I$24,9,FALSE))*VLOOKUP($A58,FY16ProjMjrs!$A$3:$S$23,MATCH(H$28,FY16ProjMjrs!$A$2:$S$2,0),FALSE)</f>
        <v>0</v>
      </c>
      <c r="I58" s="410">
        <f>+GPpcntMjr*(VLOOKUP($A58,FY16ProjRev!$A$4:$I$24,9,FALSE))*VLOOKUP($A58,FY16ProjMjrs!$A$3:$S$23,MATCH(I$28,FY16ProjMjrs!$A$2:$S$2,0),FALSE)</f>
        <v>0</v>
      </c>
      <c r="J58" s="410">
        <f>+GPpcntMjr*(VLOOKUP($A58,FY16ProjRev!$A$4:$I$24,9,FALSE))*VLOOKUP($A58,FY16ProjMjrs!$A$3:$S$23,MATCH(J$28,FY16ProjMjrs!$A$2:$S$2,0),FALSE)</f>
        <v>0</v>
      </c>
      <c r="K58" s="410">
        <f>+GPpcntMjr*(VLOOKUP($A58,FY16ProjRev!$A$4:$I$24,9,FALSE))*VLOOKUP($A58,FY16ProjMjrs!$A$3:$S$23,MATCH(K$28,FY16ProjMjrs!$A$2:$S$2,0),FALSE)</f>
        <v>0</v>
      </c>
      <c r="L58" s="410">
        <f>+GPpcntMjr*(VLOOKUP($A58,FY16ProjRev!$A$4:$I$24,9,FALSE))*VLOOKUP($A58,FY16ProjMjrs!$A$3:$S$23,MATCH(L$28,FY16ProjMjrs!$A$2:$S$2,0),FALSE)</f>
        <v>0</v>
      </c>
      <c r="M58" s="410">
        <f>+GPpcntMjr*(VLOOKUP($A58,FY16ProjRev!$A$4:$I$24,9,FALSE))*VLOOKUP($A58,FY16ProjMjrs!$A$3:$S$23,MATCH(M$28,FY16ProjMjrs!$A$2:$S$2,0),FALSE)</f>
        <v>0</v>
      </c>
      <c r="N58" s="410">
        <f>+GPpcntMjr*(VLOOKUP($A58,FY16ProjRev!$A$4:$I$24,9,FALSE))*VLOOKUP($A58,FY16ProjMjrs!$A$3:$S$23,MATCH(N$28,FY16ProjMjrs!$A$2:$S$2,0),FALSE)</f>
        <v>0</v>
      </c>
      <c r="O58" s="410">
        <f>+GPpcntMjr*(VLOOKUP($A58,FY16ProjRev!$A$4:$I$24,9,FALSE))*VLOOKUP($A58,FY16ProjMjrs!$A$3:$S$23,MATCH(O$28,FY16ProjMjrs!$A$2:$S$2,0),FALSE)</f>
        <v>0</v>
      </c>
      <c r="P58" s="410">
        <f>+GPpcntMjr*(VLOOKUP($A58,FY16ProjRev!$A$4:$I$24,9,FALSE))*VLOOKUP($A58,FY16ProjMjrs!$A$3:$S$23,MATCH(P$28,FY16ProjMjrs!$A$2:$S$2,0),FALSE)</f>
        <v>0</v>
      </c>
      <c r="Q58" s="410">
        <f>+GPpcntMjr*(VLOOKUP($A58,FY16ProjRev!$A$4:$I$24,9,FALSE))*VLOOKUP($A58,FY16ProjMjrs!$A$3:$S$23,MATCH(Q$28,FY16ProjMjrs!$A$2:$S$2,0),FALSE)</f>
        <v>0</v>
      </c>
      <c r="R58" s="410">
        <f>+GPpcntMjr*(VLOOKUP($A58,FY16ProjRev!$A$4:$I$24,9,FALSE))*VLOOKUP($A58,FY16ProjMjrs!$A$3:$S$23,MATCH(R$28,FY16ProjMjrs!$A$2:$S$2,0),FALSE)</f>
        <v>0</v>
      </c>
      <c r="S58" s="410">
        <f>+GPpcntMjr*(VLOOKUP($A58,FY16ProjRev!$A$4:$I$24,9,FALSE))*VLOOKUP($A58,FY16ProjMjrs!$A$3:$S$23,MATCH(S$28,FY16ProjMjrs!$A$2:$S$2,0),FALSE)</f>
        <v>0</v>
      </c>
      <c r="T58" s="410">
        <f t="shared" si="6"/>
        <v>3573265.4759173896</v>
      </c>
    </row>
    <row r="59" spans="1:20" ht="20.100000000000001" customHeight="1">
      <c r="A59" s="404" t="s">
        <v>134</v>
      </c>
      <c r="B59" s="456" t="s">
        <v>40</v>
      </c>
      <c r="C59" s="457">
        <f>+GPpcntMjr*(VLOOKUP($A59,FY16ProjRev!$A$4:$I$24,9,FALSE))*VLOOKUP($A59,FY16ProjMjrs!$A$3:$S$23,MATCH(C$28,FY16ProjMjrs!$A$2:$S$2,0),FALSE)</f>
        <v>0</v>
      </c>
      <c r="D59" s="457">
        <f>+GPpcntMjr*(VLOOKUP($A59,FY16ProjRev!$A$4:$I$24,9,FALSE))*VLOOKUP($A59,FY16ProjMjrs!$A$3:$S$23,MATCH(D$28,FY16ProjMjrs!$A$2:$S$2,0),FALSE)</f>
        <v>0</v>
      </c>
      <c r="E59" s="457">
        <f>+GPpcntMjr*(VLOOKUP($A59,FY16ProjRev!$A$4:$I$24,9,FALSE))*VLOOKUP($A59,FY16ProjMjrs!$A$3:$S$23,MATCH(E$28,FY16ProjMjrs!$A$2:$S$2,0),FALSE)</f>
        <v>0</v>
      </c>
      <c r="F59" s="457">
        <f>+GPpcntMjr*(VLOOKUP($A59,FY16ProjRev!$A$4:$I$24,9,FALSE))*VLOOKUP($A59,FY16ProjMjrs!$A$3:$S$23,MATCH(F$28,FY16ProjMjrs!$A$2:$S$2,0),FALSE)</f>
        <v>0</v>
      </c>
      <c r="G59" s="457">
        <f>+GPpcntMjr*(VLOOKUP($A59,FY16ProjRev!$A$4:$I$24,9,FALSE))*VLOOKUP($A59,FY16ProjMjrs!$A$3:$S$23,MATCH(G$28,FY16ProjMjrs!$A$2:$S$2,0),FALSE)</f>
        <v>0</v>
      </c>
      <c r="H59" s="457">
        <f>+GPpcntMjr*(VLOOKUP($A59,FY16ProjRev!$A$4:$I$24,9,FALSE))*VLOOKUP($A59,FY16ProjMjrs!$A$3:$S$23,MATCH(H$28,FY16ProjMjrs!$A$2:$S$2,0),FALSE)</f>
        <v>0</v>
      </c>
      <c r="I59" s="457">
        <f>+GPpcntMjr*(VLOOKUP($A59,FY16ProjRev!$A$4:$I$24,9,FALSE))*VLOOKUP($A59,FY16ProjMjrs!$A$3:$S$23,MATCH(I$28,FY16ProjMjrs!$A$2:$S$2,0),FALSE)</f>
        <v>4221.6171335666577</v>
      </c>
      <c r="J59" s="457">
        <f>+GPpcntMjr*(VLOOKUP($A59,FY16ProjRev!$A$4:$I$24,9,FALSE))*VLOOKUP($A59,FY16ProjMjrs!$A$3:$S$23,MATCH(J$28,FY16ProjMjrs!$A$2:$S$2,0),FALSE)</f>
        <v>0</v>
      </c>
      <c r="K59" s="457">
        <f>+GPpcntMjr*(VLOOKUP($A59,FY16ProjRev!$A$4:$I$24,9,FALSE))*VLOOKUP($A59,FY16ProjMjrs!$A$3:$S$23,MATCH(K$28,FY16ProjMjrs!$A$2:$S$2,0),FALSE)</f>
        <v>0</v>
      </c>
      <c r="L59" s="457">
        <f>+GPpcntMjr*(VLOOKUP($A59,FY16ProjRev!$A$4:$I$24,9,FALSE))*VLOOKUP($A59,FY16ProjMjrs!$A$3:$S$23,MATCH(L$28,FY16ProjMjrs!$A$2:$S$2,0),FALSE)</f>
        <v>0</v>
      </c>
      <c r="M59" s="457">
        <f>+GPpcntMjr*(VLOOKUP($A59,FY16ProjRev!$A$4:$I$24,9,FALSE))*VLOOKUP($A59,FY16ProjMjrs!$A$3:$S$23,MATCH(M$28,FY16ProjMjrs!$A$2:$S$2,0),FALSE)</f>
        <v>0</v>
      </c>
      <c r="N59" s="457">
        <f>+GPpcntMjr*(VLOOKUP($A59,FY16ProjRev!$A$4:$I$24,9,FALSE))*VLOOKUP($A59,FY16ProjMjrs!$A$3:$S$23,MATCH(N$28,FY16ProjMjrs!$A$2:$S$2,0),FALSE)</f>
        <v>0</v>
      </c>
      <c r="O59" s="457">
        <f>+GPpcntMjr*(VLOOKUP($A59,FY16ProjRev!$A$4:$I$24,9,FALSE))*VLOOKUP($A59,FY16ProjMjrs!$A$3:$S$23,MATCH(O$28,FY16ProjMjrs!$A$2:$S$2,0),FALSE)</f>
        <v>0</v>
      </c>
      <c r="P59" s="457">
        <f>+GPpcntMjr*(VLOOKUP($A59,FY16ProjRev!$A$4:$I$24,9,FALSE))*VLOOKUP($A59,FY16ProjMjrs!$A$3:$S$23,MATCH(P$28,FY16ProjMjrs!$A$2:$S$2,0),FALSE)</f>
        <v>0</v>
      </c>
      <c r="Q59" s="457">
        <f>+GPpcntMjr*(VLOOKUP($A59,FY16ProjRev!$A$4:$I$24,9,FALSE))*VLOOKUP($A59,FY16ProjMjrs!$A$3:$S$23,MATCH(Q$28,FY16ProjMjrs!$A$2:$S$2,0),FALSE)</f>
        <v>0</v>
      </c>
      <c r="R59" s="457">
        <f>+GPpcntMjr*(VLOOKUP($A59,FY16ProjRev!$A$4:$I$24,9,FALSE))*VLOOKUP($A59,FY16ProjMjrs!$A$3:$S$23,MATCH(R$28,FY16ProjMjrs!$A$2:$S$2,0),FALSE)</f>
        <v>0</v>
      </c>
      <c r="S59" s="457">
        <f>+GPpcntMjr*(VLOOKUP($A59,FY16ProjRev!$A$4:$I$24,9,FALSE))*VLOOKUP($A59,FY16ProjMjrs!$A$3:$S$23,MATCH(S$28,FY16ProjMjrs!$A$2:$S$2,0),FALSE)</f>
        <v>0</v>
      </c>
      <c r="T59" s="457">
        <f t="shared" si="6"/>
        <v>4221.6171335666577</v>
      </c>
    </row>
    <row r="60" spans="1:20" s="18" customFormat="1" ht="20.100000000000001" customHeight="1">
      <c r="A60" s="404" t="s">
        <v>135</v>
      </c>
      <c r="B60" s="440" t="s">
        <v>70</v>
      </c>
      <c r="C60" s="410">
        <f>+GPpcntMjr*(VLOOKUP($A60,FY16ProjRev!$A$4:$I$24,9,FALSE))*VLOOKUP($A60,FY16ProjMjrs!$A$3:$S$23,MATCH(C$28,FY16ProjMjrs!$A$2:$S$2,0),FALSE)</f>
        <v>0</v>
      </c>
      <c r="D60" s="410">
        <f>+GPpcntMjr*(VLOOKUP($A60,FY16ProjRev!$A$4:$I$24,9,FALSE))*VLOOKUP($A60,FY16ProjMjrs!$A$3:$S$23,MATCH(D$28,FY16ProjMjrs!$A$2:$S$2,0),FALSE)</f>
        <v>0</v>
      </c>
      <c r="E60" s="410">
        <f>+GPpcntMjr*(VLOOKUP($A60,FY16ProjRev!$A$4:$I$24,9,FALSE))*VLOOKUP($A60,FY16ProjMjrs!$A$3:$S$23,MATCH(E$28,FY16ProjMjrs!$A$2:$S$2,0),FALSE)</f>
        <v>0</v>
      </c>
      <c r="F60" s="410">
        <f>+GPpcntMjr*(VLOOKUP($A60,FY16ProjRev!$A$4:$I$24,9,FALSE))*VLOOKUP($A60,FY16ProjMjrs!$A$3:$S$23,MATCH(F$28,FY16ProjMjrs!$A$2:$S$2,0),FALSE)</f>
        <v>8944.5626979018216</v>
      </c>
      <c r="G60" s="410">
        <f>+GPpcntMjr*(VLOOKUP($A60,FY16ProjRev!$A$4:$I$24,9,FALSE))*VLOOKUP($A60,FY16ProjMjrs!$A$3:$S$23,MATCH(G$28,FY16ProjMjrs!$A$2:$S$2,0),FALSE)</f>
        <v>0</v>
      </c>
      <c r="H60" s="410">
        <f>+GPpcntMjr*(VLOOKUP($A60,FY16ProjRev!$A$4:$I$24,9,FALSE))*VLOOKUP($A60,FY16ProjMjrs!$A$3:$S$23,MATCH(H$28,FY16ProjMjrs!$A$2:$S$2,0),FALSE)</f>
        <v>0</v>
      </c>
      <c r="I60" s="410">
        <f>+GPpcntMjr*(VLOOKUP($A60,FY16ProjRev!$A$4:$I$24,9,FALSE))*VLOOKUP($A60,FY16ProjMjrs!$A$3:$S$23,MATCH(I$28,FY16ProjMjrs!$A$2:$S$2,0),FALSE)</f>
        <v>0</v>
      </c>
      <c r="J60" s="410">
        <f>+GPpcntMjr*(VLOOKUP($A60,FY16ProjRev!$A$4:$I$24,9,FALSE))*VLOOKUP($A60,FY16ProjMjrs!$A$3:$S$23,MATCH(J$28,FY16ProjMjrs!$A$2:$S$2,0),FALSE)</f>
        <v>0</v>
      </c>
      <c r="K60" s="410">
        <f>+GPpcntMjr*(VLOOKUP($A60,FY16ProjRev!$A$4:$I$24,9,FALSE))*VLOOKUP($A60,FY16ProjMjrs!$A$3:$S$23,MATCH(K$28,FY16ProjMjrs!$A$2:$S$2,0),FALSE)</f>
        <v>0</v>
      </c>
      <c r="L60" s="410">
        <f>+GPpcntMjr*(VLOOKUP($A60,FY16ProjRev!$A$4:$I$24,9,FALSE))*VLOOKUP($A60,FY16ProjMjrs!$A$3:$S$23,MATCH(L$28,FY16ProjMjrs!$A$2:$S$2,0),FALSE)</f>
        <v>2328567.8223537738</v>
      </c>
      <c r="M60" s="410">
        <f>+GPpcntMjr*(VLOOKUP($A60,FY16ProjRev!$A$4:$I$24,9,FALSE))*VLOOKUP($A60,FY16ProjMjrs!$A$3:$S$23,MATCH(M$28,FY16ProjMjrs!$A$2:$S$2,0),FALSE)</f>
        <v>0</v>
      </c>
      <c r="N60" s="410">
        <f>+GPpcntMjr*(VLOOKUP($A60,FY16ProjRev!$A$4:$I$24,9,FALSE))*VLOOKUP($A60,FY16ProjMjrs!$A$3:$S$23,MATCH(N$28,FY16ProjMjrs!$A$2:$S$2,0),FALSE)</f>
        <v>11926.083597202427</v>
      </c>
      <c r="O60" s="410">
        <f>+GPpcntMjr*(VLOOKUP($A60,FY16ProjRev!$A$4:$I$24,9,FALSE))*VLOOKUP($A60,FY16ProjMjrs!$A$3:$S$23,MATCH(O$28,FY16ProjMjrs!$A$2:$S$2,0),FALSE)</f>
        <v>0</v>
      </c>
      <c r="P60" s="410">
        <f>+GPpcntMjr*(VLOOKUP($A60,FY16ProjRev!$A$4:$I$24,9,FALSE))*VLOOKUP($A60,FY16ProjMjrs!$A$3:$S$23,MATCH(P$28,FY16ProjMjrs!$A$2:$S$2,0),FALSE)</f>
        <v>0</v>
      </c>
      <c r="Q60" s="410">
        <f>+GPpcntMjr*(VLOOKUP($A60,FY16ProjRev!$A$4:$I$24,9,FALSE))*VLOOKUP($A60,FY16ProjMjrs!$A$3:$S$23,MATCH(Q$28,FY16ProjMjrs!$A$2:$S$2,0),FALSE)</f>
        <v>74538.022482515182</v>
      </c>
      <c r="R60" s="410">
        <f>+GPpcntMjr*(VLOOKUP($A60,FY16ProjRev!$A$4:$I$24,9,FALSE))*VLOOKUP($A60,FY16ProjMjrs!$A$3:$S$23,MATCH(R$28,FY16ProjMjrs!$A$2:$S$2,0),FALSE)</f>
        <v>0</v>
      </c>
      <c r="S60" s="410">
        <f>+GPpcntMjr*(VLOOKUP($A60,FY16ProjRev!$A$4:$I$24,9,FALSE))*VLOOKUP($A60,FY16ProjMjrs!$A$3:$S$23,MATCH(S$28,FY16ProjMjrs!$A$2:$S$2,0),FALSE)</f>
        <v>17889.125395803643</v>
      </c>
      <c r="T60" s="410">
        <f t="shared" si="6"/>
        <v>2441865.616527197</v>
      </c>
    </row>
    <row r="61" spans="1:20" ht="20.100000000000001" customHeight="1">
      <c r="A61" s="404" t="s">
        <v>136</v>
      </c>
      <c r="B61" s="456" t="s">
        <v>144</v>
      </c>
      <c r="C61" s="457">
        <f>+GPpcntMjr*(VLOOKUP($A61,FY16ProjRev!$A$4:$I$24,9,FALSE))*VLOOKUP($A61,FY16ProjMjrs!$A$3:$S$23,MATCH(C$28,FY16ProjMjrs!$A$2:$S$2,0),FALSE)</f>
        <v>0</v>
      </c>
      <c r="D61" s="457">
        <f>+GPpcntMjr*(VLOOKUP($A61,FY16ProjRev!$A$4:$I$24,9,FALSE))*VLOOKUP($A61,FY16ProjMjrs!$A$3:$S$23,MATCH(D$28,FY16ProjMjrs!$A$2:$S$2,0),FALSE)</f>
        <v>0</v>
      </c>
      <c r="E61" s="457">
        <f>+GPpcntMjr*(VLOOKUP($A61,FY16ProjRev!$A$4:$I$24,9,FALSE))*VLOOKUP($A61,FY16ProjMjrs!$A$3:$S$23,MATCH(E$28,FY16ProjMjrs!$A$2:$S$2,0),FALSE)</f>
        <v>0</v>
      </c>
      <c r="F61" s="457">
        <f>+GPpcntMjr*(VLOOKUP($A61,FY16ProjRev!$A$4:$I$24,9,FALSE))*VLOOKUP($A61,FY16ProjMjrs!$A$3:$S$23,MATCH(F$28,FY16ProjMjrs!$A$2:$S$2,0),FALSE)</f>
        <v>0</v>
      </c>
      <c r="G61" s="457">
        <f>+GPpcntMjr*(VLOOKUP($A61,FY16ProjRev!$A$4:$I$24,9,FALSE))*VLOOKUP($A61,FY16ProjMjrs!$A$3:$S$23,MATCH(G$28,FY16ProjMjrs!$A$2:$S$2,0),FALSE)</f>
        <v>0</v>
      </c>
      <c r="H61" s="457">
        <f>+GPpcntMjr*(VLOOKUP($A61,FY16ProjRev!$A$4:$I$24,9,FALSE))*VLOOKUP($A61,FY16ProjMjrs!$A$3:$S$23,MATCH(H$28,FY16ProjMjrs!$A$2:$S$2,0),FALSE)</f>
        <v>0</v>
      </c>
      <c r="I61" s="457">
        <f>+GPpcntMjr*(VLOOKUP($A61,FY16ProjRev!$A$4:$I$24,9,FALSE))*VLOOKUP($A61,FY16ProjMjrs!$A$3:$S$23,MATCH(I$28,FY16ProjMjrs!$A$2:$S$2,0),FALSE)</f>
        <v>0</v>
      </c>
      <c r="J61" s="457">
        <f>+GPpcntMjr*(VLOOKUP($A61,FY16ProjRev!$A$4:$I$24,9,FALSE))*VLOOKUP($A61,FY16ProjMjrs!$A$3:$S$23,MATCH(J$28,FY16ProjMjrs!$A$2:$S$2,0),FALSE)</f>
        <v>0</v>
      </c>
      <c r="K61" s="457">
        <f>+GPpcntMjr*(VLOOKUP($A61,FY16ProjRev!$A$4:$I$24,9,FALSE))*VLOOKUP($A61,FY16ProjMjrs!$A$3:$S$23,MATCH(K$28,FY16ProjMjrs!$A$2:$S$2,0),FALSE)</f>
        <v>0</v>
      </c>
      <c r="L61" s="457">
        <f>+GPpcntMjr*(VLOOKUP($A61,FY16ProjRev!$A$4:$I$24,9,FALSE))*VLOOKUP($A61,FY16ProjMjrs!$A$3:$S$23,MATCH(L$28,FY16ProjMjrs!$A$2:$S$2,0),FALSE)</f>
        <v>0</v>
      </c>
      <c r="M61" s="457">
        <f>+GPpcntMjr*(VLOOKUP($A61,FY16ProjRev!$A$4:$I$24,9,FALSE))*VLOOKUP($A61,FY16ProjMjrs!$A$3:$S$23,MATCH(M$28,FY16ProjMjrs!$A$2:$S$2,0),FALSE)</f>
        <v>0</v>
      </c>
      <c r="N61" s="457">
        <f>+GPpcntMjr*(VLOOKUP($A61,FY16ProjRev!$A$4:$I$24,9,FALSE))*VLOOKUP($A61,FY16ProjMjrs!$A$3:$S$23,MATCH(N$28,FY16ProjMjrs!$A$2:$S$2,0),FALSE)</f>
        <v>18791.149583980638</v>
      </c>
      <c r="O61" s="457">
        <f>+GPpcntMjr*(VLOOKUP($A61,FY16ProjRev!$A$4:$I$24,9,FALSE))*VLOOKUP($A61,FY16ProjMjrs!$A$3:$S$23,MATCH(O$28,FY16ProjMjrs!$A$2:$S$2,0),FALSE)</f>
        <v>0</v>
      </c>
      <c r="P61" s="457">
        <f>+GPpcntMjr*(VLOOKUP($A61,FY16ProjRev!$A$4:$I$24,9,FALSE))*VLOOKUP($A61,FY16ProjMjrs!$A$3:$S$23,MATCH(P$28,FY16ProjMjrs!$A$2:$S$2,0),FALSE)</f>
        <v>0</v>
      </c>
      <c r="Q61" s="457">
        <f>+GPpcntMjr*(VLOOKUP($A61,FY16ProjRev!$A$4:$I$24,9,FALSE))*VLOOKUP($A61,FY16ProjMjrs!$A$3:$S$23,MATCH(Q$28,FY16ProjMjrs!$A$2:$S$2,0),FALSE)</f>
        <v>1872851.2418700701</v>
      </c>
      <c r="R61" s="457">
        <f>+GPpcntMjr*(VLOOKUP($A61,FY16ProjRev!$A$4:$I$24,9,FALSE))*VLOOKUP($A61,FY16ProjMjrs!$A$3:$S$23,MATCH(R$28,FY16ProjMjrs!$A$2:$S$2,0),FALSE)</f>
        <v>0</v>
      </c>
      <c r="S61" s="457">
        <f>+GPpcntMjr*(VLOOKUP($A61,FY16ProjRev!$A$4:$I$24,9,FALSE))*VLOOKUP($A61,FY16ProjMjrs!$A$3:$S$23,MATCH(S$28,FY16ProjMjrs!$A$2:$S$2,0),FALSE)</f>
        <v>0</v>
      </c>
      <c r="T61" s="457">
        <f t="shared" si="6"/>
        <v>1891642.3914540508</v>
      </c>
    </row>
    <row r="62" spans="1:20" s="18" customFormat="1" ht="20.100000000000001" customHeight="1">
      <c r="A62" s="404" t="s">
        <v>137</v>
      </c>
      <c r="B62" s="440" t="s">
        <v>49</v>
      </c>
      <c r="C62" s="410">
        <f>+GPpcntMjr*(VLOOKUP($A62,FY16ProjRev!$A$4:$I$24,9,FALSE))*VLOOKUP($A62,FY16ProjMjrs!$A$3:$S$23,MATCH(C$28,FY16ProjMjrs!$A$2:$S$2,0),FALSE)</f>
        <v>1739.086814908738</v>
      </c>
      <c r="D62" s="410">
        <f>+GPpcntMjr*(VLOOKUP($A62,FY16ProjRev!$A$4:$I$24,9,FALSE))*VLOOKUP($A62,FY16ProjMjrs!$A$3:$S$23,MATCH(D$28,FY16ProjMjrs!$A$2:$S$2,0),FALSE)</f>
        <v>31303.562668357277</v>
      </c>
      <c r="E62" s="410">
        <f>+GPpcntMjr*(VLOOKUP($A62,FY16ProjRev!$A$4:$I$24,9,FALSE))*VLOOKUP($A62,FY16ProjMjrs!$A$3:$S$23,MATCH(E$28,FY16ProjMjrs!$A$2:$S$2,0),FALSE)</f>
        <v>0</v>
      </c>
      <c r="F62" s="410">
        <f>+GPpcntMjr*(VLOOKUP($A62,FY16ProjRev!$A$4:$I$24,9,FALSE))*VLOOKUP($A62,FY16ProjMjrs!$A$3:$S$23,MATCH(F$28,FY16ProjMjrs!$A$2:$S$2,0),FALSE)</f>
        <v>0</v>
      </c>
      <c r="G62" s="410">
        <f>+GPpcntMjr*(VLOOKUP($A62,FY16ProjRev!$A$4:$I$24,9,FALSE))*VLOOKUP($A62,FY16ProjMjrs!$A$3:$S$23,MATCH(G$28,FY16ProjMjrs!$A$2:$S$2,0),FALSE)</f>
        <v>5217.2604447262138</v>
      </c>
      <c r="H62" s="410">
        <f>+GPpcntMjr*(VLOOKUP($A62,FY16ProjRev!$A$4:$I$24,9,FALSE))*VLOOKUP($A62,FY16ProjMjrs!$A$3:$S$23,MATCH(H$28,FY16ProjMjrs!$A$2:$S$2,0),FALSE)</f>
        <v>0</v>
      </c>
      <c r="I62" s="410">
        <f>+GPpcntMjr*(VLOOKUP($A62,FY16ProjRev!$A$4:$I$24,9,FALSE))*VLOOKUP($A62,FY16ProjMjrs!$A$3:$S$23,MATCH(I$28,FY16ProjMjrs!$A$2:$S$2,0),FALSE)</f>
        <v>0</v>
      </c>
      <c r="J62" s="410">
        <f>+GPpcntMjr*(VLOOKUP($A62,FY16ProjRev!$A$4:$I$24,9,FALSE))*VLOOKUP($A62,FY16ProjMjrs!$A$3:$S$23,MATCH(J$28,FY16ProjMjrs!$A$2:$S$2,0),FALSE)</f>
        <v>0</v>
      </c>
      <c r="K62" s="410">
        <f>+GPpcntMjr*(VLOOKUP($A62,FY16ProjRev!$A$4:$I$24,9,FALSE))*VLOOKUP($A62,FY16ProjMjrs!$A$3:$S$23,MATCH(K$28,FY16ProjMjrs!$A$2:$S$2,0),FALSE)</f>
        <v>0</v>
      </c>
      <c r="L62" s="410">
        <f>+GPpcntMjr*(VLOOKUP($A62,FY16ProjRev!$A$4:$I$24,9,FALSE))*VLOOKUP($A62,FY16ProjMjrs!$A$3:$S$23,MATCH(L$28,FY16ProjMjrs!$A$2:$S$2,0),FALSE)</f>
        <v>15651.781334178642</v>
      </c>
      <c r="M62" s="410">
        <f>+GPpcntMjr*(VLOOKUP($A62,FY16ProjRev!$A$4:$I$24,9,FALSE))*VLOOKUP($A62,FY16ProjMjrs!$A$3:$S$23,MATCH(M$28,FY16ProjMjrs!$A$2:$S$2,0),FALSE)</f>
        <v>1739.086814908738</v>
      </c>
      <c r="N62" s="410">
        <f>+GPpcntMjr*(VLOOKUP($A62,FY16ProjRev!$A$4:$I$24,9,FALSE))*VLOOKUP($A62,FY16ProjMjrs!$A$3:$S$23,MATCH(N$28,FY16ProjMjrs!$A$2:$S$2,0),FALSE)</f>
        <v>243472.15408722329</v>
      </c>
      <c r="O62" s="410">
        <f>+GPpcntMjr*(VLOOKUP($A62,FY16ProjRev!$A$4:$I$24,9,FALSE))*VLOOKUP($A62,FY16ProjMjrs!$A$3:$S$23,MATCH(O$28,FY16ProjMjrs!$A$2:$S$2,0),FALSE)</f>
        <v>1739.086814908738</v>
      </c>
      <c r="P62" s="410">
        <f>+GPpcntMjr*(VLOOKUP($A62,FY16ProjRev!$A$4:$I$24,9,FALSE))*VLOOKUP($A62,FY16ProjMjrs!$A$3:$S$23,MATCH(P$28,FY16ProjMjrs!$A$2:$S$2,0),FALSE)</f>
        <v>0</v>
      </c>
      <c r="Q62" s="410">
        <f>+GPpcntMjr*(VLOOKUP($A62,FY16ProjRev!$A$4:$I$24,9,FALSE))*VLOOKUP($A62,FY16ProjMjrs!$A$3:$S$23,MATCH(Q$28,FY16ProjMjrs!$A$2:$S$2,0),FALSE)</f>
        <v>711286.50729767396</v>
      </c>
      <c r="R62" s="410">
        <f>+GPpcntMjr*(VLOOKUP($A62,FY16ProjRev!$A$4:$I$24,9,FALSE))*VLOOKUP($A62,FY16ProjMjrs!$A$3:$S$23,MATCH(R$28,FY16ProjMjrs!$A$2:$S$2,0),FALSE)</f>
        <v>0</v>
      </c>
      <c r="S62" s="410">
        <f>+GPpcntMjr*(VLOOKUP($A62,FY16ProjRev!$A$4:$I$24,9,FALSE))*VLOOKUP($A62,FY16ProjMjrs!$A$3:$S$23,MATCH(S$28,FY16ProjMjrs!$A$2:$S$2,0),FALSE)</f>
        <v>0</v>
      </c>
      <c r="T62" s="410">
        <f t="shared" si="6"/>
        <v>1012148.5262768855</v>
      </c>
    </row>
    <row r="63" spans="1:20" ht="20.100000000000001" customHeight="1">
      <c r="A63" s="553" t="s">
        <v>145</v>
      </c>
      <c r="B63" s="456" t="s">
        <v>207</v>
      </c>
      <c r="C63" s="457">
        <f>+GPpcntMjr*(VLOOKUP($A63,FY16ProjRev!$A$4:$I$24,9,FALSE))*VLOOKUP($A63,FY16ProjMjrs!$A$3:$S$23,MATCH(C$28,FY16ProjMjrs!$A$2:$S$2,0),FALSE)</f>
        <v>3521984.1766624614</v>
      </c>
      <c r="D63" s="457">
        <f>+GPpcntMjr*(VLOOKUP($A63,FY16ProjRev!$A$4:$I$24,9,FALSE))*VLOOKUP($A63,FY16ProjMjrs!$A$3:$S$23,MATCH(D$28,FY16ProjMjrs!$A$2:$S$2,0),FALSE)</f>
        <v>0</v>
      </c>
      <c r="E63" s="457">
        <f>+GPpcntMjr*(VLOOKUP($A63,FY16ProjRev!$A$4:$I$24,9,FALSE))*VLOOKUP($A63,FY16ProjMjrs!$A$3:$S$23,MATCH(E$28,FY16ProjMjrs!$A$2:$S$2,0),FALSE)</f>
        <v>0</v>
      </c>
      <c r="F63" s="457">
        <f>+GPpcntMjr*(VLOOKUP($A63,FY16ProjRev!$A$4:$I$24,9,FALSE))*VLOOKUP($A63,FY16ProjMjrs!$A$3:$S$23,MATCH(F$28,FY16ProjMjrs!$A$2:$S$2,0),FALSE)</f>
        <v>0</v>
      </c>
      <c r="G63" s="457">
        <f>+GPpcntMjr*(VLOOKUP($A63,FY16ProjRev!$A$4:$I$24,9,FALSE))*VLOOKUP($A63,FY16ProjMjrs!$A$3:$S$23,MATCH(G$28,FY16ProjMjrs!$A$2:$S$2,0),FALSE)</f>
        <v>9911.7753564609629</v>
      </c>
      <c r="H63" s="457">
        <f>+GPpcntMjr*(VLOOKUP($A63,FY16ProjRev!$A$4:$I$24,9,FALSE))*VLOOKUP($A63,FY16ProjMjrs!$A$3:$S$23,MATCH(H$28,FY16ProjMjrs!$A$2:$S$2,0),FALSE)</f>
        <v>0</v>
      </c>
      <c r="I63" s="457">
        <f>+GPpcntMjr*(VLOOKUP($A63,FY16ProjRev!$A$4:$I$24,9,FALSE))*VLOOKUP($A63,FY16ProjMjrs!$A$3:$S$23,MATCH(I$28,FY16ProjMjrs!$A$2:$S$2,0),FALSE)</f>
        <v>0</v>
      </c>
      <c r="J63" s="457">
        <f>+GPpcntMjr*(VLOOKUP($A63,FY16ProjRev!$A$4:$I$24,9,FALSE))*VLOOKUP($A63,FY16ProjMjrs!$A$3:$S$23,MATCH(J$28,FY16ProjMjrs!$A$2:$S$2,0),FALSE)</f>
        <v>0</v>
      </c>
      <c r="K63" s="457">
        <f>+GPpcntMjr*(VLOOKUP($A63,FY16ProjRev!$A$4:$I$24,9,FALSE))*VLOOKUP($A63,FY16ProjMjrs!$A$3:$S$23,MATCH(K$28,FY16ProjMjrs!$A$2:$S$2,0),FALSE)</f>
        <v>0</v>
      </c>
      <c r="L63" s="457">
        <f>+GPpcntMjr*(VLOOKUP($A63,FY16ProjRev!$A$4:$I$24,9,FALSE))*VLOOKUP($A63,FY16ProjMjrs!$A$3:$S$23,MATCH(L$28,FY16ProjMjrs!$A$2:$S$2,0),FALSE)</f>
        <v>0</v>
      </c>
      <c r="M63" s="457">
        <f>+GPpcntMjr*(VLOOKUP($A63,FY16ProjRev!$A$4:$I$24,9,FALSE))*VLOOKUP($A63,FY16ProjMjrs!$A$3:$S$23,MATCH(M$28,FY16ProjMjrs!$A$2:$S$2,0),FALSE)</f>
        <v>0</v>
      </c>
      <c r="N63" s="457">
        <f>+GPpcntMjr*(VLOOKUP($A63,FY16ProjRev!$A$4:$I$24,9,FALSE))*VLOOKUP($A63,FY16ProjMjrs!$A$3:$S$23,MATCH(N$28,FY16ProjMjrs!$A$2:$S$2,0),FALSE)</f>
        <v>0</v>
      </c>
      <c r="O63" s="457">
        <f>+GPpcntMjr*(VLOOKUP($A63,FY16ProjRev!$A$4:$I$24,9,FALSE))*VLOOKUP($A63,FY16ProjMjrs!$A$3:$S$23,MATCH(O$28,FY16ProjMjrs!$A$2:$S$2,0),FALSE)</f>
        <v>0</v>
      </c>
      <c r="P63" s="457">
        <f>+GPpcntMjr*(VLOOKUP($A63,FY16ProjRev!$A$4:$I$24,9,FALSE))*VLOOKUP($A63,FY16ProjMjrs!$A$3:$S$23,MATCH(P$28,FY16ProjMjrs!$A$2:$S$2,0),FALSE)</f>
        <v>0</v>
      </c>
      <c r="Q63" s="457">
        <f>+GPpcntMjr*(VLOOKUP($A63,FY16ProjRev!$A$4:$I$24,9,FALSE))*VLOOKUP($A63,FY16ProjMjrs!$A$3:$S$23,MATCH(Q$28,FY16ProjMjrs!$A$2:$S$2,0),FALSE)</f>
        <v>0</v>
      </c>
      <c r="R63" s="457">
        <f>+GPpcntMjr*(VLOOKUP($A63,FY16ProjRev!$A$4:$I$24,9,FALSE))*VLOOKUP($A63,FY16ProjMjrs!$A$3:$S$23,MATCH(R$28,FY16ProjMjrs!$A$2:$S$2,0),FALSE)</f>
        <v>0</v>
      </c>
      <c r="S63" s="457">
        <f>+GPpcntMjr*(VLOOKUP($A63,FY16ProjRev!$A$4:$I$24,9,FALSE))*VLOOKUP($A63,FY16ProjMjrs!$A$3:$S$23,MATCH(S$28,FY16ProjMjrs!$A$2:$S$2,0),FALSE)</f>
        <v>0</v>
      </c>
      <c r="T63" s="457">
        <f t="shared" si="6"/>
        <v>3531895.9520189222</v>
      </c>
    </row>
    <row r="64" spans="1:20" s="18" customFormat="1" ht="20.100000000000001" customHeight="1">
      <c r="A64" s="404" t="s">
        <v>147</v>
      </c>
      <c r="B64" s="440" t="s">
        <v>208</v>
      </c>
      <c r="C64" s="410">
        <f>+GPpcntMjr*(VLOOKUP($A64,FY16ProjRev!$A$4:$I$24,9,FALSE))*VLOOKUP($A64,FY16ProjMjrs!$A$3:$S$23,MATCH(C$28,FY16ProjMjrs!$A$2:$S$2,0),FALSE)</f>
        <v>0</v>
      </c>
      <c r="D64" s="410">
        <f>+GPpcntMjr*(VLOOKUP($A64,FY16ProjRev!$A$4:$I$24,9,FALSE))*VLOOKUP($A64,FY16ProjMjrs!$A$3:$S$23,MATCH(D$28,FY16ProjMjrs!$A$2:$S$2,0),FALSE)</f>
        <v>0</v>
      </c>
      <c r="E64" s="410">
        <f>+GPpcntMjr*(VLOOKUP($A64,FY16ProjRev!$A$4:$I$24,9,FALSE))*VLOOKUP($A64,FY16ProjMjrs!$A$3:$S$23,MATCH(E$28,FY16ProjMjrs!$A$2:$S$2,0),FALSE)</f>
        <v>0</v>
      </c>
      <c r="F64" s="410">
        <f>+GPpcntMjr*(VLOOKUP($A64,FY16ProjRev!$A$4:$I$24,9,FALSE))*VLOOKUP($A64,FY16ProjMjrs!$A$3:$S$23,MATCH(F$28,FY16ProjMjrs!$A$2:$S$2,0),FALSE)</f>
        <v>0</v>
      </c>
      <c r="G64" s="410">
        <f>+GPpcntMjr*(VLOOKUP($A64,FY16ProjRev!$A$4:$I$24,9,FALSE))*VLOOKUP($A64,FY16ProjMjrs!$A$3:$S$23,MATCH(G$28,FY16ProjMjrs!$A$2:$S$2,0),FALSE)</f>
        <v>941005.24067641457</v>
      </c>
      <c r="H64" s="410">
        <f>+GPpcntMjr*(VLOOKUP($A64,FY16ProjRev!$A$4:$I$24,9,FALSE))*VLOOKUP($A64,FY16ProjMjrs!$A$3:$S$23,MATCH(H$28,FY16ProjMjrs!$A$2:$S$2,0),FALSE)</f>
        <v>10857.752777035554</v>
      </c>
      <c r="I64" s="410">
        <f>+GPpcntMjr*(VLOOKUP($A64,FY16ProjRev!$A$4:$I$24,9,FALSE))*VLOOKUP($A64,FY16ProjMjrs!$A$3:$S$23,MATCH(I$28,FY16ProjMjrs!$A$2:$S$2,0),FALSE)</f>
        <v>0</v>
      </c>
      <c r="J64" s="410">
        <f>+GPpcntMjr*(VLOOKUP($A64,FY16ProjRev!$A$4:$I$24,9,FALSE))*VLOOKUP($A64,FY16ProjMjrs!$A$3:$S$23,MATCH(J$28,FY16ProjMjrs!$A$2:$S$2,0),FALSE)</f>
        <v>0</v>
      </c>
      <c r="K64" s="410">
        <f>+GPpcntMjr*(VLOOKUP($A64,FY16ProjRev!$A$4:$I$24,9,FALSE))*VLOOKUP($A64,FY16ProjMjrs!$A$3:$S$23,MATCH(K$28,FY16ProjMjrs!$A$2:$S$2,0),FALSE)</f>
        <v>0</v>
      </c>
      <c r="L64" s="410">
        <f>+GPpcntMjr*(VLOOKUP($A64,FY16ProjRev!$A$4:$I$24,9,FALSE))*VLOOKUP($A64,FY16ProjMjrs!$A$3:$S$23,MATCH(L$28,FY16ProjMjrs!$A$2:$S$2,0),FALSE)</f>
        <v>0</v>
      </c>
      <c r="M64" s="410">
        <f>+GPpcntMjr*(VLOOKUP($A64,FY16ProjRev!$A$4:$I$24,9,FALSE))*VLOOKUP($A64,FY16ProjMjrs!$A$3:$S$23,MATCH(M$28,FY16ProjMjrs!$A$2:$S$2,0),FALSE)</f>
        <v>0</v>
      </c>
      <c r="N64" s="410">
        <f>+GPpcntMjr*(VLOOKUP($A64,FY16ProjRev!$A$4:$I$24,9,FALSE))*VLOOKUP($A64,FY16ProjMjrs!$A$3:$S$23,MATCH(N$28,FY16ProjMjrs!$A$2:$S$2,0),FALSE)</f>
        <v>0</v>
      </c>
      <c r="O64" s="410">
        <f>+GPpcntMjr*(VLOOKUP($A64,FY16ProjRev!$A$4:$I$24,9,FALSE))*VLOOKUP($A64,FY16ProjMjrs!$A$3:$S$23,MATCH(O$28,FY16ProjMjrs!$A$2:$S$2,0),FALSE)</f>
        <v>0</v>
      </c>
      <c r="P64" s="410">
        <f>+GPpcntMjr*(VLOOKUP($A64,FY16ProjRev!$A$4:$I$24,9,FALSE))*VLOOKUP($A64,FY16ProjMjrs!$A$3:$S$23,MATCH(P$28,FY16ProjMjrs!$A$2:$S$2,0),FALSE)</f>
        <v>0</v>
      </c>
      <c r="Q64" s="410">
        <f>+GPpcntMjr*(VLOOKUP($A64,FY16ProjRev!$A$4:$I$24,9,FALSE))*VLOOKUP($A64,FY16ProjMjrs!$A$3:$S$23,MATCH(Q$28,FY16ProjMjrs!$A$2:$S$2,0),FALSE)</f>
        <v>0</v>
      </c>
      <c r="R64" s="410">
        <f>+GPpcntMjr*(VLOOKUP($A64,FY16ProjRev!$A$4:$I$24,9,FALSE))*VLOOKUP($A64,FY16ProjMjrs!$A$3:$S$23,MATCH(R$28,FY16ProjMjrs!$A$2:$S$2,0),FALSE)</f>
        <v>0</v>
      </c>
      <c r="S64" s="410">
        <f>+GPpcntMjr*(VLOOKUP($A64,FY16ProjRev!$A$4:$I$24,9,FALSE))*VLOOKUP($A64,FY16ProjMjrs!$A$3:$S$23,MATCH(S$28,FY16ProjMjrs!$A$2:$S$2,0),FALSE)</f>
        <v>0</v>
      </c>
      <c r="T64" s="410">
        <f t="shared" si="6"/>
        <v>951862.99345345015</v>
      </c>
    </row>
    <row r="65" spans="1:20" ht="20.100000000000001" customHeight="1">
      <c r="A65" s="404" t="s">
        <v>148</v>
      </c>
      <c r="B65" s="456" t="s">
        <v>39</v>
      </c>
      <c r="C65" s="457">
        <f>+GPpcntMjr*(VLOOKUP($A65,FY16ProjRev!$A$4:$I$24,9,FALSE))*VLOOKUP($A65,FY16ProjMjrs!$A$3:$S$23,MATCH(C$28,FY16ProjMjrs!$A$2:$S$2,0),FALSE)</f>
        <v>53968.190280326635</v>
      </c>
      <c r="D65" s="457">
        <f>+GPpcntMjr*(VLOOKUP($A65,FY16ProjRev!$A$4:$I$24,9,FALSE))*VLOOKUP($A65,FY16ProjMjrs!$A$3:$S$23,MATCH(D$28,FY16ProjMjrs!$A$2:$S$2,0),FALSE)</f>
        <v>130158.57655843483</v>
      </c>
      <c r="E65" s="457">
        <f>+GPpcntMjr*(VLOOKUP($A65,FY16ProjRev!$A$4:$I$24,9,FALSE))*VLOOKUP($A65,FY16ProjMjrs!$A$3:$S$23,MATCH(E$28,FY16ProjMjrs!$A$2:$S$2,0),FALSE)</f>
        <v>0</v>
      </c>
      <c r="F65" s="457">
        <f>+GPpcntMjr*(VLOOKUP($A65,FY16ProjRev!$A$4:$I$24,9,FALSE))*VLOOKUP($A65,FY16ProjMjrs!$A$3:$S$23,MATCH(F$28,FY16ProjMjrs!$A$2:$S$2,0),FALSE)</f>
        <v>0</v>
      </c>
      <c r="G65" s="457">
        <f>+GPpcntMjr*(VLOOKUP($A65,FY16ProjRev!$A$4:$I$24,9,FALSE))*VLOOKUP($A65,FY16ProjMjrs!$A$3:$S$23,MATCH(G$28,FY16ProjMjrs!$A$2:$S$2,0),FALSE)</f>
        <v>0</v>
      </c>
      <c r="H65" s="457">
        <f>+GPpcntMjr*(VLOOKUP($A65,FY16ProjRev!$A$4:$I$24,9,FALSE))*VLOOKUP($A65,FY16ProjMjrs!$A$3:$S$23,MATCH(H$28,FY16ProjMjrs!$A$2:$S$2,0),FALSE)</f>
        <v>85714.184562871713</v>
      </c>
      <c r="I65" s="457">
        <f>+GPpcntMjr*(VLOOKUP($A65,FY16ProjRev!$A$4:$I$24,9,FALSE))*VLOOKUP($A65,FY16ProjMjrs!$A$3:$S$23,MATCH(I$28,FY16ProjMjrs!$A$2:$S$2,0),FALSE)</f>
        <v>9523.798284763523</v>
      </c>
      <c r="J65" s="457">
        <f>+GPpcntMjr*(VLOOKUP($A65,FY16ProjRev!$A$4:$I$24,9,FALSE))*VLOOKUP($A65,FY16ProjMjrs!$A$3:$S$23,MATCH(J$28,FY16ProjMjrs!$A$2:$S$2,0),FALSE)</f>
        <v>9523.798284763523</v>
      </c>
      <c r="K65" s="457">
        <f>+GPpcntMjr*(VLOOKUP($A65,FY16ProjRev!$A$4:$I$24,9,FALSE))*VLOOKUP($A65,FY16ProjMjrs!$A$3:$S$23,MATCH(K$28,FY16ProjMjrs!$A$2:$S$2,0),FALSE)</f>
        <v>3168250.2293979991</v>
      </c>
      <c r="L65" s="457">
        <f>+GPpcntMjr*(VLOOKUP($A65,FY16ProjRev!$A$4:$I$24,9,FALSE))*VLOOKUP($A65,FY16ProjMjrs!$A$3:$S$23,MATCH(L$28,FY16ProjMjrs!$A$2:$S$2,0),FALSE)</f>
        <v>22222.195997781553</v>
      </c>
      <c r="M65" s="457">
        <f>+GPpcntMjr*(VLOOKUP($A65,FY16ProjRev!$A$4:$I$24,9,FALSE))*VLOOKUP($A65,FY16ProjMjrs!$A$3:$S$23,MATCH(M$28,FY16ProjMjrs!$A$2:$S$2,0),FALSE)</f>
        <v>0</v>
      </c>
      <c r="N65" s="457">
        <f>+GPpcntMjr*(VLOOKUP($A65,FY16ProjRev!$A$4:$I$24,9,FALSE))*VLOOKUP($A65,FY16ProjMjrs!$A$3:$S$23,MATCH(N$28,FY16ProjMjrs!$A$2:$S$2,0),FALSE)</f>
        <v>0</v>
      </c>
      <c r="O65" s="457">
        <f>+GPpcntMjr*(VLOOKUP($A65,FY16ProjRev!$A$4:$I$24,9,FALSE))*VLOOKUP($A65,FY16ProjMjrs!$A$3:$S$23,MATCH(O$28,FY16ProjMjrs!$A$2:$S$2,0),FALSE)</f>
        <v>0</v>
      </c>
      <c r="P65" s="457">
        <f>+GPpcntMjr*(VLOOKUP($A65,FY16ProjRev!$A$4:$I$24,9,FALSE))*VLOOKUP($A65,FY16ProjMjrs!$A$3:$S$23,MATCH(P$28,FY16ProjMjrs!$A$2:$S$2,0),FALSE)</f>
        <v>0</v>
      </c>
      <c r="Q65" s="457">
        <f>+GPpcntMjr*(VLOOKUP($A65,FY16ProjRev!$A$4:$I$24,9,FALSE))*VLOOKUP($A65,FY16ProjMjrs!$A$3:$S$23,MATCH(Q$28,FY16ProjMjrs!$A$2:$S$2,0),FALSE)</f>
        <v>69841.187421599185</v>
      </c>
      <c r="R65" s="457">
        <f>+GPpcntMjr*(VLOOKUP($A65,FY16ProjRev!$A$4:$I$24,9,FALSE))*VLOOKUP($A65,FY16ProjMjrs!$A$3:$S$23,MATCH(R$28,FY16ProjMjrs!$A$2:$S$2,0),FALSE)</f>
        <v>0</v>
      </c>
      <c r="S65" s="457">
        <f>+GPpcntMjr*(VLOOKUP($A65,FY16ProjRev!$A$4:$I$24,9,FALSE))*VLOOKUP($A65,FY16ProjMjrs!$A$3:$S$23,MATCH(S$28,FY16ProjMjrs!$A$2:$S$2,0),FALSE)</f>
        <v>0</v>
      </c>
      <c r="T65" s="457">
        <f t="shared" si="6"/>
        <v>3549202.1607885403</v>
      </c>
    </row>
    <row r="66" spans="1:20" s="18" customFormat="1" ht="20.100000000000001" customHeight="1">
      <c r="A66" s="404" t="s">
        <v>149</v>
      </c>
      <c r="B66" s="440" t="s">
        <v>38</v>
      </c>
      <c r="C66" s="410">
        <f>+GPpcntMjr*(VLOOKUP($A66,FY16ProjRev!$A$4:$I$24,9,FALSE))*VLOOKUP($A66,FY16ProjMjrs!$A$3:$S$23,MATCH(C$28,FY16ProjMjrs!$A$2:$S$2,0),FALSE)</f>
        <v>0</v>
      </c>
      <c r="D66" s="410">
        <f>+GPpcntMjr*(VLOOKUP($A66,FY16ProjRev!$A$4:$I$24,9,FALSE))*VLOOKUP($A66,FY16ProjMjrs!$A$3:$S$23,MATCH(D$28,FY16ProjMjrs!$A$2:$S$2,0),FALSE)</f>
        <v>25557.930145904866</v>
      </c>
      <c r="E66" s="410">
        <f>+GPpcntMjr*(VLOOKUP($A66,FY16ProjRev!$A$4:$I$24,9,FALSE))*VLOOKUP($A66,FY16ProjMjrs!$A$3:$S$23,MATCH(E$28,FY16ProjMjrs!$A$2:$S$2,0),FALSE)</f>
        <v>3757015.7314480157</v>
      </c>
      <c r="F66" s="410">
        <f>+GPpcntMjr*(VLOOKUP($A66,FY16ProjRev!$A$4:$I$24,9,FALSE))*VLOOKUP($A66,FY16ProjMjrs!$A$3:$S$23,MATCH(F$28,FY16ProjMjrs!$A$2:$S$2,0),FALSE)</f>
        <v>0</v>
      </c>
      <c r="G66" s="410">
        <f>+GPpcntMjr*(VLOOKUP($A66,FY16ProjRev!$A$4:$I$24,9,FALSE))*VLOOKUP($A66,FY16ProjMjrs!$A$3:$S$23,MATCH(G$28,FY16ProjMjrs!$A$2:$S$2,0),FALSE)</f>
        <v>10223.172058361946</v>
      </c>
      <c r="H66" s="410">
        <f>+GPpcntMjr*(VLOOKUP($A66,FY16ProjRev!$A$4:$I$24,9,FALSE))*VLOOKUP($A66,FY16ProjMjrs!$A$3:$S$23,MATCH(H$28,FY16ProjMjrs!$A$2:$S$2,0),FALSE)</f>
        <v>0</v>
      </c>
      <c r="I66" s="410">
        <f>+GPpcntMjr*(VLOOKUP($A66,FY16ProjRev!$A$4:$I$24,9,FALSE))*VLOOKUP($A66,FY16ProjMjrs!$A$3:$S$23,MATCH(I$28,FY16ProjMjrs!$A$2:$S$2,0),FALSE)</f>
        <v>0</v>
      </c>
      <c r="J66" s="410">
        <f>+GPpcntMjr*(VLOOKUP($A66,FY16ProjRev!$A$4:$I$24,9,FALSE))*VLOOKUP($A66,FY16ProjMjrs!$A$3:$S$23,MATCH(J$28,FY16ProjMjrs!$A$2:$S$2,0),FALSE)</f>
        <v>10223.172058361946</v>
      </c>
      <c r="K66" s="410">
        <f>+GPpcntMjr*(VLOOKUP($A66,FY16ProjRev!$A$4:$I$24,9,FALSE))*VLOOKUP($A66,FY16ProjMjrs!$A$3:$S$23,MATCH(K$28,FY16ProjMjrs!$A$2:$S$2,0),FALSE)</f>
        <v>0</v>
      </c>
      <c r="L66" s="410">
        <f>+GPpcntMjr*(VLOOKUP($A66,FY16ProjRev!$A$4:$I$24,9,FALSE))*VLOOKUP($A66,FY16ProjMjrs!$A$3:$S$23,MATCH(L$28,FY16ProjMjrs!$A$2:$S$2,0),FALSE)</f>
        <v>0</v>
      </c>
      <c r="M66" s="410">
        <f>+GPpcntMjr*(VLOOKUP($A66,FY16ProjRev!$A$4:$I$24,9,FALSE))*VLOOKUP($A66,FY16ProjMjrs!$A$3:$S$23,MATCH(M$28,FY16ProjMjrs!$A$2:$S$2,0),FALSE)</f>
        <v>0</v>
      </c>
      <c r="N66" s="410">
        <f>+GPpcntMjr*(VLOOKUP($A66,FY16ProjRev!$A$4:$I$24,9,FALSE))*VLOOKUP($A66,FY16ProjMjrs!$A$3:$S$23,MATCH(N$28,FY16ProjMjrs!$A$2:$S$2,0),FALSE)</f>
        <v>10223.172058361946</v>
      </c>
      <c r="O66" s="410">
        <f>+GPpcntMjr*(VLOOKUP($A66,FY16ProjRev!$A$4:$I$24,9,FALSE))*VLOOKUP($A66,FY16ProjMjrs!$A$3:$S$23,MATCH(O$28,FY16ProjMjrs!$A$2:$S$2,0),FALSE)</f>
        <v>0</v>
      </c>
      <c r="P66" s="410">
        <f>+GPpcntMjr*(VLOOKUP($A66,FY16ProjRev!$A$4:$I$24,9,FALSE))*VLOOKUP($A66,FY16ProjMjrs!$A$3:$S$23,MATCH(P$28,FY16ProjMjrs!$A$2:$S$2,0),FALSE)</f>
        <v>10223.172058361946</v>
      </c>
      <c r="Q66" s="410">
        <f>+GPpcntMjr*(VLOOKUP($A66,FY16ProjRev!$A$4:$I$24,9,FALSE))*VLOOKUP($A66,FY16ProjMjrs!$A$3:$S$23,MATCH(Q$28,FY16ProjMjrs!$A$2:$S$2,0),FALSE)</f>
        <v>30669.516175085842</v>
      </c>
      <c r="R66" s="410">
        <f>+GPpcntMjr*(VLOOKUP($A66,FY16ProjRev!$A$4:$I$24,9,FALSE))*VLOOKUP($A66,FY16ProjMjrs!$A$3:$S$23,MATCH(R$28,FY16ProjMjrs!$A$2:$S$2,0),FALSE)</f>
        <v>0</v>
      </c>
      <c r="S66" s="410">
        <f>+GPpcntMjr*(VLOOKUP($A66,FY16ProjRev!$A$4:$I$24,9,FALSE))*VLOOKUP($A66,FY16ProjMjrs!$A$3:$S$23,MATCH(S$28,FY16ProjMjrs!$A$2:$S$2,0),FALSE)</f>
        <v>0</v>
      </c>
      <c r="T66" s="410">
        <f t="shared" si="6"/>
        <v>3854135.8660024544</v>
      </c>
    </row>
    <row r="67" spans="1:20" ht="20.100000000000001" customHeight="1">
      <c r="A67" s="404" t="s">
        <v>150</v>
      </c>
      <c r="B67" s="456" t="s">
        <v>31</v>
      </c>
      <c r="C67" s="457">
        <f>+GPpcntMjr*(VLOOKUP($A67,FY16ProjRev!$A$4:$I$24,9,FALSE))*VLOOKUP($A67,FY16ProjMjrs!$A$3:$S$23,MATCH(C$28,FY16ProjMjrs!$A$2:$S$2,0),FALSE)</f>
        <v>0</v>
      </c>
      <c r="D67" s="457">
        <f>+GPpcntMjr*(VLOOKUP($A67,FY16ProjRev!$A$4:$I$24,9,FALSE))*VLOOKUP($A67,FY16ProjMjrs!$A$3:$S$23,MATCH(D$28,FY16ProjMjrs!$A$2:$S$2,0),FALSE)</f>
        <v>30801.070034606255</v>
      </c>
      <c r="E67" s="457">
        <f>+GPpcntMjr*(VLOOKUP($A67,FY16ProjRev!$A$4:$I$24,9,FALSE))*VLOOKUP($A67,FY16ProjMjrs!$A$3:$S$23,MATCH(E$28,FY16ProjMjrs!$A$2:$S$2,0),FALSE)</f>
        <v>20534.046689737504</v>
      </c>
      <c r="F67" s="457">
        <f>+GPpcntMjr*(VLOOKUP($A67,FY16ProjRev!$A$4:$I$24,9,FALSE))*VLOOKUP($A67,FY16ProjMjrs!$A$3:$S$23,MATCH(F$28,FY16ProjMjrs!$A$2:$S$2,0),FALSE)</f>
        <v>25667.55836217188</v>
      </c>
      <c r="G67" s="457">
        <f>+GPpcntMjr*(VLOOKUP($A67,FY16ProjRev!$A$4:$I$24,9,FALSE))*VLOOKUP($A67,FY16ProjMjrs!$A$3:$S$23,MATCH(G$28,FY16ProjMjrs!$A$2:$S$2,0),FALSE)</f>
        <v>15400.535017303127</v>
      </c>
      <c r="H67" s="457">
        <f>+GPpcntMjr*(VLOOKUP($A67,FY16ProjRev!$A$4:$I$24,9,FALSE))*VLOOKUP($A67,FY16ProjMjrs!$A$3:$S$23,MATCH(H$28,FY16ProjMjrs!$A$2:$S$2,0),FALSE)</f>
        <v>15400.535017303127</v>
      </c>
      <c r="I67" s="457">
        <f>+GPpcntMjr*(VLOOKUP($A67,FY16ProjRev!$A$4:$I$24,9,FALSE))*VLOOKUP($A67,FY16ProjMjrs!$A$3:$S$23,MATCH(I$28,FY16ProjMjrs!$A$2:$S$2,0),FALSE)</f>
        <v>15400.535017303127</v>
      </c>
      <c r="J67" s="457">
        <f>+GPpcntMjr*(VLOOKUP($A67,FY16ProjRev!$A$4:$I$24,9,FALSE))*VLOOKUP($A67,FY16ProjMjrs!$A$3:$S$23,MATCH(J$28,FY16ProjMjrs!$A$2:$S$2,0),FALSE)</f>
        <v>7905607.9755489379</v>
      </c>
      <c r="K67" s="457">
        <f>+GPpcntMjr*(VLOOKUP($A67,FY16ProjRev!$A$4:$I$24,9,FALSE))*VLOOKUP($A67,FY16ProjMjrs!$A$3:$S$23,MATCH(K$28,FY16ProjMjrs!$A$2:$S$2,0),FALSE)</f>
        <v>15400.535017303127</v>
      </c>
      <c r="L67" s="457">
        <f>+GPpcntMjr*(VLOOKUP($A67,FY16ProjRev!$A$4:$I$24,9,FALSE))*VLOOKUP($A67,FY16ProjMjrs!$A$3:$S$23,MATCH(L$28,FY16ProjMjrs!$A$2:$S$2,0),FALSE)</f>
        <v>0</v>
      </c>
      <c r="M67" s="457">
        <f>+GPpcntMjr*(VLOOKUP($A67,FY16ProjRev!$A$4:$I$24,9,FALSE))*VLOOKUP($A67,FY16ProjMjrs!$A$3:$S$23,MATCH(M$28,FY16ProjMjrs!$A$2:$S$2,0),FALSE)</f>
        <v>0</v>
      </c>
      <c r="N67" s="457">
        <f>+GPpcntMjr*(VLOOKUP($A67,FY16ProjRev!$A$4:$I$24,9,FALSE))*VLOOKUP($A67,FY16ProjMjrs!$A$3:$S$23,MATCH(N$28,FY16ProjMjrs!$A$2:$S$2,0),FALSE)</f>
        <v>0</v>
      </c>
      <c r="O67" s="457">
        <f>+GPpcntMjr*(VLOOKUP($A67,FY16ProjRev!$A$4:$I$24,9,FALSE))*VLOOKUP($A67,FY16ProjMjrs!$A$3:$S$23,MATCH(O$28,FY16ProjMjrs!$A$2:$S$2,0),FALSE)</f>
        <v>0</v>
      </c>
      <c r="P67" s="457">
        <f>+GPpcntMjr*(VLOOKUP($A67,FY16ProjRev!$A$4:$I$24,9,FALSE))*VLOOKUP($A67,FY16ProjMjrs!$A$3:$S$23,MATCH(P$28,FY16ProjMjrs!$A$2:$S$2,0),FALSE)</f>
        <v>0</v>
      </c>
      <c r="Q67" s="457">
        <f>+GPpcntMjr*(VLOOKUP($A67,FY16ProjRev!$A$4:$I$24,9,FALSE))*VLOOKUP($A67,FY16ProjMjrs!$A$3:$S$23,MATCH(Q$28,FY16ProjMjrs!$A$2:$S$2,0),FALSE)</f>
        <v>15400.535017303127</v>
      </c>
      <c r="R67" s="457">
        <f>+GPpcntMjr*(VLOOKUP($A67,FY16ProjRev!$A$4:$I$24,9,FALSE))*VLOOKUP($A67,FY16ProjMjrs!$A$3:$S$23,MATCH(R$28,FY16ProjMjrs!$A$2:$S$2,0),FALSE)</f>
        <v>0</v>
      </c>
      <c r="S67" s="457">
        <f>+GPpcntMjr*(VLOOKUP($A67,FY16ProjRev!$A$4:$I$24,9,FALSE))*VLOOKUP($A67,FY16ProjMjrs!$A$3:$S$23,MATCH(S$28,FY16ProjMjrs!$A$2:$S$2,0),FALSE)</f>
        <v>0</v>
      </c>
      <c r="T67" s="457">
        <f t="shared" si="6"/>
        <v>8059613.3257219689</v>
      </c>
    </row>
    <row r="68" spans="1:20" s="18" customFormat="1" ht="20.100000000000001" customHeight="1">
      <c r="A68" s="404" t="s">
        <v>151</v>
      </c>
      <c r="B68" s="440" t="s">
        <v>209</v>
      </c>
      <c r="C68" s="410">
        <f>+GPpcntMjr*(VLOOKUP($A68,FY16ProjRev!$A$4:$I$24,9,FALSE))*VLOOKUP($A68,FY16ProjMjrs!$A$3:$S$23,MATCH(C$28,FY16ProjMjrs!$A$2:$S$2,0),FALSE)</f>
        <v>0</v>
      </c>
      <c r="D68" s="410">
        <f>+GPpcntMjr*(VLOOKUP($A68,FY16ProjRev!$A$4:$I$24,9,FALSE))*VLOOKUP($A68,FY16ProjMjrs!$A$3:$S$23,MATCH(D$28,FY16ProjMjrs!$A$2:$S$2,0),FALSE)</f>
        <v>0</v>
      </c>
      <c r="E68" s="410">
        <f>+GPpcntMjr*(VLOOKUP($A68,FY16ProjRev!$A$4:$I$24,9,FALSE))*VLOOKUP($A68,FY16ProjMjrs!$A$3:$S$23,MATCH(E$28,FY16ProjMjrs!$A$2:$S$2,0),FALSE)</f>
        <v>0</v>
      </c>
      <c r="F68" s="410">
        <f>+GPpcntMjr*(VLOOKUP($A68,FY16ProjRev!$A$4:$I$24,9,FALSE))*VLOOKUP($A68,FY16ProjMjrs!$A$3:$S$23,MATCH(F$28,FY16ProjMjrs!$A$2:$S$2,0),FALSE)</f>
        <v>0</v>
      </c>
      <c r="G68" s="410">
        <f>+GPpcntMjr*(VLOOKUP($A68,FY16ProjRev!$A$4:$I$24,9,FALSE))*VLOOKUP($A68,FY16ProjMjrs!$A$3:$S$23,MATCH(G$28,FY16ProjMjrs!$A$2:$S$2,0),FALSE)</f>
        <v>0</v>
      </c>
      <c r="H68" s="410">
        <f>+GPpcntMjr*(VLOOKUP($A68,FY16ProjRev!$A$4:$I$24,9,FALSE))*VLOOKUP($A68,FY16ProjMjrs!$A$3:$S$23,MATCH(H$28,FY16ProjMjrs!$A$2:$S$2,0),FALSE)</f>
        <v>0</v>
      </c>
      <c r="I68" s="410">
        <f>+GPpcntMjr*(VLOOKUP($A68,FY16ProjRev!$A$4:$I$24,9,FALSE))*VLOOKUP($A68,FY16ProjMjrs!$A$3:$S$23,MATCH(I$28,FY16ProjMjrs!$A$2:$S$2,0),FALSE)</f>
        <v>0</v>
      </c>
      <c r="J68" s="410">
        <f>+GPpcntMjr*(VLOOKUP($A68,FY16ProjRev!$A$4:$I$24,9,FALSE))*VLOOKUP($A68,FY16ProjMjrs!$A$3:$S$23,MATCH(J$28,FY16ProjMjrs!$A$2:$S$2,0),FALSE)</f>
        <v>954027.12425385753</v>
      </c>
      <c r="K68" s="410">
        <f>+GPpcntMjr*(VLOOKUP($A68,FY16ProjRev!$A$4:$I$24,9,FALSE))*VLOOKUP($A68,FY16ProjMjrs!$A$3:$S$23,MATCH(K$28,FY16ProjMjrs!$A$2:$S$2,0),FALSE)</f>
        <v>0</v>
      </c>
      <c r="L68" s="410">
        <f>+GPpcntMjr*(VLOOKUP($A68,FY16ProjRev!$A$4:$I$24,9,FALSE))*VLOOKUP($A68,FY16ProjMjrs!$A$3:$S$23,MATCH(L$28,FY16ProjMjrs!$A$2:$S$2,0),FALSE)</f>
        <v>0</v>
      </c>
      <c r="M68" s="410">
        <f>+GPpcntMjr*(VLOOKUP($A68,FY16ProjRev!$A$4:$I$24,9,FALSE))*VLOOKUP($A68,FY16ProjMjrs!$A$3:$S$23,MATCH(M$28,FY16ProjMjrs!$A$2:$S$2,0),FALSE)</f>
        <v>0</v>
      </c>
      <c r="N68" s="410">
        <f>+GPpcntMjr*(VLOOKUP($A68,FY16ProjRev!$A$4:$I$24,9,FALSE))*VLOOKUP($A68,FY16ProjMjrs!$A$3:$S$23,MATCH(N$28,FY16ProjMjrs!$A$2:$S$2,0),FALSE)</f>
        <v>0</v>
      </c>
      <c r="O68" s="410">
        <f>+GPpcntMjr*(VLOOKUP($A68,FY16ProjRev!$A$4:$I$24,9,FALSE))*VLOOKUP($A68,FY16ProjMjrs!$A$3:$S$23,MATCH(O$28,FY16ProjMjrs!$A$2:$S$2,0),FALSE)</f>
        <v>0</v>
      </c>
      <c r="P68" s="410">
        <f>+GPpcntMjr*(VLOOKUP($A68,FY16ProjRev!$A$4:$I$24,9,FALSE))*VLOOKUP($A68,FY16ProjMjrs!$A$3:$S$23,MATCH(P$28,FY16ProjMjrs!$A$2:$S$2,0),FALSE)</f>
        <v>0</v>
      </c>
      <c r="Q68" s="410">
        <f>+GPpcntMjr*(VLOOKUP($A68,FY16ProjRev!$A$4:$I$24,9,FALSE))*VLOOKUP($A68,FY16ProjMjrs!$A$3:$S$23,MATCH(Q$28,FY16ProjMjrs!$A$2:$S$2,0),FALSE)</f>
        <v>0</v>
      </c>
      <c r="R68" s="410">
        <f>+GPpcntMjr*(VLOOKUP($A68,FY16ProjRev!$A$4:$I$24,9,FALSE))*VLOOKUP($A68,FY16ProjMjrs!$A$3:$S$23,MATCH(R$28,FY16ProjMjrs!$A$2:$S$2,0),FALSE)</f>
        <v>0</v>
      </c>
      <c r="S68" s="410">
        <f>+GPpcntMjr*(VLOOKUP($A68,FY16ProjRev!$A$4:$I$24,9,FALSE))*VLOOKUP($A68,FY16ProjMjrs!$A$3:$S$23,MATCH(S$28,FY16ProjMjrs!$A$2:$S$2,0),FALSE)</f>
        <v>0</v>
      </c>
      <c r="T68" s="410">
        <f t="shared" si="6"/>
        <v>954027.12425385753</v>
      </c>
    </row>
    <row r="69" spans="1:20" ht="20.100000000000001" customHeight="1">
      <c r="A69" s="404" t="s">
        <v>153</v>
      </c>
      <c r="B69" s="456" t="s">
        <v>100</v>
      </c>
      <c r="C69" s="457">
        <f>+GPpcntMjr*(VLOOKUP($A69,FY16ProjRev!$A$4:$I$24,9,FALSE))*VLOOKUP($A69,FY16ProjMjrs!$A$3:$S$23,MATCH(C$28,FY16ProjMjrs!$A$2:$S$2,0),FALSE)</f>
        <v>0</v>
      </c>
      <c r="D69" s="457">
        <f>+GPpcntMjr*(VLOOKUP($A69,FY16ProjRev!$A$4:$I$24,9,FALSE))*VLOOKUP($A69,FY16ProjMjrs!$A$3:$S$23,MATCH(D$28,FY16ProjMjrs!$A$2:$S$2,0),FALSE)</f>
        <v>0</v>
      </c>
      <c r="E69" s="457">
        <f>+GPpcntMjr*(VLOOKUP($A69,FY16ProjRev!$A$4:$I$24,9,FALSE))*VLOOKUP($A69,FY16ProjMjrs!$A$3:$S$23,MATCH(E$28,FY16ProjMjrs!$A$2:$S$2,0),FALSE)</f>
        <v>0</v>
      </c>
      <c r="F69" s="457">
        <f>+GPpcntMjr*(VLOOKUP($A69,FY16ProjRev!$A$4:$I$24,9,FALSE))*VLOOKUP($A69,FY16ProjMjrs!$A$3:$S$23,MATCH(F$28,FY16ProjMjrs!$A$2:$S$2,0),FALSE)</f>
        <v>0</v>
      </c>
      <c r="G69" s="457">
        <f>+GPpcntMjr*(VLOOKUP($A69,FY16ProjRev!$A$4:$I$24,9,FALSE))*VLOOKUP($A69,FY16ProjMjrs!$A$3:$S$23,MATCH(G$28,FY16ProjMjrs!$A$2:$S$2,0),FALSE)</f>
        <v>0</v>
      </c>
      <c r="H69" s="457">
        <f>+GPpcntMjr*(VLOOKUP($A69,FY16ProjRev!$A$4:$I$24,9,FALSE))*VLOOKUP($A69,FY16ProjMjrs!$A$3:$S$23,MATCH(H$28,FY16ProjMjrs!$A$2:$S$2,0),FALSE)</f>
        <v>0</v>
      </c>
      <c r="I69" s="457">
        <f>+GPpcntMjr*(VLOOKUP($A69,FY16ProjRev!$A$4:$I$24,9,FALSE))*VLOOKUP($A69,FY16ProjMjrs!$A$3:$S$23,MATCH(I$28,FY16ProjMjrs!$A$2:$S$2,0),FALSE)</f>
        <v>0</v>
      </c>
      <c r="J69" s="457">
        <f>+GPpcntMjr*(VLOOKUP($A69,FY16ProjRev!$A$4:$I$24,9,FALSE))*VLOOKUP($A69,FY16ProjMjrs!$A$3:$S$23,MATCH(J$28,FY16ProjMjrs!$A$2:$S$2,0),FALSE)</f>
        <v>0</v>
      </c>
      <c r="K69" s="457">
        <f>+GPpcntMjr*(VLOOKUP($A69,FY16ProjRev!$A$4:$I$24,9,FALSE))*VLOOKUP($A69,FY16ProjMjrs!$A$3:$S$23,MATCH(K$28,FY16ProjMjrs!$A$2:$S$2,0),FALSE)</f>
        <v>0</v>
      </c>
      <c r="L69" s="457">
        <f>+GPpcntMjr*(VLOOKUP($A69,FY16ProjRev!$A$4:$I$24,9,FALSE))*VLOOKUP($A69,FY16ProjMjrs!$A$3:$S$23,MATCH(L$28,FY16ProjMjrs!$A$2:$S$2,0),FALSE)</f>
        <v>0</v>
      </c>
      <c r="M69" s="457">
        <f>+GPpcntMjr*(VLOOKUP($A69,FY16ProjRev!$A$4:$I$24,9,FALSE))*VLOOKUP($A69,FY16ProjMjrs!$A$3:$S$23,MATCH(M$28,FY16ProjMjrs!$A$2:$S$2,0),FALSE)</f>
        <v>0</v>
      </c>
      <c r="N69" s="457">
        <f>+GPpcntMjr*(VLOOKUP($A69,FY16ProjRev!$A$4:$I$24,9,FALSE))*VLOOKUP($A69,FY16ProjMjrs!$A$3:$S$23,MATCH(N$28,FY16ProjMjrs!$A$2:$S$2,0),FALSE)</f>
        <v>0</v>
      </c>
      <c r="O69" s="457">
        <f>+GPpcntMjr*(VLOOKUP($A69,FY16ProjRev!$A$4:$I$24,9,FALSE))*VLOOKUP($A69,FY16ProjMjrs!$A$3:$S$23,MATCH(O$28,FY16ProjMjrs!$A$2:$S$2,0),FALSE)</f>
        <v>880076.82928673166</v>
      </c>
      <c r="P69" s="457">
        <f>+GPpcntMjr*(VLOOKUP($A69,FY16ProjRev!$A$4:$I$24,9,FALSE))*VLOOKUP($A69,FY16ProjMjrs!$A$3:$S$23,MATCH(P$28,FY16ProjMjrs!$A$2:$S$2,0),FALSE)</f>
        <v>0</v>
      </c>
      <c r="Q69" s="457">
        <f>+GPpcntMjr*(VLOOKUP($A69,FY16ProjRev!$A$4:$I$24,9,FALSE))*VLOOKUP($A69,FY16ProjMjrs!$A$3:$S$23,MATCH(Q$28,FY16ProjMjrs!$A$2:$S$2,0),FALSE)</f>
        <v>0</v>
      </c>
      <c r="R69" s="457">
        <f>+GPpcntMjr*(VLOOKUP($A69,FY16ProjRev!$A$4:$I$24,9,FALSE))*VLOOKUP($A69,FY16ProjMjrs!$A$3:$S$23,MATCH(R$28,FY16ProjMjrs!$A$2:$S$2,0),FALSE)</f>
        <v>0</v>
      </c>
      <c r="S69" s="457">
        <f>+GPpcntMjr*(VLOOKUP($A69,FY16ProjRev!$A$4:$I$24,9,FALSE))*VLOOKUP($A69,FY16ProjMjrs!$A$3:$S$23,MATCH(S$28,FY16ProjMjrs!$A$2:$S$2,0),FALSE)</f>
        <v>0</v>
      </c>
      <c r="T69" s="457">
        <f t="shared" si="6"/>
        <v>880076.82928673166</v>
      </c>
    </row>
    <row r="70" spans="1:20" s="18" customFormat="1" ht="20.100000000000001" customHeight="1">
      <c r="A70" s="404" t="s">
        <v>155</v>
      </c>
      <c r="B70" s="440" t="s">
        <v>42</v>
      </c>
      <c r="C70" s="410">
        <f>+GPpcntMjr*(VLOOKUP($A70,FY16ProjRev!$A$4:$I$24,9,FALSE))*VLOOKUP($A70,FY16ProjMjrs!$A$3:$S$23,MATCH(C$28,FY16ProjMjrs!$A$2:$S$2,0),FALSE)</f>
        <v>0</v>
      </c>
      <c r="D70" s="410">
        <f>+GPpcntMjr*(VLOOKUP($A70,FY16ProjRev!$A$4:$I$24,9,FALSE))*VLOOKUP($A70,FY16ProjMjrs!$A$3:$S$23,MATCH(D$28,FY16ProjMjrs!$A$2:$S$2,0),FALSE)</f>
        <v>0</v>
      </c>
      <c r="E70" s="410">
        <f>+GPpcntMjr*(VLOOKUP($A70,FY16ProjRev!$A$4:$I$24,9,FALSE))*VLOOKUP($A70,FY16ProjMjrs!$A$3:$S$23,MATCH(E$28,FY16ProjMjrs!$A$2:$S$2,0),FALSE)</f>
        <v>0</v>
      </c>
      <c r="F70" s="410">
        <f>+GPpcntMjr*(VLOOKUP($A70,FY16ProjRev!$A$4:$I$24,9,FALSE))*VLOOKUP($A70,FY16ProjMjrs!$A$3:$S$23,MATCH(F$28,FY16ProjMjrs!$A$2:$S$2,0),FALSE)</f>
        <v>0</v>
      </c>
      <c r="G70" s="410">
        <f>+GPpcntMjr*(VLOOKUP($A70,FY16ProjRev!$A$4:$I$24,9,FALSE))*VLOOKUP($A70,FY16ProjMjrs!$A$3:$S$23,MATCH(G$28,FY16ProjMjrs!$A$2:$S$2,0),FALSE)</f>
        <v>0</v>
      </c>
      <c r="H70" s="410">
        <f>+GPpcntMjr*(VLOOKUP($A70,FY16ProjRev!$A$4:$I$24,9,FALSE))*VLOOKUP($A70,FY16ProjMjrs!$A$3:$S$23,MATCH(H$28,FY16ProjMjrs!$A$2:$S$2,0),FALSE)</f>
        <v>0</v>
      </c>
      <c r="I70" s="410">
        <f>+GPpcntMjr*(VLOOKUP($A70,FY16ProjRev!$A$4:$I$24,9,FALSE))*VLOOKUP($A70,FY16ProjMjrs!$A$3:$S$23,MATCH(I$28,FY16ProjMjrs!$A$2:$S$2,0),FALSE)</f>
        <v>0</v>
      </c>
      <c r="J70" s="410">
        <f>+GPpcntMjr*(VLOOKUP($A70,FY16ProjRev!$A$4:$I$24,9,FALSE))*VLOOKUP($A70,FY16ProjMjrs!$A$3:$S$23,MATCH(J$28,FY16ProjMjrs!$A$2:$S$2,0),FALSE)</f>
        <v>0</v>
      </c>
      <c r="K70" s="410">
        <f>+GPpcntMjr*(VLOOKUP($A70,FY16ProjRev!$A$4:$I$24,9,FALSE))*VLOOKUP($A70,FY16ProjMjrs!$A$3:$S$23,MATCH(K$28,FY16ProjMjrs!$A$2:$S$2,0),FALSE)</f>
        <v>0</v>
      </c>
      <c r="L70" s="410">
        <f>+GPpcntMjr*(VLOOKUP($A70,FY16ProjRev!$A$4:$I$24,9,FALSE))*VLOOKUP($A70,FY16ProjMjrs!$A$3:$S$23,MATCH(L$28,FY16ProjMjrs!$A$2:$S$2,0),FALSE)</f>
        <v>0</v>
      </c>
      <c r="M70" s="410">
        <f>+GPpcntMjr*(VLOOKUP($A70,FY16ProjRev!$A$4:$I$24,9,FALSE))*VLOOKUP($A70,FY16ProjMjrs!$A$3:$S$23,MATCH(M$28,FY16ProjMjrs!$A$2:$S$2,0),FALSE)</f>
        <v>0</v>
      </c>
      <c r="N70" s="410">
        <f>+GPpcntMjr*(VLOOKUP($A70,FY16ProjRev!$A$4:$I$24,9,FALSE))*VLOOKUP($A70,FY16ProjMjrs!$A$3:$S$23,MATCH(N$28,FY16ProjMjrs!$A$2:$S$2,0),FALSE)</f>
        <v>0</v>
      </c>
      <c r="O70" s="410">
        <f>+GPpcntMjr*(VLOOKUP($A70,FY16ProjRev!$A$4:$I$24,9,FALSE))*VLOOKUP($A70,FY16ProjMjrs!$A$3:$S$23,MATCH(O$28,FY16ProjMjrs!$A$2:$S$2,0),FALSE)</f>
        <v>0</v>
      </c>
      <c r="P70" s="410">
        <f>+GPpcntMjr*(VLOOKUP($A70,FY16ProjRev!$A$4:$I$24,9,FALSE))*VLOOKUP($A70,FY16ProjMjrs!$A$3:$S$23,MATCH(P$28,FY16ProjMjrs!$A$2:$S$2,0),FALSE)</f>
        <v>5364883.7008960107</v>
      </c>
      <c r="Q70" s="410">
        <f>+GPpcntMjr*(VLOOKUP($A70,FY16ProjRev!$A$4:$I$24,9,FALSE))*VLOOKUP($A70,FY16ProjMjrs!$A$3:$S$23,MATCH(Q$28,FY16ProjMjrs!$A$2:$S$2,0),FALSE)</f>
        <v>0</v>
      </c>
      <c r="R70" s="410">
        <f>+GPpcntMjr*(VLOOKUP($A70,FY16ProjRev!$A$4:$I$24,9,FALSE))*VLOOKUP($A70,FY16ProjMjrs!$A$3:$S$23,MATCH(R$28,FY16ProjMjrs!$A$2:$S$2,0),FALSE)</f>
        <v>0</v>
      </c>
      <c r="S70" s="410">
        <f>+GPpcntMjr*(VLOOKUP($A70,FY16ProjRev!$A$4:$I$24,9,FALSE))*VLOOKUP($A70,FY16ProjMjrs!$A$3:$S$23,MATCH(S$28,FY16ProjMjrs!$A$2:$S$2,0),FALSE)</f>
        <v>0</v>
      </c>
      <c r="T70" s="410">
        <f t="shared" si="6"/>
        <v>5364883.7008960107</v>
      </c>
    </row>
    <row r="71" spans="1:20" ht="20.100000000000001" customHeight="1">
      <c r="A71" s="404" t="s">
        <v>162</v>
      </c>
      <c r="B71" s="456" t="s">
        <v>76</v>
      </c>
      <c r="C71" s="457">
        <f>+GPpcntMjr*(VLOOKUP($A71,FY16ProjRev!$A$4:$I$24,9,FALSE))*VLOOKUP($A71,FY16ProjMjrs!$A$3:$S$23,MATCH(C$28,FY16ProjMjrs!$A$2:$S$2,0),FALSE)</f>
        <v>0</v>
      </c>
      <c r="D71" s="457">
        <f>+GPpcntMjr*(VLOOKUP($A71,FY16ProjRev!$A$4:$I$24,9,FALSE))*VLOOKUP($A71,FY16ProjMjrs!$A$3:$S$23,MATCH(D$28,FY16ProjMjrs!$A$2:$S$2,0),FALSE)</f>
        <v>0</v>
      </c>
      <c r="E71" s="457">
        <f>+GPpcntMjr*(VLOOKUP($A71,FY16ProjRev!$A$4:$I$24,9,FALSE))*VLOOKUP($A71,FY16ProjMjrs!$A$3:$S$23,MATCH(E$28,FY16ProjMjrs!$A$2:$S$2,0),FALSE)</f>
        <v>0</v>
      </c>
      <c r="F71" s="457">
        <f>+GPpcntMjr*(VLOOKUP($A71,FY16ProjRev!$A$4:$I$24,9,FALSE))*VLOOKUP($A71,FY16ProjMjrs!$A$3:$S$23,MATCH(F$28,FY16ProjMjrs!$A$2:$S$2,0),FALSE)</f>
        <v>0</v>
      </c>
      <c r="G71" s="457">
        <f>+GPpcntMjr*(VLOOKUP($A71,FY16ProjRev!$A$4:$I$24,9,FALSE))*VLOOKUP($A71,FY16ProjMjrs!$A$3:$S$23,MATCH(G$28,FY16ProjMjrs!$A$2:$S$2,0),FALSE)</f>
        <v>28869.063175729199</v>
      </c>
      <c r="H71" s="457">
        <f>+GPpcntMjr*(VLOOKUP($A71,FY16ProjRev!$A$4:$I$24,9,FALSE))*VLOOKUP($A71,FY16ProjMjrs!$A$3:$S$23,MATCH(H$28,FY16ProjMjrs!$A$2:$S$2,0),FALSE)</f>
        <v>0</v>
      </c>
      <c r="I71" s="457">
        <f>+GPpcntMjr*(VLOOKUP($A71,FY16ProjRev!$A$4:$I$24,9,FALSE))*VLOOKUP($A71,FY16ProjMjrs!$A$3:$S$23,MATCH(I$28,FY16ProjMjrs!$A$2:$S$2,0),FALSE)</f>
        <v>0</v>
      </c>
      <c r="J71" s="457">
        <f>+GPpcntMjr*(VLOOKUP($A71,FY16ProjRev!$A$4:$I$24,9,FALSE))*VLOOKUP($A71,FY16ProjMjrs!$A$3:$S$23,MATCH(J$28,FY16ProjMjrs!$A$2:$S$2,0),FALSE)</f>
        <v>0</v>
      </c>
      <c r="K71" s="457">
        <f>+GPpcntMjr*(VLOOKUP($A71,FY16ProjRev!$A$4:$I$24,9,FALSE))*VLOOKUP($A71,FY16ProjMjrs!$A$3:$S$23,MATCH(K$28,FY16ProjMjrs!$A$2:$S$2,0),FALSE)</f>
        <v>0</v>
      </c>
      <c r="L71" s="457">
        <f>+GPpcntMjr*(VLOOKUP($A71,FY16ProjRev!$A$4:$I$24,9,FALSE))*VLOOKUP($A71,FY16ProjMjrs!$A$3:$S$23,MATCH(L$28,FY16ProjMjrs!$A$2:$S$2,0),FALSE)</f>
        <v>0</v>
      </c>
      <c r="M71" s="457">
        <f>+GPpcntMjr*(VLOOKUP($A71,FY16ProjRev!$A$4:$I$24,9,FALSE))*VLOOKUP($A71,FY16ProjMjrs!$A$3:$S$23,MATCH(M$28,FY16ProjMjrs!$A$2:$S$2,0),FALSE)</f>
        <v>0</v>
      </c>
      <c r="N71" s="457">
        <f>+GPpcntMjr*(VLOOKUP($A71,FY16ProjRev!$A$4:$I$24,9,FALSE))*VLOOKUP($A71,FY16ProjMjrs!$A$3:$S$23,MATCH(N$28,FY16ProjMjrs!$A$2:$S$2,0),FALSE)</f>
        <v>11374410.891237304</v>
      </c>
      <c r="O71" s="457">
        <f>+GPpcntMjr*(VLOOKUP($A71,FY16ProjRev!$A$4:$I$24,9,FALSE))*VLOOKUP($A71,FY16ProjMjrs!$A$3:$S$23,MATCH(O$28,FY16ProjMjrs!$A$2:$S$2,0),FALSE)</f>
        <v>0</v>
      </c>
      <c r="P71" s="457">
        <f>+GPpcntMjr*(VLOOKUP($A71,FY16ProjRev!$A$4:$I$24,9,FALSE))*VLOOKUP($A71,FY16ProjMjrs!$A$3:$S$23,MATCH(P$28,FY16ProjMjrs!$A$2:$S$2,0),FALSE)</f>
        <v>0</v>
      </c>
      <c r="Q71" s="457">
        <f>+GPpcntMjr*(VLOOKUP($A71,FY16ProjRev!$A$4:$I$24,9,FALSE))*VLOOKUP($A71,FY16ProjMjrs!$A$3:$S$23,MATCH(Q$28,FY16ProjMjrs!$A$2:$S$2,0),FALSE)</f>
        <v>178025.88958366337</v>
      </c>
      <c r="R71" s="457">
        <f>+GPpcntMjr*(VLOOKUP($A71,FY16ProjRev!$A$4:$I$24,9,FALSE))*VLOOKUP($A71,FY16ProjMjrs!$A$3:$S$23,MATCH(R$28,FY16ProjMjrs!$A$2:$S$2,0),FALSE)</f>
        <v>0</v>
      </c>
      <c r="S71" s="457">
        <f>+GPpcntMjr*(VLOOKUP($A71,FY16ProjRev!$A$4:$I$24,9,FALSE))*VLOOKUP($A71,FY16ProjMjrs!$A$3:$S$23,MATCH(S$28,FY16ProjMjrs!$A$2:$S$2,0),FALSE)</f>
        <v>76984.168468611213</v>
      </c>
      <c r="T71" s="457">
        <f t="shared" si="6"/>
        <v>11658290.012465307</v>
      </c>
    </row>
    <row r="72" spans="1:20" s="18" customFormat="1" ht="20.100000000000001" customHeight="1">
      <c r="A72" s="404" t="s">
        <v>156</v>
      </c>
      <c r="B72" s="440" t="s">
        <v>77</v>
      </c>
      <c r="C72" s="410">
        <f>+GPpcntMjr*(VLOOKUP($A72,FY16ProjRev!$A$4:$I$24,9,FALSE))*VLOOKUP($A72,FY16ProjMjrs!$A$3:$S$23,MATCH(C$28,FY16ProjMjrs!$A$2:$S$2,0),FALSE)</f>
        <v>0</v>
      </c>
      <c r="D72" s="410">
        <f>+GPpcntMjr*(VLOOKUP($A72,FY16ProjRev!$A$4:$I$24,9,FALSE))*VLOOKUP($A72,FY16ProjMjrs!$A$3:$S$23,MATCH(D$28,FY16ProjMjrs!$A$2:$S$2,0),FALSE)</f>
        <v>0</v>
      </c>
      <c r="E72" s="410">
        <f>+GPpcntMjr*(VLOOKUP($A72,FY16ProjRev!$A$4:$I$24,9,FALSE))*VLOOKUP($A72,FY16ProjMjrs!$A$3:$S$23,MATCH(E$28,FY16ProjMjrs!$A$2:$S$2,0),FALSE)</f>
        <v>0</v>
      </c>
      <c r="F72" s="410">
        <f>+GPpcntMjr*(VLOOKUP($A72,FY16ProjRev!$A$4:$I$24,9,FALSE))*VLOOKUP($A72,FY16ProjMjrs!$A$3:$S$23,MATCH(F$28,FY16ProjMjrs!$A$2:$S$2,0),FALSE)</f>
        <v>0</v>
      </c>
      <c r="G72" s="410">
        <f>+GPpcntMjr*(VLOOKUP($A72,FY16ProjRev!$A$4:$I$24,9,FALSE))*VLOOKUP($A72,FY16ProjMjrs!$A$3:$S$23,MATCH(G$28,FY16ProjMjrs!$A$2:$S$2,0),FALSE)</f>
        <v>0</v>
      </c>
      <c r="H72" s="410">
        <f>+GPpcntMjr*(VLOOKUP($A72,FY16ProjRev!$A$4:$I$24,9,FALSE))*VLOOKUP($A72,FY16ProjMjrs!$A$3:$S$23,MATCH(H$28,FY16ProjMjrs!$A$2:$S$2,0),FALSE)</f>
        <v>0</v>
      </c>
      <c r="I72" s="410">
        <f>+GPpcntMjr*(VLOOKUP($A72,FY16ProjRev!$A$4:$I$24,9,FALSE))*VLOOKUP($A72,FY16ProjMjrs!$A$3:$S$23,MATCH(I$28,FY16ProjMjrs!$A$2:$S$2,0),FALSE)</f>
        <v>0</v>
      </c>
      <c r="J72" s="410">
        <f>+GPpcntMjr*(VLOOKUP($A72,FY16ProjRev!$A$4:$I$24,9,FALSE))*VLOOKUP($A72,FY16ProjMjrs!$A$3:$S$23,MATCH(J$28,FY16ProjMjrs!$A$2:$S$2,0),FALSE)</f>
        <v>0</v>
      </c>
      <c r="K72" s="410">
        <f>+GPpcntMjr*(VLOOKUP($A72,FY16ProjRev!$A$4:$I$24,9,FALSE))*VLOOKUP($A72,FY16ProjMjrs!$A$3:$S$23,MATCH(K$28,FY16ProjMjrs!$A$2:$S$2,0),FALSE)</f>
        <v>0</v>
      </c>
      <c r="L72" s="410">
        <f>+GPpcntMjr*(VLOOKUP($A72,FY16ProjRev!$A$4:$I$24,9,FALSE))*VLOOKUP($A72,FY16ProjMjrs!$A$3:$S$23,MATCH(L$28,FY16ProjMjrs!$A$2:$S$2,0),FALSE)</f>
        <v>0</v>
      </c>
      <c r="M72" s="410">
        <f>+GPpcntMjr*(VLOOKUP($A72,FY16ProjRev!$A$4:$I$24,9,FALSE))*VLOOKUP($A72,FY16ProjMjrs!$A$3:$S$23,MATCH(M$28,FY16ProjMjrs!$A$2:$S$2,0),FALSE)</f>
        <v>4998180.0225727139</v>
      </c>
      <c r="N72" s="410">
        <f>+GPpcntMjr*(VLOOKUP($A72,FY16ProjRev!$A$4:$I$24,9,FALSE))*VLOOKUP($A72,FY16ProjMjrs!$A$3:$S$23,MATCH(N$28,FY16ProjMjrs!$A$2:$S$2,0),FALSE)</f>
        <v>0</v>
      </c>
      <c r="O72" s="410">
        <f>+GPpcntMjr*(VLOOKUP($A72,FY16ProjRev!$A$4:$I$24,9,FALSE))*VLOOKUP($A72,FY16ProjMjrs!$A$3:$S$23,MATCH(O$28,FY16ProjMjrs!$A$2:$S$2,0),FALSE)</f>
        <v>0</v>
      </c>
      <c r="P72" s="410">
        <f>+GPpcntMjr*(VLOOKUP($A72,FY16ProjRev!$A$4:$I$24,9,FALSE))*VLOOKUP($A72,FY16ProjMjrs!$A$3:$S$23,MATCH(P$28,FY16ProjMjrs!$A$2:$S$2,0),FALSE)</f>
        <v>0</v>
      </c>
      <c r="Q72" s="410">
        <f>+GPpcntMjr*(VLOOKUP($A72,FY16ProjRev!$A$4:$I$24,9,FALSE))*VLOOKUP($A72,FY16ProjMjrs!$A$3:$S$23,MATCH(Q$28,FY16ProjMjrs!$A$2:$S$2,0),FALSE)</f>
        <v>0</v>
      </c>
      <c r="R72" s="410">
        <f>+GPpcntMjr*(VLOOKUP($A72,FY16ProjRev!$A$4:$I$24,9,FALSE))*VLOOKUP($A72,FY16ProjMjrs!$A$3:$S$23,MATCH(R$28,FY16ProjMjrs!$A$2:$S$2,0),FALSE)</f>
        <v>0</v>
      </c>
      <c r="S72" s="410">
        <f>+GPpcntMjr*(VLOOKUP($A72,FY16ProjRev!$A$4:$I$24,9,FALSE))*VLOOKUP($A72,FY16ProjMjrs!$A$3:$S$23,MATCH(S$28,FY16ProjMjrs!$A$2:$S$2,0),FALSE)</f>
        <v>0</v>
      </c>
      <c r="T72" s="410">
        <f t="shared" si="6"/>
        <v>4998180.0225727139</v>
      </c>
    </row>
    <row r="73" spans="1:20" ht="20.100000000000001" customHeight="1">
      <c r="A73" s="406" t="s">
        <v>163</v>
      </c>
      <c r="B73" s="458" t="s">
        <v>164</v>
      </c>
      <c r="C73" s="457">
        <f>+GPpcntMjr*(VLOOKUP($A73,FY16ProjRev!$A$4:$I$24,9,FALSE))*VLOOKUP($A73,FY16ProjMjrs!$A$3:$S$23,MATCH(C$28,FY16ProjMjrs!$A$2:$S$2,0),FALSE)</f>
        <v>0</v>
      </c>
      <c r="D73" s="457">
        <f>+GPpcntMjr*(VLOOKUP($A73,FY16ProjRev!$A$4:$I$24,9,FALSE))*VLOOKUP($A73,FY16ProjMjrs!$A$3:$S$23,MATCH(D$28,FY16ProjMjrs!$A$2:$S$2,0),FALSE)</f>
        <v>0</v>
      </c>
      <c r="E73" s="457">
        <f>+GPpcntMjr*(VLOOKUP($A73,FY16ProjRev!$A$4:$I$24,9,FALSE))*VLOOKUP($A73,FY16ProjMjrs!$A$3:$S$23,MATCH(E$28,FY16ProjMjrs!$A$2:$S$2,0),FALSE)</f>
        <v>0</v>
      </c>
      <c r="F73" s="457">
        <f>+GPpcntMjr*(VLOOKUP($A73,FY16ProjRev!$A$4:$I$24,9,FALSE))*VLOOKUP($A73,FY16ProjMjrs!$A$3:$S$23,MATCH(F$28,FY16ProjMjrs!$A$2:$S$2,0),FALSE)</f>
        <v>0</v>
      </c>
      <c r="G73" s="457">
        <f>+GPpcntMjr*(VLOOKUP($A73,FY16ProjRev!$A$4:$I$24,9,FALSE))*VLOOKUP($A73,FY16ProjMjrs!$A$3:$S$23,MATCH(G$28,FY16ProjMjrs!$A$2:$S$2,0),FALSE)</f>
        <v>0</v>
      </c>
      <c r="H73" s="457">
        <f>+GPpcntMjr*(VLOOKUP($A73,FY16ProjRev!$A$4:$I$24,9,FALSE))*VLOOKUP($A73,FY16ProjMjrs!$A$3:$S$23,MATCH(H$28,FY16ProjMjrs!$A$2:$S$2,0),FALSE)</f>
        <v>0</v>
      </c>
      <c r="I73" s="457">
        <f>+GPpcntMjr*(VLOOKUP($A73,FY16ProjRev!$A$4:$I$24,9,FALSE))*VLOOKUP($A73,FY16ProjMjrs!$A$3:$S$23,MATCH(I$28,FY16ProjMjrs!$A$2:$S$2,0),FALSE)</f>
        <v>0</v>
      </c>
      <c r="J73" s="457">
        <f>+GPpcntMjr*(VLOOKUP($A73,FY16ProjRev!$A$4:$I$24,9,FALSE))*VLOOKUP($A73,FY16ProjMjrs!$A$3:$S$23,MATCH(J$28,FY16ProjMjrs!$A$2:$S$2,0),FALSE)</f>
        <v>0</v>
      </c>
      <c r="K73" s="457">
        <f>+GPpcntMjr*(VLOOKUP($A73,FY16ProjRev!$A$4:$I$24,9,FALSE))*VLOOKUP($A73,FY16ProjMjrs!$A$3:$S$23,MATCH(K$28,FY16ProjMjrs!$A$2:$S$2,0),FALSE)</f>
        <v>0</v>
      </c>
      <c r="L73" s="457">
        <f>+GPpcntMjr*(VLOOKUP($A73,FY16ProjRev!$A$4:$I$24,9,FALSE))*VLOOKUP($A73,FY16ProjMjrs!$A$3:$S$23,MATCH(L$28,FY16ProjMjrs!$A$2:$S$2,0),FALSE)</f>
        <v>0</v>
      </c>
      <c r="M73" s="457">
        <f>+GPpcntMjr*(VLOOKUP($A73,FY16ProjRev!$A$4:$I$24,9,FALSE))*VLOOKUP($A73,FY16ProjMjrs!$A$3:$S$23,MATCH(M$28,FY16ProjMjrs!$A$2:$S$2,0),FALSE)</f>
        <v>717471.14057255432</v>
      </c>
      <c r="N73" s="457">
        <f>+GPpcntMjr*(VLOOKUP($A73,FY16ProjRev!$A$4:$I$24,9,FALSE))*VLOOKUP($A73,FY16ProjMjrs!$A$3:$S$23,MATCH(N$28,FY16ProjMjrs!$A$2:$S$2,0),FALSE)</f>
        <v>0</v>
      </c>
      <c r="O73" s="457">
        <f>+GPpcntMjr*(VLOOKUP($A73,FY16ProjRev!$A$4:$I$24,9,FALSE))*VLOOKUP($A73,FY16ProjMjrs!$A$3:$S$23,MATCH(O$28,FY16ProjMjrs!$A$2:$S$2,0),FALSE)</f>
        <v>0</v>
      </c>
      <c r="P73" s="457">
        <f>+GPpcntMjr*(VLOOKUP($A73,FY16ProjRev!$A$4:$I$24,9,FALSE))*VLOOKUP($A73,FY16ProjMjrs!$A$3:$S$23,MATCH(P$28,FY16ProjMjrs!$A$2:$S$2,0),FALSE)</f>
        <v>0</v>
      </c>
      <c r="Q73" s="457">
        <f>+GPpcntMjr*(VLOOKUP($A73,FY16ProjRev!$A$4:$I$24,9,FALSE))*VLOOKUP($A73,FY16ProjMjrs!$A$3:$S$23,MATCH(Q$28,FY16ProjMjrs!$A$2:$S$2,0),FALSE)</f>
        <v>0</v>
      </c>
      <c r="R73" s="457">
        <f>+GPpcntMjr*(VLOOKUP($A73,FY16ProjRev!$A$4:$I$24,9,FALSE))*VLOOKUP($A73,FY16ProjMjrs!$A$3:$S$23,MATCH(R$28,FY16ProjMjrs!$A$2:$S$2,0),FALSE)</f>
        <v>0</v>
      </c>
      <c r="S73" s="457">
        <f>+GPpcntMjr*(VLOOKUP($A73,FY16ProjRev!$A$4:$I$24,9,FALSE))*VLOOKUP($A73,FY16ProjMjrs!$A$3:$S$23,MATCH(S$28,FY16ProjMjrs!$A$2:$S$2,0),FALSE)</f>
        <v>0</v>
      </c>
      <c r="T73" s="457">
        <f t="shared" si="6"/>
        <v>717471.14057255432</v>
      </c>
    </row>
    <row r="74" spans="1:20" ht="20.100000000000001" customHeight="1">
      <c r="B74" s="459" t="s">
        <v>17</v>
      </c>
      <c r="C74" s="460">
        <f t="shared" ref="C74:S74" si="7">SUM(C53:C73)</f>
        <v>5100138.2455763491</v>
      </c>
      <c r="D74" s="460">
        <f t="shared" si="7"/>
        <v>78324035.015268952</v>
      </c>
      <c r="E74" s="460">
        <f t="shared" si="7"/>
        <v>16218029.655753337</v>
      </c>
      <c r="F74" s="460">
        <f t="shared" si="7"/>
        <v>4943106.2446519192</v>
      </c>
      <c r="G74" s="460">
        <f t="shared" si="7"/>
        <v>20015697.474567126</v>
      </c>
      <c r="H74" s="460">
        <f t="shared" si="7"/>
        <v>6769517.7232070118</v>
      </c>
      <c r="I74" s="460">
        <f t="shared" si="7"/>
        <v>1508122.512396256</v>
      </c>
      <c r="J74" s="460">
        <f t="shared" si="7"/>
        <v>8900917.4992405679</v>
      </c>
      <c r="K74" s="460">
        <f t="shared" si="7"/>
        <v>3248595.1123368754</v>
      </c>
      <c r="L74" s="460">
        <f t="shared" si="7"/>
        <v>3123277.3798774043</v>
      </c>
      <c r="M74" s="460">
        <f t="shared" si="7"/>
        <v>5717390.2499601766</v>
      </c>
      <c r="N74" s="460">
        <f t="shared" si="7"/>
        <v>16683749.901117543</v>
      </c>
      <c r="O74" s="460">
        <f t="shared" si="7"/>
        <v>3105632.4621818266</v>
      </c>
      <c r="P74" s="460">
        <f t="shared" si="7"/>
        <v>5634884.2646406647</v>
      </c>
      <c r="Q74" s="460">
        <f t="shared" si="7"/>
        <v>5348437.3682390526</v>
      </c>
      <c r="R74" s="460">
        <f t="shared" si="7"/>
        <v>168075.18345409504</v>
      </c>
      <c r="S74" s="460">
        <f t="shared" si="7"/>
        <v>1048923.8175284229</v>
      </c>
      <c r="T74" s="460">
        <f t="shared" si="6"/>
        <v>185858530.1099976</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9"/>
  <sheetViews>
    <sheetView topLeftCell="A17" workbookViewId="0">
      <selection activeCell="B10" sqref="B10"/>
    </sheetView>
  </sheetViews>
  <sheetFormatPr defaultColWidth="8.85546875" defaultRowHeight="15"/>
  <cols>
    <col min="1" max="1" width="5.140625" style="32" customWidth="1"/>
    <col min="2" max="2" width="19.7109375" style="32" customWidth="1"/>
    <col min="3" max="4" width="15.85546875" style="32" customWidth="1"/>
    <col min="5" max="6" width="14.7109375" style="32" customWidth="1"/>
    <col min="7" max="8" width="18.140625" style="32" customWidth="1"/>
    <col min="9" max="9" width="18.7109375" style="32" customWidth="1"/>
    <col min="10" max="10" width="22.42578125" style="32" customWidth="1"/>
    <col min="11" max="11" width="21.85546875" style="32" customWidth="1"/>
    <col min="12" max="12" width="40.42578125" style="25" hidden="1" customWidth="1"/>
    <col min="13" max="13" width="13.140625" style="25" hidden="1" customWidth="1"/>
    <col min="14" max="14" width="15.42578125" style="25" hidden="1" customWidth="1"/>
    <col min="15" max="17" width="14.42578125" style="25" hidden="1" customWidth="1"/>
    <col min="18" max="18" width="15.42578125" style="32" hidden="1" customWidth="1"/>
    <col min="19" max="19" width="14.85546875" style="153" hidden="1" customWidth="1"/>
    <col min="20" max="16384" width="8.85546875" style="32"/>
  </cols>
  <sheetData>
    <row r="1" spans="1:19" ht="28.5" customHeight="1">
      <c r="B1" s="635" t="s">
        <v>427</v>
      </c>
      <c r="C1" s="635"/>
      <c r="D1" s="636"/>
      <c r="E1" s="635"/>
      <c r="F1" s="635"/>
      <c r="G1" s="635"/>
      <c r="H1" s="636"/>
      <c r="I1" s="635"/>
    </row>
    <row r="2" spans="1:19" s="2" customFormat="1" ht="30">
      <c r="B2" s="215" t="s">
        <v>103</v>
      </c>
      <c r="C2" s="215" t="s">
        <v>124</v>
      </c>
      <c r="D2" s="216" t="s">
        <v>199</v>
      </c>
      <c r="E2" s="217" t="s">
        <v>170</v>
      </c>
      <c r="F2" s="217" t="s">
        <v>176</v>
      </c>
      <c r="G2" s="217" t="s">
        <v>171</v>
      </c>
      <c r="H2" s="217" t="s">
        <v>281</v>
      </c>
      <c r="I2" s="218" t="s">
        <v>81</v>
      </c>
      <c r="J2" s="254"/>
      <c r="S2" s="168"/>
    </row>
    <row r="3" spans="1:19" s="2" customFormat="1" ht="15" customHeight="1">
      <c r="B3" s="248"/>
      <c r="C3" s="249"/>
      <c r="D3" s="250"/>
      <c r="E3" s="251"/>
      <c r="F3" s="251"/>
      <c r="G3" s="251"/>
      <c r="H3" s="265">
        <v>0.01</v>
      </c>
      <c r="I3" s="252"/>
      <c r="J3" s="254"/>
      <c r="L3" s="566" t="s">
        <v>291</v>
      </c>
      <c r="M3" s="566" t="s">
        <v>284</v>
      </c>
      <c r="N3" s="566" t="s">
        <v>285</v>
      </c>
      <c r="O3" s="566" t="s">
        <v>286</v>
      </c>
      <c r="P3" s="566" t="s">
        <v>287</v>
      </c>
      <c r="Q3" s="566" t="s">
        <v>288</v>
      </c>
      <c r="R3" s="566" t="s">
        <v>290</v>
      </c>
      <c r="S3" s="168"/>
    </row>
    <row r="4" spans="1:19" ht="26.1" customHeight="1">
      <c r="A4" s="32" t="s">
        <v>128</v>
      </c>
      <c r="B4" s="220" t="s">
        <v>21</v>
      </c>
      <c r="C4" s="227">
        <v>27216.738749455024</v>
      </c>
      <c r="D4" s="228">
        <f>423951240.033591-2000000</f>
        <v>421951240.03359097</v>
      </c>
      <c r="E4" s="473">
        <v>13192000</v>
      </c>
      <c r="F4" s="473">
        <v>9000000</v>
      </c>
      <c r="G4" s="473">
        <f>+D4-E4-F4</f>
        <v>399759240.03359097</v>
      </c>
      <c r="H4" s="473">
        <f>+(1-$H$3)*G4</f>
        <v>395761647.63325506</v>
      </c>
      <c r="I4" s="230">
        <f>+H4*0.7</f>
        <v>277033153.34327853</v>
      </c>
      <c r="J4" s="255"/>
      <c r="L4" s="567" t="s">
        <v>21</v>
      </c>
      <c r="M4" s="574">
        <v>27216.738749455024</v>
      </c>
      <c r="N4" s="574">
        <v>458514580.44778383</v>
      </c>
      <c r="O4" s="574">
        <v>11268293.183462847</v>
      </c>
      <c r="P4" s="574">
        <v>981824.07106655231</v>
      </c>
      <c r="Q4" s="574">
        <v>22313223.159662709</v>
      </c>
      <c r="R4" s="574">
        <v>423951240.03359103</v>
      </c>
    </row>
    <row r="5" spans="1:19" ht="26.1" customHeight="1">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255"/>
      <c r="K5" s="59"/>
      <c r="L5" s="567" t="s">
        <v>35</v>
      </c>
      <c r="M5" s="574">
        <v>2987.2444444276334</v>
      </c>
      <c r="N5" s="574">
        <v>60794681.547260709</v>
      </c>
      <c r="O5" s="574">
        <v>1580337.3170779936</v>
      </c>
      <c r="P5" s="574">
        <v>37993351.423641443</v>
      </c>
      <c r="Q5" s="574">
        <v>1061049.6403270641</v>
      </c>
      <c r="R5" s="574">
        <v>20159943.166214217</v>
      </c>
    </row>
    <row r="6" spans="1:19" ht="26.1" customHeight="1">
      <c r="A6" s="32" t="s">
        <v>140</v>
      </c>
      <c r="B6" s="222" t="s">
        <v>36</v>
      </c>
      <c r="C6" s="231">
        <v>157.23888888812041</v>
      </c>
      <c r="D6" s="232">
        <v>1644503.2254840855</v>
      </c>
      <c r="E6" s="474"/>
      <c r="F6" s="474"/>
      <c r="G6" s="474">
        <f t="shared" si="0"/>
        <v>1644503.2254840855</v>
      </c>
      <c r="H6" s="565">
        <f t="shared" si="1"/>
        <v>1628058.1932292446</v>
      </c>
      <c r="I6" s="234">
        <f t="shared" si="2"/>
        <v>1139640.735260471</v>
      </c>
      <c r="J6" s="255"/>
      <c r="L6" s="567" t="s">
        <v>36</v>
      </c>
      <c r="M6" s="574">
        <v>157.23888888812041</v>
      </c>
      <c r="N6" s="574">
        <v>2344795.5954718241</v>
      </c>
      <c r="O6" s="574">
        <v>72879.074864658323</v>
      </c>
      <c r="P6" s="574">
        <v>540860.49378181447</v>
      </c>
      <c r="Q6" s="574">
        <v>86552.80134126771</v>
      </c>
      <c r="R6" s="574">
        <v>1644503.2254840855</v>
      </c>
    </row>
    <row r="7" spans="1:19" ht="26.1" customHeight="1">
      <c r="A7" s="32" t="s">
        <v>130</v>
      </c>
      <c r="B7" s="222" t="s">
        <v>37</v>
      </c>
      <c r="C7" s="231">
        <v>1165.6444444296301</v>
      </c>
      <c r="D7" s="232">
        <v>11946795.723354323</v>
      </c>
      <c r="E7" s="474"/>
      <c r="F7" s="474"/>
      <c r="G7" s="474">
        <f t="shared" si="0"/>
        <v>11946795.723354323</v>
      </c>
      <c r="H7" s="565">
        <f t="shared" si="1"/>
        <v>11827327.76612078</v>
      </c>
      <c r="I7" s="234">
        <f t="shared" si="2"/>
        <v>8279129.4362845458</v>
      </c>
      <c r="J7" s="255"/>
      <c r="L7" s="567" t="s">
        <v>37</v>
      </c>
      <c r="M7" s="574">
        <v>1165.6444444296301</v>
      </c>
      <c r="N7" s="574">
        <v>25855486.590973187</v>
      </c>
      <c r="O7" s="574">
        <v>655309.23754839075</v>
      </c>
      <c r="P7" s="574">
        <v>12624602.907788677</v>
      </c>
      <c r="Q7" s="574">
        <v>628778.72228180582</v>
      </c>
      <c r="R7" s="574">
        <v>11946795.723354323</v>
      </c>
    </row>
    <row r="8" spans="1:19" ht="26.1" customHeight="1">
      <c r="A8" s="32" t="s">
        <v>131</v>
      </c>
      <c r="B8" s="222" t="s">
        <v>141</v>
      </c>
      <c r="C8" s="231">
        <v>523.99999999573902</v>
      </c>
      <c r="D8" s="232">
        <v>5214281.0042557828</v>
      </c>
      <c r="E8" s="474"/>
      <c r="F8" s="474"/>
      <c r="G8" s="474">
        <f t="shared" si="0"/>
        <v>5214281.0042557828</v>
      </c>
      <c r="H8" s="565">
        <f t="shared" si="1"/>
        <v>5162138.1942132246</v>
      </c>
      <c r="I8" s="234">
        <f t="shared" si="2"/>
        <v>3613496.7359492569</v>
      </c>
      <c r="J8" s="255"/>
      <c r="L8" s="567" t="s">
        <v>141</v>
      </c>
      <c r="M8" s="574">
        <v>523.99999999573902</v>
      </c>
      <c r="N8" s="574">
        <v>9914097.8561357949</v>
      </c>
      <c r="O8" s="574">
        <v>264943.81583338714</v>
      </c>
      <c r="P8" s="574">
        <v>4160437.1937173661</v>
      </c>
      <c r="Q8" s="574">
        <v>274435.84232925187</v>
      </c>
      <c r="R8" s="574">
        <v>5214281.0042557828</v>
      </c>
    </row>
    <row r="9" spans="1:19" ht="26.1" customHeight="1">
      <c r="A9" s="32" t="s">
        <v>132</v>
      </c>
      <c r="B9" s="222" t="s">
        <v>206</v>
      </c>
      <c r="C9" s="231">
        <v>654.72222221887398</v>
      </c>
      <c r="D9" s="232">
        <v>6445284.0474700388</v>
      </c>
      <c r="E9" s="474"/>
      <c r="F9" s="474"/>
      <c r="G9" s="474">
        <f t="shared" si="0"/>
        <v>6445284.0474700388</v>
      </c>
      <c r="H9" s="565">
        <f t="shared" si="1"/>
        <v>6380831.2069953382</v>
      </c>
      <c r="I9" s="234">
        <f t="shared" si="2"/>
        <v>4466581.8448967366</v>
      </c>
      <c r="J9" s="255"/>
      <c r="L9" s="567" t="s">
        <v>206</v>
      </c>
      <c r="M9" s="574">
        <v>654.72222221887398</v>
      </c>
      <c r="N9" s="574">
        <v>10050643.722381759</v>
      </c>
      <c r="O9" s="574">
        <v>316648.05664508819</v>
      </c>
      <c r="P9" s="574">
        <v>2949486.1420840002</v>
      </c>
      <c r="Q9" s="574">
        <v>339225.47618263337</v>
      </c>
      <c r="R9" s="574">
        <v>6445284.0474700388</v>
      </c>
    </row>
    <row r="10" spans="1:19" ht="26.1" customHeight="1">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J10" s="255"/>
      <c r="L10" s="567" t="s">
        <v>40</v>
      </c>
      <c r="M10" s="574">
        <v>0.39999999999000002</v>
      </c>
      <c r="N10" s="574">
        <v>8349.506051996028</v>
      </c>
      <c r="O10" s="574">
        <v>333.98024207984116</v>
      </c>
      <c r="P10" s="574">
        <v>0</v>
      </c>
      <c r="Q10" s="574">
        <v>400.77629049580929</v>
      </c>
      <c r="R10" s="574">
        <v>7614.7495194203775</v>
      </c>
    </row>
    <row r="11" spans="1:19" ht="26.1" customHeight="1">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J11" s="255"/>
      <c r="L11" s="567" t="s">
        <v>70</v>
      </c>
      <c r="M11" s="574">
        <v>340.95555555375103</v>
      </c>
      <c r="N11" s="574">
        <v>5005161.71163355</v>
      </c>
      <c r="O11" s="574">
        <v>170419.49648224071</v>
      </c>
      <c r="P11" s="574">
        <v>198405.8884876949</v>
      </c>
      <c r="Q11" s="574">
        <v>231816.8163331814</v>
      </c>
      <c r="R11" s="574">
        <v>4404519.5103304414</v>
      </c>
    </row>
    <row r="12" spans="1:19" ht="26.1" customHeight="1">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J12" s="255"/>
      <c r="L12" s="567" t="s">
        <v>144</v>
      </c>
      <c r="M12" s="574">
        <v>322.19999999574901</v>
      </c>
      <c r="N12" s="574">
        <v>6754767.1704475321</v>
      </c>
      <c r="O12" s="574">
        <v>184060.87846352029</v>
      </c>
      <c r="P12" s="574">
        <v>2979071.1597328391</v>
      </c>
      <c r="Q12" s="574">
        <v>179581.75661255882</v>
      </c>
      <c r="R12" s="574">
        <v>3412053.3756386195</v>
      </c>
    </row>
    <row r="13" spans="1:19" ht="26.1" customHeight="1">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J13" s="255"/>
      <c r="L13" s="567" t="s">
        <v>49</v>
      </c>
      <c r="M13" s="574">
        <v>172.36111110833008</v>
      </c>
      <c r="N13" s="574">
        <v>3198140.1594982781</v>
      </c>
      <c r="O13" s="574">
        <v>86327.243732114992</v>
      </c>
      <c r="P13" s="574">
        <v>1190060.5684644135</v>
      </c>
      <c r="Q13" s="574">
        <v>96087.617365087441</v>
      </c>
      <c r="R13" s="574">
        <v>1825664.7299366621</v>
      </c>
    </row>
    <row r="14" spans="1:19" ht="26.1" customHeight="1">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J14" s="255"/>
      <c r="L14" s="567" t="s">
        <v>207</v>
      </c>
      <c r="M14" s="574">
        <v>391.16666666743998</v>
      </c>
      <c r="N14" s="574">
        <v>7595573.0470460728</v>
      </c>
      <c r="O14" s="574">
        <v>196222.22818505837</v>
      </c>
      <c r="P14" s="574">
        <v>693389.03557909478</v>
      </c>
      <c r="Q14" s="574">
        <v>335298.08916409622</v>
      </c>
      <c r="R14" s="574">
        <v>6370663.6941178264</v>
      </c>
    </row>
    <row r="15" spans="1:19" ht="26.1" customHeight="1">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J15" s="255"/>
      <c r="L15" s="567" t="s">
        <v>208</v>
      </c>
      <c r="M15" s="574">
        <v>71.733333332720008</v>
      </c>
      <c r="N15" s="574">
        <v>1866845.3695289404</v>
      </c>
      <c r="O15" s="574">
        <v>56265.453197479415</v>
      </c>
      <c r="P15" s="574">
        <v>3290.8727880367792</v>
      </c>
      <c r="Q15" s="574">
        <v>90364.452177171202</v>
      </c>
      <c r="R15" s="574">
        <v>1716924.5913662522</v>
      </c>
    </row>
    <row r="16" spans="1:19" ht="26.1" customHeight="1">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J16" s="255"/>
      <c r="L16" s="567" t="s">
        <v>39</v>
      </c>
      <c r="M16" s="574">
        <v>408.11111110143997</v>
      </c>
      <c r="N16" s="574">
        <v>8309366.6007653903</v>
      </c>
      <c r="O16" s="574">
        <v>248463.71031704699</v>
      </c>
      <c r="P16" s="574">
        <v>1322082.0489724225</v>
      </c>
      <c r="Q16" s="574">
        <v>336941.04207379598</v>
      </c>
      <c r="R16" s="574">
        <v>6401879.799402127</v>
      </c>
    </row>
    <row r="17" spans="1:18" s="32" customFormat="1" ht="26.1" customHeight="1">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J17" s="255"/>
      <c r="L17" s="567" t="s">
        <v>38</v>
      </c>
      <c r="M17" s="574">
        <v>376.91111110668004</v>
      </c>
      <c r="N17" s="574">
        <v>9032597.1087533981</v>
      </c>
      <c r="O17" s="574">
        <v>278801.25345163792</v>
      </c>
      <c r="P17" s="574">
        <v>1436001.6235055097</v>
      </c>
      <c r="Q17" s="574">
        <v>365889.71158981282</v>
      </c>
      <c r="R17" s="574">
        <v>6951904.5202064458</v>
      </c>
    </row>
    <row r="18" spans="1:18" s="32" customFormat="1" ht="26.1" customHeight="1">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J18" s="255"/>
      <c r="L18" s="567" t="s">
        <v>31</v>
      </c>
      <c r="M18" s="574">
        <v>752.78888888645201</v>
      </c>
      <c r="N18" s="574">
        <v>16381031.865349868</v>
      </c>
      <c r="O18" s="574">
        <v>582974.81369824603</v>
      </c>
      <c r="P18" s="574">
        <v>495381.18447997549</v>
      </c>
      <c r="Q18" s="574">
        <v>765133.79335858242</v>
      </c>
      <c r="R18" s="574">
        <v>14537542.073813077</v>
      </c>
    </row>
    <row r="19" spans="1:18" s="32" customFormat="1" ht="26.1" customHeight="1">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J19" s="255"/>
      <c r="L19" s="567" t="s">
        <v>209</v>
      </c>
      <c r="M19" s="574">
        <v>82.01111111102999</v>
      </c>
      <c r="N19" s="574">
        <v>1983955.4895733581</v>
      </c>
      <c r="O19" s="574">
        <v>46357.815899133202</v>
      </c>
      <c r="P19" s="574">
        <v>126199.62504154917</v>
      </c>
      <c r="Q19" s="574">
        <v>90569.902431633818</v>
      </c>
      <c r="R19" s="574">
        <v>1720828.146201042</v>
      </c>
    </row>
    <row r="20" spans="1:18" s="32" customFormat="1" ht="26.1" customHeight="1">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J20" s="255"/>
      <c r="L20" s="567" t="s">
        <v>210</v>
      </c>
      <c r="M20" s="574">
        <v>74.43333333340999</v>
      </c>
      <c r="N20" s="574">
        <v>1984998.6359607507</v>
      </c>
      <c r="O20" s="574">
        <v>69854.859391739548</v>
      </c>
      <c r="P20" s="574">
        <v>244154.12576258095</v>
      </c>
      <c r="Q20" s="574">
        <v>83549.482540321565</v>
      </c>
      <c r="R20" s="574">
        <v>1587440.1682661104</v>
      </c>
    </row>
    <row r="21" spans="1:18" s="32" customFormat="1" ht="26.1" customHeight="1">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J21" s="255"/>
      <c r="L21" s="567" t="s">
        <v>42</v>
      </c>
      <c r="M21" s="574">
        <v>599.68888888794902</v>
      </c>
      <c r="N21" s="574">
        <v>12476884.114314407</v>
      </c>
      <c r="O21" s="574">
        <v>422351.93686797755</v>
      </c>
      <c r="P21" s="574">
        <v>1868302.0170150318</v>
      </c>
      <c r="Q21" s="574">
        <v>509311.50802156987</v>
      </c>
      <c r="R21" s="574">
        <v>9676918.6524098329</v>
      </c>
    </row>
    <row r="22" spans="1:18" s="32" customFormat="1" ht="26.1" customHeight="1">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J22" s="255"/>
      <c r="L22" s="567" t="s">
        <v>76</v>
      </c>
      <c r="M22" s="574">
        <v>1419.133333327557</v>
      </c>
      <c r="N22" s="574">
        <v>31301631.925528362</v>
      </c>
      <c r="O22" s="574">
        <v>903627.89776409045</v>
      </c>
      <c r="P22" s="574">
        <v>8262570.7239263766</v>
      </c>
      <c r="Q22" s="574">
        <v>1106771.665191893</v>
      </c>
      <c r="R22" s="574">
        <v>21028661.63864594</v>
      </c>
    </row>
    <row r="23" spans="1:18" s="32" customFormat="1" ht="26.1" customHeight="1">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J23" s="255"/>
      <c r="L23" s="567" t="s">
        <v>77</v>
      </c>
      <c r="M23" s="574">
        <v>542.08888887906096</v>
      </c>
      <c r="N23" s="574">
        <v>10182820.839022091</v>
      </c>
      <c r="O23" s="574">
        <v>380031.87301806634</v>
      </c>
      <c r="P23" s="574">
        <v>312813.98580216005</v>
      </c>
      <c r="Q23" s="574">
        <v>474498.74901009322</v>
      </c>
      <c r="R23" s="574">
        <v>9015476.2311917655</v>
      </c>
    </row>
    <row r="24" spans="1:18" s="32" customFormat="1" ht="26.1" customHeight="1">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10" t="s">
        <v>335</v>
      </c>
      <c r="L24" s="567" t="s">
        <v>212</v>
      </c>
      <c r="M24" s="574">
        <v>83.499999998730004</v>
      </c>
      <c r="N24" s="574">
        <v>1515277.9162424756</v>
      </c>
      <c r="O24" s="574">
        <v>42032.326940502462</v>
      </c>
      <c r="P24" s="574">
        <v>110993.10093606959</v>
      </c>
      <c r="Q24" s="574">
        <v>68112.624418295178</v>
      </c>
      <c r="R24" s="574">
        <v>1294139.8639476087</v>
      </c>
    </row>
    <row r="25" spans="1:18" s="32" customFormat="1" ht="26.1" customHeight="1">
      <c r="B25" s="223" t="s">
        <v>106</v>
      </c>
      <c r="C25" s="236">
        <f t="shared" ref="C25:I25" si="3">SUM(C4:C24)</f>
        <v>38343.072082705301</v>
      </c>
      <c r="D25" s="191">
        <f t="shared" si="3"/>
        <v>557314278.94536257</v>
      </c>
      <c r="E25" s="191">
        <f>SUM(E4:E24)</f>
        <v>13192000</v>
      </c>
      <c r="F25" s="191">
        <f t="shared" si="3"/>
        <v>9000000</v>
      </c>
      <c r="G25" s="191">
        <f t="shared" si="3"/>
        <v>535122278.94536257</v>
      </c>
      <c r="H25" s="191">
        <f>SUM(H4:H24)</f>
        <v>529771056.155909</v>
      </c>
      <c r="I25" s="552">
        <f t="shared" si="3"/>
        <v>370839739.30913621</v>
      </c>
      <c r="J25" s="606">
        <f>+H25-I25</f>
        <v>158931316.84677279</v>
      </c>
      <c r="K25" s="8"/>
      <c r="L25" s="567" t="s">
        <v>292</v>
      </c>
      <c r="M25" s="574">
        <v>4700.2414598625101</v>
      </c>
      <c r="N25" s="574">
        <v>60807351.777703106</v>
      </c>
      <c r="O25" s="574">
        <v>2060763.6396653464</v>
      </c>
      <c r="P25" s="574">
        <v>406134.585383659</v>
      </c>
      <c r="Q25" s="574">
        <v>2917022.6776327137</v>
      </c>
      <c r="R25" s="574">
        <v>55423430.875021651</v>
      </c>
    </row>
    <row r="26" spans="1:18" s="32" customFormat="1" ht="26.1" customHeight="1">
      <c r="B26" s="224" t="s">
        <v>107</v>
      </c>
      <c r="C26" s="246">
        <v>4700.2414598625101</v>
      </c>
      <c r="D26" s="228">
        <v>55423430.875021651</v>
      </c>
      <c r="E26" s="238">
        <v>2781000</v>
      </c>
      <c r="F26" s="239"/>
      <c r="G26" s="239">
        <f>+D26-E26-F26</f>
        <v>52642430.875021651</v>
      </c>
      <c r="H26" s="239">
        <f t="shared" si="1"/>
        <v>52116006.566271432</v>
      </c>
      <c r="I26" s="240"/>
      <c r="J26" s="213"/>
      <c r="L26" s="567" t="s">
        <v>293</v>
      </c>
      <c r="M26" s="574">
        <v>4114.5833952965304</v>
      </c>
      <c r="N26" s="574">
        <v>51987929.44327683</v>
      </c>
      <c r="O26" s="574">
        <v>1847586.6393447032</v>
      </c>
      <c r="P26" s="574">
        <v>971015.86027909303</v>
      </c>
      <c r="Q26" s="574">
        <v>2458466.3471826501</v>
      </c>
      <c r="R26" s="574">
        <v>46710860.596470483</v>
      </c>
    </row>
    <row r="27" spans="1:18" s="32" customFormat="1" ht="26.1" customHeight="1">
      <c r="B27" s="225" t="s">
        <v>108</v>
      </c>
      <c r="C27" s="247">
        <v>4114.5833952965304</v>
      </c>
      <c r="D27" s="235">
        <v>46710860.596470483</v>
      </c>
      <c r="E27" s="241">
        <v>2385000</v>
      </c>
      <c r="F27" s="242"/>
      <c r="G27" s="242">
        <f>+D27-E27-F27</f>
        <v>44325860.596470483</v>
      </c>
      <c r="H27" s="242">
        <f t="shared" si="1"/>
        <v>43882601.990505777</v>
      </c>
      <c r="I27" s="243"/>
      <c r="J27" s="213"/>
      <c r="L27" s="25"/>
      <c r="M27" s="25"/>
      <c r="N27" s="25"/>
      <c r="O27" s="25"/>
      <c r="P27" s="25"/>
      <c r="Q27" s="25"/>
    </row>
    <row r="28" spans="1:18" s="32" customFormat="1" ht="26.1" customHeight="1">
      <c r="B28" s="226" t="s">
        <v>109</v>
      </c>
      <c r="C28" s="244">
        <f t="shared" ref="C28:H28" si="4">SUM(C25:C27)</f>
        <v>47157.896937864345</v>
      </c>
      <c r="D28" s="193">
        <f t="shared" si="4"/>
        <v>659448570.41685474</v>
      </c>
      <c r="E28" s="193">
        <f t="shared" si="4"/>
        <v>18358000</v>
      </c>
      <c r="F28" s="191">
        <f t="shared" si="4"/>
        <v>9000000</v>
      </c>
      <c r="G28" s="193">
        <f t="shared" si="4"/>
        <v>632090570.41685474</v>
      </c>
      <c r="H28" s="193">
        <f t="shared" si="4"/>
        <v>625769664.7126863</v>
      </c>
      <c r="I28" s="245"/>
      <c r="J28" s="213"/>
      <c r="L28" s="25"/>
      <c r="M28" s="25"/>
      <c r="N28" s="25"/>
      <c r="O28" s="25"/>
      <c r="P28" s="25"/>
      <c r="Q28" s="25"/>
    </row>
    <row r="29" spans="1:18" s="32" customFormat="1" ht="26.1" customHeight="1">
      <c r="B29" s="208"/>
      <c r="C29" s="209"/>
      <c r="D29" s="210"/>
      <c r="E29" s="210"/>
      <c r="F29" s="211"/>
      <c r="G29" s="210"/>
      <c r="H29" s="210"/>
      <c r="J29" s="8"/>
      <c r="L29" s="25"/>
      <c r="M29" s="25"/>
      <c r="N29" s="25"/>
      <c r="O29" s="25"/>
      <c r="P29" s="25"/>
      <c r="Q29" s="25"/>
    </row>
    <row r="30" spans="1:18" s="32" customFormat="1" ht="26.1" customHeight="1">
      <c r="B30" s="208"/>
      <c r="C30" s="212"/>
      <c r="D30" s="214"/>
      <c r="E30" s="210"/>
      <c r="F30" s="211"/>
      <c r="G30" s="210"/>
      <c r="H30" s="210">
        <f>0.0075*H25</f>
        <v>3973282.9211693173</v>
      </c>
      <c r="I30" s="210" t="s">
        <v>17</v>
      </c>
      <c r="J30" s="8"/>
      <c r="L30" s="566" t="s">
        <v>291</v>
      </c>
      <c r="M30" s="566" t="s">
        <v>284</v>
      </c>
      <c r="N30" s="566" t="s">
        <v>285</v>
      </c>
      <c r="O30" s="566" t="s">
        <v>286</v>
      </c>
      <c r="P30" s="566" t="s">
        <v>287</v>
      </c>
      <c r="Q30" s="566" t="s">
        <v>288</v>
      </c>
      <c r="R30" s="566" t="s">
        <v>290</v>
      </c>
    </row>
    <row r="31" spans="1:18" s="32" customFormat="1" ht="26.1" customHeight="1">
      <c r="B31" s="208"/>
      <c r="C31" s="496"/>
      <c r="D31" s="214"/>
      <c r="E31" s="210"/>
      <c r="F31" s="211"/>
      <c r="G31" s="210"/>
      <c r="H31" s="210"/>
      <c r="I31" s="59"/>
      <c r="L31" s="567" t="s">
        <v>21</v>
      </c>
      <c r="M31" s="568">
        <v>18836.757356330319</v>
      </c>
      <c r="N31" s="568">
        <v>197333634.40070677</v>
      </c>
      <c r="O31" s="568">
        <v>7893345.3760282714</v>
      </c>
      <c r="P31" s="568">
        <v>936621.82474750816</v>
      </c>
      <c r="Q31" s="568">
        <v>9425183.3599965498</v>
      </c>
      <c r="R31" s="568">
        <v>179078483.83993444</v>
      </c>
    </row>
    <row r="32" spans="1:18" customFormat="1" ht="26.1" customHeight="1"/>
    <row r="33" spans="1:17" customFormat="1" ht="26.1" customHeight="1"/>
    <row r="34" spans="1:17" customFormat="1" ht="26.1" customHeight="1"/>
    <row r="35" spans="1:17" customFormat="1" ht="26.1" customHeight="1"/>
    <row r="36" spans="1:17" customFormat="1" ht="26.1" customHeight="1"/>
    <row r="37" spans="1:17" customFormat="1" ht="26.1" customHeight="1"/>
    <row r="38" spans="1:17" customFormat="1" ht="26.1" customHeight="1"/>
    <row r="39" spans="1:17" customFormat="1" ht="26.1" customHeight="1"/>
    <row r="40" spans="1:17" customFormat="1" ht="26.1" customHeight="1"/>
    <row r="41" spans="1:17" s="32" customFormat="1" ht="26.1" customHeight="1">
      <c r="A41"/>
      <c r="B41"/>
      <c r="C41"/>
      <c r="D41"/>
      <c r="E41"/>
      <c r="F41"/>
      <c r="G41"/>
      <c r="H41"/>
      <c r="I41"/>
      <c r="L41" s="25"/>
      <c r="M41" s="25"/>
      <c r="N41" s="25"/>
      <c r="O41" s="25"/>
      <c r="P41" s="25"/>
      <c r="Q41" s="25"/>
    </row>
    <row r="42" spans="1:17" s="32" customFormat="1" ht="26.1" customHeight="1">
      <c r="A42"/>
      <c r="B42"/>
      <c r="C42"/>
      <c r="D42"/>
      <c r="E42"/>
      <c r="F42"/>
      <c r="G42"/>
      <c r="H42"/>
      <c r="I42"/>
      <c r="L42" s="25"/>
      <c r="M42" s="25"/>
      <c r="N42" s="25"/>
      <c r="O42" s="25"/>
      <c r="P42" s="25"/>
      <c r="Q42" s="25"/>
    </row>
    <row r="43" spans="1:17" s="32" customFormat="1" ht="26.1" customHeight="1">
      <c r="A43"/>
      <c r="B43"/>
      <c r="C43"/>
      <c r="D43"/>
      <c r="E43"/>
      <c r="F43"/>
      <c r="G43"/>
      <c r="H43"/>
      <c r="I43"/>
      <c r="L43" s="25"/>
      <c r="M43" s="25"/>
      <c r="N43" s="25"/>
      <c r="O43" s="25"/>
      <c r="P43" s="25"/>
      <c r="Q43" s="25"/>
    </row>
    <row r="44" spans="1:17" s="32" customFormat="1" ht="26.1" customHeight="1">
      <c r="A44"/>
      <c r="B44"/>
      <c r="C44"/>
      <c r="D44"/>
      <c r="E44"/>
      <c r="F44"/>
      <c r="G44"/>
      <c r="H44"/>
      <c r="I44"/>
      <c r="L44" s="25"/>
      <c r="M44" s="25"/>
      <c r="N44" s="25"/>
      <c r="O44" s="25"/>
      <c r="P44" s="25"/>
      <c r="Q44" s="25"/>
    </row>
    <row r="45" spans="1:17" s="32" customFormat="1" ht="26.1" customHeight="1">
      <c r="A45"/>
      <c r="B45"/>
      <c r="C45"/>
      <c r="D45"/>
      <c r="E45"/>
      <c r="F45"/>
      <c r="G45"/>
      <c r="H45"/>
      <c r="I45"/>
      <c r="L45" s="25"/>
      <c r="M45" s="25"/>
      <c r="N45" s="25"/>
      <c r="O45" s="25"/>
      <c r="P45" s="25"/>
      <c r="Q45" s="25"/>
    </row>
    <row r="46" spans="1:17" s="32" customFormat="1" ht="26.1" customHeight="1">
      <c r="A46"/>
      <c r="B46"/>
      <c r="C46"/>
      <c r="D46"/>
      <c r="E46"/>
      <c r="F46"/>
      <c r="G46"/>
      <c r="H46"/>
      <c r="I46"/>
      <c r="L46" s="25"/>
      <c r="M46" s="25"/>
      <c r="N46" s="25"/>
      <c r="O46" s="25"/>
      <c r="P46" s="25"/>
      <c r="Q46" s="25"/>
    </row>
    <row r="47" spans="1:17" s="32" customFormat="1">
      <c r="A47"/>
      <c r="B47"/>
      <c r="C47"/>
      <c r="D47"/>
      <c r="E47"/>
      <c r="F47"/>
      <c r="G47"/>
      <c r="H47"/>
      <c r="I47"/>
      <c r="L47" s="25"/>
      <c r="M47" s="25"/>
      <c r="N47" s="25"/>
      <c r="O47" s="25"/>
      <c r="P47" s="25"/>
      <c r="Q47" s="25"/>
    </row>
    <row r="48" spans="1:17" s="32" customFormat="1">
      <c r="A48"/>
      <c r="B48"/>
      <c r="C48"/>
      <c r="D48"/>
      <c r="E48"/>
      <c r="F48"/>
      <c r="G48"/>
      <c r="H48"/>
      <c r="I48"/>
      <c r="L48" s="25"/>
      <c r="M48" s="25"/>
      <c r="N48" s="25"/>
      <c r="O48" s="25"/>
      <c r="P48" s="25"/>
      <c r="Q48" s="25"/>
    </row>
    <row r="49" spans="1:9" s="32" customFormat="1">
      <c r="A49"/>
      <c r="B49"/>
      <c r="C49"/>
      <c r="D49"/>
      <c r="E49"/>
      <c r="F49"/>
      <c r="G49"/>
      <c r="H49"/>
      <c r="I49"/>
    </row>
    <row r="50" spans="1:9" s="32" customFormat="1">
      <c r="A50"/>
      <c r="B50"/>
      <c r="C50"/>
      <c r="D50"/>
      <c r="E50"/>
      <c r="F50"/>
      <c r="G50"/>
      <c r="H50"/>
      <c r="I50"/>
    </row>
    <row r="51" spans="1:9" s="32" customFormat="1">
      <c r="A51"/>
      <c r="B51"/>
      <c r="C51"/>
      <c r="D51"/>
      <c r="E51"/>
      <c r="F51"/>
      <c r="G51"/>
      <c r="H51"/>
      <c r="I51"/>
    </row>
    <row r="52" spans="1:9" s="32" customFormat="1">
      <c r="A52"/>
      <c r="B52"/>
      <c r="C52"/>
      <c r="D52"/>
      <c r="E52"/>
      <c r="F52"/>
      <c r="G52"/>
      <c r="H52"/>
      <c r="I52"/>
    </row>
    <row r="53" spans="1:9" s="32" customFormat="1">
      <c r="A53"/>
      <c r="B53"/>
      <c r="C53"/>
      <c r="D53"/>
      <c r="E53"/>
      <c r="F53"/>
      <c r="G53"/>
      <c r="H53"/>
      <c r="I53"/>
    </row>
    <row r="54" spans="1:9" s="32" customFormat="1">
      <c r="A54"/>
      <c r="B54"/>
      <c r="C54"/>
      <c r="D54"/>
      <c r="E54"/>
      <c r="F54"/>
      <c r="G54"/>
      <c r="H54"/>
      <c r="I54"/>
    </row>
    <row r="55" spans="1:9" s="32" customFormat="1">
      <c r="A55"/>
      <c r="B55"/>
      <c r="C55"/>
      <c r="D55"/>
      <c r="E55"/>
      <c r="F55"/>
      <c r="G55"/>
      <c r="H55"/>
      <c r="I55"/>
    </row>
    <row r="56" spans="1:9" s="32" customFormat="1">
      <c r="A56"/>
      <c r="B56"/>
      <c r="C56"/>
      <c r="D56"/>
      <c r="E56"/>
      <c r="F56"/>
      <c r="G56"/>
      <c r="H56"/>
      <c r="I56"/>
    </row>
    <row r="57" spans="1:9" s="32" customFormat="1">
      <c r="A57"/>
      <c r="B57"/>
      <c r="C57"/>
      <c r="D57"/>
      <c r="E57"/>
      <c r="F57"/>
      <c r="G57"/>
      <c r="H57"/>
      <c r="I57"/>
    </row>
    <row r="58" spans="1:9" s="32" customFormat="1">
      <c r="A58"/>
      <c r="B58"/>
      <c r="C58"/>
      <c r="D58"/>
      <c r="E58"/>
      <c r="F58"/>
      <c r="G58"/>
      <c r="H58"/>
      <c r="I58"/>
    </row>
    <row r="59" spans="1:9" s="32" customFormat="1">
      <c r="A59"/>
      <c r="B59"/>
      <c r="C59"/>
      <c r="D59"/>
      <c r="E59"/>
      <c r="F59"/>
      <c r="G59"/>
      <c r="H59"/>
      <c r="I59"/>
    </row>
    <row r="60" spans="1:9" s="32" customFormat="1">
      <c r="A60"/>
      <c r="B60"/>
      <c r="C60"/>
      <c r="D60"/>
      <c r="E60"/>
      <c r="F60"/>
      <c r="G60"/>
      <c r="H60"/>
      <c r="I60"/>
    </row>
    <row r="61" spans="1:9" s="32" customFormat="1">
      <c r="A61"/>
      <c r="B61"/>
      <c r="C61"/>
      <c r="D61"/>
      <c r="E61"/>
      <c r="F61"/>
      <c r="G61"/>
      <c r="H61"/>
      <c r="I61"/>
    </row>
    <row r="62" spans="1:9" s="32" customFormat="1">
      <c r="A62"/>
      <c r="B62"/>
      <c r="C62"/>
      <c r="D62"/>
      <c r="E62"/>
      <c r="F62"/>
      <c r="G62"/>
      <c r="H62"/>
      <c r="I62"/>
    </row>
    <row r="63" spans="1:9" s="32" customFormat="1">
      <c r="A63"/>
      <c r="B63"/>
      <c r="C63"/>
      <c r="D63"/>
      <c r="E63"/>
      <c r="F63"/>
      <c r="G63"/>
      <c r="H63"/>
      <c r="I63"/>
    </row>
    <row r="64" spans="1:9" s="32" customFormat="1">
      <c r="A64"/>
      <c r="B64"/>
      <c r="C64"/>
      <c r="D64"/>
      <c r="E64"/>
      <c r="F64"/>
      <c r="G64"/>
      <c r="H64"/>
      <c r="I64"/>
    </row>
    <row r="65" spans="1:10" s="32" customFormat="1">
      <c r="A65"/>
      <c r="B65"/>
      <c r="C65"/>
      <c r="D65"/>
      <c r="E65"/>
      <c r="F65"/>
      <c r="G65"/>
      <c r="H65"/>
      <c r="I65"/>
    </row>
    <row r="66" spans="1:10" s="32" customFormat="1">
      <c r="A66"/>
      <c r="B66"/>
      <c r="C66"/>
      <c r="D66"/>
      <c r="E66"/>
      <c r="F66"/>
      <c r="G66"/>
      <c r="H66"/>
      <c r="I66"/>
    </row>
    <row r="67" spans="1:10" s="32" customFormat="1">
      <c r="A67"/>
      <c r="B67"/>
      <c r="C67"/>
      <c r="D67"/>
      <c r="E67"/>
      <c r="F67"/>
      <c r="G67"/>
      <c r="H67"/>
      <c r="I67"/>
    </row>
    <row r="68" spans="1:10" s="32" customFormat="1">
      <c r="C68" s="25"/>
      <c r="D68" s="25"/>
      <c r="E68" s="25"/>
      <c r="F68" s="25"/>
      <c r="G68" s="25"/>
      <c r="H68" s="25"/>
      <c r="I68" s="25"/>
      <c r="J68" s="25"/>
    </row>
    <row r="69" spans="1:10" s="32" customFormat="1">
      <c r="J69" s="8"/>
    </row>
  </sheetData>
  <mergeCells count="1">
    <mergeCell ref="B1:I1"/>
  </mergeCells>
  <pageMargins left="0.7" right="0.7" top="0.75" bottom="0.75" header="0.3" footer="0.3"/>
  <pageSetup scale="68" orientation="landscape" horizontalDpi="4294967293"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1" workbookViewId="0">
      <selection activeCell="C33" sqref="C33"/>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426</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291358.06606296101</v>
      </c>
      <c r="D5" s="413">
        <f t="shared" si="0"/>
        <v>8015944.4576842338</v>
      </c>
      <c r="E5" s="413">
        <f t="shared" si="0"/>
        <v>1988445.6372336801</v>
      </c>
      <c r="F5" s="413">
        <f t="shared" si="0"/>
        <v>208161.864734523</v>
      </c>
      <c r="G5" s="413">
        <f t="shared" si="0"/>
        <v>2293774.084431475</v>
      </c>
      <c r="H5" s="413">
        <f t="shared" si="0"/>
        <v>762756.89604527038</v>
      </c>
      <c r="I5" s="413">
        <f t="shared" si="0"/>
        <v>207864.50138647133</v>
      </c>
      <c r="J5" s="413">
        <f t="shared" si="0"/>
        <v>5251.9726709704264</v>
      </c>
      <c r="K5" s="413">
        <f t="shared" si="0"/>
        <v>1547.3233931470932</v>
      </c>
      <c r="L5" s="413">
        <f t="shared" si="0"/>
        <v>62405.516999659885</v>
      </c>
      <c r="M5" s="413">
        <f t="shared" si="0"/>
        <v>528.17288900694075</v>
      </c>
      <c r="N5" s="413">
        <f t="shared" si="0"/>
        <v>427414.76360937813</v>
      </c>
      <c r="O5" s="413">
        <f t="shared" si="0"/>
        <v>196615.73821843648</v>
      </c>
      <c r="P5" s="413">
        <f t="shared" si="0"/>
        <v>3042.5734028709703</v>
      </c>
      <c r="Q5" s="413">
        <f t="shared" si="0"/>
        <v>299579.77722176118</v>
      </c>
      <c r="R5" s="413">
        <f t="shared" si="0"/>
        <v>133610.27785101306</v>
      </c>
      <c r="S5" s="413">
        <f t="shared" si="0"/>
        <v>2149.8868299014939</v>
      </c>
      <c r="T5" s="413">
        <f t="shared" ref="T5:T26" si="1">SUM(C5:S5)</f>
        <v>14900451.510664761</v>
      </c>
      <c r="X5" s="495"/>
    </row>
    <row r="6" spans="1:24" ht="20.100000000000001" customHeight="1">
      <c r="A6" s="401" t="s">
        <v>129</v>
      </c>
      <c r="B6" s="408" t="s">
        <v>35</v>
      </c>
      <c r="C6" s="410">
        <f t="shared" si="0"/>
        <v>-959.98925546538521</v>
      </c>
      <c r="D6" s="410">
        <f t="shared" si="0"/>
        <v>-92986.661775888875</v>
      </c>
      <c r="E6" s="410">
        <f t="shared" si="0"/>
        <v>-3371.2160125637747</v>
      </c>
      <c r="F6" s="410">
        <f t="shared" si="0"/>
        <v>-392.93691630737885</v>
      </c>
      <c r="G6" s="410">
        <f t="shared" si="0"/>
        <v>-5811.7580537246977</v>
      </c>
      <c r="H6" s="410">
        <f t="shared" si="0"/>
        <v>-148.15866679644205</v>
      </c>
      <c r="I6" s="410">
        <f t="shared" si="0"/>
        <v>-2299.7051508485893</v>
      </c>
      <c r="J6" s="410">
        <f t="shared" si="0"/>
        <v>-97.366816290001225</v>
      </c>
      <c r="K6" s="410">
        <f t="shared" si="0"/>
        <v>-796.96157757981018</v>
      </c>
      <c r="L6" s="410">
        <f t="shared" si="0"/>
        <v>-44.30829877371616</v>
      </c>
      <c r="M6" s="410">
        <f t="shared" si="0"/>
        <v>-0.29631733359288503</v>
      </c>
      <c r="N6" s="410">
        <f t="shared" si="0"/>
        <v>-19783.250859272317</v>
      </c>
      <c r="O6" s="410">
        <f t="shared" si="0"/>
        <v>-30.538400163226584</v>
      </c>
      <c r="P6" s="410">
        <f t="shared" si="0"/>
        <v>-3146.361883616235</v>
      </c>
      <c r="Q6" s="410">
        <f t="shared" si="0"/>
        <v>-297.22400039682452</v>
      </c>
      <c r="R6" s="410">
        <f t="shared" si="0"/>
        <v>-1.4815866679644216</v>
      </c>
      <c r="S6" s="410">
        <f t="shared" si="0"/>
        <v>-10804.755885126011</v>
      </c>
      <c r="T6" s="410">
        <f t="shared" si="1"/>
        <v>-140972.97145681485</v>
      </c>
      <c r="W6" s="497"/>
      <c r="X6" s="495"/>
    </row>
    <row r="7" spans="1:24" ht="20.100000000000001" customHeight="1">
      <c r="A7" s="401" t="s">
        <v>140</v>
      </c>
      <c r="B7" s="414" t="s">
        <v>36</v>
      </c>
      <c r="C7" s="415">
        <f t="shared" si="0"/>
        <v>0</v>
      </c>
      <c r="D7" s="415">
        <f t="shared" si="0"/>
        <v>-109.57103787444976</v>
      </c>
      <c r="E7" s="415">
        <f t="shared" si="0"/>
        <v>0</v>
      </c>
      <c r="F7" s="415">
        <f t="shared" si="0"/>
        <v>-13.090345232788195</v>
      </c>
      <c r="G7" s="415">
        <f t="shared" si="0"/>
        <v>-0.48482760121438417</v>
      </c>
      <c r="H7" s="415">
        <f t="shared" si="0"/>
        <v>0</v>
      </c>
      <c r="I7" s="415">
        <f t="shared" si="0"/>
        <v>-1.9393104048575367</v>
      </c>
      <c r="J7" s="415">
        <f t="shared" si="0"/>
        <v>-2.9089656072862908</v>
      </c>
      <c r="K7" s="415">
        <f t="shared" si="0"/>
        <v>-1.9393104048575367</v>
      </c>
      <c r="L7" s="415">
        <f t="shared" si="0"/>
        <v>-2619.0412806303284</v>
      </c>
      <c r="M7" s="415">
        <f t="shared" si="0"/>
        <v>0</v>
      </c>
      <c r="N7" s="415">
        <f t="shared" si="0"/>
        <v>-8726.1670015868731</v>
      </c>
      <c r="O7" s="415">
        <f t="shared" si="0"/>
        <v>0</v>
      </c>
      <c r="P7" s="415">
        <f t="shared" si="0"/>
        <v>-1.9393104048575367</v>
      </c>
      <c r="Q7" s="415">
        <f t="shared" si="0"/>
        <v>-27.635173269220104</v>
      </c>
      <c r="R7" s="415">
        <f t="shared" si="0"/>
        <v>0</v>
      </c>
      <c r="S7" s="415">
        <f t="shared" si="0"/>
        <v>-1.4544828036431454</v>
      </c>
      <c r="T7" s="415">
        <f t="shared" si="1"/>
        <v>-11506.171045820376</v>
      </c>
    </row>
    <row r="8" spans="1:24" ht="20.100000000000001" customHeight="1">
      <c r="A8" s="401" t="s">
        <v>130</v>
      </c>
      <c r="B8" s="408" t="s">
        <v>37</v>
      </c>
      <c r="C8" s="410">
        <f t="shared" si="0"/>
        <v>208.36615171177846</v>
      </c>
      <c r="D8" s="410">
        <f t="shared" si="0"/>
        <v>2889.2172604894295</v>
      </c>
      <c r="E8" s="410">
        <f t="shared" si="0"/>
        <v>401.73605403518741</v>
      </c>
      <c r="F8" s="410">
        <f t="shared" si="0"/>
        <v>326.90082934584007</v>
      </c>
      <c r="G8" s="410">
        <f t="shared" si="0"/>
        <v>139926.25443929224</v>
      </c>
      <c r="H8" s="410">
        <f t="shared" si="0"/>
        <v>332.39698109360052</v>
      </c>
      <c r="I8" s="410">
        <f t="shared" si="0"/>
        <v>56.223548219970326</v>
      </c>
      <c r="J8" s="410">
        <f t="shared" si="0"/>
        <v>446.86584344237872</v>
      </c>
      <c r="K8" s="410">
        <f t="shared" si="0"/>
        <v>14.055887054992581</v>
      </c>
      <c r="L8" s="410">
        <f t="shared" si="0"/>
        <v>19.326844700614856</v>
      </c>
      <c r="M8" s="410">
        <f t="shared" si="0"/>
        <v>0</v>
      </c>
      <c r="N8" s="410">
        <f t="shared" si="0"/>
        <v>2333.3229977769879</v>
      </c>
      <c r="O8" s="410">
        <f t="shared" si="0"/>
        <v>8510.1836913747829</v>
      </c>
      <c r="P8" s="410">
        <f t="shared" si="0"/>
        <v>10.541915291244436</v>
      </c>
      <c r="Q8" s="410">
        <f t="shared" si="0"/>
        <v>2169.3826089749855</v>
      </c>
      <c r="R8" s="410">
        <f t="shared" si="0"/>
        <v>0</v>
      </c>
      <c r="S8" s="410">
        <f t="shared" si="0"/>
        <v>1270.2054980010962</v>
      </c>
      <c r="T8" s="410">
        <f t="shared" si="1"/>
        <v>158914.98055080516</v>
      </c>
    </row>
    <row r="9" spans="1:24" ht="20.100000000000001" customHeight="1">
      <c r="A9" s="416" t="s">
        <v>131</v>
      </c>
      <c r="B9" s="414" t="s">
        <v>141</v>
      </c>
      <c r="C9" s="415">
        <f t="shared" si="0"/>
        <v>-2.7743391728747611</v>
      </c>
      <c r="D9" s="415">
        <f t="shared" si="0"/>
        <v>-421.7207613851424</v>
      </c>
      <c r="E9" s="415">
        <f t="shared" si="0"/>
        <v>-5.1523441781957899</v>
      </c>
      <c r="F9" s="415">
        <f t="shared" si="0"/>
        <v>-2.9725062566515135</v>
      </c>
      <c r="G9" s="415">
        <f t="shared" si="0"/>
        <v>-21.005710880337574</v>
      </c>
      <c r="H9" s="415">
        <f t="shared" si="0"/>
        <v>-15694.811828011647</v>
      </c>
      <c r="I9" s="415">
        <f t="shared" si="0"/>
        <v>0</v>
      </c>
      <c r="J9" s="415">
        <f t="shared" si="0"/>
        <v>-4.9541770944192649</v>
      </c>
      <c r="K9" s="415">
        <f t="shared" si="0"/>
        <v>-30.121396734068185</v>
      </c>
      <c r="L9" s="415">
        <f t="shared" si="0"/>
        <v>0</v>
      </c>
      <c r="M9" s="415">
        <f t="shared" si="0"/>
        <v>0</v>
      </c>
      <c r="N9" s="415">
        <f t="shared" si="0"/>
        <v>-6.1431795970797793</v>
      </c>
      <c r="O9" s="415">
        <f t="shared" si="0"/>
        <v>0</v>
      </c>
      <c r="P9" s="415">
        <f t="shared" si="0"/>
        <v>0</v>
      </c>
      <c r="Q9" s="415">
        <f t="shared" si="0"/>
        <v>-6.935847932186789</v>
      </c>
      <c r="R9" s="415">
        <f t="shared" si="0"/>
        <v>-0.59450125133031406</v>
      </c>
      <c r="S9" s="415">
        <f t="shared" si="0"/>
        <v>-7.926683351070551</v>
      </c>
      <c r="T9" s="415">
        <f t="shared" si="1"/>
        <v>-16205.113275845006</v>
      </c>
    </row>
    <row r="10" spans="1:24" ht="20.100000000000001" customHeight="1">
      <c r="A10" s="401" t="s">
        <v>132</v>
      </c>
      <c r="B10" s="408" t="s">
        <v>206</v>
      </c>
      <c r="C10" s="410">
        <f t="shared" si="0"/>
        <v>0</v>
      </c>
      <c r="D10" s="410">
        <f t="shared" si="0"/>
        <v>660.05802814496656</v>
      </c>
      <c r="E10" s="410">
        <f t="shared" si="0"/>
        <v>3.4531247249660453</v>
      </c>
      <c r="F10" s="410">
        <f t="shared" si="0"/>
        <v>84903.192969426396</v>
      </c>
      <c r="G10" s="410">
        <f t="shared" si="0"/>
        <v>6.0429682686905721</v>
      </c>
      <c r="H10" s="410">
        <f t="shared" si="0"/>
        <v>74.24218158677013</v>
      </c>
      <c r="I10" s="410">
        <f t="shared" si="0"/>
        <v>14.675780081105813</v>
      </c>
      <c r="J10" s="410">
        <f t="shared" si="0"/>
        <v>0</v>
      </c>
      <c r="K10" s="410">
        <f t="shared" si="0"/>
        <v>113.95311592387952</v>
      </c>
      <c r="L10" s="410">
        <f t="shared" si="0"/>
        <v>52.660152055732397</v>
      </c>
      <c r="M10" s="410">
        <f t="shared" si="0"/>
        <v>0</v>
      </c>
      <c r="N10" s="410">
        <f t="shared" si="0"/>
        <v>23.30859189352077</v>
      </c>
      <c r="O10" s="410">
        <f t="shared" si="0"/>
        <v>8.6328118124151274</v>
      </c>
      <c r="P10" s="410">
        <f t="shared" si="0"/>
        <v>0</v>
      </c>
      <c r="Q10" s="410">
        <f t="shared" si="0"/>
        <v>31.078122524694436</v>
      </c>
      <c r="R10" s="410">
        <f t="shared" si="0"/>
        <v>0</v>
      </c>
      <c r="S10" s="410">
        <f t="shared" si="0"/>
        <v>26.761716618486844</v>
      </c>
      <c r="T10" s="410">
        <f t="shared" si="1"/>
        <v>85918.059563061644</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91.046612021665396</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91.046612021665396</v>
      </c>
    </row>
    <row r="12" spans="1:24" ht="20.100000000000001" customHeight="1">
      <c r="A12" s="401" t="s">
        <v>135</v>
      </c>
      <c r="B12" s="408" t="s">
        <v>70</v>
      </c>
      <c r="C12" s="410">
        <f t="shared" si="0"/>
        <v>2.2856137780331949</v>
      </c>
      <c r="D12" s="410">
        <f t="shared" si="0"/>
        <v>117.70910956870921</v>
      </c>
      <c r="E12" s="410">
        <f t="shared" si="0"/>
        <v>0</v>
      </c>
      <c r="F12" s="410">
        <f t="shared" si="0"/>
        <v>189.71012968257662</v>
      </c>
      <c r="G12" s="410">
        <f t="shared" si="0"/>
        <v>0</v>
      </c>
      <c r="H12" s="410">
        <f t="shared" si="0"/>
        <v>3.4284206670497781</v>
      </c>
      <c r="I12" s="410">
        <f t="shared" si="0"/>
        <v>0</v>
      </c>
      <c r="J12" s="410">
        <f t="shared" si="0"/>
        <v>0</v>
      </c>
      <c r="K12" s="410">
        <f t="shared" si="0"/>
        <v>36.569820448531118</v>
      </c>
      <c r="L12" s="410">
        <f t="shared" si="0"/>
        <v>56172.714927455061</v>
      </c>
      <c r="M12" s="410">
        <f t="shared" si="0"/>
        <v>0</v>
      </c>
      <c r="N12" s="410">
        <f t="shared" si="0"/>
        <v>366.08472158940913</v>
      </c>
      <c r="O12" s="410">
        <f t="shared" si="0"/>
        <v>2.2856137780331949</v>
      </c>
      <c r="P12" s="410">
        <f t="shared" si="0"/>
        <v>0</v>
      </c>
      <c r="Q12" s="410">
        <f t="shared" si="0"/>
        <v>1652.914581362842</v>
      </c>
      <c r="R12" s="410">
        <f t="shared" si="0"/>
        <v>0</v>
      </c>
      <c r="S12" s="410">
        <f t="shared" si="0"/>
        <v>345.13605269465552</v>
      </c>
      <c r="T12" s="410">
        <f t="shared" si="1"/>
        <v>58888.838991024895</v>
      </c>
    </row>
    <row r="13" spans="1:24" ht="20.100000000000001" customHeight="1">
      <c r="A13" s="416" t="s">
        <v>136</v>
      </c>
      <c r="B13" s="414" t="s">
        <v>144</v>
      </c>
      <c r="C13" s="415">
        <f t="shared" si="0"/>
        <v>5.0864302173226577</v>
      </c>
      <c r="D13" s="415">
        <f t="shared" si="0"/>
        <v>917.25291585718878</v>
      </c>
      <c r="E13" s="415">
        <f t="shared" si="0"/>
        <v>10.172860434645315</v>
      </c>
      <c r="F13" s="415">
        <f t="shared" si="0"/>
        <v>10.172860434645315</v>
      </c>
      <c r="G13" s="415">
        <f t="shared" si="0"/>
        <v>79.68740673805496</v>
      </c>
      <c r="H13" s="415">
        <f t="shared" si="0"/>
        <v>49.168825434118844</v>
      </c>
      <c r="I13" s="415">
        <f t="shared" si="0"/>
        <v>6.7819069564301913</v>
      </c>
      <c r="J13" s="415">
        <f t="shared" si="0"/>
        <v>8.4773836955377533</v>
      </c>
      <c r="K13" s="415">
        <f t="shared" si="0"/>
        <v>54.25525565144153</v>
      </c>
      <c r="L13" s="415">
        <f t="shared" si="0"/>
        <v>15.259290651967945</v>
      </c>
      <c r="M13" s="415">
        <f t="shared" si="0"/>
        <v>3.3909534782150956</v>
      </c>
      <c r="N13" s="415">
        <f t="shared" si="0"/>
        <v>1116.4826610251002</v>
      </c>
      <c r="O13" s="415">
        <f t="shared" si="0"/>
        <v>6.7819069564301913</v>
      </c>
      <c r="P13" s="415">
        <f t="shared" si="0"/>
        <v>91.555743911807895</v>
      </c>
      <c r="Q13" s="415">
        <f t="shared" si="0"/>
        <v>80588.541396567773</v>
      </c>
      <c r="R13" s="415">
        <f t="shared" si="0"/>
        <v>0</v>
      </c>
      <c r="S13" s="415">
        <f t="shared" si="0"/>
        <v>30.518581303935889</v>
      </c>
      <c r="T13" s="415">
        <f t="shared" si="1"/>
        <v>82993.586379314627</v>
      </c>
    </row>
    <row r="14" spans="1:24" ht="20.100000000000001" customHeight="1">
      <c r="A14" s="401" t="s">
        <v>137</v>
      </c>
      <c r="B14" s="408" t="s">
        <v>49</v>
      </c>
      <c r="C14" s="410">
        <f t="shared" si="0"/>
        <v>73.438150694731121</v>
      </c>
      <c r="D14" s="410">
        <f t="shared" si="0"/>
        <v>1006.5298996199008</v>
      </c>
      <c r="E14" s="410">
        <f t="shared" si="0"/>
        <v>0</v>
      </c>
      <c r="F14" s="410">
        <f t="shared" si="0"/>
        <v>3.2070184361212739</v>
      </c>
      <c r="G14" s="410">
        <f t="shared" si="0"/>
        <v>170.07116325162656</v>
      </c>
      <c r="H14" s="410">
        <f t="shared" si="0"/>
        <v>10.690061453737542</v>
      </c>
      <c r="I14" s="410">
        <f t="shared" si="0"/>
        <v>0</v>
      </c>
      <c r="J14" s="410">
        <f t="shared" si="0"/>
        <v>20.311116762101392</v>
      </c>
      <c r="K14" s="410">
        <f t="shared" si="0"/>
        <v>36.346208942707563</v>
      </c>
      <c r="L14" s="410">
        <f t="shared" si="0"/>
        <v>492.04038528352612</v>
      </c>
      <c r="M14" s="410">
        <f t="shared" si="0"/>
        <v>55.26504622337734</v>
      </c>
      <c r="N14" s="410">
        <f t="shared" si="0"/>
        <v>7549.4958927597108</v>
      </c>
      <c r="O14" s="410">
        <f t="shared" si="0"/>
        <v>56.334052368751088</v>
      </c>
      <c r="P14" s="410">
        <f t="shared" si="0"/>
        <v>24.587141343596386</v>
      </c>
      <c r="Q14" s="410">
        <f t="shared" si="0"/>
        <v>23695.928185933357</v>
      </c>
      <c r="R14" s="410">
        <f t="shared" si="0"/>
        <v>0</v>
      </c>
      <c r="S14" s="410">
        <f t="shared" si="0"/>
        <v>11.75906759911129</v>
      </c>
      <c r="T14" s="410">
        <f t="shared" si="1"/>
        <v>33206.003390672355</v>
      </c>
    </row>
    <row r="15" spans="1:24" ht="20.100000000000001" customHeight="1">
      <c r="A15" s="401">
        <v>25</v>
      </c>
      <c r="B15" s="414" t="s">
        <v>207</v>
      </c>
      <c r="C15" s="415">
        <f t="shared" si="0"/>
        <v>-55647.955120701925</v>
      </c>
      <c r="D15" s="415">
        <f t="shared" si="0"/>
        <v>-196.47913494837485</v>
      </c>
      <c r="E15" s="415">
        <f t="shared" si="0"/>
        <v>-57.01403469484103</v>
      </c>
      <c r="F15" s="415">
        <f t="shared" si="0"/>
        <v>0</v>
      </c>
      <c r="G15" s="415">
        <f t="shared" si="0"/>
        <v>-185.45048645829138</v>
      </c>
      <c r="H15" s="415">
        <f t="shared" si="0"/>
        <v>-142.97365623475525</v>
      </c>
      <c r="I15" s="415">
        <f t="shared" si="0"/>
        <v>-1.7542779906104897</v>
      </c>
      <c r="J15" s="415">
        <f t="shared" si="0"/>
        <v>-5.2628339718314692</v>
      </c>
      <c r="K15" s="415">
        <f t="shared" si="0"/>
        <v>-148.23649020658559</v>
      </c>
      <c r="L15" s="415">
        <f t="shared" si="0"/>
        <v>0</v>
      </c>
      <c r="M15" s="415">
        <f t="shared" si="0"/>
        <v>0</v>
      </c>
      <c r="N15" s="415">
        <f t="shared" si="0"/>
        <v>-6.139972967136714</v>
      </c>
      <c r="O15" s="415">
        <f t="shared" si="0"/>
        <v>0</v>
      </c>
      <c r="P15" s="415">
        <f t="shared" si="0"/>
        <v>0</v>
      </c>
      <c r="Q15" s="415">
        <f t="shared" si="0"/>
        <v>-35.085559812209794</v>
      </c>
      <c r="R15" s="415">
        <f t="shared" si="0"/>
        <v>0</v>
      </c>
      <c r="S15" s="415">
        <f t="shared" si="0"/>
        <v>0</v>
      </c>
      <c r="T15" s="415">
        <f t="shared" si="1"/>
        <v>-56426.351567986545</v>
      </c>
    </row>
    <row r="16" spans="1:24" ht="20.100000000000001" customHeight="1">
      <c r="A16" s="401" t="s">
        <v>147</v>
      </c>
      <c r="B16" s="408" t="s">
        <v>208</v>
      </c>
      <c r="C16" s="410">
        <f t="shared" si="0"/>
        <v>0</v>
      </c>
      <c r="D16" s="410">
        <f t="shared" si="0"/>
        <v>16.186798882235166</v>
      </c>
      <c r="E16" s="410">
        <f t="shared" si="0"/>
        <v>4.0466997205587916</v>
      </c>
      <c r="F16" s="410">
        <f t="shared" si="0"/>
        <v>0</v>
      </c>
      <c r="G16" s="410">
        <f t="shared" si="0"/>
        <v>22576.568514379382</v>
      </c>
      <c r="H16" s="410">
        <f t="shared" si="0"/>
        <v>238.72451013106365</v>
      </c>
      <c r="I16" s="410">
        <f t="shared" si="0"/>
        <v>20.233498602793929</v>
      </c>
      <c r="J16" s="410">
        <f t="shared" si="0"/>
        <v>0</v>
      </c>
      <c r="K16" s="410">
        <f t="shared" si="0"/>
        <v>0</v>
      </c>
      <c r="L16" s="410">
        <f t="shared" si="0"/>
        <v>0</v>
      </c>
      <c r="M16" s="410">
        <f t="shared" si="0"/>
        <v>0</v>
      </c>
      <c r="N16" s="410">
        <f t="shared" si="0"/>
        <v>169.96138826346942</v>
      </c>
      <c r="O16" s="410">
        <f t="shared" si="0"/>
        <v>0</v>
      </c>
      <c r="P16" s="410">
        <f t="shared" si="0"/>
        <v>0</v>
      </c>
      <c r="Q16" s="410">
        <f t="shared" si="0"/>
        <v>6.0700495808382016</v>
      </c>
      <c r="R16" s="410">
        <f t="shared" si="0"/>
        <v>0</v>
      </c>
      <c r="S16" s="410">
        <f t="shared" si="0"/>
        <v>24.280198323352806</v>
      </c>
      <c r="T16" s="410">
        <f t="shared" si="1"/>
        <v>23056.071657883687</v>
      </c>
    </row>
    <row r="17" spans="1:91" ht="20.100000000000001" customHeight="1">
      <c r="A17" s="416" t="s">
        <v>148</v>
      </c>
      <c r="B17" s="414" t="s">
        <v>39</v>
      </c>
      <c r="C17" s="415">
        <f t="shared" si="0"/>
        <v>1191.115514699809</v>
      </c>
      <c r="D17" s="415">
        <f t="shared" si="0"/>
        <v>3273.3841508947589</v>
      </c>
      <c r="E17" s="415">
        <f t="shared" si="0"/>
        <v>261.03591918411257</v>
      </c>
      <c r="F17" s="415">
        <f t="shared" si="0"/>
        <v>69.057121477278542</v>
      </c>
      <c r="G17" s="415">
        <f t="shared" si="0"/>
        <v>33.147418309093382</v>
      </c>
      <c r="H17" s="415">
        <f t="shared" si="0"/>
        <v>2079.4445828908938</v>
      </c>
      <c r="I17" s="415">
        <f t="shared" si="0"/>
        <v>207.10959598686395</v>
      </c>
      <c r="J17" s="415">
        <f t="shared" si="0"/>
        <v>262.35529316868633</v>
      </c>
      <c r="K17" s="415">
        <f t="shared" si="0"/>
        <v>75854.812968441518</v>
      </c>
      <c r="L17" s="415">
        <f t="shared" si="0"/>
        <v>489.24067449738004</v>
      </c>
      <c r="M17" s="415">
        <f t="shared" si="0"/>
        <v>0</v>
      </c>
      <c r="N17" s="415">
        <f t="shared" si="0"/>
        <v>93.917685209098636</v>
      </c>
      <c r="O17" s="415">
        <f t="shared" si="0"/>
        <v>0</v>
      </c>
      <c r="P17" s="415">
        <f t="shared" si="0"/>
        <v>0</v>
      </c>
      <c r="Q17" s="415">
        <f t="shared" si="0"/>
        <v>1722.2920218567233</v>
      </c>
      <c r="R17" s="415">
        <f t="shared" si="0"/>
        <v>0</v>
      </c>
      <c r="S17" s="415">
        <f t="shared" si="0"/>
        <v>4.1434272886366728</v>
      </c>
      <c r="T17" s="415">
        <f t="shared" si="1"/>
        <v>85541.056373904881</v>
      </c>
    </row>
    <row r="18" spans="1:91" ht="20.100000000000001" customHeight="1">
      <c r="A18" s="401" t="s">
        <v>149</v>
      </c>
      <c r="B18" s="408" t="s">
        <v>38</v>
      </c>
      <c r="C18" s="410">
        <f t="shared" si="0"/>
        <v>77.235245787343501</v>
      </c>
      <c r="D18" s="410">
        <f t="shared" si="0"/>
        <v>886.91333626169671</v>
      </c>
      <c r="E18" s="410">
        <f t="shared" si="0"/>
        <v>137853.1305145924</v>
      </c>
      <c r="F18" s="410">
        <f t="shared" si="0"/>
        <v>0</v>
      </c>
      <c r="G18" s="410">
        <f t="shared" si="0"/>
        <v>419.54328258438545</v>
      </c>
      <c r="H18" s="410">
        <f t="shared" si="0"/>
        <v>0</v>
      </c>
      <c r="I18" s="410">
        <f t="shared" si="0"/>
        <v>69.760867162762224</v>
      </c>
      <c r="J18" s="410">
        <f t="shared" si="0"/>
        <v>324.86782000635162</v>
      </c>
      <c r="K18" s="410">
        <f t="shared" si="0"/>
        <v>129.55589615941517</v>
      </c>
      <c r="L18" s="410">
        <f t="shared" si="0"/>
        <v>0</v>
      </c>
      <c r="M18" s="410">
        <f t="shared" si="0"/>
        <v>0</v>
      </c>
      <c r="N18" s="410">
        <f t="shared" si="0"/>
        <v>339.81657725551509</v>
      </c>
      <c r="O18" s="410">
        <f t="shared" si="0"/>
        <v>0</v>
      </c>
      <c r="P18" s="410">
        <f t="shared" si="0"/>
        <v>299.95322459107956</v>
      </c>
      <c r="Q18" s="410">
        <f t="shared" si="0"/>
        <v>952.1803241453083</v>
      </c>
      <c r="R18" s="410">
        <f t="shared" si="0"/>
        <v>0</v>
      </c>
      <c r="S18" s="410">
        <f t="shared" si="0"/>
        <v>0</v>
      </c>
      <c r="T18" s="410">
        <f t="shared" si="1"/>
        <v>141352.95708854622</v>
      </c>
    </row>
    <row r="19" spans="1:91" ht="20.100000000000001" customHeight="1">
      <c r="A19" s="401" t="s">
        <v>150</v>
      </c>
      <c r="B19" s="414" t="s">
        <v>31</v>
      </c>
      <c r="C19" s="415">
        <f t="shared" si="0"/>
        <v>-24.445830543498914</v>
      </c>
      <c r="D19" s="415">
        <f t="shared" si="0"/>
        <v>-749.73377026341768</v>
      </c>
      <c r="E19" s="415">
        <f t="shared" si="0"/>
        <v>-440.74508969548879</v>
      </c>
      <c r="F19" s="415">
        <f t="shared" si="0"/>
        <v>-479.88566710232135</v>
      </c>
      <c r="G19" s="415">
        <f t="shared" si="0"/>
        <v>-270.20817311735362</v>
      </c>
      <c r="H19" s="415">
        <f t="shared" si="0"/>
        <v>-268.68030870838493</v>
      </c>
      <c r="I19" s="415">
        <f t="shared" si="0"/>
        <v>-386.32586819897369</v>
      </c>
      <c r="J19" s="415">
        <f t="shared" si="0"/>
        <v>-169520.32231218601</v>
      </c>
      <c r="K19" s="415">
        <f t="shared" si="0"/>
        <v>-270.20817311735362</v>
      </c>
      <c r="L19" s="415">
        <f t="shared" si="0"/>
        <v>-4.5835932269060322</v>
      </c>
      <c r="M19" s="415">
        <f t="shared" si="0"/>
        <v>0</v>
      </c>
      <c r="N19" s="415">
        <f t="shared" si="0"/>
        <v>-1.5278644089686821</v>
      </c>
      <c r="O19" s="415">
        <f t="shared" si="0"/>
        <v>0</v>
      </c>
      <c r="P19" s="415">
        <f t="shared" si="0"/>
        <v>-4.5835932269060322</v>
      </c>
      <c r="Q19" s="415">
        <f t="shared" si="0"/>
        <v>-329.79488506713278</v>
      </c>
      <c r="R19" s="415">
        <f t="shared" si="0"/>
        <v>0</v>
      </c>
      <c r="S19" s="415">
        <f t="shared" si="0"/>
        <v>-12.222915271749457</v>
      </c>
      <c r="T19" s="415">
        <f t="shared" si="1"/>
        <v>-172763.26804413449</v>
      </c>
    </row>
    <row r="20" spans="1:91" ht="20.100000000000001" customHeight="1">
      <c r="A20" s="401" t="s">
        <v>151</v>
      </c>
      <c r="B20" s="408" t="s">
        <v>209</v>
      </c>
      <c r="C20" s="410">
        <f t="shared" ref="C20:S25" si="2">+C44+C68</f>
        <v>0</v>
      </c>
      <c r="D20" s="410">
        <f t="shared" si="2"/>
        <v>260.47818425852893</v>
      </c>
      <c r="E20" s="410">
        <f t="shared" si="2"/>
        <v>28.415801919112027</v>
      </c>
      <c r="F20" s="410">
        <f t="shared" si="2"/>
        <v>0</v>
      </c>
      <c r="G20" s="410">
        <f t="shared" si="2"/>
        <v>0</v>
      </c>
      <c r="H20" s="410">
        <f t="shared" si="2"/>
        <v>7.1039504797780069</v>
      </c>
      <c r="I20" s="410">
        <f t="shared" si="2"/>
        <v>0</v>
      </c>
      <c r="J20" s="410">
        <f t="shared" si="2"/>
        <v>28879.92668379104</v>
      </c>
      <c r="K20" s="410">
        <f t="shared" si="2"/>
        <v>52.095636851705876</v>
      </c>
      <c r="L20" s="410">
        <f t="shared" si="2"/>
        <v>0</v>
      </c>
      <c r="M20" s="410">
        <f t="shared" si="2"/>
        <v>0</v>
      </c>
      <c r="N20" s="410">
        <f t="shared" si="2"/>
        <v>7.1039504797780069</v>
      </c>
      <c r="O20" s="410">
        <f t="shared" si="2"/>
        <v>0</v>
      </c>
      <c r="P20" s="410">
        <f t="shared" si="2"/>
        <v>0</v>
      </c>
      <c r="Q20" s="410">
        <f t="shared" si="2"/>
        <v>11.839917466296754</v>
      </c>
      <c r="R20" s="410">
        <f t="shared" si="2"/>
        <v>0</v>
      </c>
      <c r="S20" s="410">
        <f t="shared" si="2"/>
        <v>9.4719339730373804</v>
      </c>
      <c r="T20" s="410">
        <f t="shared" si="1"/>
        <v>29256.436059219275</v>
      </c>
    </row>
    <row r="21" spans="1:91" ht="20.100000000000001" customHeight="1">
      <c r="A21" s="416" t="s">
        <v>153</v>
      </c>
      <c r="B21" s="414" t="s">
        <v>210</v>
      </c>
      <c r="C21" s="415">
        <f t="shared" si="2"/>
        <v>-5.9641855941911217</v>
      </c>
      <c r="D21" s="415">
        <f t="shared" si="2"/>
        <v>-8.9462783912865689</v>
      </c>
      <c r="E21" s="415">
        <f t="shared" si="2"/>
        <v>-15.904494917842612</v>
      </c>
      <c r="F21" s="415">
        <f t="shared" si="2"/>
        <v>0</v>
      </c>
      <c r="G21" s="415">
        <f t="shared" si="2"/>
        <v>0</v>
      </c>
      <c r="H21" s="415">
        <f t="shared" si="2"/>
        <v>0</v>
      </c>
      <c r="I21" s="415">
        <f t="shared" si="2"/>
        <v>-2.9820927970955609</v>
      </c>
      <c r="J21" s="415">
        <f t="shared" si="2"/>
        <v>0</v>
      </c>
      <c r="K21" s="415">
        <f t="shared" si="2"/>
        <v>-19.880618647303436</v>
      </c>
      <c r="L21" s="415">
        <f t="shared" si="2"/>
        <v>-5.9641855941911217</v>
      </c>
      <c r="M21" s="415">
        <f t="shared" si="2"/>
        <v>0</v>
      </c>
      <c r="N21" s="415">
        <f t="shared" si="2"/>
        <v>-39.761237294606872</v>
      </c>
      <c r="O21" s="415">
        <f t="shared" si="2"/>
        <v>-10962.173122123117</v>
      </c>
      <c r="P21" s="415">
        <f t="shared" si="2"/>
        <v>-55.665732212449257</v>
      </c>
      <c r="Q21" s="415">
        <f t="shared" si="2"/>
        <v>-49.701546618258362</v>
      </c>
      <c r="R21" s="415">
        <f t="shared" si="2"/>
        <v>0</v>
      </c>
      <c r="S21" s="415">
        <f t="shared" si="2"/>
        <v>-0.99403093236516327</v>
      </c>
      <c r="T21" s="415">
        <f t="shared" si="1"/>
        <v>-11167.937525122705</v>
      </c>
    </row>
    <row r="22" spans="1:91" ht="20.100000000000001" customHeight="1">
      <c r="A22" s="401" t="s">
        <v>155</v>
      </c>
      <c r="B22" s="408" t="s">
        <v>42</v>
      </c>
      <c r="C22" s="410">
        <f t="shared" si="2"/>
        <v>0</v>
      </c>
      <c r="D22" s="410">
        <f t="shared" si="2"/>
        <v>21.593316924863984</v>
      </c>
      <c r="E22" s="410">
        <f t="shared" si="2"/>
        <v>8.6373267699455027</v>
      </c>
      <c r="F22" s="410">
        <f t="shared" si="2"/>
        <v>0</v>
      </c>
      <c r="G22" s="410">
        <f t="shared" si="2"/>
        <v>0</v>
      </c>
      <c r="H22" s="410">
        <f t="shared" si="2"/>
        <v>0</v>
      </c>
      <c r="I22" s="410">
        <f t="shared" si="2"/>
        <v>0</v>
      </c>
      <c r="J22" s="410">
        <f t="shared" si="2"/>
        <v>0</v>
      </c>
      <c r="K22" s="410">
        <f t="shared" si="2"/>
        <v>0</v>
      </c>
      <c r="L22" s="410">
        <f t="shared" si="2"/>
        <v>0</v>
      </c>
      <c r="M22" s="410">
        <f t="shared" si="2"/>
        <v>1.7274653539890892</v>
      </c>
      <c r="N22" s="410">
        <f t="shared" si="2"/>
        <v>1703.2808390332793</v>
      </c>
      <c r="O22" s="410">
        <f t="shared" si="2"/>
        <v>31.958109048798633</v>
      </c>
      <c r="P22" s="410">
        <f t="shared" si="2"/>
        <v>78906.298706837464</v>
      </c>
      <c r="Q22" s="410">
        <f t="shared" si="2"/>
        <v>150.28948579705138</v>
      </c>
      <c r="R22" s="410">
        <f t="shared" si="2"/>
        <v>0</v>
      </c>
      <c r="S22" s="410">
        <f t="shared" si="2"/>
        <v>0</v>
      </c>
      <c r="T22" s="410">
        <f t="shared" si="1"/>
        <v>80823.785249765395</v>
      </c>
    </row>
    <row r="23" spans="1:91" ht="20.100000000000001" customHeight="1">
      <c r="A23" s="401" t="s">
        <v>162</v>
      </c>
      <c r="B23" s="414" t="s">
        <v>76</v>
      </c>
      <c r="C23" s="415">
        <f t="shared" si="2"/>
        <v>0</v>
      </c>
      <c r="D23" s="415">
        <f t="shared" si="2"/>
        <v>31.193059589537029</v>
      </c>
      <c r="E23" s="415">
        <f t="shared" si="2"/>
        <v>0</v>
      </c>
      <c r="F23" s="415">
        <f t="shared" si="2"/>
        <v>0</v>
      </c>
      <c r="G23" s="415">
        <f t="shared" si="2"/>
        <v>1137.0179190023127</v>
      </c>
      <c r="H23" s="415">
        <f t="shared" si="2"/>
        <v>7.7982648973842572</v>
      </c>
      <c r="I23" s="415">
        <f t="shared" si="2"/>
        <v>0</v>
      </c>
      <c r="J23" s="415">
        <f t="shared" si="2"/>
        <v>0</v>
      </c>
      <c r="K23" s="415">
        <f t="shared" si="2"/>
        <v>0</v>
      </c>
      <c r="L23" s="415">
        <f t="shared" si="2"/>
        <v>0</v>
      </c>
      <c r="M23" s="415">
        <f t="shared" si="2"/>
        <v>0</v>
      </c>
      <c r="N23" s="415">
        <f t="shared" si="2"/>
        <v>543149.8860513228</v>
      </c>
      <c r="O23" s="415">
        <f t="shared" si="2"/>
        <v>0</v>
      </c>
      <c r="P23" s="415">
        <f t="shared" si="2"/>
        <v>0</v>
      </c>
      <c r="Q23" s="415">
        <f t="shared" si="2"/>
        <v>7020.7084762278655</v>
      </c>
      <c r="R23" s="415">
        <f t="shared" si="2"/>
        <v>0</v>
      </c>
      <c r="S23" s="415">
        <f t="shared" si="2"/>
        <v>2928.0709187077155</v>
      </c>
      <c r="T23" s="415">
        <f t="shared" si="1"/>
        <v>554274.67468974763</v>
      </c>
    </row>
    <row r="24" spans="1:91" ht="20.100000000000001" customHeight="1">
      <c r="A24" s="401" t="s">
        <v>156</v>
      </c>
      <c r="B24" s="408" t="s">
        <v>77</v>
      </c>
      <c r="C24" s="410">
        <f t="shared" si="2"/>
        <v>0</v>
      </c>
      <c r="D24" s="410">
        <f t="shared" si="2"/>
        <v>37.390458311226325</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497299.3272823618</v>
      </c>
      <c r="N24" s="410">
        <f t="shared" si="2"/>
        <v>13229.990499122243</v>
      </c>
      <c r="O24" s="410">
        <f t="shared" si="2"/>
        <v>0</v>
      </c>
      <c r="P24" s="410">
        <f t="shared" si="2"/>
        <v>0</v>
      </c>
      <c r="Q24" s="410">
        <f t="shared" si="2"/>
        <v>0</v>
      </c>
      <c r="R24" s="410">
        <f t="shared" si="2"/>
        <v>0</v>
      </c>
      <c r="S24" s="410">
        <f t="shared" si="2"/>
        <v>0</v>
      </c>
      <c r="T24" s="410">
        <f t="shared" si="1"/>
        <v>510566.70823979529</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25698.535697861342</v>
      </c>
      <c r="N25" s="419">
        <f t="shared" si="2"/>
        <v>53.401688630466197</v>
      </c>
      <c r="O25" s="419">
        <f t="shared" si="2"/>
        <v>0</v>
      </c>
      <c r="P25" s="419">
        <f t="shared" si="2"/>
        <v>0</v>
      </c>
      <c r="Q25" s="419">
        <f t="shared" si="2"/>
        <v>24.646933214061391</v>
      </c>
      <c r="R25" s="419">
        <f t="shared" si="2"/>
        <v>0</v>
      </c>
      <c r="S25" s="419">
        <f t="shared" si="2"/>
        <v>0</v>
      </c>
      <c r="T25" s="420">
        <f t="shared" si="1"/>
        <v>25776.584319705871</v>
      </c>
    </row>
    <row r="26" spans="1:91" ht="20.100000000000001" customHeight="1">
      <c r="A26" s="402"/>
      <c r="B26" s="421" t="s">
        <v>17</v>
      </c>
      <c r="C26" s="422">
        <f t="shared" ref="C26:S26" si="3">SUM(C5:C25)</f>
        <v>236274.46443837212</v>
      </c>
      <c r="D26" s="422">
        <f t="shared" si="3"/>
        <v>7931589.2514442857</v>
      </c>
      <c r="E26" s="422">
        <f t="shared" si="3"/>
        <v>2123126.2335590115</v>
      </c>
      <c r="F26" s="422">
        <f t="shared" si="3"/>
        <v>292775.22022842668</v>
      </c>
      <c r="G26" s="422">
        <f t="shared" si="3"/>
        <v>2451833.5102915182</v>
      </c>
      <c r="H26" s="422">
        <f t="shared" si="3"/>
        <v>749305.26936415362</v>
      </c>
      <c r="I26" s="422">
        <f t="shared" si="3"/>
        <v>205637.62649526278</v>
      </c>
      <c r="J26" s="422">
        <f t="shared" si="3"/>
        <v>-134436.03829331303</v>
      </c>
      <c r="K26" s="422">
        <f t="shared" si="3"/>
        <v>76571.620615931315</v>
      </c>
      <c r="L26" s="422">
        <f t="shared" si="3"/>
        <v>116972.86191607903</v>
      </c>
      <c r="M26" s="422">
        <f t="shared" si="3"/>
        <v>523586.12301695207</v>
      </c>
      <c r="N26" s="422">
        <f t="shared" si="3"/>
        <v>968987.82703861245</v>
      </c>
      <c r="O26" s="422">
        <f t="shared" si="3"/>
        <v>194239.20288148936</v>
      </c>
      <c r="P26" s="422">
        <f t="shared" si="3"/>
        <v>79166.959615385713</v>
      </c>
      <c r="Q26" s="422">
        <f t="shared" si="3"/>
        <v>416859.2723123171</v>
      </c>
      <c r="R26" s="570">
        <f t="shared" si="3"/>
        <v>133608.20176309376</v>
      </c>
      <c r="S26" s="570">
        <f t="shared" si="3"/>
        <v>-4027.1197730733174</v>
      </c>
      <c r="T26" s="422">
        <f t="shared" si="1"/>
        <v>16362070.486914502</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+FY16ProjRevToColl0!C29-FY15RevToColl!C29</f>
        <v>197231.65924283117</v>
      </c>
      <c r="D29" s="438">
        <f>+FY16ProjRevToColl0!D29-FY15RevToColl!D29</f>
        <v>5909101.5744975805</v>
      </c>
      <c r="E29" s="438">
        <f>+FY16ProjRevToColl0!E29-FY15RevToColl!E29</f>
        <v>576950.77116494812</v>
      </c>
      <c r="F29" s="438">
        <f>+FY16ProjRevToColl0!F29-FY15RevToColl!F29</f>
        <v>123280.0157270846</v>
      </c>
      <c r="G29" s="438">
        <f>+FY16ProjRevToColl0!G29-FY15RevToColl!G29</f>
        <v>850343.47319162637</v>
      </c>
      <c r="H29" s="438">
        <f>+FY16ProjRevToColl0!H29-FY15RevToColl!H29</f>
        <v>514834.66379582137</v>
      </c>
      <c r="I29" s="438">
        <f>+FY16ProjRevToColl0!I29-FY15RevToColl!I29</f>
        <v>123823.06672564102</v>
      </c>
      <c r="J29" s="438">
        <f>+FY16ProjRevToColl0!J29-FY15RevToColl!J29</f>
        <v>5251.9726709704264</v>
      </c>
      <c r="K29" s="438">
        <f>+FY16ProjRevToColl0!K29-FY15RevToColl!K29</f>
        <v>1547.3233931470932</v>
      </c>
      <c r="L29" s="438">
        <f>+FY16ProjRevToColl0!L29-FY15RevToColl!L29</f>
        <v>27948.528788719443</v>
      </c>
      <c r="M29" s="438">
        <f>+FY16ProjRevToColl0!M29-FY15RevToColl!M29</f>
        <v>528.17288900694075</v>
      </c>
      <c r="N29" s="438">
        <f>+FY16ProjRevToColl0!N29-FY15RevToColl!N29</f>
        <v>255129.82255467586</v>
      </c>
      <c r="O29" s="438">
        <f>+FY16ProjRevToColl0!O29-FY15RevToColl!O29</f>
        <v>77276.90100005758</v>
      </c>
      <c r="P29" s="438">
        <f>+FY16ProjRevToColl0!P29-FY15RevToColl!P29</f>
        <v>3042.5734028709703</v>
      </c>
      <c r="Q29" s="438">
        <f>+FY16ProjRevToColl0!Q29-FY15RevToColl!Q29</f>
        <v>149145.60917887557</v>
      </c>
      <c r="R29" s="438">
        <f>+FY16ProjRevToColl0!R29-FY15RevToColl!R29</f>
        <v>122684.89134510513</v>
      </c>
      <c r="S29" s="438">
        <f>+FY16ProjRevToColl0!S29-FY15RevToColl!S29</f>
        <v>2149.8868299014939</v>
      </c>
      <c r="T29" s="439">
        <f t="shared" ref="T29:T49" si="4">SUM(C29:Q29)+R29+S29</f>
        <v>8940270.9063988663</v>
      </c>
    </row>
    <row r="30" spans="1:91" s="18" customFormat="1" ht="20.100000000000001" customHeight="1">
      <c r="A30" s="404" t="s">
        <v>129</v>
      </c>
      <c r="B30" s="440" t="s">
        <v>35</v>
      </c>
      <c r="C30" s="410">
        <f>+FY16ProjRevToColl0!C30-FY15RevToColl!C30</f>
        <v>-229.05329886730033</v>
      </c>
      <c r="D30" s="410">
        <f>+FY16ProjRevToColl0!D30-FY15RevToColl!D30</f>
        <v>-18910.083277896978</v>
      </c>
      <c r="E30" s="410">
        <f>+FY16ProjRevToColl0!E30-FY15RevToColl!E30</f>
        <v>-611.30265920211968</v>
      </c>
      <c r="F30" s="410">
        <f>+FY16ProjRevToColl0!F30-FY15RevToColl!F30</f>
        <v>-153.49237880111468</v>
      </c>
      <c r="G30" s="410">
        <f>+FY16ProjRevToColl0!G30-FY15RevToColl!G30</f>
        <v>-1262.3118411056785</v>
      </c>
      <c r="H30" s="410">
        <f>+FY16ProjRevToColl0!H30-FY15RevToColl!H30</f>
        <v>-148.15866679644205</v>
      </c>
      <c r="I30" s="410">
        <f>+FY16ProjRevToColl0!I30-FY15RevToColl!I30</f>
        <v>-421.95588303626573</v>
      </c>
      <c r="J30" s="410">
        <f>+FY16ProjRevToColl0!J30-FY15RevToColl!J30</f>
        <v>-59.559784052169562</v>
      </c>
      <c r="K30" s="410">
        <f>+FY16ProjRevToColl0!K30-FY15RevToColl!K30</f>
        <v>-141.63968545739954</v>
      </c>
      <c r="L30" s="410">
        <f>+FY16ProjRevToColl0!L30-FY15RevToColl!L30</f>
        <v>-31.705954694438788</v>
      </c>
      <c r="M30" s="410">
        <f>+FY16ProjRevToColl0!M30-FY15RevToColl!M30</f>
        <v>-0.29631733359288503</v>
      </c>
      <c r="N30" s="410">
        <f>+FY16ProjRevToColl0!N30-FY15RevToColl!N30</f>
        <v>-3664.8527818768052</v>
      </c>
      <c r="O30" s="410">
        <f>+FY16ProjRevToColl0!O30-FY15RevToColl!O30</f>
        <v>-5.3337120046718383</v>
      </c>
      <c r="P30" s="410">
        <f>+FY16ProjRevToColl0!P30-FY15RevToColl!P30</f>
        <v>-525.07431512659241</v>
      </c>
      <c r="Q30" s="410">
        <f>+FY16ProjRevToColl0!Q30-FY15RevToColl!Q30</f>
        <v>-272.01931223826978</v>
      </c>
      <c r="R30" s="410">
        <f>+FY16ProjRevToColl0!R30-FY15RevToColl!R30</f>
        <v>-1.4815866679644216</v>
      </c>
      <c r="S30" s="410">
        <f>+FY16ProjRevToColl0!S30-FY15RevToColl!S30</f>
        <v>-1756.2728362050257</v>
      </c>
      <c r="T30" s="441">
        <f t="shared" si="4"/>
        <v>-28194.594291362831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+FY16ProjRevToColl0!C31-FY15RevToColl!C31</f>
        <v>0</v>
      </c>
      <c r="D31" s="443">
        <f>+FY16ProjRevToColl0!D31-FY15RevToColl!D31</f>
        <v>-109.57103787444976</v>
      </c>
      <c r="E31" s="443">
        <f>+FY16ProjRevToColl0!E31-FY15RevToColl!E31</f>
        <v>0</v>
      </c>
      <c r="F31" s="443">
        <f>+FY16ProjRevToColl0!F31-FY15RevToColl!F31</f>
        <v>-13.090345232788195</v>
      </c>
      <c r="G31" s="443">
        <f>+FY16ProjRevToColl0!G31-FY15RevToColl!G31</f>
        <v>-0.48482760121438417</v>
      </c>
      <c r="H31" s="443">
        <f>+FY16ProjRevToColl0!H31-FY15RevToColl!H31</f>
        <v>0</v>
      </c>
      <c r="I31" s="443">
        <f>+FY16ProjRevToColl0!I31-FY15RevToColl!I31</f>
        <v>-1.9393104048575367</v>
      </c>
      <c r="J31" s="443">
        <f>+FY16ProjRevToColl0!J31-FY15RevToColl!J31</f>
        <v>-2.9089656072862908</v>
      </c>
      <c r="K31" s="443">
        <f>+FY16ProjRevToColl0!K31-FY15RevToColl!K31</f>
        <v>-1.9393104048575367</v>
      </c>
      <c r="L31" s="443">
        <f>+FY16ProjRevToColl0!L31-FY15RevToColl!L31</f>
        <v>-342.28828645735484</v>
      </c>
      <c r="M31" s="443">
        <f>+FY16ProjRevToColl0!M31-FY15RevToColl!M31</f>
        <v>0</v>
      </c>
      <c r="N31" s="443">
        <f>+FY16ProjRevToColl0!N31-FY15RevToColl!N31</f>
        <v>-1797.9831591035472</v>
      </c>
      <c r="O31" s="443">
        <f>+FY16ProjRevToColl0!O31-FY15RevToColl!O31</f>
        <v>0</v>
      </c>
      <c r="P31" s="443">
        <f>+FY16ProjRevToColl0!P31-FY15RevToColl!P31</f>
        <v>-1.9393104048575367</v>
      </c>
      <c r="Q31" s="443">
        <f>+FY16ProjRevToColl0!Q31-FY15RevToColl!Q31</f>
        <v>-27.635173269220104</v>
      </c>
      <c r="R31" s="443">
        <f>+FY16ProjRevToColl0!R31-FY15RevToColl!R31</f>
        <v>0</v>
      </c>
      <c r="S31" s="443">
        <f>+FY16ProjRevToColl0!S31-FY15RevToColl!S31</f>
        <v>-1.4544828036431454</v>
      </c>
      <c r="T31" s="444">
        <f t="shared" si="4"/>
        <v>-2301.2342091640767</v>
      </c>
    </row>
    <row r="32" spans="1:91" s="18" customFormat="1" ht="20.100000000000001" customHeight="1">
      <c r="A32" s="404" t="s">
        <v>130</v>
      </c>
      <c r="B32" s="440" t="s">
        <v>37</v>
      </c>
      <c r="C32" s="410">
        <f>+FY16ProjRevToColl0!C32-FY15RevToColl!C32</f>
        <v>170.42763054178613</v>
      </c>
      <c r="D32" s="410">
        <f>+FY16ProjRevToColl0!D32-FY15RevToColl!D32</f>
        <v>1902.8157100696262</v>
      </c>
      <c r="E32" s="410">
        <f>+FY16ProjRevToColl0!E32-FY15RevToColl!E32</f>
        <v>136.16640584524066</v>
      </c>
      <c r="F32" s="410">
        <f>+FY16ProjRevToColl0!F32-FY15RevToColl!F32</f>
        <v>99.269702325885191</v>
      </c>
      <c r="G32" s="410">
        <f>+FY16ProjRevToColl0!G32-FY15RevToColl!G32</f>
        <v>26490.076141015394</v>
      </c>
      <c r="H32" s="410">
        <f>+FY16ProjRevToColl0!H32-FY15RevToColl!H32</f>
        <v>256.51993875361586</v>
      </c>
      <c r="I32" s="410">
        <f>+FY16ProjRevToColl0!I32-FY15RevToColl!I32</f>
        <v>56.223548219970326</v>
      </c>
      <c r="J32" s="410">
        <f>+FY16ProjRevToColl0!J32-FY15RevToColl!J32</f>
        <v>105.41915291244459</v>
      </c>
      <c r="K32" s="410">
        <f>+FY16ProjRevToColl0!K32-FY15RevToColl!K32</f>
        <v>14.055887054992581</v>
      </c>
      <c r="L32" s="410">
        <f>+FY16ProjRevToColl0!L32-FY15RevToColl!L32</f>
        <v>19.326844700614856</v>
      </c>
      <c r="M32" s="410">
        <f>+FY16ProjRevToColl0!M32-FY15RevToColl!M32</f>
        <v>0</v>
      </c>
      <c r="N32" s="410">
        <f>+FY16ProjRevToColl0!N32-FY15RevToColl!N32</f>
        <v>588.15102395734721</v>
      </c>
      <c r="O32" s="410">
        <f>+FY16ProjRevToColl0!O32-FY15RevToColl!O32</f>
        <v>1112.1720632262877</v>
      </c>
      <c r="P32" s="410">
        <f>+FY16ProjRevToColl0!P32-FY15RevToColl!P32</f>
        <v>10.541915291244436</v>
      </c>
      <c r="Q32" s="410">
        <f>+FY16ProjRevToColl0!Q32-FY15RevToColl!Q32</f>
        <v>651.84176217528147</v>
      </c>
      <c r="R32" s="410">
        <f>+FY16ProjRevToColl0!R32-FY15RevToColl!R32</f>
        <v>0</v>
      </c>
      <c r="S32" s="410">
        <f>+FY16ProjRevToColl0!S32-FY15RevToColl!S32</f>
        <v>169.98838407131734</v>
      </c>
      <c r="T32" s="441">
        <f t="shared" si="4"/>
        <v>31782.996110161053</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+FY16ProjRevToColl0!C33-FY15RevToColl!C33</f>
        <v>-2.7743391728747611</v>
      </c>
      <c r="D33" s="443">
        <f>+FY16ProjRevToColl0!D33-FY15RevToColl!D33</f>
        <v>-192.02390417968127</v>
      </c>
      <c r="E33" s="443">
        <f>+FY16ProjRevToColl0!E33-FY15RevToColl!E33</f>
        <v>-5.1523441781957899</v>
      </c>
      <c r="F33" s="443">
        <f>+FY16ProjRevToColl0!F33-FY15RevToColl!F33</f>
        <v>-2.9725062566515135</v>
      </c>
      <c r="G33" s="443">
        <f>+FY16ProjRevToColl0!G33-FY15RevToColl!G33</f>
        <v>-21.005710880337574</v>
      </c>
      <c r="H33" s="443">
        <f>+FY16ProjRevToColl0!H33-FY15RevToColl!H33</f>
        <v>-2960.4180645411834</v>
      </c>
      <c r="I33" s="443">
        <f>+FY16ProjRevToColl0!I33-FY15RevToColl!I33</f>
        <v>0</v>
      </c>
      <c r="J33" s="443">
        <f>+FY16ProjRevToColl0!J33-FY15RevToColl!J33</f>
        <v>-4.9541770944192649</v>
      </c>
      <c r="K33" s="443">
        <f>+FY16ProjRevToColl0!K33-FY15RevToColl!K33</f>
        <v>-30.121396734068185</v>
      </c>
      <c r="L33" s="443">
        <f>+FY16ProjRevToColl0!L33-FY15RevToColl!L33</f>
        <v>0</v>
      </c>
      <c r="M33" s="443">
        <f>+FY16ProjRevToColl0!M33-FY15RevToColl!M33</f>
        <v>0</v>
      </c>
      <c r="N33" s="443">
        <f>+FY16ProjRevToColl0!N33-FY15RevToColl!N33</f>
        <v>-6.1431795970797793</v>
      </c>
      <c r="O33" s="443">
        <f>+FY16ProjRevToColl0!O33-FY15RevToColl!O33</f>
        <v>0</v>
      </c>
      <c r="P33" s="443">
        <f>+FY16ProjRevToColl0!P33-FY15RevToColl!P33</f>
        <v>0</v>
      </c>
      <c r="Q33" s="443">
        <f>+FY16ProjRevToColl0!Q33-FY15RevToColl!Q33</f>
        <v>-6.935847932186789</v>
      </c>
      <c r="R33" s="443">
        <f>+FY16ProjRevToColl0!R33-FY15RevToColl!R33</f>
        <v>-0.59450125133031406</v>
      </c>
      <c r="S33" s="443">
        <f>+FY16ProjRevToColl0!S33-FY15RevToColl!S33</f>
        <v>-7.926683351070551</v>
      </c>
      <c r="T33" s="444">
        <f t="shared" si="4"/>
        <v>-3241.0226551690794</v>
      </c>
    </row>
    <row r="34" spans="1:91" s="18" customFormat="1" ht="20.100000000000001" customHeight="1">
      <c r="A34" s="404" t="s">
        <v>132</v>
      </c>
      <c r="B34" s="440" t="s">
        <v>206</v>
      </c>
      <c r="C34" s="410">
        <f>+FY16ProjRevToColl0!C34-FY15RevToColl!C34</f>
        <v>0</v>
      </c>
      <c r="D34" s="410">
        <f>+FY16ProjRevToColl0!D34-FY15RevToColl!D34</f>
        <v>541.27730063843046</v>
      </c>
      <c r="E34" s="410">
        <f>+FY16ProjRevToColl0!E34-FY15RevToColl!E34</f>
        <v>3.4531247249660453</v>
      </c>
      <c r="F34" s="410">
        <f>+FY16ProjRevToColl0!F34-FY15RevToColl!F34</f>
        <v>16287.526046483661</v>
      </c>
      <c r="G34" s="410">
        <f>+FY16ProjRevToColl0!G34-FY15RevToColl!G34</f>
        <v>6.0429682686905721</v>
      </c>
      <c r="H34" s="410">
        <f>+FY16ProjRevToColl0!H34-FY15RevToColl!H34</f>
        <v>74.24218158677013</v>
      </c>
      <c r="I34" s="410">
        <f>+FY16ProjRevToColl0!I34-FY15RevToColl!I34</f>
        <v>14.675780081105813</v>
      </c>
      <c r="J34" s="410">
        <f>+FY16ProjRevToColl0!J34-FY15RevToColl!J34</f>
        <v>0</v>
      </c>
      <c r="K34" s="410">
        <f>+FY16ProjRevToColl0!K34-FY15RevToColl!K34</f>
        <v>113.95311592387952</v>
      </c>
      <c r="L34" s="410">
        <f>+FY16ProjRevToColl0!L34-FY15RevToColl!L34</f>
        <v>52.660152055732397</v>
      </c>
      <c r="M34" s="410">
        <f>+FY16ProjRevToColl0!M34-FY15RevToColl!M34</f>
        <v>0</v>
      </c>
      <c r="N34" s="410">
        <f>+FY16ProjRevToColl0!N34-FY15RevToColl!N34</f>
        <v>23.30859189352077</v>
      </c>
      <c r="O34" s="410">
        <f>+FY16ProjRevToColl0!O34-FY15RevToColl!O34</f>
        <v>8.6328118124151274</v>
      </c>
      <c r="P34" s="410">
        <f>+FY16ProjRevToColl0!P34-FY15RevToColl!P34</f>
        <v>0</v>
      </c>
      <c r="Q34" s="410">
        <f>+FY16ProjRevToColl0!Q34-FY15RevToColl!Q34</f>
        <v>31.078122524694436</v>
      </c>
      <c r="R34" s="410">
        <f>+FY16ProjRevToColl0!R34-FY15RevToColl!R34</f>
        <v>0</v>
      </c>
      <c r="S34" s="410">
        <f>+FY16ProjRevToColl0!S34-FY15RevToColl!S34</f>
        <v>26.761716618486844</v>
      </c>
      <c r="T34" s="441">
        <f t="shared" si="4"/>
        <v>17183.611912612352</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+FY16ProjRevToColl0!C35-FY15RevToColl!C35</f>
        <v>0</v>
      </c>
      <c r="D35" s="443">
        <f>+FY16ProjRevToColl0!D35-FY15RevToColl!D35</f>
        <v>0</v>
      </c>
      <c r="E35" s="443">
        <f>+FY16ProjRevToColl0!E35-FY15RevToColl!E35</f>
        <v>0</v>
      </c>
      <c r="F35" s="443">
        <f>+FY16ProjRevToColl0!F35-FY15RevToColl!F35</f>
        <v>0</v>
      </c>
      <c r="G35" s="443">
        <f>+FY16ProjRevToColl0!G35-FY15RevToColl!G35</f>
        <v>0</v>
      </c>
      <c r="H35" s="443">
        <f>+FY16ProjRevToColl0!H35-FY15RevToColl!H35</f>
        <v>0</v>
      </c>
      <c r="I35" s="443">
        <f>+FY16ProjRevToColl0!I35-FY15RevToColl!I35</f>
        <v>18.209322404333079</v>
      </c>
      <c r="J35" s="443">
        <f>+FY16ProjRevToColl0!J35-FY15RevToColl!J35</f>
        <v>0</v>
      </c>
      <c r="K35" s="443">
        <f>+FY16ProjRevToColl0!K35-FY15RevToColl!K35</f>
        <v>0</v>
      </c>
      <c r="L35" s="443">
        <f>+FY16ProjRevToColl0!L35-FY15RevToColl!L35</f>
        <v>0</v>
      </c>
      <c r="M35" s="443">
        <f>+FY16ProjRevToColl0!M35-FY15RevToColl!M35</f>
        <v>0</v>
      </c>
      <c r="N35" s="443">
        <f>+FY16ProjRevToColl0!N35-FY15RevToColl!N35</f>
        <v>0</v>
      </c>
      <c r="O35" s="443">
        <f>+FY16ProjRevToColl0!O35-FY15RevToColl!O35</f>
        <v>0</v>
      </c>
      <c r="P35" s="443">
        <f>+FY16ProjRevToColl0!P35-FY15RevToColl!P35</f>
        <v>0</v>
      </c>
      <c r="Q35" s="443">
        <f>+FY16ProjRevToColl0!Q35-FY15RevToColl!Q35</f>
        <v>0</v>
      </c>
      <c r="R35" s="443">
        <f>+FY16ProjRevToColl0!R35-FY15RevToColl!R35</f>
        <v>0</v>
      </c>
      <c r="S35" s="443">
        <f>+FY16ProjRevToColl0!S35-FY15RevToColl!S35</f>
        <v>0</v>
      </c>
      <c r="T35" s="444">
        <f t="shared" si="4"/>
        <v>18.209322404333079</v>
      </c>
    </row>
    <row r="36" spans="1:91" s="18" customFormat="1" ht="20.100000000000001" customHeight="1">
      <c r="A36" s="404" t="s">
        <v>135</v>
      </c>
      <c r="B36" s="440" t="s">
        <v>70</v>
      </c>
      <c r="C36" s="410">
        <f>+FY16ProjRevToColl0!C36-FY15RevToColl!C36</f>
        <v>2.2856137780331949</v>
      </c>
      <c r="D36" s="410">
        <f>+FY16ProjRevToColl0!D36-FY15RevToColl!D36</f>
        <v>117.70910956870921</v>
      </c>
      <c r="E36" s="410">
        <f>+FY16ProjRevToColl0!E36-FY15RevToColl!E36</f>
        <v>0</v>
      </c>
      <c r="F36" s="410">
        <f>+FY16ProjRevToColl0!F36-FY15RevToColl!F36</f>
        <v>17.142103335248862</v>
      </c>
      <c r="G36" s="410">
        <f>+FY16ProjRevToColl0!G36-FY15RevToColl!G36</f>
        <v>0</v>
      </c>
      <c r="H36" s="410">
        <f>+FY16ProjRevToColl0!H36-FY15RevToColl!H36</f>
        <v>3.4284206670497781</v>
      </c>
      <c r="I36" s="410">
        <f>+FY16ProjRevToColl0!I36-FY15RevToColl!I36</f>
        <v>0</v>
      </c>
      <c r="J36" s="410">
        <f>+FY16ProjRevToColl0!J36-FY15RevToColl!J36</f>
        <v>0</v>
      </c>
      <c r="K36" s="410">
        <f>+FY16ProjRevToColl0!K36-FY15RevToColl!K36</f>
        <v>36.569820448531118</v>
      </c>
      <c r="L36" s="410">
        <f>+FY16ProjRevToColl0!L36-FY15RevToColl!L36</f>
        <v>11247.505401701317</v>
      </c>
      <c r="M36" s="410">
        <f>+FY16ProjRevToColl0!M36-FY15RevToColl!M36</f>
        <v>0</v>
      </c>
      <c r="N36" s="410">
        <f>+FY16ProjRevToColl0!N36-FY15RevToColl!N36</f>
        <v>135.99401979297454</v>
      </c>
      <c r="O36" s="410">
        <f>+FY16ProjRevToColl0!O36-FY15RevToColl!O36</f>
        <v>2.2856137780331949</v>
      </c>
      <c r="P36" s="410">
        <f>+FY16ProjRevToColl0!P36-FY15RevToColl!P36</f>
        <v>0</v>
      </c>
      <c r="Q36" s="410">
        <f>+FY16ProjRevToColl0!Q36-FY15RevToColl!Q36</f>
        <v>214.84769513511856</v>
      </c>
      <c r="R36" s="410">
        <f>+FY16ProjRevToColl0!R36-FY15RevToColl!R36</f>
        <v>0</v>
      </c>
      <c r="S36" s="410">
        <f>+FY16ProjRevToColl0!S36-FY15RevToColl!S36</f>
        <v>0</v>
      </c>
      <c r="T36" s="441">
        <f t="shared" si="4"/>
        <v>11777.767798205015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+FY16ProjRevToColl0!C37-FY15RevToColl!C37</f>
        <v>5.0864302173226577</v>
      </c>
      <c r="D37" s="443">
        <f>+FY16ProjRevToColl0!D37-FY15RevToColl!D37</f>
        <v>917.25291585718878</v>
      </c>
      <c r="E37" s="443">
        <f>+FY16ProjRevToColl0!E37-FY15RevToColl!E37</f>
        <v>10.172860434645315</v>
      </c>
      <c r="F37" s="443">
        <f>+FY16ProjRevToColl0!F37-FY15RevToColl!F37</f>
        <v>10.172860434645315</v>
      </c>
      <c r="G37" s="443">
        <f>+FY16ProjRevToColl0!G37-FY15RevToColl!G37</f>
        <v>79.68740673805496</v>
      </c>
      <c r="H37" s="443">
        <f>+FY16ProjRevToColl0!H37-FY15RevToColl!H37</f>
        <v>49.168825434118844</v>
      </c>
      <c r="I37" s="443">
        <f>+FY16ProjRevToColl0!I37-FY15RevToColl!I37</f>
        <v>6.7819069564301913</v>
      </c>
      <c r="J37" s="443">
        <f>+FY16ProjRevToColl0!J37-FY15RevToColl!J37</f>
        <v>8.4773836955377533</v>
      </c>
      <c r="K37" s="443">
        <f>+FY16ProjRevToColl0!K37-FY15RevToColl!K37</f>
        <v>54.25525565144153</v>
      </c>
      <c r="L37" s="443">
        <f>+FY16ProjRevToColl0!L37-FY15RevToColl!L37</f>
        <v>15.259290651967945</v>
      </c>
      <c r="M37" s="443">
        <f>+FY16ProjRevToColl0!M37-FY15RevToColl!M37</f>
        <v>3.3909534782150956</v>
      </c>
      <c r="N37" s="443">
        <f>+FY16ProjRevToColl0!N37-FY15RevToColl!N37</f>
        <v>456.93098118948546</v>
      </c>
      <c r="O37" s="443">
        <f>+FY16ProjRevToColl0!O37-FY15RevToColl!O37</f>
        <v>6.7819069564301913</v>
      </c>
      <c r="P37" s="443">
        <f>+FY16ProjRevToColl0!P37-FY15RevToColl!P37</f>
        <v>91.555743911807895</v>
      </c>
      <c r="Q37" s="443">
        <f>+FY16ProjRevToColl0!Q37-FY15RevToColl!Q37</f>
        <v>14853.223972951702</v>
      </c>
      <c r="R37" s="443">
        <f>+FY16ProjRevToColl0!R37-FY15RevToColl!R37</f>
        <v>0</v>
      </c>
      <c r="S37" s="443">
        <f>+FY16ProjRevToColl0!S37-FY15RevToColl!S37</f>
        <v>30.518581303935889</v>
      </c>
      <c r="T37" s="444">
        <f t="shared" si="4"/>
        <v>16598.717275862931</v>
      </c>
    </row>
    <row r="38" spans="1:91" s="18" customFormat="1" ht="20.100000000000001" customHeight="1">
      <c r="A38" s="404" t="s">
        <v>137</v>
      </c>
      <c r="B38" s="440" t="s">
        <v>49</v>
      </c>
      <c r="C38" s="410">
        <f>+FY16ProjRevToColl0!C38-FY15RevToColl!C38</f>
        <v>27.794159779717575</v>
      </c>
      <c r="D38" s="410">
        <f>+FY16ProjRevToColl0!D38-FY15RevToColl!D38</f>
        <v>184.93806314965968</v>
      </c>
      <c r="E38" s="410">
        <f>+FY16ProjRevToColl0!E38-FY15RevToColl!E38</f>
        <v>0</v>
      </c>
      <c r="F38" s="410">
        <f>+FY16ProjRevToColl0!F38-FY15RevToColl!F38</f>
        <v>3.2070184361212739</v>
      </c>
      <c r="G38" s="410">
        <f>+FY16ProjRevToColl0!G38-FY15RevToColl!G38</f>
        <v>33.139190506586374</v>
      </c>
      <c r="H38" s="410">
        <f>+FY16ProjRevToColl0!H38-FY15RevToColl!H38</f>
        <v>10.690061453737542</v>
      </c>
      <c r="I38" s="410">
        <f>+FY16ProjRevToColl0!I38-FY15RevToColl!I38</f>
        <v>0</v>
      </c>
      <c r="J38" s="410">
        <f>+FY16ProjRevToColl0!J38-FY15RevToColl!J38</f>
        <v>20.311116762101392</v>
      </c>
      <c r="K38" s="410">
        <f>+FY16ProjRevToColl0!K38-FY15RevToColl!K38</f>
        <v>36.346208942707563</v>
      </c>
      <c r="L38" s="410">
        <f>+FY16ProjRevToColl0!L38-FY15RevToColl!L38</f>
        <v>81.244467048405568</v>
      </c>
      <c r="M38" s="410">
        <f>+FY16ProjRevToColl0!M38-FY15RevToColl!M38</f>
        <v>9.6210553083637933</v>
      </c>
      <c r="N38" s="410">
        <f>+FY16ProjRevToColl0!N38-FY15RevToColl!N38</f>
        <v>1159.337164657838</v>
      </c>
      <c r="O38" s="410">
        <f>+FY16ProjRevToColl0!O38-FY15RevToColl!O38</f>
        <v>10.690061453737542</v>
      </c>
      <c r="P38" s="410">
        <f>+FY16ProjRevToColl0!P38-FY15RevToColl!P38</f>
        <v>24.587141343596386</v>
      </c>
      <c r="Q38" s="410">
        <f>+FY16ProjRevToColl0!Q38-FY15RevToColl!Q38</f>
        <v>5027.5359016927832</v>
      </c>
      <c r="R38" s="410">
        <f>+FY16ProjRevToColl0!R38-FY15RevToColl!R38</f>
        <v>0</v>
      </c>
      <c r="S38" s="410">
        <f>+FY16ProjRevToColl0!S38-FY15RevToColl!S38</f>
        <v>11.75906759911129</v>
      </c>
      <c r="T38" s="441">
        <f t="shared" si="4"/>
        <v>6641.2006781344671</v>
      </c>
    </row>
    <row r="39" spans="1:91" ht="20.100000000000001" customHeight="1">
      <c r="A39" s="553" t="s">
        <v>145</v>
      </c>
      <c r="B39" s="442" t="s">
        <v>207</v>
      </c>
      <c r="C39" s="443">
        <f>+FY16ProjRevToColl0!C39-FY15RevToColl!C39</f>
        <v>-10633.556040085503</v>
      </c>
      <c r="D39" s="443">
        <f>+FY16ProjRevToColl0!D39-FY15RevToColl!D39</f>
        <v>-196.47913494837485</v>
      </c>
      <c r="E39" s="443">
        <f>+FY16ProjRevToColl0!E39-FY15RevToColl!E39</f>
        <v>-57.01403469484103</v>
      </c>
      <c r="F39" s="443">
        <f>+FY16ProjRevToColl0!F39-FY15RevToColl!F39</f>
        <v>0</v>
      </c>
      <c r="G39" s="443">
        <f>+FY16ProjRevToColl0!G39-FY15RevToColl!G39</f>
        <v>-58.768312685450837</v>
      </c>
      <c r="H39" s="443">
        <f>+FY16ProjRevToColl0!H39-FY15RevToColl!H39</f>
        <v>-142.97365623475525</v>
      </c>
      <c r="I39" s="443">
        <f>+FY16ProjRevToColl0!I39-FY15RevToColl!I39</f>
        <v>-1.7542779906104897</v>
      </c>
      <c r="J39" s="443">
        <f>+FY16ProjRevToColl0!J39-FY15RevToColl!J39</f>
        <v>-5.2628339718314692</v>
      </c>
      <c r="K39" s="443">
        <f>+FY16ProjRevToColl0!K39-FY15RevToColl!K39</f>
        <v>-148.23649020658559</v>
      </c>
      <c r="L39" s="443">
        <f>+FY16ProjRevToColl0!L39-FY15RevToColl!L39</f>
        <v>0</v>
      </c>
      <c r="M39" s="443">
        <f>+FY16ProjRevToColl0!M39-FY15RevToColl!M39</f>
        <v>0</v>
      </c>
      <c r="N39" s="443">
        <f>+FY16ProjRevToColl0!N39-FY15RevToColl!N39</f>
        <v>-6.139972967136714</v>
      </c>
      <c r="O39" s="443">
        <f>+FY16ProjRevToColl0!O39-FY15RevToColl!O39</f>
        <v>0</v>
      </c>
      <c r="P39" s="443">
        <f>+FY16ProjRevToColl0!P39-FY15RevToColl!P39</f>
        <v>0</v>
      </c>
      <c r="Q39" s="443">
        <f>+FY16ProjRevToColl0!Q39-FY15RevToColl!Q39</f>
        <v>-35.085559812209794</v>
      </c>
      <c r="R39" s="443">
        <f>+FY16ProjRevToColl0!R39-FY15RevToColl!R39</f>
        <v>0</v>
      </c>
      <c r="S39" s="443">
        <f>+FY16ProjRevToColl0!S39-FY15RevToColl!S39</f>
        <v>0</v>
      </c>
      <c r="T39" s="444">
        <f t="shared" si="4"/>
        <v>-11285.270313597302</v>
      </c>
    </row>
    <row r="40" spans="1:91" s="18" customFormat="1" ht="20.100000000000001" customHeight="1">
      <c r="A40" s="404" t="s">
        <v>147</v>
      </c>
      <c r="B40" s="440" t="s">
        <v>208</v>
      </c>
      <c r="C40" s="410">
        <f>+FY16ProjRevToColl0!C40-FY15RevToColl!C40</f>
        <v>0</v>
      </c>
      <c r="D40" s="410">
        <f>+FY16ProjRevToColl0!D40-FY15RevToColl!D40</f>
        <v>16.186798882235166</v>
      </c>
      <c r="E40" s="410">
        <f>+FY16ProjRevToColl0!E40-FY15RevToColl!E40</f>
        <v>4.0466997205587916</v>
      </c>
      <c r="F40" s="410">
        <f>+FY16ProjRevToColl0!F40-FY15RevToColl!F40</f>
        <v>0</v>
      </c>
      <c r="G40" s="410">
        <f>+FY16ProjRevToColl0!G40-FY15RevToColl!G40</f>
        <v>4342.1088001595926</v>
      </c>
      <c r="H40" s="410">
        <f>+FY16ProjRevToColl0!H40-FY15RevToColl!H40</f>
        <v>28.326898043911569</v>
      </c>
      <c r="I40" s="410">
        <f>+FY16ProjRevToColl0!I40-FY15RevToColl!I40</f>
        <v>20.233498602793929</v>
      </c>
      <c r="J40" s="410">
        <f>+FY16ProjRevToColl0!J40-FY15RevToColl!J40</f>
        <v>0</v>
      </c>
      <c r="K40" s="410">
        <f>+FY16ProjRevToColl0!K40-FY15RevToColl!K40</f>
        <v>0</v>
      </c>
      <c r="L40" s="410">
        <f>+FY16ProjRevToColl0!L40-FY15RevToColl!L40</f>
        <v>0</v>
      </c>
      <c r="M40" s="410">
        <f>+FY16ProjRevToColl0!M40-FY15RevToColl!M40</f>
        <v>0</v>
      </c>
      <c r="N40" s="410">
        <f>+FY16ProjRevToColl0!N40-FY15RevToColl!N40</f>
        <v>169.96138826346942</v>
      </c>
      <c r="O40" s="410">
        <f>+FY16ProjRevToColl0!O40-FY15RevToColl!O40</f>
        <v>0</v>
      </c>
      <c r="P40" s="410">
        <f>+FY16ProjRevToColl0!P40-FY15RevToColl!P40</f>
        <v>0</v>
      </c>
      <c r="Q40" s="410">
        <f>+FY16ProjRevToColl0!Q40-FY15RevToColl!Q40</f>
        <v>6.0700495808382016</v>
      </c>
      <c r="R40" s="410">
        <f>+FY16ProjRevToColl0!R40-FY15RevToColl!R40</f>
        <v>0</v>
      </c>
      <c r="S40" s="410">
        <f>+FY16ProjRevToColl0!S40-FY15RevToColl!S40</f>
        <v>24.280198323352806</v>
      </c>
      <c r="T40" s="441">
        <f t="shared" si="4"/>
        <v>4611.2143315767516</v>
      </c>
    </row>
    <row r="41" spans="1:91" ht="20.100000000000001" customHeight="1">
      <c r="A41" s="404" t="s">
        <v>148</v>
      </c>
      <c r="B41" s="442" t="s">
        <v>39</v>
      </c>
      <c r="C41" s="443">
        <f>+FY16ProjRevToColl0!C41-FY15RevToColl!C41</f>
        <v>150.54452482046599</v>
      </c>
      <c r="D41" s="443">
        <f>+FY16ProjRevToColl0!D41-FY15RevToColl!D41</f>
        <v>763.77176353870163</v>
      </c>
      <c r="E41" s="443">
        <f>+FY16ProjRevToColl0!E41-FY15RevToColl!E41</f>
        <v>261.03591918411257</v>
      </c>
      <c r="F41" s="443">
        <f>+FY16ProjRevToColl0!F41-FY15RevToColl!F41</f>
        <v>69.057121477278542</v>
      </c>
      <c r="G41" s="443">
        <f>+FY16ProjRevToColl0!G41-FY15RevToColl!G41</f>
        <v>33.147418309093382</v>
      </c>
      <c r="H41" s="443">
        <f>+FY16ProjRevToColl0!H41-FY15RevToColl!H41</f>
        <v>426.77301072957925</v>
      </c>
      <c r="I41" s="443">
        <f>+FY16ProjRevToColl0!I41-FY15RevToColl!I41</f>
        <v>23.479421302274659</v>
      </c>
      <c r="J41" s="443">
        <f>+FY16ProjRevToColl0!J41-FY15RevToColl!J41</f>
        <v>78.725118484097038</v>
      </c>
      <c r="K41" s="443">
        <f>+FY16ProjRevToColl0!K41-FY15RevToColl!K41</f>
        <v>14767.174856701167</v>
      </c>
      <c r="L41" s="443">
        <f>+FY16ProjRevToColl0!L41-FY15RevToColl!L41</f>
        <v>60.770266900005026</v>
      </c>
      <c r="M41" s="443">
        <f>+FY16ProjRevToColl0!M41-FY15RevToColl!M41</f>
        <v>0</v>
      </c>
      <c r="N41" s="443">
        <f>+FY16ProjRevToColl0!N41-FY15RevToColl!N41</f>
        <v>93.917685209098636</v>
      </c>
      <c r="O41" s="443">
        <f>+FY16ProjRevToColl0!O41-FY15RevToColl!O41</f>
        <v>0</v>
      </c>
      <c r="P41" s="443">
        <f>+FY16ProjRevToColl0!P41-FY15RevToColl!P41</f>
        <v>0</v>
      </c>
      <c r="Q41" s="443">
        <f>+FY16ProjRevToColl0!Q41-FY15RevToColl!Q41</f>
        <v>375.67074083639454</v>
      </c>
      <c r="R41" s="443">
        <f>+FY16ProjRevToColl0!R41-FY15RevToColl!R41</f>
        <v>0</v>
      </c>
      <c r="S41" s="443">
        <f>+FY16ProjRevToColl0!S41-FY15RevToColl!S41</f>
        <v>4.1434272886366728</v>
      </c>
      <c r="T41" s="444">
        <f t="shared" si="4"/>
        <v>17108.211274780904</v>
      </c>
    </row>
    <row r="42" spans="1:91" s="18" customFormat="1" ht="20.100000000000001" customHeight="1">
      <c r="A42" s="404" t="s">
        <v>149</v>
      </c>
      <c r="B42" s="440" t="s">
        <v>38</v>
      </c>
      <c r="C42" s="410">
        <f>+FY16ProjRevToColl0!C42-FY15RevToColl!C42</f>
        <v>77.235245787343501</v>
      </c>
      <c r="D42" s="410">
        <f>+FY16ProjRevToColl0!D42-FY15RevToColl!D42</f>
        <v>137.0302747839969</v>
      </c>
      <c r="E42" s="410">
        <f>+FY16ProjRevToColl0!E42-FY15RevToColl!E42</f>
        <v>27620.320477370638</v>
      </c>
      <c r="F42" s="410">
        <f>+FY16ProjRevToColl0!F42-FY15RevToColl!F42</f>
        <v>0</v>
      </c>
      <c r="G42" s="410">
        <f>+FY16ProjRevToColl0!G42-FY15RevToColl!G42</f>
        <v>119.59005799330589</v>
      </c>
      <c r="H42" s="410">
        <f>+FY16ProjRevToColl0!H42-FY15RevToColl!H42</f>
        <v>0</v>
      </c>
      <c r="I42" s="410">
        <f>+FY16ProjRevToColl0!I42-FY15RevToColl!I42</f>
        <v>69.760867162762224</v>
      </c>
      <c r="J42" s="410">
        <f>+FY16ProjRevToColl0!J42-FY15RevToColl!J42</f>
        <v>24.914595415272061</v>
      </c>
      <c r="K42" s="410">
        <f>+FY16ProjRevToColl0!K42-FY15RevToColl!K42</f>
        <v>129.55589615941517</v>
      </c>
      <c r="L42" s="410">
        <f>+FY16ProjRevToColl0!L42-FY15RevToColl!L42</f>
        <v>0</v>
      </c>
      <c r="M42" s="410">
        <f>+FY16ProjRevToColl0!M42-FY15RevToColl!M42</f>
        <v>0</v>
      </c>
      <c r="N42" s="410">
        <f>+FY16ProjRevToColl0!N42-FY15RevToColl!N42</f>
        <v>39.863352664435524</v>
      </c>
      <c r="O42" s="410">
        <f>+FY16ProjRevToColl0!O42-FY15RevToColl!O42</f>
        <v>0</v>
      </c>
      <c r="P42" s="410">
        <f>+FY16ProjRevToColl0!P42-FY15RevToColl!P42</f>
        <v>0</v>
      </c>
      <c r="Q42" s="410">
        <f>+FY16ProjRevToColl0!Q42-FY15RevToColl!Q42</f>
        <v>52.320650372071441</v>
      </c>
      <c r="R42" s="410">
        <f>+FY16ProjRevToColl0!R42-FY15RevToColl!R42</f>
        <v>0</v>
      </c>
      <c r="S42" s="410">
        <f>+FY16ProjRevToColl0!S42-FY15RevToColl!S42</f>
        <v>0</v>
      </c>
      <c r="T42" s="441">
        <f t="shared" si="4"/>
        <v>28270.591417709242</v>
      </c>
    </row>
    <row r="43" spans="1:91" ht="20.100000000000001" customHeight="1">
      <c r="A43" s="404" t="s">
        <v>150</v>
      </c>
      <c r="B43" s="442" t="s">
        <v>31</v>
      </c>
      <c r="C43" s="443">
        <f>+FY16ProjRevToColl0!C43-FY15RevToColl!C43</f>
        <v>-24.445830543498914</v>
      </c>
      <c r="D43" s="443">
        <f>+FY16ProjRevToColl0!D43-FY15RevToColl!D43</f>
        <v>-221.54033930045989</v>
      </c>
      <c r="E43" s="443">
        <f>+FY16ProjRevToColl0!E43-FY15RevToColl!E43</f>
        <v>-88.616135720183593</v>
      </c>
      <c r="F43" s="443">
        <f>+FY16ProjRevToColl0!F43-FY15RevToColl!F43</f>
        <v>-39.724474633186219</v>
      </c>
      <c r="G43" s="443">
        <f>+FY16ProjRevToColl0!G43-FY15RevToColl!G43</f>
        <v>-6.1114576358747286</v>
      </c>
      <c r="H43" s="443">
        <f>+FY16ProjRevToColl0!H43-FY15RevToColl!H43</f>
        <v>-4.5835932269060322</v>
      </c>
      <c r="I43" s="443">
        <f>+FY16ProjRevToColl0!I43-FY15RevToColl!I43</f>
        <v>-122.2291527174948</v>
      </c>
      <c r="J43" s="443">
        <f>+FY16ProjRevToColl0!J43-FY15RevToColl!J43</f>
        <v>-33950.675031693187</v>
      </c>
      <c r="K43" s="443">
        <f>+FY16ProjRevToColl0!K43-FY15RevToColl!K43</f>
        <v>-6.1114576358747286</v>
      </c>
      <c r="L43" s="443">
        <f>+FY16ProjRevToColl0!L43-FY15RevToColl!L43</f>
        <v>-4.5835932269060322</v>
      </c>
      <c r="M43" s="443">
        <f>+FY16ProjRevToColl0!M43-FY15RevToColl!M43</f>
        <v>0</v>
      </c>
      <c r="N43" s="443">
        <f>+FY16ProjRevToColl0!N43-FY15RevToColl!N43</f>
        <v>-1.5278644089686821</v>
      </c>
      <c r="O43" s="443">
        <f>+FY16ProjRevToColl0!O43-FY15RevToColl!O43</f>
        <v>0</v>
      </c>
      <c r="P43" s="443">
        <f>+FY16ProjRevToColl0!P43-FY15RevToColl!P43</f>
        <v>-4.5835932269060322</v>
      </c>
      <c r="Q43" s="443">
        <f>+FY16ProjRevToColl0!Q43-FY15RevToColl!Q43</f>
        <v>-65.698169585653886</v>
      </c>
      <c r="R43" s="443">
        <f>+FY16ProjRevToColl0!R43-FY15RevToColl!R43</f>
        <v>0</v>
      </c>
      <c r="S43" s="443">
        <f>+FY16ProjRevToColl0!S43-FY15RevToColl!S43</f>
        <v>-12.222915271749457</v>
      </c>
      <c r="T43" s="444">
        <f t="shared" si="4"/>
        <v>-34552.65360882684</v>
      </c>
    </row>
    <row r="44" spans="1:91" s="18" customFormat="1" ht="20.100000000000001" customHeight="1">
      <c r="A44" s="404" t="s">
        <v>151</v>
      </c>
      <c r="B44" s="440" t="s">
        <v>209</v>
      </c>
      <c r="C44" s="410">
        <f>+FY16ProjRevToColl0!C44-FY15RevToColl!C44</f>
        <v>0</v>
      </c>
      <c r="D44" s="410">
        <f>+FY16ProjRevToColl0!D44-FY15RevToColl!D44</f>
        <v>260.47818425852893</v>
      </c>
      <c r="E44" s="410">
        <f>+FY16ProjRevToColl0!E44-FY15RevToColl!E44</f>
        <v>28.415801919112027</v>
      </c>
      <c r="F44" s="410">
        <f>+FY16ProjRevToColl0!F44-FY15RevToColl!F44</f>
        <v>0</v>
      </c>
      <c r="G44" s="410">
        <f>+FY16ProjRevToColl0!G44-FY15RevToColl!G44</f>
        <v>0</v>
      </c>
      <c r="H44" s="410">
        <f>+FY16ProjRevToColl0!H44-FY15RevToColl!H44</f>
        <v>7.1039504797780069</v>
      </c>
      <c r="I44" s="410">
        <f>+FY16ProjRevToColl0!I44-FY15RevToColl!I44</f>
        <v>0</v>
      </c>
      <c r="J44" s="410">
        <f>+FY16ProjRevToColl0!J44-FY15RevToColl!J44</f>
        <v>5474.7778364156256</v>
      </c>
      <c r="K44" s="410">
        <f>+FY16ProjRevToColl0!K44-FY15RevToColl!K44</f>
        <v>52.095636851705876</v>
      </c>
      <c r="L44" s="410">
        <f>+FY16ProjRevToColl0!L44-FY15RevToColl!L44</f>
        <v>0</v>
      </c>
      <c r="M44" s="410">
        <f>+FY16ProjRevToColl0!M44-FY15RevToColl!M44</f>
        <v>0</v>
      </c>
      <c r="N44" s="410">
        <f>+FY16ProjRevToColl0!N44-FY15RevToColl!N44</f>
        <v>7.1039504797780069</v>
      </c>
      <c r="O44" s="410">
        <f>+FY16ProjRevToColl0!O44-FY15RevToColl!O44</f>
        <v>0</v>
      </c>
      <c r="P44" s="410">
        <f>+FY16ProjRevToColl0!P44-FY15RevToColl!P44</f>
        <v>0</v>
      </c>
      <c r="Q44" s="410">
        <f>+FY16ProjRevToColl0!Q44-FY15RevToColl!Q44</f>
        <v>11.839917466296754</v>
      </c>
      <c r="R44" s="410">
        <f>+FY16ProjRevToColl0!R44-FY15RevToColl!R44</f>
        <v>0</v>
      </c>
      <c r="S44" s="410">
        <f>+FY16ProjRevToColl0!S44-FY15RevToColl!S44</f>
        <v>9.4719339730373804</v>
      </c>
      <c r="T44" s="441">
        <f t="shared" si="4"/>
        <v>5851.2872118438618</v>
      </c>
    </row>
    <row r="45" spans="1:91" ht="20.100000000000001" customHeight="1">
      <c r="A45" s="404" t="s">
        <v>153</v>
      </c>
      <c r="B45" s="442" t="s">
        <v>100</v>
      </c>
      <c r="C45" s="443">
        <f>+FY16ProjRevToColl0!C45-FY15RevToColl!C45</f>
        <v>-5.9641855941911217</v>
      </c>
      <c r="D45" s="443">
        <f>+FY16ProjRevToColl0!D45-FY15RevToColl!D45</f>
        <v>-8.9462783912865689</v>
      </c>
      <c r="E45" s="443">
        <f>+FY16ProjRevToColl0!E45-FY15RevToColl!E45</f>
        <v>-15.904494917842612</v>
      </c>
      <c r="F45" s="443">
        <f>+FY16ProjRevToColl0!F45-FY15RevToColl!F45</f>
        <v>0</v>
      </c>
      <c r="G45" s="443">
        <f>+FY16ProjRevToColl0!G45-FY15RevToColl!G45</f>
        <v>0</v>
      </c>
      <c r="H45" s="443">
        <f>+FY16ProjRevToColl0!H45-FY15RevToColl!H45</f>
        <v>0</v>
      </c>
      <c r="I45" s="443">
        <f>+FY16ProjRevToColl0!I45-FY15RevToColl!I45</f>
        <v>-2.9820927970955609</v>
      </c>
      <c r="J45" s="443">
        <f>+FY16ProjRevToColl0!J45-FY15RevToColl!J45</f>
        <v>0</v>
      </c>
      <c r="K45" s="443">
        <f>+FY16ProjRevToColl0!K45-FY15RevToColl!K45</f>
        <v>-19.880618647303436</v>
      </c>
      <c r="L45" s="443">
        <f>+FY16ProjRevToColl0!L45-FY15RevToColl!L45</f>
        <v>-5.9641855941911217</v>
      </c>
      <c r="M45" s="443">
        <f>+FY16ProjRevToColl0!M45-FY15RevToColl!M45</f>
        <v>0</v>
      </c>
      <c r="N45" s="443">
        <f>+FY16ProjRevToColl0!N45-FY15RevToColl!N45</f>
        <v>-39.761237294606872</v>
      </c>
      <c r="O45" s="443">
        <f>+FY16ProjRevToColl0!O45-FY15RevToColl!O45</f>
        <v>-2027.8231020249659</v>
      </c>
      <c r="P45" s="443">
        <f>+FY16ProjRevToColl0!P45-FY15RevToColl!P45</f>
        <v>-55.665732212449257</v>
      </c>
      <c r="Q45" s="443">
        <f>+FY16ProjRevToColl0!Q45-FY15RevToColl!Q45</f>
        <v>-49.701546618258362</v>
      </c>
      <c r="R45" s="443">
        <f>+FY16ProjRevToColl0!R45-FY15RevToColl!R45</f>
        <v>0</v>
      </c>
      <c r="S45" s="443">
        <f>+FY16ProjRevToColl0!S45-FY15RevToColl!S45</f>
        <v>-0.99403093236516327</v>
      </c>
      <c r="T45" s="444">
        <f t="shared" si="4"/>
        <v>-2233.5875050245559</v>
      </c>
    </row>
    <row r="46" spans="1:91" s="18" customFormat="1" ht="20.100000000000001" customHeight="1">
      <c r="A46" s="404" t="s">
        <v>155</v>
      </c>
      <c r="B46" s="440" t="s">
        <v>42</v>
      </c>
      <c r="C46" s="410">
        <f>+FY16ProjRevToColl0!C46-FY15RevToColl!C46</f>
        <v>0</v>
      </c>
      <c r="D46" s="410">
        <f>+FY16ProjRevToColl0!D46-FY15RevToColl!D46</f>
        <v>21.593316924863984</v>
      </c>
      <c r="E46" s="410">
        <f>+FY16ProjRevToColl0!E46-FY15RevToColl!E46</f>
        <v>8.6373267699455027</v>
      </c>
      <c r="F46" s="410">
        <f>+FY16ProjRevToColl0!F46-FY15RevToColl!F46</f>
        <v>0</v>
      </c>
      <c r="G46" s="410">
        <f>+FY16ProjRevToColl0!G46-FY15RevToColl!G46</f>
        <v>0</v>
      </c>
      <c r="H46" s="410">
        <f>+FY16ProjRevToColl0!H46-FY15RevToColl!H46</f>
        <v>0</v>
      </c>
      <c r="I46" s="410">
        <f>+FY16ProjRevToColl0!I46-FY15RevToColl!I46</f>
        <v>0</v>
      </c>
      <c r="J46" s="410">
        <f>+FY16ProjRevToColl0!J46-FY15RevToColl!J46</f>
        <v>0</v>
      </c>
      <c r="K46" s="410">
        <f>+FY16ProjRevToColl0!K46-FY15RevToColl!K46</f>
        <v>0</v>
      </c>
      <c r="L46" s="410">
        <f>+FY16ProjRevToColl0!L46-FY15RevToColl!L46</f>
        <v>0</v>
      </c>
      <c r="M46" s="410">
        <f>+FY16ProjRevToColl0!M46-FY15RevToColl!M46</f>
        <v>1.7274653539890892</v>
      </c>
      <c r="N46" s="410">
        <f>+FY16ProjRevToColl0!N46-FY15RevToColl!N46</f>
        <v>1703.2808390332793</v>
      </c>
      <c r="O46" s="410">
        <f>+FY16ProjRevToColl0!O46-FY15RevToColl!O46</f>
        <v>31.958109048798633</v>
      </c>
      <c r="P46" s="410">
        <f>+FY16ProjRevToColl0!P46-FY15RevToColl!P46</f>
        <v>14247.270507025067</v>
      </c>
      <c r="Q46" s="410">
        <f>+FY16ProjRevToColl0!Q46-FY15RevToColl!Q46</f>
        <v>150.28948579705138</v>
      </c>
      <c r="R46" s="410">
        <f>+FY16ProjRevToColl0!R46-FY15RevToColl!R46</f>
        <v>0</v>
      </c>
      <c r="S46" s="410">
        <f>+FY16ProjRevToColl0!S46-FY15RevToColl!S46</f>
        <v>0</v>
      </c>
      <c r="T46" s="441">
        <f t="shared" si="4"/>
        <v>16164.757049952996</v>
      </c>
    </row>
    <row r="47" spans="1:91" ht="20.100000000000001" customHeight="1">
      <c r="A47" s="404" t="s">
        <v>162</v>
      </c>
      <c r="B47" s="442" t="s">
        <v>76</v>
      </c>
      <c r="C47" s="443">
        <f>+FY16ProjRevToColl0!C47-FY15RevToColl!C47</f>
        <v>0</v>
      </c>
      <c r="D47" s="443">
        <f>+FY16ProjRevToColl0!D47-FY15RevToColl!D47</f>
        <v>31.193059589537029</v>
      </c>
      <c r="E47" s="443">
        <f>+FY16ProjRevToColl0!E47-FY15RevToColl!E47</f>
        <v>0</v>
      </c>
      <c r="F47" s="443">
        <f>+FY16ProjRevToColl0!F47-FY15RevToColl!F47</f>
        <v>0</v>
      </c>
      <c r="G47" s="443">
        <f>+FY16ProjRevToColl0!G47-FY15RevToColl!G47</f>
        <v>38.991324486921371</v>
      </c>
      <c r="H47" s="443">
        <f>+FY16ProjRevToColl0!H47-FY15RevToColl!H47</f>
        <v>7.7982648973842572</v>
      </c>
      <c r="I47" s="443">
        <f>+FY16ProjRevToColl0!I47-FY15RevToColl!I47</f>
        <v>0</v>
      </c>
      <c r="J47" s="443">
        <f>+FY16ProjRevToColl0!J47-FY15RevToColl!J47</f>
        <v>0</v>
      </c>
      <c r="K47" s="443">
        <f>+FY16ProjRevToColl0!K47-FY15RevToColl!K47</f>
        <v>0</v>
      </c>
      <c r="L47" s="443">
        <f>+FY16ProjRevToColl0!L47-FY15RevToColl!L47</f>
        <v>0</v>
      </c>
      <c r="M47" s="443">
        <f>+FY16ProjRevToColl0!M47-FY15RevToColl!M47</f>
        <v>0</v>
      </c>
      <c r="N47" s="443">
        <f>+FY16ProjRevToColl0!N47-FY15RevToColl!N47</f>
        <v>110527.40781225963</v>
      </c>
      <c r="O47" s="443">
        <f>+FY16ProjRevToColl0!O47-FY15RevToColl!O47</f>
        <v>0</v>
      </c>
      <c r="P47" s="443">
        <f>+FY16ProjRevToColl0!P47-FY15RevToColl!P47</f>
        <v>0</v>
      </c>
      <c r="Q47" s="443">
        <f>+FY16ProjRevToColl0!Q47-FY15RevToColl!Q47</f>
        <v>249.54447671629623</v>
      </c>
      <c r="R47" s="443">
        <f>+FY16ProjRevToColl0!R47-FY15RevToColl!R47</f>
        <v>0</v>
      </c>
      <c r="S47" s="443">
        <f>+FY16ProjRevToColl0!S47-FY15RevToColl!S47</f>
        <v>0</v>
      </c>
      <c r="T47" s="444">
        <f t="shared" si="4"/>
        <v>110854.93493794977</v>
      </c>
    </row>
    <row r="48" spans="1:91" s="18" customFormat="1" ht="20.100000000000001" customHeight="1">
      <c r="A48" s="404" t="s">
        <v>156</v>
      </c>
      <c r="B48" s="440" t="s">
        <v>77</v>
      </c>
      <c r="C48" s="410">
        <f>+FY16ProjRevToColl0!C48-FY15RevToColl!C48</f>
        <v>0</v>
      </c>
      <c r="D48" s="410">
        <f>+FY16ProjRevToColl0!D48-FY15RevToColl!D48</f>
        <v>37.390458311226325</v>
      </c>
      <c r="E48" s="410">
        <f>+FY16ProjRevToColl0!E48-FY15RevToColl!E48</f>
        <v>0</v>
      </c>
      <c r="F48" s="410">
        <f>+FY16ProjRevToColl0!F48-FY15RevToColl!F48</f>
        <v>0</v>
      </c>
      <c r="G48" s="410">
        <f>+FY16ProjRevToColl0!G48-FY15RevToColl!G48</f>
        <v>0</v>
      </c>
      <c r="H48" s="410">
        <f>+FY16ProjRevToColl0!H48-FY15RevToColl!H48</f>
        <v>0</v>
      </c>
      <c r="I48" s="410">
        <f>+FY16ProjRevToColl0!I48-FY15RevToColl!I48</f>
        <v>0</v>
      </c>
      <c r="J48" s="410">
        <f>+FY16ProjRevToColl0!J48-FY15RevToColl!J48</f>
        <v>0</v>
      </c>
      <c r="K48" s="410">
        <f>+FY16ProjRevToColl0!K48-FY15RevToColl!K48</f>
        <v>0</v>
      </c>
      <c r="L48" s="410">
        <f>+FY16ProjRevToColl0!L48-FY15RevToColl!L48</f>
        <v>0</v>
      </c>
      <c r="M48" s="410">
        <f>+FY16ProjRevToColl0!M48-FY15RevToColl!M48</f>
        <v>88845.960690525477</v>
      </c>
      <c r="N48" s="410">
        <f>+FY16ProjRevToColl0!N48-FY15RevToColl!N48</f>
        <v>13229.990499122243</v>
      </c>
      <c r="O48" s="410">
        <f>+FY16ProjRevToColl0!O48-FY15RevToColl!O48</f>
        <v>0</v>
      </c>
      <c r="P48" s="410">
        <f>+FY16ProjRevToColl0!P48-FY15RevToColl!P48</f>
        <v>0</v>
      </c>
      <c r="Q48" s="410">
        <f>+FY16ProjRevToColl0!Q48-FY15RevToColl!Q48</f>
        <v>0</v>
      </c>
      <c r="R48" s="410">
        <f>+FY16ProjRevToColl0!R48-FY15RevToColl!R48</f>
        <v>0</v>
      </c>
      <c r="S48" s="410">
        <f>+FY16ProjRevToColl0!S48-FY15RevToColl!S48</f>
        <v>0</v>
      </c>
      <c r="T48" s="441">
        <f t="shared" si="4"/>
        <v>102113.34164795895</v>
      </c>
    </row>
    <row r="49" spans="1:20" ht="20.100000000000001" customHeight="1">
      <c r="A49" s="404" t="s">
        <v>163</v>
      </c>
      <c r="B49" s="445" t="s">
        <v>164</v>
      </c>
      <c r="C49" s="443">
        <f>+FY16ProjRevToColl0!C49-FY15RevToColl!C49</f>
        <v>0</v>
      </c>
      <c r="D49" s="443">
        <f>+FY16ProjRevToColl0!D49-FY15RevToColl!D49</f>
        <v>0</v>
      </c>
      <c r="E49" s="443">
        <f>+FY16ProjRevToColl0!E49-FY15RevToColl!E49</f>
        <v>0</v>
      </c>
      <c r="F49" s="443">
        <f>+FY16ProjRevToColl0!F49-FY15RevToColl!F49</f>
        <v>0</v>
      </c>
      <c r="G49" s="443">
        <f>+FY16ProjRevToColl0!G49-FY15RevToColl!G49</f>
        <v>0</v>
      </c>
      <c r="H49" s="443">
        <f>+FY16ProjRevToColl0!H49-FY15RevToColl!H49</f>
        <v>0</v>
      </c>
      <c r="I49" s="443">
        <f>+FY16ProjRevToColl0!I49-FY15RevToColl!I49</f>
        <v>0</v>
      </c>
      <c r="J49" s="443">
        <f>+FY16ProjRevToColl0!J49-FY15RevToColl!J49</f>
        <v>0</v>
      </c>
      <c r="K49" s="443">
        <f>+FY16ProjRevToColl0!K49-FY15RevToColl!K49</f>
        <v>0</v>
      </c>
      <c r="L49" s="443">
        <f>+FY16ProjRevToColl0!L49-FY15RevToColl!L49</f>
        <v>0</v>
      </c>
      <c r="M49" s="443">
        <f>+FY16ProjRevToColl0!M49-FY15RevToColl!M49</f>
        <v>5077.2682420966448</v>
      </c>
      <c r="N49" s="443">
        <f>+FY16ProjRevToColl0!N49-FY15RevToColl!N49</f>
        <v>53.401688630466197</v>
      </c>
      <c r="O49" s="443">
        <f>+FY16ProjRevToColl0!O49-FY15RevToColl!O49</f>
        <v>0</v>
      </c>
      <c r="P49" s="443">
        <f>+FY16ProjRevToColl0!P49-FY15RevToColl!P49</f>
        <v>0</v>
      </c>
      <c r="Q49" s="443">
        <f>+FY16ProjRevToColl0!Q49-FY15RevToColl!Q49</f>
        <v>24.646933214061391</v>
      </c>
      <c r="R49" s="443">
        <f>+FY16ProjRevToColl0!R49-FY15RevToColl!R49</f>
        <v>0</v>
      </c>
      <c r="S49" s="443">
        <f>+FY16ProjRevToColl0!S49-FY15RevToColl!S49</f>
        <v>0</v>
      </c>
      <c r="T49" s="446">
        <f t="shared" si="4"/>
        <v>5155.3168639411724</v>
      </c>
    </row>
    <row r="50" spans="1:20" ht="20.100000000000001" customHeight="1">
      <c r="A50" s="405"/>
      <c r="B50" s="447" t="s">
        <v>17</v>
      </c>
      <c r="C50" s="448">
        <f t="shared" ref="C50:S50" si="5">SUM(C29:C49)</f>
        <v>186769.23915349244</v>
      </c>
      <c r="D50" s="448">
        <f t="shared" si="5"/>
        <v>5894394.5674805632</v>
      </c>
      <c r="E50" s="448">
        <f t="shared" si="5"/>
        <v>604245.03011220403</v>
      </c>
      <c r="F50" s="448">
        <f t="shared" si="5"/>
        <v>139557.11087465365</v>
      </c>
      <c r="G50" s="448">
        <f t="shared" si="5"/>
        <v>880137.57434919535</v>
      </c>
      <c r="H50" s="448">
        <f t="shared" si="5"/>
        <v>512442.58136706799</v>
      </c>
      <c r="I50" s="448">
        <f t="shared" si="5"/>
        <v>123481.57035342438</v>
      </c>
      <c r="J50" s="448">
        <f t="shared" si="5"/>
        <v>-23058.76291776339</v>
      </c>
      <c r="K50" s="448">
        <f t="shared" si="5"/>
        <v>16403.401111794847</v>
      </c>
      <c r="L50" s="448">
        <f t="shared" si="5"/>
        <v>39040.753191804601</v>
      </c>
      <c r="M50" s="448">
        <f t="shared" si="5"/>
        <v>94465.844978436042</v>
      </c>
      <c r="N50" s="448">
        <f t="shared" si="5"/>
        <v>377802.06335658126</v>
      </c>
      <c r="O50" s="448">
        <f t="shared" si="5"/>
        <v>76416.264752303643</v>
      </c>
      <c r="P50" s="448">
        <f t="shared" si="5"/>
        <v>16829.26575947188</v>
      </c>
      <c r="Q50" s="448">
        <f t="shared" si="5"/>
        <v>170337.44327788238</v>
      </c>
      <c r="R50" s="448">
        <f t="shared" si="5"/>
        <v>122682.81525718584</v>
      </c>
      <c r="S50" s="448">
        <f t="shared" si="5"/>
        <v>647.93919051551813</v>
      </c>
      <c r="T50" s="448">
        <f>SUM(C50:S50)</f>
        <v>9232594.7016488165</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+FY16ProjRevToColl0!C53-FY15RevToColl!C53</f>
        <v>94126.406820129836</v>
      </c>
      <c r="D53" s="455">
        <f>+FY16ProjRevToColl0!D53-FY15RevToColl!D53</f>
        <v>2106842.8831866533</v>
      </c>
      <c r="E53" s="455">
        <f>+FY16ProjRevToColl0!E53-FY15RevToColl!E53</f>
        <v>1411494.866068732</v>
      </c>
      <c r="F53" s="455">
        <f>+FY16ProjRevToColl0!F53-FY15RevToColl!F53</f>
        <v>84881.849007438403</v>
      </c>
      <c r="G53" s="455">
        <f>+FY16ProjRevToColl0!G53-FY15RevToColl!G53</f>
        <v>1443430.6112398487</v>
      </c>
      <c r="H53" s="455">
        <f>+FY16ProjRevToColl0!H53-FY15RevToColl!H53</f>
        <v>247922.23224944901</v>
      </c>
      <c r="I53" s="455">
        <f>+FY16ProjRevToColl0!I53-FY15RevToColl!I53</f>
        <v>84041.434660830302</v>
      </c>
      <c r="J53" s="455">
        <f>+FY16ProjRevToColl0!J53-FY15RevToColl!J53</f>
        <v>0</v>
      </c>
      <c r="K53" s="455">
        <f>+FY16ProjRevToColl0!K53-FY15RevToColl!K53</f>
        <v>0</v>
      </c>
      <c r="L53" s="455">
        <f>+FY16ProjRevToColl0!L53-FY15RevToColl!L53</f>
        <v>34456.988210940443</v>
      </c>
      <c r="M53" s="455">
        <f>+FY16ProjRevToColl0!M53-FY15RevToColl!M53</f>
        <v>0</v>
      </c>
      <c r="N53" s="455">
        <f>+FY16ProjRevToColl0!N53-FY15RevToColl!N53</f>
        <v>172284.94105470227</v>
      </c>
      <c r="O53" s="455">
        <f>+FY16ProjRevToColl0!O53-FY15RevToColl!O53</f>
        <v>119338.8372183789</v>
      </c>
      <c r="P53" s="455">
        <f>+FY16ProjRevToColl0!P53-FY15RevToColl!P53</f>
        <v>0</v>
      </c>
      <c r="Q53" s="455">
        <f>+FY16ProjRevToColl0!Q53-FY15RevToColl!Q53</f>
        <v>150434.16804288561</v>
      </c>
      <c r="R53" s="455">
        <f>+FY16ProjRevToColl0!R53-FY15RevToColl!R53</f>
        <v>10925.386505907925</v>
      </c>
      <c r="S53" s="455">
        <f>+FY16ProjRevToColl0!S53-FY15RevToColl!S53</f>
        <v>0</v>
      </c>
      <c r="T53" s="455">
        <f t="shared" ref="T53:T74" si="6">SUM(C53:Q53)+R53+S53</f>
        <v>5960180.6042658975</v>
      </c>
    </row>
    <row r="54" spans="1:20" s="18" customFormat="1" ht="20.100000000000001" customHeight="1">
      <c r="A54" s="404" t="s">
        <v>129</v>
      </c>
      <c r="B54" s="440" t="s">
        <v>35</v>
      </c>
      <c r="C54" s="410">
        <f>+FY16ProjRevToColl0!C54-FY15RevToColl!C54</f>
        <v>-730.93595659808489</v>
      </c>
      <c r="D54" s="410">
        <f>+FY16ProjRevToColl0!D54-FY15RevToColl!D54</f>
        <v>-74076.578497991897</v>
      </c>
      <c r="E54" s="410">
        <f>+FY16ProjRevToColl0!E54-FY15RevToColl!E54</f>
        <v>-2759.913353361655</v>
      </c>
      <c r="F54" s="410">
        <f>+FY16ProjRevToColl0!F54-FY15RevToColl!F54</f>
        <v>-239.44453750626417</v>
      </c>
      <c r="G54" s="410">
        <f>+FY16ProjRevToColl0!G54-FY15RevToColl!G54</f>
        <v>-4549.4462126190192</v>
      </c>
      <c r="H54" s="410">
        <f>+FY16ProjRevToColl0!H54-FY15RevToColl!H54</f>
        <v>0</v>
      </c>
      <c r="I54" s="410">
        <f>+FY16ProjRevToColl0!I54-FY15RevToColl!I54</f>
        <v>-1877.7492678123235</v>
      </c>
      <c r="J54" s="410">
        <f>+FY16ProjRevToColl0!J54-FY15RevToColl!J54</f>
        <v>-37.807032237831663</v>
      </c>
      <c r="K54" s="410">
        <f>+FY16ProjRevToColl0!K54-FY15RevToColl!K54</f>
        <v>-655.32189212241065</v>
      </c>
      <c r="L54" s="410">
        <f>+FY16ProjRevToColl0!L54-FY15RevToColl!L54</f>
        <v>-12.602344079277373</v>
      </c>
      <c r="M54" s="410">
        <f>+FY16ProjRevToColl0!M54-FY15RevToColl!M54</f>
        <v>0</v>
      </c>
      <c r="N54" s="410">
        <f>+FY16ProjRevToColl0!N54-FY15RevToColl!N54</f>
        <v>-16118.398077395512</v>
      </c>
      <c r="O54" s="410">
        <f>+FY16ProjRevToColl0!O54-FY15RevToColl!O54</f>
        <v>-25.204688158554745</v>
      </c>
      <c r="P54" s="410">
        <f>+FY16ProjRevToColl0!P54-FY15RevToColl!P54</f>
        <v>-2621.2875684896426</v>
      </c>
      <c r="Q54" s="410">
        <f>+FY16ProjRevToColl0!Q54-FY15RevToColl!Q54</f>
        <v>-25.204688158554745</v>
      </c>
      <c r="R54" s="410">
        <f>+FY16ProjRevToColl0!R54-FY15RevToColl!R54</f>
        <v>0</v>
      </c>
      <c r="S54" s="410">
        <f>+FY16ProjRevToColl0!S54-FY15RevToColl!S54</f>
        <v>-9048.4830489209853</v>
      </c>
      <c r="T54" s="410">
        <f t="shared" si="6"/>
        <v>-112778.37716545201</v>
      </c>
    </row>
    <row r="55" spans="1:20" ht="20.100000000000001" customHeight="1">
      <c r="A55" s="404" t="s">
        <v>140</v>
      </c>
      <c r="B55" s="456" t="s">
        <v>36</v>
      </c>
      <c r="C55" s="457">
        <f>+FY16ProjRevToColl0!C55-FY15RevToColl!C55</f>
        <v>0</v>
      </c>
      <c r="D55" s="457">
        <f>+FY16ProjRevToColl0!D55-FY15RevToColl!D55</f>
        <v>0</v>
      </c>
      <c r="E55" s="457">
        <f>+FY16ProjRevToColl0!E55-FY15RevToColl!E55</f>
        <v>0</v>
      </c>
      <c r="F55" s="457">
        <f>+FY16ProjRevToColl0!F55-FY15RevToColl!F55</f>
        <v>0</v>
      </c>
      <c r="G55" s="457">
        <f>+FY16ProjRevToColl0!G55-FY15RevToColl!G55</f>
        <v>0</v>
      </c>
      <c r="H55" s="457">
        <f>+FY16ProjRevToColl0!H55-FY15RevToColl!H55</f>
        <v>0</v>
      </c>
      <c r="I55" s="457">
        <f>+FY16ProjRevToColl0!I55-FY15RevToColl!I55</f>
        <v>0</v>
      </c>
      <c r="J55" s="457">
        <f>+FY16ProjRevToColl0!J55-FY15RevToColl!J55</f>
        <v>0</v>
      </c>
      <c r="K55" s="457">
        <f>+FY16ProjRevToColl0!K55-FY15RevToColl!K55</f>
        <v>0</v>
      </c>
      <c r="L55" s="457">
        <f>+FY16ProjRevToColl0!L55-FY15RevToColl!L55</f>
        <v>-2276.7529941729736</v>
      </c>
      <c r="M55" s="457">
        <f>+FY16ProjRevToColl0!M55-FY15RevToColl!M55</f>
        <v>0</v>
      </c>
      <c r="N55" s="457">
        <f>+FY16ProjRevToColl0!N55-FY15RevToColl!N55</f>
        <v>-6928.1838424833259</v>
      </c>
      <c r="O55" s="457">
        <f>+FY16ProjRevToColl0!O55-FY15RevToColl!O55</f>
        <v>0</v>
      </c>
      <c r="P55" s="457">
        <f>+FY16ProjRevToColl0!P55-FY15RevToColl!P55</f>
        <v>0</v>
      </c>
      <c r="Q55" s="457">
        <f>+FY16ProjRevToColl0!Q55-FY15RevToColl!Q55</f>
        <v>0</v>
      </c>
      <c r="R55" s="457">
        <f>+FY16ProjRevToColl0!R55-FY15RevToColl!R55</f>
        <v>0</v>
      </c>
      <c r="S55" s="457">
        <f>+FY16ProjRevToColl0!S55-FY15RevToColl!S55</f>
        <v>0</v>
      </c>
      <c r="T55" s="457">
        <f t="shared" si="6"/>
        <v>-9204.9368366562994</v>
      </c>
    </row>
    <row r="56" spans="1:20" s="18" customFormat="1" ht="20.100000000000001" customHeight="1">
      <c r="A56" s="404" t="s">
        <v>130</v>
      </c>
      <c r="B56" s="440" t="s">
        <v>37</v>
      </c>
      <c r="C56" s="410">
        <f>+FY16ProjRevToColl0!C56-FY15RevToColl!C56</f>
        <v>37.938521169992327</v>
      </c>
      <c r="D56" s="410">
        <f>+FY16ProjRevToColl0!D56-FY15RevToColl!D56</f>
        <v>986.40155041980324</v>
      </c>
      <c r="E56" s="410">
        <f>+FY16ProjRevToColl0!E56-FY15RevToColl!E56</f>
        <v>265.56964818994675</v>
      </c>
      <c r="F56" s="410">
        <f>+FY16ProjRevToColl0!F56-FY15RevToColl!F56</f>
        <v>227.63112701995487</v>
      </c>
      <c r="G56" s="410">
        <f>+FY16ProjRevToColl0!G56-FY15RevToColl!G56</f>
        <v>113436.17829827685</v>
      </c>
      <c r="H56" s="410">
        <f>+FY16ProjRevToColl0!H56-FY15RevToColl!H56</f>
        <v>75.877042339984655</v>
      </c>
      <c r="I56" s="410">
        <f>+FY16ProjRevToColl0!I56-FY15RevToColl!I56</f>
        <v>0</v>
      </c>
      <c r="J56" s="410">
        <f>+FY16ProjRevToColl0!J56-FY15RevToColl!J56</f>
        <v>341.44669052993413</v>
      </c>
      <c r="K56" s="410">
        <f>+FY16ProjRevToColl0!K56-FY15RevToColl!K56</f>
        <v>0</v>
      </c>
      <c r="L56" s="410">
        <f>+FY16ProjRevToColl0!L56-FY15RevToColl!L56</f>
        <v>0</v>
      </c>
      <c r="M56" s="410">
        <f>+FY16ProjRevToColl0!M56-FY15RevToColl!M56</f>
        <v>0</v>
      </c>
      <c r="N56" s="410">
        <f>+FY16ProjRevToColl0!N56-FY15RevToColl!N56</f>
        <v>1745.1719738196407</v>
      </c>
      <c r="O56" s="410">
        <f>+FY16ProjRevToColl0!O56-FY15RevToColl!O56</f>
        <v>7398.0116281484952</v>
      </c>
      <c r="P56" s="410">
        <f>+FY16ProjRevToColl0!P56-FY15RevToColl!P56</f>
        <v>0</v>
      </c>
      <c r="Q56" s="410">
        <f>+FY16ProjRevToColl0!Q56-FY15RevToColl!Q56</f>
        <v>1517.540846799704</v>
      </c>
      <c r="R56" s="410">
        <f>+FY16ProjRevToColl0!R56-FY15RevToColl!R56</f>
        <v>0</v>
      </c>
      <c r="S56" s="410">
        <f>+FY16ProjRevToColl0!S56-FY15RevToColl!S56</f>
        <v>1100.2171139297789</v>
      </c>
      <c r="T56" s="410">
        <f t="shared" si="6"/>
        <v>127131.9844406441</v>
      </c>
    </row>
    <row r="57" spans="1:20" ht="20.100000000000001" customHeight="1">
      <c r="A57" s="404" t="s">
        <v>131</v>
      </c>
      <c r="B57" s="456" t="s">
        <v>141</v>
      </c>
      <c r="C57" s="457">
        <f>+FY16ProjRevToColl0!C57-FY15RevToColl!C57</f>
        <v>0</v>
      </c>
      <c r="D57" s="457">
        <f>+FY16ProjRevToColl0!D57-FY15RevToColl!D57</f>
        <v>-229.69685720546113</v>
      </c>
      <c r="E57" s="457">
        <f>+FY16ProjRevToColl0!E57-FY15RevToColl!E57</f>
        <v>0</v>
      </c>
      <c r="F57" s="457">
        <f>+FY16ProjRevToColl0!F57-FY15RevToColl!F57</f>
        <v>0</v>
      </c>
      <c r="G57" s="457">
        <f>+FY16ProjRevToColl0!G57-FY15RevToColl!G57</f>
        <v>0</v>
      </c>
      <c r="H57" s="457">
        <f>+FY16ProjRevToColl0!H57-FY15RevToColl!H57</f>
        <v>-12734.393763470463</v>
      </c>
      <c r="I57" s="457">
        <f>+FY16ProjRevToColl0!I57-FY15RevToColl!I57</f>
        <v>0</v>
      </c>
      <c r="J57" s="457">
        <f>+FY16ProjRevToColl0!J57-FY15RevToColl!J57</f>
        <v>0</v>
      </c>
      <c r="K57" s="457">
        <f>+FY16ProjRevToColl0!K57-FY15RevToColl!K57</f>
        <v>0</v>
      </c>
      <c r="L57" s="457">
        <f>+FY16ProjRevToColl0!L57-FY15RevToColl!L57</f>
        <v>0</v>
      </c>
      <c r="M57" s="457">
        <f>+FY16ProjRevToColl0!M57-FY15RevToColl!M57</f>
        <v>0</v>
      </c>
      <c r="N57" s="457">
        <f>+FY16ProjRevToColl0!N57-FY15RevToColl!N57</f>
        <v>0</v>
      </c>
      <c r="O57" s="457">
        <f>+FY16ProjRevToColl0!O57-FY15RevToColl!O57</f>
        <v>0</v>
      </c>
      <c r="P57" s="457">
        <f>+FY16ProjRevToColl0!P57-FY15RevToColl!P57</f>
        <v>0</v>
      </c>
      <c r="Q57" s="457">
        <f>+FY16ProjRevToColl0!Q57-FY15RevToColl!Q57</f>
        <v>0</v>
      </c>
      <c r="R57" s="457">
        <f>+FY16ProjRevToColl0!R57-FY15RevToColl!R57</f>
        <v>0</v>
      </c>
      <c r="S57" s="457">
        <f>+FY16ProjRevToColl0!S57-FY15RevToColl!S57</f>
        <v>0</v>
      </c>
      <c r="T57" s="457">
        <f t="shared" si="6"/>
        <v>-12964.090620675925</v>
      </c>
    </row>
    <row r="58" spans="1:20" s="18" customFormat="1" ht="20.100000000000001" customHeight="1">
      <c r="A58" s="404" t="s">
        <v>132</v>
      </c>
      <c r="B58" s="440" t="s">
        <v>206</v>
      </c>
      <c r="C58" s="410">
        <f>+FY16ProjRevToColl0!C58-FY15RevToColl!C58</f>
        <v>0</v>
      </c>
      <c r="D58" s="410">
        <f>+FY16ProjRevToColl0!D58-FY15RevToColl!D58</f>
        <v>118.7807275065361</v>
      </c>
      <c r="E58" s="410">
        <f>+FY16ProjRevToColl0!E58-FY15RevToColl!E58</f>
        <v>0</v>
      </c>
      <c r="F58" s="410">
        <f>+FY16ProjRevToColl0!F58-FY15RevToColl!F58</f>
        <v>68615.666922942735</v>
      </c>
      <c r="G58" s="410">
        <f>+FY16ProjRevToColl0!G58-FY15RevToColl!G58</f>
        <v>0</v>
      </c>
      <c r="H58" s="410">
        <f>+FY16ProjRevToColl0!H58-FY15RevToColl!H58</f>
        <v>0</v>
      </c>
      <c r="I58" s="410">
        <f>+FY16ProjRevToColl0!I58-FY15RevToColl!I58</f>
        <v>0</v>
      </c>
      <c r="J58" s="410">
        <f>+FY16ProjRevToColl0!J58-FY15RevToColl!J58</f>
        <v>0</v>
      </c>
      <c r="K58" s="410">
        <f>+FY16ProjRevToColl0!K58-FY15RevToColl!K58</f>
        <v>0</v>
      </c>
      <c r="L58" s="410">
        <f>+FY16ProjRevToColl0!L58-FY15RevToColl!L58</f>
        <v>0</v>
      </c>
      <c r="M58" s="410">
        <f>+FY16ProjRevToColl0!M58-FY15RevToColl!M58</f>
        <v>0</v>
      </c>
      <c r="N58" s="410">
        <f>+FY16ProjRevToColl0!N58-FY15RevToColl!N58</f>
        <v>0</v>
      </c>
      <c r="O58" s="410">
        <f>+FY16ProjRevToColl0!O58-FY15RevToColl!O58</f>
        <v>0</v>
      </c>
      <c r="P58" s="410">
        <f>+FY16ProjRevToColl0!P58-FY15RevToColl!P58</f>
        <v>0</v>
      </c>
      <c r="Q58" s="410">
        <f>+FY16ProjRevToColl0!Q58-FY15RevToColl!Q58</f>
        <v>0</v>
      </c>
      <c r="R58" s="410">
        <f>+FY16ProjRevToColl0!R58-FY15RevToColl!R58</f>
        <v>0</v>
      </c>
      <c r="S58" s="410">
        <f>+FY16ProjRevToColl0!S58-FY15RevToColl!S58</f>
        <v>0</v>
      </c>
      <c r="T58" s="410">
        <f t="shared" si="6"/>
        <v>68734.447650449278</v>
      </c>
    </row>
    <row r="59" spans="1:20" ht="20.100000000000001" customHeight="1">
      <c r="A59" s="404" t="s">
        <v>134</v>
      </c>
      <c r="B59" s="456" t="s">
        <v>40</v>
      </c>
      <c r="C59" s="457">
        <f>+FY16ProjRevToColl0!C59-FY15RevToColl!C59</f>
        <v>0</v>
      </c>
      <c r="D59" s="457">
        <f>+FY16ProjRevToColl0!D59-FY15RevToColl!D59</f>
        <v>0</v>
      </c>
      <c r="E59" s="457">
        <f>+FY16ProjRevToColl0!E59-FY15RevToColl!E59</f>
        <v>0</v>
      </c>
      <c r="F59" s="457">
        <f>+FY16ProjRevToColl0!F59-FY15RevToColl!F59</f>
        <v>0</v>
      </c>
      <c r="G59" s="457">
        <f>+FY16ProjRevToColl0!G59-FY15RevToColl!G59</f>
        <v>0</v>
      </c>
      <c r="H59" s="457">
        <f>+FY16ProjRevToColl0!H59-FY15RevToColl!H59</f>
        <v>0</v>
      </c>
      <c r="I59" s="457">
        <f>+FY16ProjRevToColl0!I59-FY15RevToColl!I59</f>
        <v>72.837289617332317</v>
      </c>
      <c r="J59" s="457">
        <f>+FY16ProjRevToColl0!J59-FY15RevToColl!J59</f>
        <v>0</v>
      </c>
      <c r="K59" s="457">
        <f>+FY16ProjRevToColl0!K59-FY15RevToColl!K59</f>
        <v>0</v>
      </c>
      <c r="L59" s="457">
        <f>+FY16ProjRevToColl0!L59-FY15RevToColl!L59</f>
        <v>0</v>
      </c>
      <c r="M59" s="457">
        <f>+FY16ProjRevToColl0!M59-FY15RevToColl!M59</f>
        <v>0</v>
      </c>
      <c r="N59" s="457">
        <f>+FY16ProjRevToColl0!N59-FY15RevToColl!N59</f>
        <v>0</v>
      </c>
      <c r="O59" s="457">
        <f>+FY16ProjRevToColl0!O59-FY15RevToColl!O59</f>
        <v>0</v>
      </c>
      <c r="P59" s="457">
        <f>+FY16ProjRevToColl0!P59-FY15RevToColl!P59</f>
        <v>0</v>
      </c>
      <c r="Q59" s="457">
        <f>+FY16ProjRevToColl0!Q59-FY15RevToColl!Q59</f>
        <v>0</v>
      </c>
      <c r="R59" s="457">
        <f>+FY16ProjRevToColl0!R59-FY15RevToColl!R59</f>
        <v>0</v>
      </c>
      <c r="S59" s="457">
        <f>+FY16ProjRevToColl0!S59-FY15RevToColl!S59</f>
        <v>0</v>
      </c>
      <c r="T59" s="457">
        <f t="shared" si="6"/>
        <v>72.837289617332317</v>
      </c>
    </row>
    <row r="60" spans="1:20" s="18" customFormat="1" ht="20.100000000000001" customHeight="1">
      <c r="A60" s="404" t="s">
        <v>135</v>
      </c>
      <c r="B60" s="440" t="s">
        <v>70</v>
      </c>
      <c r="C60" s="410">
        <f>+FY16ProjRevToColl0!C60-FY15RevToColl!C60</f>
        <v>0</v>
      </c>
      <c r="D60" s="410">
        <f>+FY16ProjRevToColl0!D60-FY15RevToColl!D60</f>
        <v>0</v>
      </c>
      <c r="E60" s="410">
        <f>+FY16ProjRevToColl0!E60-FY15RevToColl!E60</f>
        <v>0</v>
      </c>
      <c r="F60" s="410">
        <f>+FY16ProjRevToColl0!F60-FY15RevToColl!F60</f>
        <v>172.56802634732776</v>
      </c>
      <c r="G60" s="410">
        <f>+FY16ProjRevToColl0!G60-FY15RevToColl!G60</f>
        <v>0</v>
      </c>
      <c r="H60" s="410">
        <f>+FY16ProjRevToColl0!H60-FY15RevToColl!H60</f>
        <v>0</v>
      </c>
      <c r="I60" s="410">
        <f>+FY16ProjRevToColl0!I60-FY15RevToColl!I60</f>
        <v>0</v>
      </c>
      <c r="J60" s="410">
        <f>+FY16ProjRevToColl0!J60-FY15RevToColl!J60</f>
        <v>0</v>
      </c>
      <c r="K60" s="410">
        <f>+FY16ProjRevToColl0!K60-FY15RevToColl!K60</f>
        <v>0</v>
      </c>
      <c r="L60" s="410">
        <f>+FY16ProjRevToColl0!L60-FY15RevToColl!L60</f>
        <v>44925.209525753744</v>
      </c>
      <c r="M60" s="410">
        <f>+FY16ProjRevToColl0!M60-FY15RevToColl!M60</f>
        <v>0</v>
      </c>
      <c r="N60" s="410">
        <f>+FY16ProjRevToColl0!N60-FY15RevToColl!N60</f>
        <v>230.09070179643459</v>
      </c>
      <c r="O60" s="410">
        <f>+FY16ProjRevToColl0!O60-FY15RevToColl!O60</f>
        <v>0</v>
      </c>
      <c r="P60" s="410">
        <f>+FY16ProjRevToColl0!P60-FY15RevToColl!P60</f>
        <v>0</v>
      </c>
      <c r="Q60" s="410">
        <f>+FY16ProjRevToColl0!Q60-FY15RevToColl!Q60</f>
        <v>1438.0668862277234</v>
      </c>
      <c r="R60" s="410">
        <f>+FY16ProjRevToColl0!R60-FY15RevToColl!R60</f>
        <v>0</v>
      </c>
      <c r="S60" s="410">
        <f>+FY16ProjRevToColl0!S60-FY15RevToColl!S60</f>
        <v>345.13605269465552</v>
      </c>
      <c r="T60" s="410">
        <f t="shared" si="6"/>
        <v>47111.071192819887</v>
      </c>
    </row>
    <row r="61" spans="1:20" ht="20.100000000000001" customHeight="1">
      <c r="A61" s="404" t="s">
        <v>136</v>
      </c>
      <c r="B61" s="456" t="s">
        <v>144</v>
      </c>
      <c r="C61" s="457">
        <f>+FY16ProjRevToColl0!C61-FY15RevToColl!C61</f>
        <v>0</v>
      </c>
      <c r="D61" s="457">
        <f>+FY16ProjRevToColl0!D61-FY15RevToColl!D61</f>
        <v>0</v>
      </c>
      <c r="E61" s="457">
        <f>+FY16ProjRevToColl0!E61-FY15RevToColl!E61</f>
        <v>0</v>
      </c>
      <c r="F61" s="457">
        <f>+FY16ProjRevToColl0!F61-FY15RevToColl!F61</f>
        <v>0</v>
      </c>
      <c r="G61" s="457">
        <f>+FY16ProjRevToColl0!G61-FY15RevToColl!G61</f>
        <v>0</v>
      </c>
      <c r="H61" s="457">
        <f>+FY16ProjRevToColl0!H61-FY15RevToColl!H61</f>
        <v>0</v>
      </c>
      <c r="I61" s="457">
        <f>+FY16ProjRevToColl0!I61-FY15RevToColl!I61</f>
        <v>0</v>
      </c>
      <c r="J61" s="457">
        <f>+FY16ProjRevToColl0!J61-FY15RevToColl!J61</f>
        <v>0</v>
      </c>
      <c r="K61" s="457">
        <f>+FY16ProjRevToColl0!K61-FY15RevToColl!K61</f>
        <v>0</v>
      </c>
      <c r="L61" s="457">
        <f>+FY16ProjRevToColl0!L61-FY15RevToColl!L61</f>
        <v>0</v>
      </c>
      <c r="M61" s="457">
        <f>+FY16ProjRevToColl0!M61-FY15RevToColl!M61</f>
        <v>0</v>
      </c>
      <c r="N61" s="457">
        <f>+FY16ProjRevToColl0!N61-FY15RevToColl!N61</f>
        <v>659.55167983561478</v>
      </c>
      <c r="O61" s="457">
        <f>+FY16ProjRevToColl0!O61-FY15RevToColl!O61</f>
        <v>0</v>
      </c>
      <c r="P61" s="457">
        <f>+FY16ProjRevToColl0!P61-FY15RevToColl!P61</f>
        <v>0</v>
      </c>
      <c r="Q61" s="457">
        <f>+FY16ProjRevToColl0!Q61-FY15RevToColl!Q61</f>
        <v>65735.31742361607</v>
      </c>
      <c r="R61" s="457">
        <f>+FY16ProjRevToColl0!R61-FY15RevToColl!R61</f>
        <v>0</v>
      </c>
      <c r="S61" s="457">
        <f>+FY16ProjRevToColl0!S61-FY15RevToColl!S61</f>
        <v>0</v>
      </c>
      <c r="T61" s="457">
        <f t="shared" si="6"/>
        <v>66394.869103451681</v>
      </c>
    </row>
    <row r="62" spans="1:20" s="18" customFormat="1" ht="20.100000000000001" customHeight="1">
      <c r="A62" s="404" t="s">
        <v>137</v>
      </c>
      <c r="B62" s="440" t="s">
        <v>49</v>
      </c>
      <c r="C62" s="410">
        <f>+FY16ProjRevToColl0!C62-FY15RevToColl!C62</f>
        <v>45.643990915013546</v>
      </c>
      <c r="D62" s="410">
        <f>+FY16ProjRevToColl0!D62-FY15RevToColl!D62</f>
        <v>821.59183647024111</v>
      </c>
      <c r="E62" s="410">
        <f>+FY16ProjRevToColl0!E62-FY15RevToColl!E62</f>
        <v>0</v>
      </c>
      <c r="F62" s="410">
        <f>+FY16ProjRevToColl0!F62-FY15RevToColl!F62</f>
        <v>0</v>
      </c>
      <c r="G62" s="410">
        <f>+FY16ProjRevToColl0!G62-FY15RevToColl!G62</f>
        <v>136.93197274504018</v>
      </c>
      <c r="H62" s="410">
        <f>+FY16ProjRevToColl0!H62-FY15RevToColl!H62</f>
        <v>0</v>
      </c>
      <c r="I62" s="410">
        <f>+FY16ProjRevToColl0!I62-FY15RevToColl!I62</f>
        <v>0</v>
      </c>
      <c r="J62" s="410">
        <f>+FY16ProjRevToColl0!J62-FY15RevToColl!J62</f>
        <v>0</v>
      </c>
      <c r="K62" s="410">
        <f>+FY16ProjRevToColl0!K62-FY15RevToColl!K62</f>
        <v>0</v>
      </c>
      <c r="L62" s="410">
        <f>+FY16ProjRevToColl0!L62-FY15RevToColl!L62</f>
        <v>410.79591823512055</v>
      </c>
      <c r="M62" s="410">
        <f>+FY16ProjRevToColl0!M62-FY15RevToColl!M62</f>
        <v>45.643990915013546</v>
      </c>
      <c r="N62" s="410">
        <f>+FY16ProjRevToColl0!N62-FY15RevToColl!N62</f>
        <v>6390.1587281018728</v>
      </c>
      <c r="O62" s="410">
        <f>+FY16ProjRevToColl0!O62-FY15RevToColl!O62</f>
        <v>45.643990915013546</v>
      </c>
      <c r="P62" s="410">
        <f>+FY16ProjRevToColl0!P62-FY15RevToColl!P62</f>
        <v>0</v>
      </c>
      <c r="Q62" s="410">
        <f>+FY16ProjRevToColl0!Q62-FY15RevToColl!Q62</f>
        <v>18668.392284240574</v>
      </c>
      <c r="R62" s="410">
        <f>+FY16ProjRevToColl0!R62-FY15RevToColl!R62</f>
        <v>0</v>
      </c>
      <c r="S62" s="410">
        <f>+FY16ProjRevToColl0!S62-FY15RevToColl!S62</f>
        <v>0</v>
      </c>
      <c r="T62" s="410">
        <f t="shared" si="6"/>
        <v>26564.802712537887</v>
      </c>
    </row>
    <row r="63" spans="1:20" ht="20.100000000000001" customHeight="1">
      <c r="A63" s="553" t="s">
        <v>145</v>
      </c>
      <c r="B63" s="456" t="s">
        <v>207</v>
      </c>
      <c r="C63" s="457">
        <f>+FY16ProjRevToColl0!C63-FY15RevToColl!C63</f>
        <v>-45014.399080616422</v>
      </c>
      <c r="D63" s="457">
        <f>+FY16ProjRevToColl0!D63-FY15RevToColl!D63</f>
        <v>0</v>
      </c>
      <c r="E63" s="457">
        <f>+FY16ProjRevToColl0!E63-FY15RevToColl!E63</f>
        <v>0</v>
      </c>
      <c r="F63" s="457">
        <f>+FY16ProjRevToColl0!F63-FY15RevToColl!F63</f>
        <v>0</v>
      </c>
      <c r="G63" s="457">
        <f>+FY16ProjRevToColl0!G63-FY15RevToColl!G63</f>
        <v>-126.68217377284054</v>
      </c>
      <c r="H63" s="457">
        <f>+FY16ProjRevToColl0!H63-FY15RevToColl!H63</f>
        <v>0</v>
      </c>
      <c r="I63" s="457">
        <f>+FY16ProjRevToColl0!I63-FY15RevToColl!I63</f>
        <v>0</v>
      </c>
      <c r="J63" s="457">
        <f>+FY16ProjRevToColl0!J63-FY15RevToColl!J63</f>
        <v>0</v>
      </c>
      <c r="K63" s="457">
        <f>+FY16ProjRevToColl0!K63-FY15RevToColl!K63</f>
        <v>0</v>
      </c>
      <c r="L63" s="457">
        <f>+FY16ProjRevToColl0!L63-FY15RevToColl!L63</f>
        <v>0</v>
      </c>
      <c r="M63" s="457">
        <f>+FY16ProjRevToColl0!M63-FY15RevToColl!M63</f>
        <v>0</v>
      </c>
      <c r="N63" s="457">
        <f>+FY16ProjRevToColl0!N63-FY15RevToColl!N63</f>
        <v>0</v>
      </c>
      <c r="O63" s="457">
        <f>+FY16ProjRevToColl0!O63-FY15RevToColl!O63</f>
        <v>0</v>
      </c>
      <c r="P63" s="457">
        <f>+FY16ProjRevToColl0!P63-FY15RevToColl!P63</f>
        <v>0</v>
      </c>
      <c r="Q63" s="457">
        <f>+FY16ProjRevToColl0!Q63-FY15RevToColl!Q63</f>
        <v>0</v>
      </c>
      <c r="R63" s="457">
        <f>+FY16ProjRevToColl0!R63-FY15RevToColl!R63</f>
        <v>0</v>
      </c>
      <c r="S63" s="457">
        <f>+FY16ProjRevToColl0!S63-FY15RevToColl!S63</f>
        <v>0</v>
      </c>
      <c r="T63" s="457">
        <f t="shared" si="6"/>
        <v>-45141.081254389261</v>
      </c>
    </row>
    <row r="64" spans="1:20" s="18" customFormat="1" ht="20.100000000000001" customHeight="1">
      <c r="A64" s="404" t="s">
        <v>147</v>
      </c>
      <c r="B64" s="440" t="s">
        <v>208</v>
      </c>
      <c r="C64" s="410">
        <f>+FY16ProjRevToColl0!C64-FY15RevToColl!C64</f>
        <v>0</v>
      </c>
      <c r="D64" s="410">
        <f>+FY16ProjRevToColl0!D64-FY15RevToColl!D64</f>
        <v>0</v>
      </c>
      <c r="E64" s="410">
        <f>+FY16ProjRevToColl0!E64-FY15RevToColl!E64</f>
        <v>0</v>
      </c>
      <c r="F64" s="410">
        <f>+FY16ProjRevToColl0!F64-FY15RevToColl!F64</f>
        <v>0</v>
      </c>
      <c r="G64" s="410">
        <f>+FY16ProjRevToColl0!G64-FY15RevToColl!G64</f>
        <v>18234.459714219789</v>
      </c>
      <c r="H64" s="410">
        <f>+FY16ProjRevToColl0!H64-FY15RevToColl!H64</f>
        <v>210.39761208715208</v>
      </c>
      <c r="I64" s="410">
        <f>+FY16ProjRevToColl0!I64-FY15RevToColl!I64</f>
        <v>0</v>
      </c>
      <c r="J64" s="410">
        <f>+FY16ProjRevToColl0!J64-FY15RevToColl!J64</f>
        <v>0</v>
      </c>
      <c r="K64" s="410">
        <f>+FY16ProjRevToColl0!K64-FY15RevToColl!K64</f>
        <v>0</v>
      </c>
      <c r="L64" s="410">
        <f>+FY16ProjRevToColl0!L64-FY15RevToColl!L64</f>
        <v>0</v>
      </c>
      <c r="M64" s="410">
        <f>+FY16ProjRevToColl0!M64-FY15RevToColl!M64</f>
        <v>0</v>
      </c>
      <c r="N64" s="410">
        <f>+FY16ProjRevToColl0!N64-FY15RevToColl!N64</f>
        <v>0</v>
      </c>
      <c r="O64" s="410">
        <f>+FY16ProjRevToColl0!O64-FY15RevToColl!O64</f>
        <v>0</v>
      </c>
      <c r="P64" s="410">
        <f>+FY16ProjRevToColl0!P64-FY15RevToColl!P64</f>
        <v>0</v>
      </c>
      <c r="Q64" s="410">
        <f>+FY16ProjRevToColl0!Q64-FY15RevToColl!Q64</f>
        <v>0</v>
      </c>
      <c r="R64" s="410">
        <f>+FY16ProjRevToColl0!R64-FY15RevToColl!R64</f>
        <v>0</v>
      </c>
      <c r="S64" s="410">
        <f>+FY16ProjRevToColl0!S64-FY15RevToColl!S64</f>
        <v>0</v>
      </c>
      <c r="T64" s="410">
        <f t="shared" si="6"/>
        <v>18444.857326306941</v>
      </c>
    </row>
    <row r="65" spans="1:20" ht="20.100000000000001" customHeight="1">
      <c r="A65" s="404" t="s">
        <v>148</v>
      </c>
      <c r="B65" s="456" t="s">
        <v>39</v>
      </c>
      <c r="C65" s="457">
        <f>+FY16ProjRevToColl0!C65-FY15RevToColl!C65</f>
        <v>1040.570989879343</v>
      </c>
      <c r="D65" s="457">
        <f>+FY16ProjRevToColl0!D65-FY15RevToColl!D65</f>
        <v>2509.6123873560573</v>
      </c>
      <c r="E65" s="457">
        <f>+FY16ProjRevToColl0!E65-FY15RevToColl!E65</f>
        <v>0</v>
      </c>
      <c r="F65" s="457">
        <f>+FY16ProjRevToColl0!F65-FY15RevToColl!F65</f>
        <v>0</v>
      </c>
      <c r="G65" s="457">
        <f>+FY16ProjRevToColl0!G65-FY15RevToColl!G65</f>
        <v>0</v>
      </c>
      <c r="H65" s="457">
        <f>+FY16ProjRevToColl0!H65-FY15RevToColl!H65</f>
        <v>1652.6715721613145</v>
      </c>
      <c r="I65" s="457">
        <f>+FY16ProjRevToColl0!I65-FY15RevToColl!I65</f>
        <v>183.63017468458929</v>
      </c>
      <c r="J65" s="457">
        <f>+FY16ProjRevToColl0!J65-FY15RevToColl!J65</f>
        <v>183.63017468458929</v>
      </c>
      <c r="K65" s="457">
        <f>+FY16ProjRevToColl0!K65-FY15RevToColl!K65</f>
        <v>61087.638111740351</v>
      </c>
      <c r="L65" s="457">
        <f>+FY16ProjRevToColl0!L65-FY15RevToColl!L65</f>
        <v>428.47040759737502</v>
      </c>
      <c r="M65" s="457">
        <f>+FY16ProjRevToColl0!M65-FY15RevToColl!M65</f>
        <v>0</v>
      </c>
      <c r="N65" s="457">
        <f>+FY16ProjRevToColl0!N65-FY15RevToColl!N65</f>
        <v>0</v>
      </c>
      <c r="O65" s="457">
        <f>+FY16ProjRevToColl0!O65-FY15RevToColl!O65</f>
        <v>0</v>
      </c>
      <c r="P65" s="457">
        <f>+FY16ProjRevToColl0!P65-FY15RevToColl!P65</f>
        <v>0</v>
      </c>
      <c r="Q65" s="457">
        <f>+FY16ProjRevToColl0!Q65-FY15RevToColl!Q65</f>
        <v>1346.6212810203288</v>
      </c>
      <c r="R65" s="457">
        <f>+FY16ProjRevToColl0!R65-FY15RevToColl!R65</f>
        <v>0</v>
      </c>
      <c r="S65" s="457">
        <f>+FY16ProjRevToColl0!S65-FY15RevToColl!S65</f>
        <v>0</v>
      </c>
      <c r="T65" s="457">
        <f t="shared" si="6"/>
        <v>68432.845099123937</v>
      </c>
    </row>
    <row r="66" spans="1:20" s="18" customFormat="1" ht="20.100000000000001" customHeight="1">
      <c r="A66" s="404" t="s">
        <v>149</v>
      </c>
      <c r="B66" s="440" t="s">
        <v>38</v>
      </c>
      <c r="C66" s="410">
        <f>+FY16ProjRevToColl0!C66-FY15RevToColl!C66</f>
        <v>0</v>
      </c>
      <c r="D66" s="410">
        <f>+FY16ProjRevToColl0!D66-FY15RevToColl!D66</f>
        <v>749.88306147769981</v>
      </c>
      <c r="E66" s="410">
        <f>+FY16ProjRevToColl0!E66-FY15RevToColl!E66</f>
        <v>110232.81003722176</v>
      </c>
      <c r="F66" s="410">
        <f>+FY16ProjRevToColl0!F66-FY15RevToColl!F66</f>
        <v>0</v>
      </c>
      <c r="G66" s="410">
        <f>+FY16ProjRevToColl0!G66-FY15RevToColl!G66</f>
        <v>299.95322459107956</v>
      </c>
      <c r="H66" s="410">
        <f>+FY16ProjRevToColl0!H66-FY15RevToColl!H66</f>
        <v>0</v>
      </c>
      <c r="I66" s="410">
        <f>+FY16ProjRevToColl0!I66-FY15RevToColl!I66</f>
        <v>0</v>
      </c>
      <c r="J66" s="410">
        <f>+FY16ProjRevToColl0!J66-FY15RevToColl!J66</f>
        <v>299.95322459107956</v>
      </c>
      <c r="K66" s="410">
        <f>+FY16ProjRevToColl0!K66-FY15RevToColl!K66</f>
        <v>0</v>
      </c>
      <c r="L66" s="410">
        <f>+FY16ProjRevToColl0!L66-FY15RevToColl!L66</f>
        <v>0</v>
      </c>
      <c r="M66" s="410">
        <f>+FY16ProjRevToColl0!M66-FY15RevToColl!M66</f>
        <v>0</v>
      </c>
      <c r="N66" s="410">
        <f>+FY16ProjRevToColl0!N66-FY15RevToColl!N66</f>
        <v>299.95322459107956</v>
      </c>
      <c r="O66" s="410">
        <f>+FY16ProjRevToColl0!O66-FY15RevToColl!O66</f>
        <v>0</v>
      </c>
      <c r="P66" s="410">
        <f>+FY16ProjRevToColl0!P66-FY15RevToColl!P66</f>
        <v>299.95322459107956</v>
      </c>
      <c r="Q66" s="410">
        <f>+FY16ProjRevToColl0!Q66-FY15RevToColl!Q66</f>
        <v>899.85967377323686</v>
      </c>
      <c r="R66" s="410">
        <f>+FY16ProjRevToColl0!R66-FY15RevToColl!R66</f>
        <v>0</v>
      </c>
      <c r="S66" s="410">
        <f>+FY16ProjRevToColl0!S66-FY15RevToColl!S66</f>
        <v>0</v>
      </c>
      <c r="T66" s="410">
        <f t="shared" si="6"/>
        <v>113082.36567083703</v>
      </c>
    </row>
    <row r="67" spans="1:20" ht="20.100000000000001" customHeight="1">
      <c r="A67" s="404" t="s">
        <v>150</v>
      </c>
      <c r="B67" s="456" t="s">
        <v>31</v>
      </c>
      <c r="C67" s="457">
        <f>+FY16ProjRevToColl0!C67-FY15RevToColl!C67</f>
        <v>0</v>
      </c>
      <c r="D67" s="457">
        <f>+FY16ProjRevToColl0!D67-FY15RevToColl!D67</f>
        <v>-528.19343096295779</v>
      </c>
      <c r="E67" s="457">
        <f>+FY16ProjRevToColl0!E67-FY15RevToColl!E67</f>
        <v>-352.12895397530519</v>
      </c>
      <c r="F67" s="457">
        <f>+FY16ProjRevToColl0!F67-FY15RevToColl!F67</f>
        <v>-440.16119246913513</v>
      </c>
      <c r="G67" s="457">
        <f>+FY16ProjRevToColl0!G67-FY15RevToColl!G67</f>
        <v>-264.0967154814789</v>
      </c>
      <c r="H67" s="457">
        <f>+FY16ProjRevToColl0!H67-FY15RevToColl!H67</f>
        <v>-264.0967154814789</v>
      </c>
      <c r="I67" s="457">
        <f>+FY16ProjRevToColl0!I67-FY15RevToColl!I67</f>
        <v>-264.0967154814789</v>
      </c>
      <c r="J67" s="457">
        <f>+FY16ProjRevToColl0!J67-FY15RevToColl!J67</f>
        <v>-135569.64728049282</v>
      </c>
      <c r="K67" s="457">
        <f>+FY16ProjRevToColl0!K67-FY15RevToColl!K67</f>
        <v>-264.0967154814789</v>
      </c>
      <c r="L67" s="457">
        <f>+FY16ProjRevToColl0!L67-FY15RevToColl!L67</f>
        <v>0</v>
      </c>
      <c r="M67" s="457">
        <f>+FY16ProjRevToColl0!M67-FY15RevToColl!M67</f>
        <v>0</v>
      </c>
      <c r="N67" s="457">
        <f>+FY16ProjRevToColl0!N67-FY15RevToColl!N67</f>
        <v>0</v>
      </c>
      <c r="O67" s="457">
        <f>+FY16ProjRevToColl0!O67-FY15RevToColl!O67</f>
        <v>0</v>
      </c>
      <c r="P67" s="457">
        <f>+FY16ProjRevToColl0!P67-FY15RevToColl!P67</f>
        <v>0</v>
      </c>
      <c r="Q67" s="457">
        <f>+FY16ProjRevToColl0!Q67-FY15RevToColl!Q67</f>
        <v>-264.0967154814789</v>
      </c>
      <c r="R67" s="457">
        <f>+FY16ProjRevToColl0!R67-FY15RevToColl!R67</f>
        <v>0</v>
      </c>
      <c r="S67" s="457">
        <f>+FY16ProjRevToColl0!S67-FY15RevToColl!S67</f>
        <v>0</v>
      </c>
      <c r="T67" s="457">
        <f t="shared" si="6"/>
        <v>-138210.61443530762</v>
      </c>
    </row>
    <row r="68" spans="1:20" s="18" customFormat="1" ht="20.100000000000001" customHeight="1">
      <c r="A68" s="404" t="s">
        <v>151</v>
      </c>
      <c r="B68" s="440" t="s">
        <v>209</v>
      </c>
      <c r="C68" s="410">
        <f>+FY16ProjRevToColl0!C68-FY15RevToColl!C68</f>
        <v>0</v>
      </c>
      <c r="D68" s="410">
        <f>+FY16ProjRevToColl0!D68-FY15RevToColl!D68</f>
        <v>0</v>
      </c>
      <c r="E68" s="410">
        <f>+FY16ProjRevToColl0!E68-FY15RevToColl!E68</f>
        <v>0</v>
      </c>
      <c r="F68" s="410">
        <f>+FY16ProjRevToColl0!F68-FY15RevToColl!F68</f>
        <v>0</v>
      </c>
      <c r="G68" s="410">
        <f>+FY16ProjRevToColl0!G68-FY15RevToColl!G68</f>
        <v>0</v>
      </c>
      <c r="H68" s="410">
        <f>+FY16ProjRevToColl0!H68-FY15RevToColl!H68</f>
        <v>0</v>
      </c>
      <c r="I68" s="410">
        <f>+FY16ProjRevToColl0!I68-FY15RevToColl!I68</f>
        <v>0</v>
      </c>
      <c r="J68" s="410">
        <f>+FY16ProjRevToColl0!J68-FY15RevToColl!J68</f>
        <v>23405.148847375414</v>
      </c>
      <c r="K68" s="410">
        <f>+FY16ProjRevToColl0!K68-FY15RevToColl!K68</f>
        <v>0</v>
      </c>
      <c r="L68" s="410">
        <f>+FY16ProjRevToColl0!L68-FY15RevToColl!L68</f>
        <v>0</v>
      </c>
      <c r="M68" s="410">
        <f>+FY16ProjRevToColl0!M68-FY15RevToColl!M68</f>
        <v>0</v>
      </c>
      <c r="N68" s="410">
        <f>+FY16ProjRevToColl0!N68-FY15RevToColl!N68</f>
        <v>0</v>
      </c>
      <c r="O68" s="410">
        <f>+FY16ProjRevToColl0!O68-FY15RevToColl!O68</f>
        <v>0</v>
      </c>
      <c r="P68" s="410">
        <f>+FY16ProjRevToColl0!P68-FY15RevToColl!P68</f>
        <v>0</v>
      </c>
      <c r="Q68" s="410">
        <f>+FY16ProjRevToColl0!Q68-FY15RevToColl!Q68</f>
        <v>0</v>
      </c>
      <c r="R68" s="410">
        <f>+FY16ProjRevToColl0!R68-FY15RevToColl!R68</f>
        <v>0</v>
      </c>
      <c r="S68" s="410">
        <f>+FY16ProjRevToColl0!S68-FY15RevToColl!S68</f>
        <v>0</v>
      </c>
      <c r="T68" s="410">
        <f t="shared" si="6"/>
        <v>23405.148847375414</v>
      </c>
    </row>
    <row r="69" spans="1:20" ht="20.100000000000001" customHeight="1">
      <c r="A69" s="404" t="s">
        <v>153</v>
      </c>
      <c r="B69" s="456" t="s">
        <v>100</v>
      </c>
      <c r="C69" s="457">
        <f>+FY16ProjRevToColl0!C69-FY15RevToColl!C69</f>
        <v>0</v>
      </c>
      <c r="D69" s="457">
        <f>+FY16ProjRevToColl0!D69-FY15RevToColl!D69</f>
        <v>0</v>
      </c>
      <c r="E69" s="457">
        <f>+FY16ProjRevToColl0!E69-FY15RevToColl!E69</f>
        <v>0</v>
      </c>
      <c r="F69" s="457">
        <f>+FY16ProjRevToColl0!F69-FY15RevToColl!F69</f>
        <v>0</v>
      </c>
      <c r="G69" s="457">
        <f>+FY16ProjRevToColl0!G69-FY15RevToColl!G69</f>
        <v>0</v>
      </c>
      <c r="H69" s="457">
        <f>+FY16ProjRevToColl0!H69-FY15RevToColl!H69</f>
        <v>0</v>
      </c>
      <c r="I69" s="457">
        <f>+FY16ProjRevToColl0!I69-FY15RevToColl!I69</f>
        <v>0</v>
      </c>
      <c r="J69" s="457">
        <f>+FY16ProjRevToColl0!J69-FY15RevToColl!J69</f>
        <v>0</v>
      </c>
      <c r="K69" s="457">
        <f>+FY16ProjRevToColl0!K69-FY15RevToColl!K69</f>
        <v>0</v>
      </c>
      <c r="L69" s="457">
        <f>+FY16ProjRevToColl0!L69-FY15RevToColl!L69</f>
        <v>0</v>
      </c>
      <c r="M69" s="457">
        <f>+FY16ProjRevToColl0!M69-FY15RevToColl!M69</f>
        <v>0</v>
      </c>
      <c r="N69" s="457">
        <f>+FY16ProjRevToColl0!N69-FY15RevToColl!N69</f>
        <v>0</v>
      </c>
      <c r="O69" s="457">
        <f>+FY16ProjRevToColl0!O69-FY15RevToColl!O69</f>
        <v>-8934.3500200981507</v>
      </c>
      <c r="P69" s="457">
        <f>+FY16ProjRevToColl0!P69-FY15RevToColl!P69</f>
        <v>0</v>
      </c>
      <c r="Q69" s="457">
        <f>+FY16ProjRevToColl0!Q69-FY15RevToColl!Q69</f>
        <v>0</v>
      </c>
      <c r="R69" s="457">
        <f>+FY16ProjRevToColl0!R69-FY15RevToColl!R69</f>
        <v>0</v>
      </c>
      <c r="S69" s="457">
        <f>+FY16ProjRevToColl0!S69-FY15RevToColl!S69</f>
        <v>0</v>
      </c>
      <c r="T69" s="457">
        <f t="shared" si="6"/>
        <v>-8934.3500200981507</v>
      </c>
    </row>
    <row r="70" spans="1:20" s="18" customFormat="1" ht="20.100000000000001" customHeight="1">
      <c r="A70" s="404" t="s">
        <v>155</v>
      </c>
      <c r="B70" s="440" t="s">
        <v>42</v>
      </c>
      <c r="C70" s="410">
        <f>+FY16ProjRevToColl0!C70-FY15RevToColl!C70</f>
        <v>0</v>
      </c>
      <c r="D70" s="410">
        <f>+FY16ProjRevToColl0!D70-FY15RevToColl!D70</f>
        <v>0</v>
      </c>
      <c r="E70" s="410">
        <f>+FY16ProjRevToColl0!E70-FY15RevToColl!E70</f>
        <v>0</v>
      </c>
      <c r="F70" s="410">
        <f>+FY16ProjRevToColl0!F70-FY15RevToColl!F70</f>
        <v>0</v>
      </c>
      <c r="G70" s="410">
        <f>+FY16ProjRevToColl0!G70-FY15RevToColl!G70</f>
        <v>0</v>
      </c>
      <c r="H70" s="410">
        <f>+FY16ProjRevToColl0!H70-FY15RevToColl!H70</f>
        <v>0</v>
      </c>
      <c r="I70" s="410">
        <f>+FY16ProjRevToColl0!I70-FY15RevToColl!I70</f>
        <v>0</v>
      </c>
      <c r="J70" s="410">
        <f>+FY16ProjRevToColl0!J70-FY15RevToColl!J70</f>
        <v>0</v>
      </c>
      <c r="K70" s="410">
        <f>+FY16ProjRevToColl0!K70-FY15RevToColl!K70</f>
        <v>0</v>
      </c>
      <c r="L70" s="410">
        <f>+FY16ProjRevToColl0!L70-FY15RevToColl!L70</f>
        <v>0</v>
      </c>
      <c r="M70" s="410">
        <f>+FY16ProjRevToColl0!M70-FY15RevToColl!M70</f>
        <v>0</v>
      </c>
      <c r="N70" s="410">
        <f>+FY16ProjRevToColl0!N70-FY15RevToColl!N70</f>
        <v>0</v>
      </c>
      <c r="O70" s="410">
        <f>+FY16ProjRevToColl0!O70-FY15RevToColl!O70</f>
        <v>0</v>
      </c>
      <c r="P70" s="410">
        <f>+FY16ProjRevToColl0!P70-FY15RevToColl!P70</f>
        <v>64659.028199812397</v>
      </c>
      <c r="Q70" s="410">
        <f>+FY16ProjRevToColl0!Q70-FY15RevToColl!Q70</f>
        <v>0</v>
      </c>
      <c r="R70" s="410">
        <f>+FY16ProjRevToColl0!R70-FY15RevToColl!R70</f>
        <v>0</v>
      </c>
      <c r="S70" s="410">
        <f>+FY16ProjRevToColl0!S70-FY15RevToColl!S70</f>
        <v>0</v>
      </c>
      <c r="T70" s="410">
        <f t="shared" si="6"/>
        <v>64659.028199812397</v>
      </c>
    </row>
    <row r="71" spans="1:20" ht="20.100000000000001" customHeight="1">
      <c r="A71" s="404" t="s">
        <v>162</v>
      </c>
      <c r="B71" s="456" t="s">
        <v>76</v>
      </c>
      <c r="C71" s="457">
        <f>+FY16ProjRevToColl0!C71-FY15RevToColl!C71</f>
        <v>0</v>
      </c>
      <c r="D71" s="457">
        <f>+FY16ProjRevToColl0!D71-FY15RevToColl!D71</f>
        <v>0</v>
      </c>
      <c r="E71" s="457">
        <f>+FY16ProjRevToColl0!E71-FY15RevToColl!E71</f>
        <v>0</v>
      </c>
      <c r="F71" s="457">
        <f>+FY16ProjRevToColl0!F71-FY15RevToColl!F71</f>
        <v>0</v>
      </c>
      <c r="G71" s="457">
        <f>+FY16ProjRevToColl0!G71-FY15RevToColl!G71</f>
        <v>1098.0265945153915</v>
      </c>
      <c r="H71" s="457">
        <f>+FY16ProjRevToColl0!H71-FY15RevToColl!H71</f>
        <v>0</v>
      </c>
      <c r="I71" s="457">
        <f>+FY16ProjRevToColl0!I71-FY15RevToColl!I71</f>
        <v>0</v>
      </c>
      <c r="J71" s="457">
        <f>+FY16ProjRevToColl0!J71-FY15RevToColl!J71</f>
        <v>0</v>
      </c>
      <c r="K71" s="457">
        <f>+FY16ProjRevToColl0!K71-FY15RevToColl!K71</f>
        <v>0</v>
      </c>
      <c r="L71" s="457">
        <f>+FY16ProjRevToColl0!L71-FY15RevToColl!L71</f>
        <v>0</v>
      </c>
      <c r="M71" s="457">
        <f>+FY16ProjRevToColl0!M71-FY15RevToColl!M71</f>
        <v>0</v>
      </c>
      <c r="N71" s="457">
        <f>+FY16ProjRevToColl0!N71-FY15RevToColl!N71</f>
        <v>432622.47823906317</v>
      </c>
      <c r="O71" s="457">
        <f>+FY16ProjRevToColl0!O71-FY15RevToColl!O71</f>
        <v>0</v>
      </c>
      <c r="P71" s="457">
        <f>+FY16ProjRevToColl0!P71-FY15RevToColl!P71</f>
        <v>0</v>
      </c>
      <c r="Q71" s="457">
        <f>+FY16ProjRevToColl0!Q71-FY15RevToColl!Q71</f>
        <v>6771.1639995115693</v>
      </c>
      <c r="R71" s="457">
        <f>+FY16ProjRevToColl0!R71-FY15RevToColl!R71</f>
        <v>0</v>
      </c>
      <c r="S71" s="457">
        <f>+FY16ProjRevToColl0!S71-FY15RevToColl!S71</f>
        <v>2928.0709187077155</v>
      </c>
      <c r="T71" s="457">
        <f t="shared" si="6"/>
        <v>443419.73975179781</v>
      </c>
    </row>
    <row r="72" spans="1:20" s="18" customFormat="1" ht="20.100000000000001" customHeight="1">
      <c r="A72" s="404" t="s">
        <v>156</v>
      </c>
      <c r="B72" s="440" t="s">
        <v>77</v>
      </c>
      <c r="C72" s="410">
        <f>+FY16ProjRevToColl0!C72-FY15RevToColl!C72</f>
        <v>0</v>
      </c>
      <c r="D72" s="410">
        <f>+FY16ProjRevToColl0!D72-FY15RevToColl!D72</f>
        <v>0</v>
      </c>
      <c r="E72" s="410">
        <f>+FY16ProjRevToColl0!E72-FY15RevToColl!E72</f>
        <v>0</v>
      </c>
      <c r="F72" s="410">
        <f>+FY16ProjRevToColl0!F72-FY15RevToColl!F72</f>
        <v>0</v>
      </c>
      <c r="G72" s="410">
        <f>+FY16ProjRevToColl0!G72-FY15RevToColl!G72</f>
        <v>0</v>
      </c>
      <c r="H72" s="410">
        <f>+FY16ProjRevToColl0!H72-FY15RevToColl!H72</f>
        <v>0</v>
      </c>
      <c r="I72" s="410">
        <f>+FY16ProjRevToColl0!I72-FY15RevToColl!I72</f>
        <v>0</v>
      </c>
      <c r="J72" s="410">
        <f>+FY16ProjRevToColl0!J72-FY15RevToColl!J72</f>
        <v>0</v>
      </c>
      <c r="K72" s="410">
        <f>+FY16ProjRevToColl0!K72-FY15RevToColl!K72</f>
        <v>0</v>
      </c>
      <c r="L72" s="410">
        <f>+FY16ProjRevToColl0!L72-FY15RevToColl!L72</f>
        <v>0</v>
      </c>
      <c r="M72" s="410">
        <f>+FY16ProjRevToColl0!M72-FY15RevToColl!M72</f>
        <v>408453.36659183633</v>
      </c>
      <c r="N72" s="410">
        <f>+FY16ProjRevToColl0!N72-FY15RevToColl!N72</f>
        <v>0</v>
      </c>
      <c r="O72" s="410">
        <f>+FY16ProjRevToColl0!O72-FY15RevToColl!O72</f>
        <v>0</v>
      </c>
      <c r="P72" s="410">
        <f>+FY16ProjRevToColl0!P72-FY15RevToColl!P72</f>
        <v>0</v>
      </c>
      <c r="Q72" s="410">
        <f>+FY16ProjRevToColl0!Q72-FY15RevToColl!Q72</f>
        <v>0</v>
      </c>
      <c r="R72" s="410">
        <f>+FY16ProjRevToColl0!R72-FY15RevToColl!R72</f>
        <v>0</v>
      </c>
      <c r="S72" s="410">
        <f>+FY16ProjRevToColl0!S72-FY15RevToColl!S72</f>
        <v>0</v>
      </c>
      <c r="T72" s="410">
        <f t="shared" si="6"/>
        <v>408453.36659183633</v>
      </c>
    </row>
    <row r="73" spans="1:20" ht="20.100000000000001" customHeight="1">
      <c r="A73" s="406" t="s">
        <v>163</v>
      </c>
      <c r="B73" s="458" t="s">
        <v>164</v>
      </c>
      <c r="C73" s="457">
        <f>+FY16ProjRevToColl0!C73-FY15RevToColl!C73</f>
        <v>0</v>
      </c>
      <c r="D73" s="457">
        <f>+FY16ProjRevToColl0!D73-FY15RevToColl!D73</f>
        <v>0</v>
      </c>
      <c r="E73" s="457">
        <f>+FY16ProjRevToColl0!E73-FY15RevToColl!E73</f>
        <v>0</v>
      </c>
      <c r="F73" s="457">
        <f>+FY16ProjRevToColl0!F73-FY15RevToColl!F73</f>
        <v>0</v>
      </c>
      <c r="G73" s="457">
        <f>+FY16ProjRevToColl0!G73-FY15RevToColl!G73</f>
        <v>0</v>
      </c>
      <c r="H73" s="457">
        <f>+FY16ProjRevToColl0!H73-FY15RevToColl!H73</f>
        <v>0</v>
      </c>
      <c r="I73" s="457">
        <f>+FY16ProjRevToColl0!I73-FY15RevToColl!I73</f>
        <v>0</v>
      </c>
      <c r="J73" s="457">
        <f>+FY16ProjRevToColl0!J73-FY15RevToColl!J73</f>
        <v>0</v>
      </c>
      <c r="K73" s="457">
        <f>+FY16ProjRevToColl0!K73-FY15RevToColl!K73</f>
        <v>0</v>
      </c>
      <c r="L73" s="457">
        <f>+FY16ProjRevToColl0!L73-FY15RevToColl!L73</f>
        <v>0</v>
      </c>
      <c r="M73" s="457">
        <f>+FY16ProjRevToColl0!M73-FY15RevToColl!M73</f>
        <v>20621.267455764697</v>
      </c>
      <c r="N73" s="457">
        <f>+FY16ProjRevToColl0!N73-FY15RevToColl!N73</f>
        <v>0</v>
      </c>
      <c r="O73" s="457">
        <f>+FY16ProjRevToColl0!O73-FY15RevToColl!O73</f>
        <v>0</v>
      </c>
      <c r="P73" s="457">
        <f>+FY16ProjRevToColl0!P73-FY15RevToColl!P73</f>
        <v>0</v>
      </c>
      <c r="Q73" s="457">
        <f>+FY16ProjRevToColl0!Q73-FY15RevToColl!Q73</f>
        <v>0</v>
      </c>
      <c r="R73" s="457">
        <f>+FY16ProjRevToColl0!R73-FY15RevToColl!R73</f>
        <v>0</v>
      </c>
      <c r="S73" s="457">
        <f>+FY16ProjRevToColl0!S73-FY15RevToColl!S73</f>
        <v>0</v>
      </c>
      <c r="T73" s="457">
        <f t="shared" si="6"/>
        <v>20621.267455764697</v>
      </c>
    </row>
    <row r="74" spans="1:20" ht="20.100000000000001" customHeight="1">
      <c r="B74" s="459" t="s">
        <v>17</v>
      </c>
      <c r="C74" s="460">
        <f t="shared" ref="C74:S74" si="7">SUM(C53:C73)</f>
        <v>49505.225284879678</v>
      </c>
      <c r="D74" s="460">
        <f t="shared" si="7"/>
        <v>2037194.6839637235</v>
      </c>
      <c r="E74" s="460">
        <f t="shared" si="7"/>
        <v>1518881.2034468066</v>
      </c>
      <c r="F74" s="460">
        <f t="shared" si="7"/>
        <v>153218.109353773</v>
      </c>
      <c r="G74" s="460">
        <f t="shared" si="7"/>
        <v>1571695.9359423234</v>
      </c>
      <c r="H74" s="460">
        <f t="shared" si="7"/>
        <v>236862.68799708551</v>
      </c>
      <c r="I74" s="460">
        <f t="shared" si="7"/>
        <v>82156.056141838431</v>
      </c>
      <c r="J74" s="460">
        <f t="shared" si="7"/>
        <v>-111377.27537554962</v>
      </c>
      <c r="K74" s="460">
        <f t="shared" si="7"/>
        <v>60168.219504136461</v>
      </c>
      <c r="L74" s="460">
        <f t="shared" si="7"/>
        <v>77932.108724274425</v>
      </c>
      <c r="M74" s="460">
        <f t="shared" si="7"/>
        <v>429120.27803851606</v>
      </c>
      <c r="N74" s="460">
        <f t="shared" si="7"/>
        <v>591185.76368203131</v>
      </c>
      <c r="O74" s="460">
        <f t="shared" si="7"/>
        <v>117822.9381291857</v>
      </c>
      <c r="P74" s="460">
        <f t="shared" si="7"/>
        <v>62337.693855913836</v>
      </c>
      <c r="Q74" s="460">
        <f t="shared" si="7"/>
        <v>246521.82903443475</v>
      </c>
      <c r="R74" s="460">
        <f t="shared" si="7"/>
        <v>10925.386505907925</v>
      </c>
      <c r="S74" s="460">
        <f t="shared" si="7"/>
        <v>-4675.0589635888355</v>
      </c>
      <c r="T74" s="460">
        <f t="shared" si="6"/>
        <v>7129475.7852656934</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A1:XFD1048576"/>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280</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5250186.6007987298</v>
      </c>
      <c r="D5" s="413">
        <f t="shared" si="0"/>
        <v>185290274.84727526</v>
      </c>
      <c r="E5" s="413">
        <f t="shared" si="0"/>
        <v>23484582.666658226</v>
      </c>
      <c r="F5" s="413">
        <f t="shared" si="0"/>
        <v>3692948.0063275602</v>
      </c>
      <c r="G5" s="413">
        <f t="shared" si="0"/>
        <v>29206176.766056962</v>
      </c>
      <c r="H5" s="413">
        <f t="shared" si="0"/>
        <v>13739697.675363585</v>
      </c>
      <c r="I5" s="413">
        <f t="shared" si="0"/>
        <v>3690040.8470424609</v>
      </c>
      <c r="J5" s="413">
        <f t="shared" si="0"/>
        <v>100226.49373497428</v>
      </c>
      <c r="K5" s="413">
        <f t="shared" si="0"/>
        <v>29528.48540633803</v>
      </c>
      <c r="L5" s="413">
        <f t="shared" si="0"/>
        <v>1077449.6676736034</v>
      </c>
      <c r="M5" s="413">
        <f t="shared" si="0"/>
        <v>10079.434922355769</v>
      </c>
      <c r="N5" s="413">
        <f t="shared" si="0"/>
        <v>7589249.9592223875</v>
      </c>
      <c r="O5" s="413">
        <f t="shared" si="0"/>
        <v>3359134.8209992098</v>
      </c>
      <c r="P5" s="413">
        <f t="shared" si="0"/>
        <v>58063.223707655074</v>
      </c>
      <c r="Q5" s="413">
        <f t="shared" si="0"/>
        <v>5221657.1020149589</v>
      </c>
      <c r="R5" s="413">
        <f t="shared" si="0"/>
        <v>2513784.9648021655</v>
      </c>
      <c r="S5" s="413">
        <f t="shared" si="0"/>
        <v>41027.559050152362</v>
      </c>
      <c r="T5" s="413">
        <f t="shared" ref="T5:T26" si="1">SUM(C5:S5)</f>
        <v>284354109.12105662</v>
      </c>
      <c r="X5" s="495"/>
    </row>
    <row r="6" spans="1:24" ht="20.100000000000001" customHeight="1">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c r="A26" s="402"/>
      <c r="B26" s="421" t="s">
        <v>17</v>
      </c>
      <c r="C26" s="569">
        <f t="shared" ref="C26:S26" si="3">SUM(C5:C25)</f>
        <v>9780248.5650767293</v>
      </c>
      <c r="D26" s="569">
        <f t="shared" si="3"/>
        <v>195140335.11326197</v>
      </c>
      <c r="E26" s="569">
        <f t="shared" si="3"/>
        <v>28586966.087821029</v>
      </c>
      <c r="F26" s="569">
        <f t="shared" si="3"/>
        <v>8206512.605903741</v>
      </c>
      <c r="G26" s="569">
        <f t="shared" si="3"/>
        <v>38327056.05922845</v>
      </c>
      <c r="H26" s="569">
        <f t="shared" si="3"/>
        <v>17424767.244115144</v>
      </c>
      <c r="I26" s="569">
        <f t="shared" si="3"/>
        <v>3964425.4027369088</v>
      </c>
      <c r="J26" s="569">
        <f t="shared" si="3"/>
        <v>11223250.091624118</v>
      </c>
      <c r="K26" s="569">
        <f t="shared" si="3"/>
        <v>4096888.6289114445</v>
      </c>
      <c r="L26" s="569">
        <f t="shared" si="3"/>
        <v>4301951.3626805749</v>
      </c>
      <c r="M26" s="569">
        <f t="shared" si="3"/>
        <v>6991951.9607177433</v>
      </c>
      <c r="N26" s="569">
        <f t="shared" si="3"/>
        <v>25492139.997579902</v>
      </c>
      <c r="O26" s="569">
        <f t="shared" si="3"/>
        <v>4890909.3138835765</v>
      </c>
      <c r="P26" s="569">
        <f t="shared" si="3"/>
        <v>6937144.5173643557</v>
      </c>
      <c r="Q26" s="569">
        <f t="shared" si="3"/>
        <v>9001939.4683144614</v>
      </c>
      <c r="R26" s="570">
        <f t="shared" si="3"/>
        <v>2514064.3592911325</v>
      </c>
      <c r="S26" s="423">
        <f t="shared" si="3"/>
        <v>1280144.308403021</v>
      </c>
      <c r="T26" s="422">
        <f t="shared" si="1"/>
        <v>378160695.08691436</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+UGpcntSCH*(VLOOKUP($A29,FY16ProjRev0!$A$4:$I$24,9,FALSE))*VLOOKUP($A29,FY16ProjSCH!$A$3:$S$23,MATCH(C$28,FY16ProjSCH!$A$2:$S$2,0),FALSE)</f>
        <v>3763888.1422030777</v>
      </c>
      <c r="D29" s="438">
        <f>+UGpcntSCH*(VLOOKUP($A29,FY16ProjRev0!$A$4:$I$24,9,FALSE))*VLOOKUP($A29,FY16ProjSCH!$A$3:$S$23,MATCH(D$28,FY16ProjSCH!$A$2:$S$2,0),FALSE)</f>
        <v>112766872.38097847</v>
      </c>
      <c r="E29" s="438">
        <f>+UGpcntSCH*(VLOOKUP($A29,FY16ProjRev0!$A$4:$I$24,9,FALSE))*VLOOKUP($A29,FY16ProjSCH!$A$3:$S$23,MATCH(E$28,FY16ProjSCH!$A$2:$S$2,0),FALSE)</f>
        <v>11010292.032016147</v>
      </c>
      <c r="F29" s="438">
        <f>+UGpcntSCH*(VLOOKUP($A29,FY16ProjRev0!$A$4:$I$24,9,FALSE))*VLOOKUP($A29,FY16ProjSCH!$A$3:$S$23,MATCH(F$28,FY16ProjSCH!$A$2:$S$2,0),FALSE)</f>
        <v>2352625.2892011241</v>
      </c>
      <c r="G29" s="438">
        <f>+UGpcntSCH*(VLOOKUP($A29,FY16ProjRev0!$A$4:$I$24,9,FALSE))*VLOOKUP($A29,FY16ProjSCH!$A$3:$S$23,MATCH(G$28,FY16ProjSCH!$A$2:$S$2,0),FALSE)</f>
        <v>16227606.297248499</v>
      </c>
      <c r="H29" s="438">
        <f>+UGpcntSCH*(VLOOKUP($A29,FY16ProjRev0!$A$4:$I$24,9,FALSE))*VLOOKUP($A29,FY16ProjSCH!$A$3:$S$23,MATCH(H$28,FY16ProjSCH!$A$2:$S$2,0),FALSE)</f>
        <v>9824893.6995982509</v>
      </c>
      <c r="I29" s="438">
        <f>+UGpcntSCH*(VLOOKUP($A29,FY16ProjRev0!$A$4:$I$24,9,FALSE))*VLOOKUP($A29,FY16ProjSCH!$A$3:$S$23,MATCH(I$28,FY16ProjSCH!$A$2:$S$2,0),FALSE)</f>
        <v>2362988.6518677715</v>
      </c>
      <c r="J29" s="438">
        <f>+UGpcntSCH*(VLOOKUP($A29,FY16ProjRev0!$A$4:$I$24,9,FALSE))*VLOOKUP($A29,FY16ProjSCH!$A$3:$S$23,MATCH(J$28,FY16ProjSCH!$A$2:$S$2,0),FALSE)</f>
        <v>100226.49373497428</v>
      </c>
      <c r="K29" s="438">
        <f>+UGpcntSCH*(VLOOKUP($A29,FY16ProjRev0!$A$4:$I$24,9,FALSE))*VLOOKUP($A29,FY16ProjSCH!$A$3:$S$23,MATCH(K$28,FY16ProjSCH!$A$2:$S$2,0),FALSE)</f>
        <v>29528.48540633803</v>
      </c>
      <c r="L29" s="438">
        <f>+UGpcntSCH*(VLOOKUP($A29,FY16ProjRev0!$A$4:$I$24,9,FALSE))*VLOOKUP($A29,FY16ProjSCH!$A$3:$S$23,MATCH(L$28,FY16ProjSCH!$A$2:$S$2,0),FALSE)</f>
        <v>533358.26765198074</v>
      </c>
      <c r="M29" s="438">
        <f>+UGpcntSCH*(VLOOKUP($A29,FY16ProjRev0!$A$4:$I$24,9,FALSE))*VLOOKUP($A29,FY16ProjSCH!$A$3:$S$23,MATCH(M$28,FY16ProjSCH!$A$2:$S$2,0),FALSE)</f>
        <v>10079.434922355769</v>
      </c>
      <c r="N29" s="438">
        <f>+UGpcntSCH*(VLOOKUP($A29,FY16ProjRev0!$A$4:$I$24,9,FALSE))*VLOOKUP($A29,FY16ProjSCH!$A$3:$S$23,MATCH(N$28,FY16ProjSCH!$A$2:$S$2,0),FALSE)</f>
        <v>4868792.959114274</v>
      </c>
      <c r="O29" s="438">
        <f>+UGpcntSCH*(VLOOKUP($A29,FY16ProjRev0!$A$4:$I$24,9,FALSE))*VLOOKUP($A29,FY16ProjSCH!$A$3:$S$23,MATCH(O$28,FY16ProjSCH!$A$2:$S$2,0),FALSE)</f>
        <v>1474720.703851151</v>
      </c>
      <c r="P29" s="438">
        <f>+UGpcntSCH*(VLOOKUP($A29,FY16ProjRev0!$A$4:$I$24,9,FALSE))*VLOOKUP($A29,FY16ProjSCH!$A$3:$S$23,MATCH(P$28,FY16ProjSCH!$A$2:$S$2,0),FALSE)</f>
        <v>58063.223707655074</v>
      </c>
      <c r="Q29" s="438">
        <f>+UGpcntSCH*(VLOOKUP($A29,FY16ProjRev0!$A$4:$I$24,9,FALSE))*VLOOKUP($A29,FY16ProjSCH!$A$3:$S$23,MATCH(Q$28,FY16ProjSCH!$A$2:$S$2,0),FALSE)</f>
        <v>2846233.6726522655</v>
      </c>
      <c r="R29" s="438">
        <f>+UGpcntSCH*(VLOOKUP($A29,FY16ProjRev0!$A$4:$I$24,9,FALSE))*VLOOKUP($A29,FY16ProjSCH!$A$3:$S$23,MATCH(R$28,FY16ProjSCH!$A$2:$S$2,0),FALSE)</f>
        <v>2341268.1794294557</v>
      </c>
      <c r="S29" s="438">
        <f>+UGpcntSCH*(VLOOKUP($A29,FY16ProjRev0!$A$4:$I$24,9,FALSE))*VLOOKUP($A29,FY16ProjSCH!$A$3:$S$23,MATCH(S$28,FY16ProjSCH!$A$2:$S$2,0),FALSE)</f>
        <v>41027.559050152362</v>
      </c>
      <c r="T29" s="439">
        <f t="shared" ref="T29:T49" si="4">SUM(C29:Q29)+R29+S29</f>
        <v>170612465.47263396</v>
      </c>
    </row>
    <row r="30" spans="1:91" s="18" customFormat="1" ht="20.100000000000001" customHeight="1">
      <c r="A30" s="404" t="s">
        <v>129</v>
      </c>
      <c r="B30" s="440" t="s">
        <v>35</v>
      </c>
      <c r="C30" s="410">
        <f>+GPpcntSCH*(VLOOKUP($A30,FY16ProjRev0!$A$4:$I$24,9,FALSE))*VLOOKUP($A30,FY16ProjSCH!$A$3:$S$23,MATCH(C$28,FY16ProjSCH!$A$2:$S$2,0),FALSE)</f>
        <v>22699.862942230429</v>
      </c>
      <c r="D30" s="410">
        <f>+GPpcntSCH*(VLOOKUP($A30,FY16ProjRev0!$A$4:$I$24,9,FALSE))*VLOOKUP($A30,FY16ProjSCH!$A$3:$S$23,MATCH(D$28,FY16ProjSCH!$A$2:$S$2,0),FALSE)</f>
        <v>1874045.4765644493</v>
      </c>
      <c r="E30" s="410">
        <f>+GPpcntSCH*(VLOOKUP($A30,FY16ProjRev0!$A$4:$I$24,9,FALSE))*VLOOKUP($A30,FY16ProjSCH!$A$3:$S$23,MATCH(E$28,FY16ProjSCH!$A$2:$S$2,0),FALSE)</f>
        <v>60581.911060570987</v>
      </c>
      <c r="F30" s="410">
        <f>+GPpcntSCH*(VLOOKUP($A30,FY16ProjRev0!$A$4:$I$24,9,FALSE))*VLOOKUP($A30,FY16ProjSCH!$A$3:$S$23,MATCH(F$28,FY16ProjSCH!$A$2:$S$2,0),FALSE)</f>
        <v>15211.551104884038</v>
      </c>
      <c r="G30" s="410">
        <f>+GPpcntSCH*(VLOOKUP($A30,FY16ProjRev0!$A$4:$I$24,9,FALSE))*VLOOKUP($A30,FY16ProjSCH!$A$3:$S$23,MATCH(G$28,FY16ProjSCH!$A$2:$S$2,0),FALSE)</f>
        <v>125098.85657684557</v>
      </c>
      <c r="H30" s="410">
        <f>+GPpcntSCH*(VLOOKUP($A30,FY16ProjRev0!$A$4:$I$24,9,FALSE))*VLOOKUP($A30,FY16ProjSCH!$A$3:$S$23,MATCH(H$28,FY16ProjSCH!$A$2:$S$2,0),FALSE)</f>
        <v>14682.964386953705</v>
      </c>
      <c r="I30" s="410">
        <f>+GPpcntSCH*(VLOOKUP($A30,FY16ProjRev0!$A$4:$I$24,9,FALSE))*VLOOKUP($A30,FY16ProjSCH!$A$3:$S$23,MATCH(I$28,FY16ProjSCH!$A$2:$S$2,0),FALSE)</f>
        <v>41817.082574044158</v>
      </c>
      <c r="J30" s="410">
        <f>+GPpcntSCH*(VLOOKUP($A30,FY16ProjRev0!$A$4:$I$24,9,FALSE))*VLOOKUP($A30,FY16ProjSCH!$A$3:$S$23,MATCH(J$28,FY16ProjSCH!$A$2:$S$2,0),FALSE)</f>
        <v>5902.5516835553899</v>
      </c>
      <c r="K30" s="410">
        <f>+GPpcntSCH*(VLOOKUP($A30,FY16ProjRev0!$A$4:$I$24,9,FALSE))*VLOOKUP($A30,FY16ProjSCH!$A$3:$S$23,MATCH(K$28,FY16ProjSCH!$A$2:$S$2,0),FALSE)</f>
        <v>14036.913953927742</v>
      </c>
      <c r="L30" s="410">
        <f>+GPpcntSCH*(VLOOKUP($A30,FY16ProjRev0!$A$4:$I$24,9,FALSE))*VLOOKUP($A30,FY16ProjSCH!$A$3:$S$23,MATCH(L$28,FY16ProjSCH!$A$2:$S$2,0),FALSE)</f>
        <v>3142.1543788080926</v>
      </c>
      <c r="M30" s="410">
        <f>+GPpcntSCH*(VLOOKUP($A30,FY16ProjRev0!$A$4:$I$24,9,FALSE))*VLOOKUP($A30,FY16ProjSCH!$A$3:$S$23,MATCH(M$28,FY16ProjSCH!$A$2:$S$2,0),FALSE)</f>
        <v>29.36592877390741</v>
      </c>
      <c r="N30" s="410">
        <f>+GPpcntSCH*(VLOOKUP($A30,FY16ProjRev0!$A$4:$I$24,9,FALSE))*VLOOKUP($A30,FY16ProjSCH!$A$3:$S$23,MATCH(N$28,FY16ProjSCH!$A$2:$S$2,0),FALSE)</f>
        <v>363197.80707568687</v>
      </c>
      <c r="O30" s="410">
        <f>+GPpcntSCH*(VLOOKUP($A30,FY16ProjRev0!$A$4:$I$24,9,FALSE))*VLOOKUP($A30,FY16ProjSCH!$A$3:$S$23,MATCH(O$28,FY16ProjSCH!$A$2:$S$2,0),FALSE)</f>
        <v>528.58671793033341</v>
      </c>
      <c r="P30" s="410">
        <f>+GPpcntSCH*(VLOOKUP($A30,FY16ProjRev0!$A$4:$I$24,9,FALSE))*VLOOKUP($A30,FY16ProjSCH!$A$3:$S$23,MATCH(P$28,FY16ProjSCH!$A$2:$S$2,0),FALSE)</f>
        <v>52036.425787363929</v>
      </c>
      <c r="Q30" s="410">
        <f>+GPpcntSCH*(VLOOKUP($A30,FY16ProjRev0!$A$4:$I$24,9,FALSE))*VLOOKUP($A30,FY16ProjSCH!$A$3:$S$23,MATCH(Q$28,FY16ProjSCH!$A$2:$S$2,0),FALSE)</f>
        <v>26957.922614447001</v>
      </c>
      <c r="R30" s="410">
        <f>+GPpcntSCH*(VLOOKUP($A30,FY16ProjRev0!$A$4:$I$24,9,FALSE))*VLOOKUP($A30,FY16ProjSCH!$A$3:$S$23,MATCH(R$28,FY16ProjSCH!$A$2:$S$2,0),FALSE)</f>
        <v>146.82964386953705</v>
      </c>
      <c r="S30" s="410">
        <f>+GPpcntSCH*(VLOOKUP($A30,FY16ProjRev0!$A$4:$I$24,9,FALSE))*VLOOKUP($A30,FY16ProjSCH!$A$3:$S$23,MATCH(S$28,FY16ProjSCH!$A$2:$S$2,0),FALSE)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+GPpcntSCH*(VLOOKUP($A31,FY16ProjRev0!$A$4:$I$24,9,FALSE))*VLOOKUP($A31,FY16ProjSCH!$A$3:$S$23,MATCH(C$28,FY16ProjSCH!$A$2:$S$2,0),FALSE)</f>
        <v>0</v>
      </c>
      <c r="D31" s="443">
        <f>+GPpcntSCH*(VLOOKUP($A31,FY16ProjRev0!$A$4:$I$24,9,FALSE))*VLOOKUP($A31,FY16ProjSCH!$A$3:$S$23,MATCH(D$28,FY16ProjSCH!$A$2:$S$2,0),FALSE)</f>
        <v>10852.57794875662</v>
      </c>
      <c r="E31" s="443">
        <f>+GPpcntSCH*(VLOOKUP($A31,FY16ProjRev0!$A$4:$I$24,9,FALSE))*VLOOKUP($A31,FY16ProjSCH!$A$3:$S$23,MATCH(E$28,FY16ProjSCH!$A$2:$S$2,0),FALSE)</f>
        <v>0</v>
      </c>
      <c r="F31" s="443">
        <f>+GPpcntSCH*(VLOOKUP($A31,FY16ProjRev0!$A$4:$I$24,9,FALSE))*VLOOKUP($A31,FY16ProjSCH!$A$3:$S$23,MATCH(F$28,FY16ProjSCH!$A$2:$S$2,0),FALSE)</f>
        <v>1296.5469230815431</v>
      </c>
      <c r="G31" s="443">
        <f>+GPpcntSCH*(VLOOKUP($A31,FY16ProjRev0!$A$4:$I$24,9,FALSE))*VLOOKUP($A31,FY16ProjSCH!$A$3:$S$23,MATCH(G$28,FY16ProjSCH!$A$2:$S$2,0),FALSE)</f>
        <v>48.020256410427521</v>
      </c>
      <c r="H31" s="443">
        <f>+GPpcntSCH*(VLOOKUP($A31,FY16ProjRev0!$A$4:$I$24,9,FALSE))*VLOOKUP($A31,FY16ProjSCH!$A$3:$S$23,MATCH(H$28,FY16ProjSCH!$A$2:$S$2,0),FALSE)</f>
        <v>0</v>
      </c>
      <c r="I31" s="443">
        <f>+GPpcntSCH*(VLOOKUP($A31,FY16ProjRev0!$A$4:$I$24,9,FALSE))*VLOOKUP($A31,FY16ProjSCH!$A$3:$S$23,MATCH(I$28,FY16ProjSCH!$A$2:$S$2,0),FALSE)</f>
        <v>192.08102564171008</v>
      </c>
      <c r="J31" s="443">
        <f>+GPpcntSCH*(VLOOKUP($A31,FY16ProjRev0!$A$4:$I$24,9,FALSE))*VLOOKUP($A31,FY16ProjSCH!$A$3:$S$23,MATCH(J$28,FY16ProjSCH!$A$2:$S$2,0),FALSE)</f>
        <v>288.12153846256513</v>
      </c>
      <c r="K31" s="443">
        <f>+GPpcntSCH*(VLOOKUP($A31,FY16ProjRev0!$A$4:$I$24,9,FALSE))*VLOOKUP($A31,FY16ProjSCH!$A$3:$S$23,MATCH(K$28,FY16ProjSCH!$A$2:$S$2,0),FALSE)</f>
        <v>192.08102564171008</v>
      </c>
      <c r="L31" s="443">
        <f>+GPpcntSCH*(VLOOKUP($A31,FY16ProjRev0!$A$4:$I$24,9,FALSE))*VLOOKUP($A31,FY16ProjSCH!$A$3:$S$23,MATCH(L$28,FY16ProjSCH!$A$2:$S$2,0),FALSE)</f>
        <v>33902.30102576183</v>
      </c>
      <c r="M31" s="443">
        <f>+GPpcntSCH*(VLOOKUP($A31,FY16ProjRev0!$A$4:$I$24,9,FALSE))*VLOOKUP($A31,FY16ProjSCH!$A$3:$S$23,MATCH(M$28,FY16ProjSCH!$A$2:$S$2,0),FALSE)</f>
        <v>0</v>
      </c>
      <c r="N31" s="443">
        <f>+GPpcntSCH*(VLOOKUP($A31,FY16ProjRev0!$A$4:$I$24,9,FALSE))*VLOOKUP($A31,FY16ProjSCH!$A$3:$S$23,MATCH(N$28,FY16ProjSCH!$A$2:$S$2,0),FALSE)</f>
        <v>178083.12089807045</v>
      </c>
      <c r="O31" s="443">
        <f>+GPpcntSCH*(VLOOKUP($A31,FY16ProjRev0!$A$4:$I$24,9,FALSE))*VLOOKUP($A31,FY16ProjSCH!$A$3:$S$23,MATCH(O$28,FY16ProjSCH!$A$2:$S$2,0),FALSE)</f>
        <v>0</v>
      </c>
      <c r="P31" s="443">
        <f>+GPpcntSCH*(VLOOKUP($A31,FY16ProjRev0!$A$4:$I$24,9,FALSE))*VLOOKUP($A31,FY16ProjSCH!$A$3:$S$23,MATCH(P$28,FY16ProjSCH!$A$2:$S$2,0),FALSE)</f>
        <v>192.08102564171008</v>
      </c>
      <c r="Q31" s="443">
        <f>+GPpcntSCH*(VLOOKUP($A31,FY16ProjRev0!$A$4:$I$24,9,FALSE))*VLOOKUP($A31,FY16ProjSCH!$A$3:$S$23,MATCH(Q$28,FY16ProjSCH!$A$2:$S$2,0),FALSE)</f>
        <v>2737.1546153943686</v>
      </c>
      <c r="R31" s="443">
        <f>+GPpcntSCH*(VLOOKUP($A31,FY16ProjRev0!$A$4:$I$24,9,FALSE))*VLOOKUP($A31,FY16ProjSCH!$A$3:$S$23,MATCH(R$28,FY16ProjSCH!$A$2:$S$2,0),FALSE)</f>
        <v>0</v>
      </c>
      <c r="S31" s="443">
        <f>+GPpcntSCH*(VLOOKUP($A31,FY16ProjRev0!$A$4:$I$24,9,FALSE))*VLOOKUP($A31,FY16ProjSCH!$A$3:$S$23,MATCH(S$28,FY16ProjSCH!$A$2:$S$2,0),FALSE)</f>
        <v>144.06076923128256</v>
      </c>
      <c r="T31" s="444">
        <f t="shared" si="4"/>
        <v>227928.14705209422</v>
      </c>
    </row>
    <row r="32" spans="1:91" s="18" customFormat="1" ht="20.100000000000001" customHeight="1">
      <c r="A32" s="404" t="s">
        <v>130</v>
      </c>
      <c r="B32" s="440" t="s">
        <v>37</v>
      </c>
      <c r="C32" s="410">
        <f>+GPpcntSCH*(VLOOKUP($A32,FY16ProjRev0!$A$4:$I$24,9,FALSE))*VLOOKUP($A32,FY16ProjSCH!$A$3:$S$23,MATCH(C$28,FY16ProjSCH!$A$2:$S$2,0),FALSE)</f>
        <v>8878.913793301097</v>
      </c>
      <c r="D32" s="410">
        <f>+GPpcntSCH*(VLOOKUP($A32,FY16ProjRev0!$A$4:$I$24,9,FALSE))*VLOOKUP($A32,FY16ProjSCH!$A$3:$S$23,MATCH(D$28,FY16ProjSCH!$A$2:$S$2,0),FALSE)</f>
        <v>99132.614826238016</v>
      </c>
      <c r="E32" s="410">
        <f>+GPpcntSCH*(VLOOKUP($A32,FY16ProjRev0!$A$4:$I$24,9,FALSE))*VLOOKUP($A32,FY16ProjSCH!$A$3:$S$23,MATCH(E$28,FY16ProjSCH!$A$2:$S$2,0),FALSE)</f>
        <v>7093.9775152663406</v>
      </c>
      <c r="F32" s="410">
        <f>+GPpcntSCH*(VLOOKUP($A32,FY16ProjRev0!$A$4:$I$24,9,FALSE))*VLOOKUP($A32,FY16ProjSCH!$A$3:$S$23,MATCH(F$28,FY16ProjSCH!$A$2:$S$2,0),FALSE)</f>
        <v>5171.7384466135254</v>
      </c>
      <c r="G32" s="410">
        <f>+GPpcntSCH*(VLOOKUP($A32,FY16ProjRev0!$A$4:$I$24,9,FALSE))*VLOOKUP($A32,FY16ProjSCH!$A$3:$S$23,MATCH(G$28,FY16ProjSCH!$A$2:$S$2,0),FALSE)</f>
        <v>1380076.1160989755</v>
      </c>
      <c r="H32" s="410">
        <f>+GPpcntSCH*(VLOOKUP($A32,FY16ProjRev0!$A$4:$I$24,9,FALSE))*VLOOKUP($A32,FY16ProjSCH!$A$3:$S$23,MATCH(H$28,FY16ProjSCH!$A$2:$S$2,0),FALSE)</f>
        <v>13364.138286824331</v>
      </c>
      <c r="I32" s="410">
        <f>+GPpcntSCH*(VLOOKUP($A32,FY16ProjRev0!$A$4:$I$24,9,FALSE))*VLOOKUP($A32,FY16ProjSCH!$A$3:$S$23,MATCH(I$28,FY16ProjSCH!$A$2:$S$2,0),FALSE)</f>
        <v>2929.126199851908</v>
      </c>
      <c r="J32" s="410">
        <f>+GPpcntSCH*(VLOOKUP($A32,FY16ProjRev0!$A$4:$I$24,9,FALSE))*VLOOKUP($A32,FY16ProjSCH!$A$3:$S$23,MATCH(J$28,FY16ProjSCH!$A$2:$S$2,0),FALSE)</f>
        <v>5492.1116247223281</v>
      </c>
      <c r="K32" s="410">
        <f>+GPpcntSCH*(VLOOKUP($A32,FY16ProjRev0!$A$4:$I$24,9,FALSE))*VLOOKUP($A32,FY16ProjSCH!$A$3:$S$23,MATCH(K$28,FY16ProjSCH!$A$2:$S$2,0),FALSE)</f>
        <v>732.28154996297701</v>
      </c>
      <c r="L32" s="410">
        <f>+GPpcntSCH*(VLOOKUP($A32,FY16ProjRev0!$A$4:$I$24,9,FALSE))*VLOOKUP($A32,FY16ProjSCH!$A$3:$S$23,MATCH(L$28,FY16ProjSCH!$A$2:$S$2,0),FALSE)</f>
        <v>1006.8871311990935</v>
      </c>
      <c r="M32" s="410">
        <f>+GPpcntSCH*(VLOOKUP($A32,FY16ProjRev0!$A$4:$I$24,9,FALSE))*VLOOKUP($A32,FY16ProjSCH!$A$3:$S$23,MATCH(M$28,FY16ProjSCH!$A$2:$S$2,0),FALSE)</f>
        <v>0</v>
      </c>
      <c r="N32" s="410">
        <f>+GPpcntSCH*(VLOOKUP($A32,FY16ProjRev0!$A$4:$I$24,9,FALSE))*VLOOKUP($A32,FY16ProjSCH!$A$3:$S$23,MATCH(N$28,FY16ProjSCH!$A$2:$S$2,0),FALSE)</f>
        <v>30641.406106263319</v>
      </c>
      <c r="O32" s="410">
        <f>+GPpcntSCH*(VLOOKUP($A32,FY16ProjRev0!$A$4:$I$24,9,FALSE))*VLOOKUP($A32,FY16ProjSCH!$A$3:$S$23,MATCH(O$28,FY16ProjSCH!$A$2:$S$2,0),FALSE)</f>
        <v>57941.777640820561</v>
      </c>
      <c r="P32" s="410">
        <f>+GPpcntSCH*(VLOOKUP($A32,FY16ProjRev0!$A$4:$I$24,9,FALSE))*VLOOKUP($A32,FY16ProjSCH!$A$3:$S$23,MATCH(P$28,FY16ProjSCH!$A$2:$S$2,0),FALSE)</f>
        <v>549.21116247223279</v>
      </c>
      <c r="Q32" s="410">
        <f>+GPpcntSCH*(VLOOKUP($A32,FY16ProjRev0!$A$4:$I$24,9,FALSE))*VLOOKUP($A32,FY16ProjSCH!$A$3:$S$23,MATCH(Q$28,FY16ProjSCH!$A$2:$S$2,0),FALSE)</f>
        <v>33959.556879533062</v>
      </c>
      <c r="R32" s="410">
        <f>+GPpcntSCH*(VLOOKUP($A32,FY16ProjRev0!$A$4:$I$24,9,FALSE))*VLOOKUP($A32,FY16ProjSCH!$A$3:$S$23,MATCH(R$28,FY16ProjSCH!$A$2:$S$2,0),FALSE)</f>
        <v>0</v>
      </c>
      <c r="S32" s="410">
        <f>+GPpcntSCH*(VLOOKUP($A32,FY16ProjRev0!$A$4:$I$24,9,FALSE))*VLOOKUP($A32,FY16ProjSCH!$A$3:$S$23,MATCH(S$28,FY16ProjSCH!$A$2:$S$2,0),FALSE)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+GPpcntSCH*(VLOOKUP($A33,FY16ProjRev0!$A$4:$I$24,9,FALSE))*VLOOKUP($A33,FY16ProjSCH!$A$3:$S$23,MATCH(C$28,FY16ProjSCH!$A$2:$S$2,0),FALSE)</f>
        <v>618.63594378831669</v>
      </c>
      <c r="D33" s="443">
        <f>+GPpcntSCH*(VLOOKUP($A33,FY16ProjRev0!$A$4:$I$24,9,FALSE))*VLOOKUP($A33,FY16ProjSCH!$A$3:$S$23,MATCH(D$28,FY16ProjSCH!$A$2:$S$2,0),FALSE)</f>
        <v>42818.444966491355</v>
      </c>
      <c r="E33" s="443">
        <f>+GPpcntSCH*(VLOOKUP($A33,FY16ProjRev0!$A$4:$I$24,9,FALSE))*VLOOKUP($A33,FY16ProjSCH!$A$3:$S$23,MATCH(E$28,FY16ProjSCH!$A$2:$S$2,0),FALSE)</f>
        <v>1148.8953241783026</v>
      </c>
      <c r="F33" s="443">
        <f>+GPpcntSCH*(VLOOKUP($A33,FY16ProjRev0!$A$4:$I$24,9,FALSE))*VLOOKUP($A33,FY16ProjSCH!$A$3:$S$23,MATCH(F$28,FY16ProjSCH!$A$2:$S$2,0),FALSE)</f>
        <v>662.82422548748218</v>
      </c>
      <c r="G33" s="443">
        <f>+GPpcntSCH*(VLOOKUP($A33,FY16ProjRev0!$A$4:$I$24,9,FALSE))*VLOOKUP($A33,FY16ProjSCH!$A$3:$S$23,MATCH(G$28,FY16ProjSCH!$A$2:$S$2,0),FALSE)</f>
        <v>4683.9578601115409</v>
      </c>
      <c r="H33" s="443">
        <f>+GPpcntSCH*(VLOOKUP($A33,FY16ProjRev0!$A$4:$I$24,9,FALSE))*VLOOKUP($A33,FY16ProjSCH!$A$3:$S$23,MATCH(H$28,FY16ProjSCH!$A$2:$S$2,0),FALSE)</f>
        <v>660128.74030383315</v>
      </c>
      <c r="I33" s="443">
        <f>+GPpcntSCH*(VLOOKUP($A33,FY16ProjRev0!$A$4:$I$24,9,FALSE))*VLOOKUP($A33,FY16ProjSCH!$A$3:$S$23,MATCH(I$28,FY16ProjSCH!$A$2:$S$2,0),FALSE)</f>
        <v>0</v>
      </c>
      <c r="J33" s="443">
        <f>+GPpcntSCH*(VLOOKUP($A33,FY16ProjRev0!$A$4:$I$24,9,FALSE))*VLOOKUP($A33,FY16ProjSCH!$A$3:$S$23,MATCH(J$28,FY16ProjSCH!$A$2:$S$2,0),FALSE)</f>
        <v>1104.707042479137</v>
      </c>
      <c r="K33" s="443">
        <f>+GPpcntSCH*(VLOOKUP($A33,FY16ProjRev0!$A$4:$I$24,9,FALSE))*VLOOKUP($A33,FY16ProjSCH!$A$3:$S$23,MATCH(K$28,FY16ProjSCH!$A$2:$S$2,0),FALSE)</f>
        <v>6716.6188182731539</v>
      </c>
      <c r="L33" s="443">
        <f>+GPpcntSCH*(VLOOKUP($A33,FY16ProjRev0!$A$4:$I$24,9,FALSE))*VLOOKUP($A33,FY16ProjSCH!$A$3:$S$23,MATCH(L$28,FY16ProjSCH!$A$2:$S$2,0),FALSE)</f>
        <v>0</v>
      </c>
      <c r="M33" s="443">
        <f>+GPpcntSCH*(VLOOKUP($A33,FY16ProjRev0!$A$4:$I$24,9,FALSE))*VLOOKUP($A33,FY16ProjSCH!$A$3:$S$23,MATCH(M$28,FY16ProjSCH!$A$2:$S$2,0),FALSE)</f>
        <v>0</v>
      </c>
      <c r="N33" s="443">
        <f>+GPpcntSCH*(VLOOKUP($A33,FY16ProjRev0!$A$4:$I$24,9,FALSE))*VLOOKUP($A33,FY16ProjSCH!$A$3:$S$23,MATCH(N$28,FY16ProjSCH!$A$2:$S$2,0),FALSE)</f>
        <v>1369.83673267413</v>
      </c>
      <c r="O33" s="443">
        <f>+GPpcntSCH*(VLOOKUP($A33,FY16ProjRev0!$A$4:$I$24,9,FALSE))*VLOOKUP($A33,FY16ProjSCH!$A$3:$S$23,MATCH(O$28,FY16ProjSCH!$A$2:$S$2,0),FALSE)</f>
        <v>0</v>
      </c>
      <c r="P33" s="443">
        <f>+GPpcntSCH*(VLOOKUP($A33,FY16ProjRev0!$A$4:$I$24,9,FALSE))*VLOOKUP($A33,FY16ProjSCH!$A$3:$S$23,MATCH(P$28,FY16ProjSCH!$A$2:$S$2,0),FALSE)</f>
        <v>0</v>
      </c>
      <c r="Q33" s="443">
        <f>+GPpcntSCH*(VLOOKUP($A33,FY16ProjRev0!$A$4:$I$24,9,FALSE))*VLOOKUP($A33,FY16ProjSCH!$A$3:$S$23,MATCH(Q$28,FY16ProjSCH!$A$2:$S$2,0),FALSE)</f>
        <v>1546.5898594707919</v>
      </c>
      <c r="R33" s="443">
        <f>+GPpcntSCH*(VLOOKUP($A33,FY16ProjRev0!$A$4:$I$24,9,FALSE))*VLOOKUP($A33,FY16ProjSCH!$A$3:$S$23,MATCH(R$28,FY16ProjSCH!$A$2:$S$2,0),FALSE)</f>
        <v>132.56484509749643</v>
      </c>
      <c r="S33" s="443">
        <f>+GPpcntSCH*(VLOOKUP($A33,FY16ProjRev0!$A$4:$I$24,9,FALSE))*VLOOKUP($A33,FY16ProjSCH!$A$3:$S$23,MATCH(S$28,FY16ProjSCH!$A$2:$S$2,0),FALSE)</f>
        <v>1767.5312679666192</v>
      </c>
      <c r="T33" s="444">
        <f t="shared" si="4"/>
        <v>722699.34718985157</v>
      </c>
    </row>
    <row r="34" spans="1:91" s="18" customFormat="1" ht="20.100000000000001" customHeight="1">
      <c r="A34" s="404" t="s">
        <v>132</v>
      </c>
      <c r="B34" s="440" t="s">
        <v>206</v>
      </c>
      <c r="C34" s="410">
        <f>+GPpcntSCH*(VLOOKUP($A34,FY16ProjRev0!$A$4:$I$24,9,FALSE))*VLOOKUP($A34,FY16ProjSCH!$A$3:$S$23,MATCH(C$28,FY16ProjSCH!$A$2:$S$2,0),FALSE)</f>
        <v>0</v>
      </c>
      <c r="D34" s="410">
        <f>+GPpcntSCH*(VLOOKUP($A34,FY16ProjRev0!$A$4:$I$24,9,FALSE))*VLOOKUP($A34,FY16ProjSCH!$A$3:$S$23,MATCH(D$28,FY16ProjSCH!$A$2:$S$2,0),FALSE)</f>
        <v>28139.129030396929</v>
      </c>
      <c r="E34" s="410">
        <f>+GPpcntSCH*(VLOOKUP($A34,FY16ProjRev0!$A$4:$I$24,9,FALSE))*VLOOKUP($A34,FY16ProjSCH!$A$3:$S$23,MATCH(E$28,FY16ProjSCH!$A$2:$S$2,0),FALSE)</f>
        <v>179.51597467557846</v>
      </c>
      <c r="F34" s="410">
        <f>+GPpcntSCH*(VLOOKUP($A34,FY16ProjRev0!$A$4:$I$24,9,FALSE))*VLOOKUP($A34,FY16ProjSCH!$A$3:$S$23,MATCH(F$28,FY16ProjSCH!$A$2:$S$2,0),FALSE)</f>
        <v>846731.97355103481</v>
      </c>
      <c r="G34" s="410">
        <f>+GPpcntSCH*(VLOOKUP($A34,FY16ProjRev0!$A$4:$I$24,9,FALSE))*VLOOKUP($A34,FY16ProjSCH!$A$3:$S$23,MATCH(G$28,FY16ProjSCH!$A$2:$S$2,0),FALSE)</f>
        <v>314.1529556822623</v>
      </c>
      <c r="H34" s="410">
        <f>+GPpcntSCH*(VLOOKUP($A34,FY16ProjRev0!$A$4:$I$24,9,FALSE))*VLOOKUP($A34,FY16ProjSCH!$A$3:$S$23,MATCH(H$28,FY16ProjSCH!$A$2:$S$2,0),FALSE)</f>
        <v>3859.5934555249373</v>
      </c>
      <c r="I34" s="410">
        <f>+GPpcntSCH*(VLOOKUP($A34,FY16ProjRev0!$A$4:$I$24,9,FALSE))*VLOOKUP($A34,FY16ProjSCH!$A$3:$S$23,MATCH(I$28,FY16ProjSCH!$A$2:$S$2,0),FALSE)</f>
        <v>762.94289237120859</v>
      </c>
      <c r="J34" s="410">
        <f>+GPpcntSCH*(VLOOKUP($A34,FY16ProjRev0!$A$4:$I$24,9,FALSE))*VLOOKUP($A34,FY16ProjSCH!$A$3:$S$23,MATCH(J$28,FY16ProjSCH!$A$2:$S$2,0),FALSE)</f>
        <v>0</v>
      </c>
      <c r="K34" s="410">
        <f>+GPpcntSCH*(VLOOKUP($A34,FY16ProjRev0!$A$4:$I$24,9,FALSE))*VLOOKUP($A34,FY16ProjSCH!$A$3:$S$23,MATCH(K$28,FY16ProjSCH!$A$2:$S$2,0),FALSE)</f>
        <v>5924.0271642940897</v>
      </c>
      <c r="L34" s="410">
        <f>+GPpcntSCH*(VLOOKUP($A34,FY16ProjRev0!$A$4:$I$24,9,FALSE))*VLOOKUP($A34,FY16ProjSCH!$A$3:$S$23,MATCH(L$28,FY16ProjSCH!$A$2:$S$2,0),FALSE)</f>
        <v>2737.6186138025719</v>
      </c>
      <c r="M34" s="410">
        <f>+GPpcntSCH*(VLOOKUP($A34,FY16ProjRev0!$A$4:$I$24,9,FALSE))*VLOOKUP($A34,FY16ProjSCH!$A$3:$S$23,MATCH(M$28,FY16ProjSCH!$A$2:$S$2,0),FALSE)</f>
        <v>0</v>
      </c>
      <c r="N34" s="410">
        <f>+GPpcntSCH*(VLOOKUP($A34,FY16ProjRev0!$A$4:$I$24,9,FALSE))*VLOOKUP($A34,FY16ProjSCH!$A$3:$S$23,MATCH(N$28,FY16ProjSCH!$A$2:$S$2,0),FALSE)</f>
        <v>1211.7328290601547</v>
      </c>
      <c r="O34" s="410">
        <f>+GPpcntSCH*(VLOOKUP($A34,FY16ProjRev0!$A$4:$I$24,9,FALSE))*VLOOKUP($A34,FY16ProjSCH!$A$3:$S$23,MATCH(O$28,FY16ProjSCH!$A$2:$S$2,0),FALSE)</f>
        <v>448.78993668894617</v>
      </c>
      <c r="P34" s="410">
        <f>+GPpcntSCH*(VLOOKUP($A34,FY16ProjRev0!$A$4:$I$24,9,FALSE))*VLOOKUP($A34,FY16ProjSCH!$A$3:$S$23,MATCH(P$28,FY16ProjSCH!$A$2:$S$2,0),FALSE)</f>
        <v>0</v>
      </c>
      <c r="Q34" s="410">
        <f>+GPpcntSCH*(VLOOKUP($A34,FY16ProjRev0!$A$4:$I$24,9,FALSE))*VLOOKUP($A34,FY16ProjSCH!$A$3:$S$23,MATCH(Q$28,FY16ProjSCH!$A$2:$S$2,0),FALSE)</f>
        <v>1615.6437720802064</v>
      </c>
      <c r="R34" s="410">
        <f>+GPpcntSCH*(VLOOKUP($A34,FY16ProjRev0!$A$4:$I$24,9,FALSE))*VLOOKUP($A34,FY16ProjSCH!$A$3:$S$23,MATCH(R$28,FY16ProjSCH!$A$2:$S$2,0),FALSE)</f>
        <v>0</v>
      </c>
      <c r="S34" s="410">
        <f>+GPpcntSCH*(VLOOKUP($A34,FY16ProjRev0!$A$4:$I$24,9,FALSE))*VLOOKUP($A34,FY16ProjSCH!$A$3:$S$23,MATCH(S$28,FY16ProjSCH!$A$2:$S$2,0),FALSE)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+GPpcntSCH*(VLOOKUP($A35,FY16ProjRev0!$A$4:$I$24,9,FALSE))*VLOOKUP($A35,FY16ProjSCH!$A$3:$S$23,MATCH(C$28,FY16ProjSCH!$A$2:$S$2,0),FALSE)</f>
        <v>0</v>
      </c>
      <c r="D35" s="443">
        <f>+GPpcntSCH*(VLOOKUP($A35,FY16ProjRev0!$A$4:$I$24,9,FALSE))*VLOOKUP($A35,FY16ProjSCH!$A$3:$S$23,MATCH(D$28,FY16ProjSCH!$A$2:$S$2,0),FALSE)</f>
        <v>0</v>
      </c>
      <c r="E35" s="443">
        <f>+GPpcntSCH*(VLOOKUP($A35,FY16ProjRev0!$A$4:$I$24,9,FALSE))*VLOOKUP($A35,FY16ProjSCH!$A$3:$S$23,MATCH(E$28,FY16ProjSCH!$A$2:$S$2,0),FALSE)</f>
        <v>0</v>
      </c>
      <c r="F35" s="443">
        <f>+GPpcntSCH*(VLOOKUP($A35,FY16ProjRev0!$A$4:$I$24,9,FALSE))*VLOOKUP($A35,FY16ProjSCH!$A$3:$S$23,MATCH(F$28,FY16ProjSCH!$A$2:$S$2,0),FALSE)</f>
        <v>0</v>
      </c>
      <c r="G35" s="443">
        <f>+GPpcntSCH*(VLOOKUP($A35,FY16ProjRev0!$A$4:$I$24,9,FALSE))*VLOOKUP($A35,FY16ProjSCH!$A$3:$S$23,MATCH(G$28,FY16ProjSCH!$A$2:$S$2,0),FALSE)</f>
        <v>0</v>
      </c>
      <c r="H35" s="443">
        <f>+GPpcntSCH*(VLOOKUP($A35,FY16ProjRev0!$A$4:$I$24,9,FALSE))*VLOOKUP($A35,FY16ProjSCH!$A$3:$S$23,MATCH(H$28,FY16ProjSCH!$A$2:$S$2,0),FALSE)</f>
        <v>0</v>
      </c>
      <c r="I35" s="443">
        <f>+GPpcntSCH*(VLOOKUP($A35,FY16ProjRev0!$A$4:$I$24,9,FALSE))*VLOOKUP($A35,FY16ProjSCH!$A$3:$S$23,MATCH(I$28,FY16ProjSCH!$A$2:$S$2,0),FALSE)</f>
        <v>1055.4042833916644</v>
      </c>
      <c r="J35" s="443">
        <f>+GPpcntSCH*(VLOOKUP($A35,FY16ProjRev0!$A$4:$I$24,9,FALSE))*VLOOKUP($A35,FY16ProjSCH!$A$3:$S$23,MATCH(J$28,FY16ProjSCH!$A$2:$S$2,0),FALSE)</f>
        <v>0</v>
      </c>
      <c r="K35" s="443">
        <f>+GPpcntSCH*(VLOOKUP($A35,FY16ProjRev0!$A$4:$I$24,9,FALSE))*VLOOKUP($A35,FY16ProjSCH!$A$3:$S$23,MATCH(K$28,FY16ProjSCH!$A$2:$S$2,0),FALSE)</f>
        <v>0</v>
      </c>
      <c r="L35" s="443">
        <f>+GPpcntSCH*(VLOOKUP($A35,FY16ProjRev0!$A$4:$I$24,9,FALSE))*VLOOKUP($A35,FY16ProjSCH!$A$3:$S$23,MATCH(L$28,FY16ProjSCH!$A$2:$S$2,0),FALSE)</f>
        <v>0</v>
      </c>
      <c r="M35" s="443">
        <f>+GPpcntSCH*(VLOOKUP($A35,FY16ProjRev0!$A$4:$I$24,9,FALSE))*VLOOKUP($A35,FY16ProjSCH!$A$3:$S$23,MATCH(M$28,FY16ProjSCH!$A$2:$S$2,0),FALSE)</f>
        <v>0</v>
      </c>
      <c r="N35" s="443">
        <f>+GPpcntSCH*(VLOOKUP($A35,FY16ProjRev0!$A$4:$I$24,9,FALSE))*VLOOKUP($A35,FY16ProjSCH!$A$3:$S$23,MATCH(N$28,FY16ProjSCH!$A$2:$S$2,0),FALSE)</f>
        <v>0</v>
      </c>
      <c r="O35" s="443">
        <f>+GPpcntSCH*(VLOOKUP($A35,FY16ProjRev0!$A$4:$I$24,9,FALSE))*VLOOKUP($A35,FY16ProjSCH!$A$3:$S$23,MATCH(O$28,FY16ProjSCH!$A$2:$S$2,0),FALSE)</f>
        <v>0</v>
      </c>
      <c r="P35" s="443">
        <f>+GPpcntSCH*(VLOOKUP($A35,FY16ProjRev0!$A$4:$I$24,9,FALSE))*VLOOKUP($A35,FY16ProjSCH!$A$3:$S$23,MATCH(P$28,FY16ProjSCH!$A$2:$S$2,0),FALSE)</f>
        <v>0</v>
      </c>
      <c r="Q35" s="443">
        <f>+GPpcntSCH*(VLOOKUP($A35,FY16ProjRev0!$A$4:$I$24,9,FALSE))*VLOOKUP($A35,FY16ProjSCH!$A$3:$S$23,MATCH(Q$28,FY16ProjSCH!$A$2:$S$2,0),FALSE)</f>
        <v>0</v>
      </c>
      <c r="R35" s="443">
        <f>+GPpcntSCH*(VLOOKUP($A35,FY16ProjRev0!$A$4:$I$24,9,FALSE))*VLOOKUP($A35,FY16ProjSCH!$A$3:$S$23,MATCH(R$28,FY16ProjSCH!$A$2:$S$2,0),FALSE)</f>
        <v>0</v>
      </c>
      <c r="S35" s="443">
        <f>+GPpcntSCH*(VLOOKUP($A35,FY16ProjRev0!$A$4:$I$24,9,FALSE))*VLOOKUP($A35,FY16ProjSCH!$A$3:$S$23,MATCH(S$28,FY16ProjSCH!$A$2:$S$2,0),FALSE)</f>
        <v>0</v>
      </c>
      <c r="T35" s="444">
        <f t="shared" si="4"/>
        <v>1055.4042833916644</v>
      </c>
    </row>
    <row r="36" spans="1:91" s="18" customFormat="1" ht="20.100000000000001" customHeight="1">
      <c r="A36" s="404" t="s">
        <v>135</v>
      </c>
      <c r="B36" s="440" t="s">
        <v>70</v>
      </c>
      <c r="C36" s="410">
        <f>+GPpcntSCH*(VLOOKUP($A36,FY16ProjRev0!$A$4:$I$24,9,FALSE))*VLOOKUP($A36,FY16ProjSCH!$A$3:$S$23,MATCH(C$28,FY16ProjSCH!$A$2:$S$2,0),FALSE)</f>
        <v>118.46815527494647</v>
      </c>
      <c r="D36" s="410">
        <f>+GPpcntSCH*(VLOOKUP($A36,FY16ProjRev0!$A$4:$I$24,9,FALSE))*VLOOKUP($A36,FY16ProjSCH!$A$3:$S$23,MATCH(D$28,FY16ProjSCH!$A$2:$S$2,0),FALSE)</f>
        <v>6101.109996659743</v>
      </c>
      <c r="E36" s="410">
        <f>+GPpcntSCH*(VLOOKUP($A36,FY16ProjRev0!$A$4:$I$24,9,FALSE))*VLOOKUP($A36,FY16ProjSCH!$A$3:$S$23,MATCH(E$28,FY16ProjSCH!$A$2:$S$2,0),FALSE)</f>
        <v>0</v>
      </c>
      <c r="F36" s="410">
        <f>+GPpcntSCH*(VLOOKUP($A36,FY16ProjRev0!$A$4:$I$24,9,FALSE))*VLOOKUP($A36,FY16ProjSCH!$A$3:$S$23,MATCH(F$28,FY16ProjSCH!$A$2:$S$2,0),FALSE)</f>
        <v>888.51116456209843</v>
      </c>
      <c r="G36" s="410">
        <f>+GPpcntSCH*(VLOOKUP($A36,FY16ProjRev0!$A$4:$I$24,9,FALSE))*VLOOKUP($A36,FY16ProjSCH!$A$3:$S$23,MATCH(G$28,FY16ProjSCH!$A$2:$S$2,0),FALSE)</f>
        <v>0</v>
      </c>
      <c r="H36" s="410">
        <f>+GPpcntSCH*(VLOOKUP($A36,FY16ProjRev0!$A$4:$I$24,9,FALSE))*VLOOKUP($A36,FY16ProjSCH!$A$3:$S$23,MATCH(H$28,FY16ProjSCH!$A$2:$S$2,0),FALSE)</f>
        <v>177.7022329124197</v>
      </c>
      <c r="I36" s="410">
        <f>+GPpcntSCH*(VLOOKUP($A36,FY16ProjRev0!$A$4:$I$24,9,FALSE))*VLOOKUP($A36,FY16ProjSCH!$A$3:$S$23,MATCH(I$28,FY16ProjSCH!$A$2:$S$2,0),FALSE)</f>
        <v>0</v>
      </c>
      <c r="J36" s="410">
        <f>+GPpcntSCH*(VLOOKUP($A36,FY16ProjRev0!$A$4:$I$24,9,FALSE))*VLOOKUP($A36,FY16ProjSCH!$A$3:$S$23,MATCH(J$28,FY16ProjSCH!$A$2:$S$2,0),FALSE)</f>
        <v>0</v>
      </c>
      <c r="K36" s="410">
        <f>+GPpcntSCH*(VLOOKUP($A36,FY16ProjRev0!$A$4:$I$24,9,FALSE))*VLOOKUP($A36,FY16ProjSCH!$A$3:$S$23,MATCH(K$28,FY16ProjSCH!$A$2:$S$2,0),FALSE)</f>
        <v>1895.4904843991435</v>
      </c>
      <c r="L36" s="410">
        <f>+GPpcntSCH*(VLOOKUP($A36,FY16ProjRev0!$A$4:$I$24,9,FALSE))*VLOOKUP($A36,FY16ProjSCH!$A$3:$S$23,MATCH(L$28,FY16ProjSCH!$A$2:$S$2,0),FALSE)</f>
        <v>582981.79210801155</v>
      </c>
      <c r="M36" s="410">
        <f>+GPpcntSCH*(VLOOKUP($A36,FY16ProjRev0!$A$4:$I$24,9,FALSE))*VLOOKUP($A36,FY16ProjSCH!$A$3:$S$23,MATCH(M$28,FY16ProjSCH!$A$2:$S$2,0),FALSE)</f>
        <v>0</v>
      </c>
      <c r="N36" s="410">
        <f>+GPpcntSCH*(VLOOKUP($A36,FY16ProjRev0!$A$4:$I$24,9,FALSE))*VLOOKUP($A36,FY16ProjSCH!$A$3:$S$23,MATCH(N$28,FY16ProjSCH!$A$2:$S$2,0),FALSE)</f>
        <v>7048.8552388593143</v>
      </c>
      <c r="O36" s="410">
        <f>+GPpcntSCH*(VLOOKUP($A36,FY16ProjRev0!$A$4:$I$24,9,FALSE))*VLOOKUP($A36,FY16ProjSCH!$A$3:$S$23,MATCH(O$28,FY16ProjSCH!$A$2:$S$2,0),FALSE)</f>
        <v>118.46815527494647</v>
      </c>
      <c r="P36" s="410">
        <f>+GPpcntSCH*(VLOOKUP($A36,FY16ProjRev0!$A$4:$I$24,9,FALSE))*VLOOKUP($A36,FY16ProjSCH!$A$3:$S$23,MATCH(P$28,FY16ProjSCH!$A$2:$S$2,0),FALSE)</f>
        <v>0</v>
      </c>
      <c r="Q36" s="410">
        <f>+GPpcntSCH*(VLOOKUP($A36,FY16ProjRev0!$A$4:$I$24,9,FALSE))*VLOOKUP($A36,FY16ProjSCH!$A$3:$S$23,MATCH(Q$28,FY16ProjSCH!$A$2:$S$2,0),FALSE)</f>
        <v>11136.006595844967</v>
      </c>
      <c r="R36" s="410">
        <f>+GPpcntSCH*(VLOOKUP($A36,FY16ProjRev0!$A$4:$I$24,9,FALSE))*VLOOKUP($A36,FY16ProjSCH!$A$3:$S$23,MATCH(R$28,FY16ProjSCH!$A$2:$S$2,0),FALSE)</f>
        <v>0</v>
      </c>
      <c r="S36" s="410">
        <f>+GPpcntSCH*(VLOOKUP($A36,FY16ProjRev0!$A$4:$I$24,9,FALSE))*VLOOKUP($A36,FY16ProjSCH!$A$3:$S$23,MATCH(S$28,FY16ProjSCH!$A$2:$S$2,0),FALSE)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+GPpcntSCH*(VLOOKUP($A37,FY16ProjRev0!$A$4:$I$24,9,FALSE))*VLOOKUP($A37,FY16ProjSCH!$A$3:$S$23,MATCH(C$28,FY16ProjSCH!$A$2:$S$2,0),FALSE)</f>
        <v>144.91642426869643</v>
      </c>
      <c r="D37" s="443">
        <f>+GPpcntSCH*(VLOOKUP($A37,FY16ProjRev0!$A$4:$I$24,9,FALSE))*VLOOKUP($A37,FY16ProjSCH!$A$3:$S$23,MATCH(D$28,FY16ProjSCH!$A$2:$S$2,0),FALSE)</f>
        <v>26133.261843121592</v>
      </c>
      <c r="E37" s="443">
        <f>+GPpcntSCH*(VLOOKUP($A37,FY16ProjRev0!$A$4:$I$24,9,FALSE))*VLOOKUP($A37,FY16ProjSCH!$A$3:$S$23,MATCH(E$28,FY16ProjSCH!$A$2:$S$2,0),FALSE)</f>
        <v>289.83284853739286</v>
      </c>
      <c r="F37" s="443">
        <f>+GPpcntSCH*(VLOOKUP($A37,FY16ProjRev0!$A$4:$I$24,9,FALSE))*VLOOKUP($A37,FY16ProjSCH!$A$3:$S$23,MATCH(F$28,FY16ProjSCH!$A$2:$S$2,0),FALSE)</f>
        <v>289.83284853739286</v>
      </c>
      <c r="G37" s="443">
        <f>+GPpcntSCH*(VLOOKUP($A37,FY16ProjRev0!$A$4:$I$24,9,FALSE))*VLOOKUP($A37,FY16ProjSCH!$A$3:$S$23,MATCH(G$28,FY16ProjSCH!$A$2:$S$2,0),FALSE)</f>
        <v>2270.357313542911</v>
      </c>
      <c r="H37" s="443">
        <f>+GPpcntSCH*(VLOOKUP($A37,FY16ProjRev0!$A$4:$I$24,9,FALSE))*VLOOKUP($A37,FY16ProjSCH!$A$3:$S$23,MATCH(H$28,FY16ProjSCH!$A$2:$S$2,0),FALSE)</f>
        <v>1400.858767930732</v>
      </c>
      <c r="I37" s="443">
        <f>+GPpcntSCH*(VLOOKUP($A37,FY16ProjRev0!$A$4:$I$24,9,FALSE))*VLOOKUP($A37,FY16ProjSCH!$A$3:$S$23,MATCH(I$28,FY16ProjSCH!$A$2:$S$2,0),FALSE)</f>
        <v>193.22189902492858</v>
      </c>
      <c r="J37" s="443">
        <f>+GPpcntSCH*(VLOOKUP($A37,FY16ProjRev0!$A$4:$I$24,9,FALSE))*VLOOKUP($A37,FY16ProjSCH!$A$3:$S$23,MATCH(J$28,FY16ProjSCH!$A$2:$S$2,0),FALSE)</f>
        <v>241.52737378116072</v>
      </c>
      <c r="K37" s="443">
        <f>+GPpcntSCH*(VLOOKUP($A37,FY16ProjRev0!$A$4:$I$24,9,FALSE))*VLOOKUP($A37,FY16ProjSCH!$A$3:$S$23,MATCH(K$28,FY16ProjSCH!$A$2:$S$2,0),FALSE)</f>
        <v>1545.7751921994286</v>
      </c>
      <c r="L37" s="443">
        <f>+GPpcntSCH*(VLOOKUP($A37,FY16ProjRev0!$A$4:$I$24,9,FALSE))*VLOOKUP($A37,FY16ProjSCH!$A$3:$S$23,MATCH(L$28,FY16ProjSCH!$A$2:$S$2,0),FALSE)</f>
        <v>434.74927280608927</v>
      </c>
      <c r="M37" s="443">
        <f>+GPpcntSCH*(VLOOKUP($A37,FY16ProjRev0!$A$4:$I$24,9,FALSE))*VLOOKUP($A37,FY16ProjSCH!$A$3:$S$23,MATCH(M$28,FY16ProjSCH!$A$2:$S$2,0),FALSE)</f>
        <v>96.610949512464288</v>
      </c>
      <c r="N37" s="443">
        <f>+GPpcntSCH*(VLOOKUP($A37,FY16ProjRev0!$A$4:$I$24,9,FALSE))*VLOOKUP($A37,FY16ProjSCH!$A$3:$S$23,MATCH(N$28,FY16ProjSCH!$A$2:$S$2,0),FALSE)</f>
        <v>13018.325446804563</v>
      </c>
      <c r="O37" s="443">
        <f>+GPpcntSCH*(VLOOKUP($A37,FY16ProjRev0!$A$4:$I$24,9,FALSE))*VLOOKUP($A37,FY16ProjSCH!$A$3:$S$23,MATCH(O$28,FY16ProjSCH!$A$2:$S$2,0),FALSE)</f>
        <v>193.22189902492858</v>
      </c>
      <c r="P37" s="443">
        <f>+GPpcntSCH*(VLOOKUP($A37,FY16ProjRev0!$A$4:$I$24,9,FALSE))*VLOOKUP($A37,FY16ProjSCH!$A$3:$S$23,MATCH(P$28,FY16ProjSCH!$A$2:$S$2,0),FALSE)</f>
        <v>2608.4956368365361</v>
      </c>
      <c r="Q37" s="443">
        <f>+GPpcntSCH*(VLOOKUP($A37,FY16ProjRev0!$A$4:$I$24,9,FALSE))*VLOOKUP($A37,FY16ProjSCH!$A$3:$S$23,MATCH(Q$28,FY16ProjSCH!$A$2:$S$2,0),FALSE)</f>
        <v>423180.11160197167</v>
      </c>
      <c r="R37" s="443">
        <f>+GPpcntSCH*(VLOOKUP($A37,FY16ProjRev0!$A$4:$I$24,9,FALSE))*VLOOKUP($A37,FY16ProjSCH!$A$3:$S$23,MATCH(R$28,FY16ProjSCH!$A$2:$S$2,0),FALSE)</f>
        <v>0</v>
      </c>
      <c r="S37" s="443">
        <f>+GPpcntSCH*(VLOOKUP($A37,FY16ProjRev0!$A$4:$I$24,9,FALSE))*VLOOKUP($A37,FY16ProjSCH!$A$3:$S$23,MATCH(S$28,FY16ProjSCH!$A$2:$S$2,0),FALSE)</f>
        <v>869.49854561217853</v>
      </c>
      <c r="T37" s="444">
        <f t="shared" si="4"/>
        <v>472910.59786351264</v>
      </c>
    </row>
    <row r="38" spans="1:91" s="18" customFormat="1" ht="20.100000000000001" customHeight="1">
      <c r="A38" s="404" t="s">
        <v>137</v>
      </c>
      <c r="B38" s="440" t="s">
        <v>49</v>
      </c>
      <c r="C38" s="410">
        <f>+GPpcntSCH*(VLOOKUP($A38,FY16ProjRev0!$A$4:$I$24,9,FALSE))*VLOOKUP($A38,FY16ProjSCH!$A$3:$S$23,MATCH(C$28,FY16ProjSCH!$A$2:$S$2,0),FALSE)</f>
        <v>1058.9883977142463</v>
      </c>
      <c r="D38" s="410">
        <f>+GPpcntSCH*(VLOOKUP($A38,FY16ProjRev0!$A$4:$I$24,9,FALSE))*VLOOKUP($A38,FY16ProjSCH!$A$3:$S$23,MATCH(D$28,FY16ProjSCH!$A$2:$S$2,0),FALSE)</f>
        <v>7046.345877098639</v>
      </c>
      <c r="E38" s="410">
        <f>+GPpcntSCH*(VLOOKUP($A38,FY16ProjRev0!$A$4:$I$24,9,FALSE))*VLOOKUP($A38,FY16ProjSCH!$A$3:$S$23,MATCH(E$28,FY16ProjSCH!$A$2:$S$2,0),FALSE)</f>
        <v>0</v>
      </c>
      <c r="F38" s="410">
        <f>+GPpcntSCH*(VLOOKUP($A38,FY16ProjRev0!$A$4:$I$24,9,FALSE))*VLOOKUP($A38,FY16ProjSCH!$A$3:$S$23,MATCH(F$28,FY16ProjSCH!$A$2:$S$2,0),FALSE)</f>
        <v>122.19096896702844</v>
      </c>
      <c r="G38" s="410">
        <f>+GPpcntSCH*(VLOOKUP($A38,FY16ProjRev0!$A$4:$I$24,9,FALSE))*VLOOKUP($A38,FY16ProjSCH!$A$3:$S$23,MATCH(G$28,FY16ProjSCH!$A$2:$S$2,0),FALSE)</f>
        <v>1262.6400126592939</v>
      </c>
      <c r="H38" s="410">
        <f>+GPpcntSCH*(VLOOKUP($A38,FY16ProjRev0!$A$4:$I$24,9,FALSE))*VLOOKUP($A38,FY16ProjSCH!$A$3:$S$23,MATCH(H$28,FY16ProjSCH!$A$2:$S$2,0),FALSE)</f>
        <v>407.30322989009477</v>
      </c>
      <c r="I38" s="410">
        <f>+GPpcntSCH*(VLOOKUP($A38,FY16ProjRev0!$A$4:$I$24,9,FALSE))*VLOOKUP($A38,FY16ProjSCH!$A$3:$S$23,MATCH(I$28,FY16ProjSCH!$A$2:$S$2,0),FALSE)</f>
        <v>0</v>
      </c>
      <c r="J38" s="410">
        <f>+GPpcntSCH*(VLOOKUP($A38,FY16ProjRev0!$A$4:$I$24,9,FALSE))*VLOOKUP($A38,FY16ProjSCH!$A$3:$S$23,MATCH(J$28,FY16ProjSCH!$A$2:$S$2,0),FALSE)</f>
        <v>773.8761367911801</v>
      </c>
      <c r="K38" s="410">
        <f>+GPpcntSCH*(VLOOKUP($A38,FY16ProjRev0!$A$4:$I$24,9,FALSE))*VLOOKUP($A38,FY16ProjSCH!$A$3:$S$23,MATCH(K$28,FY16ProjSCH!$A$2:$S$2,0),FALSE)</f>
        <v>1384.8309816263222</v>
      </c>
      <c r="L38" s="410">
        <f>+GPpcntSCH*(VLOOKUP($A38,FY16ProjRev0!$A$4:$I$24,9,FALSE))*VLOOKUP($A38,FY16ProjSCH!$A$3:$S$23,MATCH(L$28,FY16ProjSCH!$A$2:$S$2,0),FALSE)</f>
        <v>3095.5045471647204</v>
      </c>
      <c r="M38" s="410">
        <f>+GPpcntSCH*(VLOOKUP($A38,FY16ProjRev0!$A$4:$I$24,9,FALSE))*VLOOKUP($A38,FY16ProjSCH!$A$3:$S$23,MATCH(M$28,FY16ProjSCH!$A$2:$S$2,0),FALSE)</f>
        <v>366.57290690108528</v>
      </c>
      <c r="N38" s="410">
        <f>+GPpcntSCH*(VLOOKUP($A38,FY16ProjRev0!$A$4:$I$24,9,FALSE))*VLOOKUP($A38,FY16ProjSCH!$A$3:$S$23,MATCH(N$28,FY16ProjSCH!$A$2:$S$2,0),FALSE)</f>
        <v>44172.035281580778</v>
      </c>
      <c r="O38" s="410">
        <f>+GPpcntSCH*(VLOOKUP($A38,FY16ProjRev0!$A$4:$I$24,9,FALSE))*VLOOKUP($A38,FY16ProjSCH!$A$3:$S$23,MATCH(O$28,FY16ProjSCH!$A$2:$S$2,0),FALSE)</f>
        <v>407.30322989009477</v>
      </c>
      <c r="P38" s="410">
        <f>+GPpcntSCH*(VLOOKUP($A38,FY16ProjRev0!$A$4:$I$24,9,FALSE))*VLOOKUP($A38,FY16ProjSCH!$A$3:$S$23,MATCH(P$28,FY16ProjSCH!$A$2:$S$2,0),FALSE)</f>
        <v>936.79742874721796</v>
      </c>
      <c r="Q38" s="410">
        <f>+GPpcntSCH*(VLOOKUP($A38,FY16ProjRev0!$A$4:$I$24,9,FALSE))*VLOOKUP($A38,FY16ProjSCH!$A$3:$S$23,MATCH(Q$28,FY16ProjSCH!$A$2:$S$2,0),FALSE)</f>
        <v>191554.70901731157</v>
      </c>
      <c r="R38" s="410">
        <f>+GPpcntSCH*(VLOOKUP($A38,FY16ProjRev0!$A$4:$I$24,9,FALSE))*VLOOKUP($A38,FY16ProjSCH!$A$3:$S$23,MATCH(R$28,FY16ProjSCH!$A$2:$S$2,0),FALSE)</f>
        <v>0</v>
      </c>
      <c r="S38" s="410">
        <f>+GPpcntSCH*(VLOOKUP($A38,FY16ProjRev0!$A$4:$I$24,9,FALSE))*VLOOKUP($A38,FY16ProjSCH!$A$3:$S$23,MATCH(S$28,FY16ProjSCH!$A$2:$S$2,0),FALSE)</f>
        <v>448.03355287910426</v>
      </c>
      <c r="T38" s="441">
        <f t="shared" si="4"/>
        <v>253037.13156922138</v>
      </c>
    </row>
    <row r="39" spans="1:91" ht="20.100000000000001" customHeight="1">
      <c r="A39" s="553" t="s">
        <v>145</v>
      </c>
      <c r="B39" s="442" t="s">
        <v>207</v>
      </c>
      <c r="C39" s="443">
        <f>+GPpcntSCH*(VLOOKUP($A39,FY16ProjRev0!$A$4:$I$24,9,FALSE))*VLOOKUP($A39,FY16ProjSCH!$A$3:$S$23,MATCH(C$28,FY16ProjSCH!$A$2:$S$2,0),FALSE)</f>
        <v>831983.02942494559</v>
      </c>
      <c r="D39" s="443">
        <f>+GPpcntSCH*(VLOOKUP($A39,FY16ProjRev0!$A$4:$I$24,9,FALSE))*VLOOKUP($A39,FY16ProjSCH!$A$3:$S$23,MATCH(D$28,FY16ProjSCH!$A$2:$S$2,0),FALSE)</f>
        <v>15372.77889888541</v>
      </c>
      <c r="E39" s="443">
        <f>+GPpcntSCH*(VLOOKUP($A39,FY16ProjRev0!$A$4:$I$24,9,FALSE))*VLOOKUP($A39,FY16ProjSCH!$A$3:$S$23,MATCH(E$28,FY16ProjSCH!$A$2:$S$2,0),FALSE)</f>
        <v>4460.8510197658552</v>
      </c>
      <c r="F39" s="443">
        <f>+GPpcntSCH*(VLOOKUP($A39,FY16ProjRev0!$A$4:$I$24,9,FALSE))*VLOOKUP($A39,FY16ProjSCH!$A$3:$S$23,MATCH(F$28,FY16ProjSCH!$A$2:$S$2,0),FALSE)</f>
        <v>0</v>
      </c>
      <c r="G39" s="443">
        <f>+GPpcntSCH*(VLOOKUP($A39,FY16ProjRev0!$A$4:$I$24,9,FALSE))*VLOOKUP($A39,FY16ProjSCH!$A$3:$S$23,MATCH(G$28,FY16ProjSCH!$A$2:$S$2,0),FALSE)</f>
        <v>4598.1079742201891</v>
      </c>
      <c r="H39" s="443">
        <f>+GPpcntSCH*(VLOOKUP($A39,FY16ProjRev0!$A$4:$I$24,9,FALSE))*VLOOKUP($A39,FY16ProjSCH!$A$3:$S$23,MATCH(H$28,FY16ProjSCH!$A$2:$S$2,0),FALSE)</f>
        <v>11186.441788028222</v>
      </c>
      <c r="I39" s="443">
        <f>+GPpcntSCH*(VLOOKUP($A39,FY16ProjRev0!$A$4:$I$24,9,FALSE))*VLOOKUP($A39,FY16ProjSCH!$A$3:$S$23,MATCH(I$28,FY16ProjSCH!$A$2:$S$2,0),FALSE)</f>
        <v>137.25695445433402</v>
      </c>
      <c r="J39" s="443">
        <f>+GPpcntSCH*(VLOOKUP($A39,FY16ProjRev0!$A$4:$I$24,9,FALSE))*VLOOKUP($A39,FY16ProjSCH!$A$3:$S$23,MATCH(J$28,FY16ProjSCH!$A$2:$S$2,0),FALSE)</f>
        <v>411.77086336300204</v>
      </c>
      <c r="K39" s="443">
        <f>+GPpcntSCH*(VLOOKUP($A39,FY16ProjRev0!$A$4:$I$24,9,FALSE))*VLOOKUP($A39,FY16ProjSCH!$A$3:$S$23,MATCH(K$28,FY16ProjSCH!$A$2:$S$2,0),FALSE)</f>
        <v>11598.212651391224</v>
      </c>
      <c r="L39" s="443">
        <f>+GPpcntSCH*(VLOOKUP($A39,FY16ProjRev0!$A$4:$I$24,9,FALSE))*VLOOKUP($A39,FY16ProjSCH!$A$3:$S$23,MATCH(L$28,FY16ProjSCH!$A$2:$S$2,0),FALSE)</f>
        <v>0</v>
      </c>
      <c r="M39" s="443">
        <f>+GPpcntSCH*(VLOOKUP($A39,FY16ProjRev0!$A$4:$I$24,9,FALSE))*VLOOKUP($A39,FY16ProjSCH!$A$3:$S$23,MATCH(M$28,FY16ProjSCH!$A$2:$S$2,0),FALSE)</f>
        <v>0</v>
      </c>
      <c r="N39" s="443">
        <f>+GPpcntSCH*(VLOOKUP($A39,FY16ProjRev0!$A$4:$I$24,9,FALSE))*VLOOKUP($A39,FY16ProjSCH!$A$3:$S$23,MATCH(N$28,FY16ProjSCH!$A$2:$S$2,0),FALSE)</f>
        <v>480.39934059016906</v>
      </c>
      <c r="O39" s="443">
        <f>+GPpcntSCH*(VLOOKUP($A39,FY16ProjRev0!$A$4:$I$24,9,FALSE))*VLOOKUP($A39,FY16ProjSCH!$A$3:$S$23,MATCH(O$28,FY16ProjSCH!$A$2:$S$2,0),FALSE)</f>
        <v>0</v>
      </c>
      <c r="P39" s="443">
        <f>+GPpcntSCH*(VLOOKUP($A39,FY16ProjRev0!$A$4:$I$24,9,FALSE))*VLOOKUP($A39,FY16ProjSCH!$A$3:$S$23,MATCH(P$28,FY16ProjSCH!$A$2:$S$2,0),FALSE)</f>
        <v>0</v>
      </c>
      <c r="Q39" s="443">
        <f>+GPpcntSCH*(VLOOKUP($A39,FY16ProjRev0!$A$4:$I$24,9,FALSE))*VLOOKUP($A39,FY16ProjSCH!$A$3:$S$23,MATCH(Q$28,FY16ProjSCH!$A$2:$S$2,0),FALSE)</f>
        <v>2745.1390890866801</v>
      </c>
      <c r="R39" s="443">
        <f>+GPpcntSCH*(VLOOKUP($A39,FY16ProjRev0!$A$4:$I$24,9,FALSE))*VLOOKUP($A39,FY16ProjSCH!$A$3:$S$23,MATCH(R$28,FY16ProjSCH!$A$2:$S$2,0),FALSE)</f>
        <v>0</v>
      </c>
      <c r="S39" s="443">
        <f>+GPpcntSCH*(VLOOKUP($A39,FY16ProjRev0!$A$4:$I$24,9,FALSE))*VLOOKUP($A39,FY16ProjSCH!$A$3:$S$23,MATCH(S$28,FY16ProjSCH!$A$2:$S$2,0),FALSE)</f>
        <v>0</v>
      </c>
      <c r="T39" s="444">
        <f t="shared" si="4"/>
        <v>882973.98800473067</v>
      </c>
    </row>
    <row r="40" spans="1:91" s="18" customFormat="1" ht="20.100000000000001" customHeight="1">
      <c r="A40" s="404" t="s">
        <v>147</v>
      </c>
      <c r="B40" s="440" t="s">
        <v>208</v>
      </c>
      <c r="C40" s="410">
        <f>+GPpcntSCH*(VLOOKUP($A40,FY16ProjRev0!$A$4:$I$24,9,FALSE))*VLOOKUP($A40,FY16ProjSCH!$A$3:$S$23,MATCH(C$28,FY16ProjSCH!$A$2:$S$2,0),FALSE)</f>
        <v>0</v>
      </c>
      <c r="D40" s="410">
        <f>+GPpcntSCH*(VLOOKUP($A40,FY16ProjRev0!$A$4:$I$24,9,FALSE))*VLOOKUP($A40,FY16ProjSCH!$A$3:$S$23,MATCH(D$28,FY16ProjSCH!$A$2:$S$2,0),FALSE)</f>
        <v>835.33391264014938</v>
      </c>
      <c r="E40" s="410">
        <f>+GPpcntSCH*(VLOOKUP($A40,FY16ProjRev0!$A$4:$I$24,9,FALSE))*VLOOKUP($A40,FY16ProjSCH!$A$3:$S$23,MATCH(E$28,FY16ProjSCH!$A$2:$S$2,0),FALSE)</f>
        <v>208.83347816003734</v>
      </c>
      <c r="F40" s="410">
        <f>+GPpcntSCH*(VLOOKUP($A40,FY16ProjRev0!$A$4:$I$24,9,FALSE))*VLOOKUP($A40,FY16ProjSCH!$A$3:$S$23,MATCH(F$28,FY16ProjSCH!$A$2:$S$2,0),FALSE)</f>
        <v>0</v>
      </c>
      <c r="G40" s="410">
        <f>+GPpcntSCH*(VLOOKUP($A40,FY16ProjRev0!$A$4:$I$24,9,FALSE))*VLOOKUP($A40,FY16ProjSCH!$A$3:$S$23,MATCH(G$28,FY16ProjSCH!$A$2:$S$2,0),FALSE)</f>
        <v>224078.32206572007</v>
      </c>
      <c r="H40" s="410">
        <f>+GPpcntSCH*(VLOOKUP($A40,FY16ProjRev0!$A$4:$I$24,9,FALSE))*VLOOKUP($A40,FY16ProjSCH!$A$3:$S$23,MATCH(H$28,FY16ProjSCH!$A$2:$S$2,0),FALSE)</f>
        <v>1461.8343471202613</v>
      </c>
      <c r="I40" s="410">
        <f>+GPpcntSCH*(VLOOKUP($A40,FY16ProjRev0!$A$4:$I$24,9,FALSE))*VLOOKUP($A40,FY16ProjSCH!$A$3:$S$23,MATCH(I$28,FY16ProjSCH!$A$2:$S$2,0),FALSE)</f>
        <v>1044.1673908001867</v>
      </c>
      <c r="J40" s="410">
        <f>+GPpcntSCH*(VLOOKUP($A40,FY16ProjRev0!$A$4:$I$24,9,FALSE))*VLOOKUP($A40,FY16ProjSCH!$A$3:$S$23,MATCH(J$28,FY16ProjSCH!$A$2:$S$2,0),FALSE)</f>
        <v>0</v>
      </c>
      <c r="K40" s="410">
        <f>+GPpcntSCH*(VLOOKUP($A40,FY16ProjRev0!$A$4:$I$24,9,FALSE))*VLOOKUP($A40,FY16ProjSCH!$A$3:$S$23,MATCH(K$28,FY16ProjSCH!$A$2:$S$2,0),FALSE)</f>
        <v>0</v>
      </c>
      <c r="L40" s="410">
        <f>+GPpcntSCH*(VLOOKUP($A40,FY16ProjRev0!$A$4:$I$24,9,FALSE))*VLOOKUP($A40,FY16ProjSCH!$A$3:$S$23,MATCH(L$28,FY16ProjSCH!$A$2:$S$2,0),FALSE)</f>
        <v>0</v>
      </c>
      <c r="M40" s="410">
        <f>+GPpcntSCH*(VLOOKUP($A40,FY16ProjRev0!$A$4:$I$24,9,FALSE))*VLOOKUP($A40,FY16ProjSCH!$A$3:$S$23,MATCH(M$28,FY16ProjSCH!$A$2:$S$2,0),FALSE)</f>
        <v>0</v>
      </c>
      <c r="N40" s="410">
        <f>+GPpcntSCH*(VLOOKUP($A40,FY16ProjRev0!$A$4:$I$24,9,FALSE))*VLOOKUP($A40,FY16ProjSCH!$A$3:$S$23,MATCH(N$28,FY16ProjSCH!$A$2:$S$2,0),FALSE)</f>
        <v>8771.0060827215675</v>
      </c>
      <c r="O40" s="410">
        <f>+GPpcntSCH*(VLOOKUP($A40,FY16ProjRev0!$A$4:$I$24,9,FALSE))*VLOOKUP($A40,FY16ProjSCH!$A$3:$S$23,MATCH(O$28,FY16ProjSCH!$A$2:$S$2,0),FALSE)</f>
        <v>0</v>
      </c>
      <c r="P40" s="410">
        <f>+GPpcntSCH*(VLOOKUP($A40,FY16ProjRev0!$A$4:$I$24,9,FALSE))*VLOOKUP($A40,FY16ProjSCH!$A$3:$S$23,MATCH(P$28,FY16ProjSCH!$A$2:$S$2,0),FALSE)</f>
        <v>0</v>
      </c>
      <c r="Q40" s="410">
        <f>+GPpcntSCH*(VLOOKUP($A40,FY16ProjRev0!$A$4:$I$24,9,FALSE))*VLOOKUP($A40,FY16ProjSCH!$A$3:$S$23,MATCH(Q$28,FY16ProjSCH!$A$2:$S$2,0),FALSE)</f>
        <v>313.25021724005603</v>
      </c>
      <c r="R40" s="410">
        <f>+GPpcntSCH*(VLOOKUP($A40,FY16ProjRev0!$A$4:$I$24,9,FALSE))*VLOOKUP($A40,FY16ProjSCH!$A$3:$S$23,MATCH(R$28,FY16ProjSCH!$A$2:$S$2,0),FALSE)</f>
        <v>0</v>
      </c>
      <c r="S40" s="410">
        <f>+GPpcntSCH*(VLOOKUP($A40,FY16ProjRev0!$A$4:$I$24,9,FALSE))*VLOOKUP($A40,FY16ProjSCH!$A$3:$S$23,MATCH(S$28,FY16ProjSCH!$A$2:$S$2,0),FALSE)</f>
        <v>1253.0008689602241</v>
      </c>
      <c r="T40" s="441">
        <f t="shared" si="4"/>
        <v>237965.74836336257</v>
      </c>
    </row>
    <row r="41" spans="1:91" ht="20.100000000000001" customHeight="1">
      <c r="A41" s="404" t="s">
        <v>148</v>
      </c>
      <c r="B41" s="442" t="s">
        <v>39</v>
      </c>
      <c r="C41" s="443">
        <f>+GPpcntSCH*(VLOOKUP($A41,FY16ProjRev0!$A$4:$I$24,9,FALSE))*VLOOKUP($A41,FY16ProjSCH!$A$3:$S$23,MATCH(C$28,FY16ProjSCH!$A$2:$S$2,0),FALSE)</f>
        <v>7807.8436168150229</v>
      </c>
      <c r="D41" s="443">
        <f>+GPpcntSCH*(VLOOKUP($A41,FY16ProjRev0!$A$4:$I$24,9,FALSE))*VLOOKUP($A41,FY16ProjSCH!$A$3:$S$23,MATCH(D$28,FY16ProjSCH!$A$2:$S$2,0),FALSE)</f>
        <v>39612.270826593653</v>
      </c>
      <c r="E41" s="443">
        <f>+GPpcntSCH*(VLOOKUP($A41,FY16ProjRev0!$A$4:$I$24,9,FALSE))*VLOOKUP($A41,FY16ProjSCH!$A$3:$S$23,MATCH(E$28,FY16ProjSCH!$A$2:$S$2,0),FALSE)</f>
        <v>13538.371042000363</v>
      </c>
      <c r="F41" s="443">
        <f>+GPpcntSCH*(VLOOKUP($A41,FY16ProjRev0!$A$4:$I$24,9,FALSE))*VLOOKUP($A41,FY16ProjSCH!$A$3:$S$23,MATCH(F$28,FY16ProjSCH!$A$2:$S$2,0),FALSE)</f>
        <v>3581.5796407408366</v>
      </c>
      <c r="G41" s="443">
        <f>+GPpcntSCH*(VLOOKUP($A41,FY16ProjRev0!$A$4:$I$24,9,FALSE))*VLOOKUP($A41,FY16ProjSCH!$A$3:$S$23,MATCH(G$28,FY16ProjSCH!$A$2:$S$2,0),FALSE)</f>
        <v>1719.1582275556013</v>
      </c>
      <c r="H41" s="443">
        <f>+GPpcntSCH*(VLOOKUP($A41,FY16ProjRev0!$A$4:$I$24,9,FALSE))*VLOOKUP($A41,FY16ProjSCH!$A$3:$S$23,MATCH(H$28,FY16ProjSCH!$A$2:$S$2,0),FALSE)</f>
        <v>22134.16217977837</v>
      </c>
      <c r="I41" s="443">
        <f>+GPpcntSCH*(VLOOKUP($A41,FY16ProjRev0!$A$4:$I$24,9,FALSE))*VLOOKUP($A41,FY16ProjSCH!$A$3:$S$23,MATCH(I$28,FY16ProjSCH!$A$2:$S$2,0),FALSE)</f>
        <v>1217.7370778518844</v>
      </c>
      <c r="J41" s="443">
        <f>+GPpcntSCH*(VLOOKUP($A41,FY16ProjRev0!$A$4:$I$24,9,FALSE))*VLOOKUP($A41,FY16ProjSCH!$A$3:$S$23,MATCH(J$28,FY16ProjSCH!$A$2:$S$2,0),FALSE)</f>
        <v>4083.0007904445538</v>
      </c>
      <c r="K41" s="443">
        <f>+GPpcntSCH*(VLOOKUP($A41,FY16ProjRev0!$A$4:$I$24,9,FALSE))*VLOOKUP($A41,FY16ProjSCH!$A$3:$S$23,MATCH(K$28,FY16ProjSCH!$A$2:$S$2,0),FALSE)</f>
        <v>765884.99037602043</v>
      </c>
      <c r="L41" s="443">
        <f>+GPpcntSCH*(VLOOKUP($A41,FY16ProjRev0!$A$4:$I$24,9,FALSE))*VLOOKUP($A41,FY16ProjSCH!$A$3:$S$23,MATCH(L$28,FY16ProjSCH!$A$2:$S$2,0),FALSE)</f>
        <v>3151.7900838519363</v>
      </c>
      <c r="M41" s="443">
        <f>+GPpcntSCH*(VLOOKUP($A41,FY16ProjRev0!$A$4:$I$24,9,FALSE))*VLOOKUP($A41,FY16ProjSCH!$A$3:$S$23,MATCH(M$28,FY16ProjSCH!$A$2:$S$2,0),FALSE)</f>
        <v>0</v>
      </c>
      <c r="N41" s="443">
        <f>+GPpcntSCH*(VLOOKUP($A41,FY16ProjRev0!$A$4:$I$24,9,FALSE))*VLOOKUP($A41,FY16ProjSCH!$A$3:$S$23,MATCH(N$28,FY16ProjSCH!$A$2:$S$2,0),FALSE)</f>
        <v>4870.9483114075374</v>
      </c>
      <c r="O41" s="443">
        <f>+GPpcntSCH*(VLOOKUP($A41,FY16ProjRev0!$A$4:$I$24,9,FALSE))*VLOOKUP($A41,FY16ProjSCH!$A$3:$S$23,MATCH(O$28,FY16ProjSCH!$A$2:$S$2,0),FALSE)</f>
        <v>0</v>
      </c>
      <c r="P41" s="443">
        <f>+GPpcntSCH*(VLOOKUP($A41,FY16ProjRev0!$A$4:$I$24,9,FALSE))*VLOOKUP($A41,FY16ProjSCH!$A$3:$S$23,MATCH(P$28,FY16ProjSCH!$A$2:$S$2,0),FALSE)</f>
        <v>0</v>
      </c>
      <c r="Q41" s="443">
        <f>+GPpcntSCH*(VLOOKUP($A41,FY16ProjRev0!$A$4:$I$24,9,FALSE))*VLOOKUP($A41,FY16ProjSCH!$A$3:$S$23,MATCH(Q$28,FY16ProjSCH!$A$2:$S$2,0),FALSE)</f>
        <v>19483.79324563015</v>
      </c>
      <c r="R41" s="443">
        <f>+GPpcntSCH*(VLOOKUP($A41,FY16ProjRev0!$A$4:$I$24,9,FALSE))*VLOOKUP($A41,FY16ProjSCH!$A$3:$S$23,MATCH(R$28,FY16ProjSCH!$A$2:$S$2,0),FALSE)</f>
        <v>0</v>
      </c>
      <c r="S41" s="443">
        <f>+GPpcntSCH*(VLOOKUP($A41,FY16ProjRev0!$A$4:$I$24,9,FALSE))*VLOOKUP($A41,FY16ProjSCH!$A$3:$S$23,MATCH(S$28,FY16ProjSCH!$A$2:$S$2,0),FALSE)</f>
        <v>214.89477844445017</v>
      </c>
      <c r="T41" s="444">
        <f t="shared" si="4"/>
        <v>887300.54019713472</v>
      </c>
    </row>
    <row r="42" spans="1:91" s="18" customFormat="1" ht="20.100000000000001" customHeight="1">
      <c r="A42" s="404" t="s">
        <v>149</v>
      </c>
      <c r="B42" s="440" t="s">
        <v>38</v>
      </c>
      <c r="C42" s="410">
        <f>+GPpcntSCH*(VLOOKUP($A42,FY16ProjRev0!$A$4:$I$24,9,FALSE))*VLOOKUP($A42,FY16ProjSCH!$A$3:$S$23,MATCH(C$28,FY16ProjSCH!$A$2:$S$2,0),FALSE)</f>
        <v>2632.3744568184557</v>
      </c>
      <c r="D42" s="410">
        <f>+GPpcntSCH*(VLOOKUP($A42,FY16ProjRev0!$A$4:$I$24,9,FALSE))*VLOOKUP($A42,FY16ProjSCH!$A$3:$S$23,MATCH(D$28,FY16ProjSCH!$A$2:$S$2,0),FALSE)</f>
        <v>4670.3417782262923</v>
      </c>
      <c r="E42" s="410">
        <f>+GPpcntSCH*(VLOOKUP($A42,FY16ProjRev0!$A$4:$I$24,9,FALSE))*VLOOKUP($A42,FY16ProjSCH!$A$3:$S$23,MATCH(E$28,FY16ProjSCH!$A$2:$S$2,0),FALSE)</f>
        <v>941371.07188030309</v>
      </c>
      <c r="F42" s="410">
        <f>+GPpcntSCH*(VLOOKUP($A42,FY16ProjRev0!$A$4:$I$24,9,FALSE))*VLOOKUP($A42,FY16ProjSCH!$A$3:$S$23,MATCH(F$28,FY16ProjSCH!$A$2:$S$2,0),FALSE)</f>
        <v>0</v>
      </c>
      <c r="G42" s="410">
        <f>+GPpcntSCH*(VLOOKUP($A42,FY16ProjRev0!$A$4:$I$24,9,FALSE))*VLOOKUP($A42,FY16ProjSCH!$A$3:$S$23,MATCH(G$28,FY16ProjSCH!$A$2:$S$2,0),FALSE)</f>
        <v>4075.9346428156728</v>
      </c>
      <c r="H42" s="410">
        <f>+GPpcntSCH*(VLOOKUP($A42,FY16ProjRev0!$A$4:$I$24,9,FALSE))*VLOOKUP($A42,FY16ProjSCH!$A$3:$S$23,MATCH(H$28,FY16ProjSCH!$A$2:$S$2,0),FALSE)</f>
        <v>0</v>
      </c>
      <c r="I42" s="410">
        <f>+GPpcntSCH*(VLOOKUP($A42,FY16ProjRev0!$A$4:$I$24,9,FALSE))*VLOOKUP($A42,FY16ProjSCH!$A$3:$S$23,MATCH(I$28,FY16ProjSCH!$A$2:$S$2,0),FALSE)</f>
        <v>2377.6285416424762</v>
      </c>
      <c r="J42" s="410">
        <f>+GPpcntSCH*(VLOOKUP($A42,FY16ProjRev0!$A$4:$I$24,9,FALSE))*VLOOKUP($A42,FY16ProjSCH!$A$3:$S$23,MATCH(J$28,FY16ProjSCH!$A$2:$S$2,0),FALSE)</f>
        <v>849.15305058659851</v>
      </c>
      <c r="K42" s="410">
        <f>+GPpcntSCH*(VLOOKUP($A42,FY16ProjRev0!$A$4:$I$24,9,FALSE))*VLOOKUP($A42,FY16ProjSCH!$A$3:$S$23,MATCH(K$28,FY16ProjSCH!$A$2:$S$2,0),FALSE)</f>
        <v>4415.5958630503128</v>
      </c>
      <c r="L42" s="410">
        <f>+GPpcntSCH*(VLOOKUP($A42,FY16ProjRev0!$A$4:$I$24,9,FALSE))*VLOOKUP($A42,FY16ProjSCH!$A$3:$S$23,MATCH(L$28,FY16ProjSCH!$A$2:$S$2,0),FALSE)</f>
        <v>0</v>
      </c>
      <c r="M42" s="410">
        <f>+GPpcntSCH*(VLOOKUP($A42,FY16ProjRev0!$A$4:$I$24,9,FALSE))*VLOOKUP($A42,FY16ProjSCH!$A$3:$S$23,MATCH(M$28,FY16ProjSCH!$A$2:$S$2,0),FALSE)</f>
        <v>0</v>
      </c>
      <c r="N42" s="410">
        <f>+GPpcntSCH*(VLOOKUP($A42,FY16ProjRev0!$A$4:$I$24,9,FALSE))*VLOOKUP($A42,FY16ProjSCH!$A$3:$S$23,MATCH(N$28,FY16ProjSCH!$A$2:$S$2,0),FALSE)</f>
        <v>1358.6448809385577</v>
      </c>
      <c r="O42" s="410">
        <f>+GPpcntSCH*(VLOOKUP($A42,FY16ProjRev0!$A$4:$I$24,9,FALSE))*VLOOKUP($A42,FY16ProjSCH!$A$3:$S$23,MATCH(O$28,FY16ProjSCH!$A$2:$S$2,0),FALSE)</f>
        <v>0</v>
      </c>
      <c r="P42" s="410">
        <f>+GPpcntSCH*(VLOOKUP($A42,FY16ProjRev0!$A$4:$I$24,9,FALSE))*VLOOKUP($A42,FY16ProjSCH!$A$3:$S$23,MATCH(P$28,FY16ProjSCH!$A$2:$S$2,0),FALSE)</f>
        <v>0</v>
      </c>
      <c r="Q42" s="410">
        <f>+GPpcntSCH*(VLOOKUP($A42,FY16ProjRev0!$A$4:$I$24,9,FALSE))*VLOOKUP($A42,FY16ProjSCH!$A$3:$S$23,MATCH(Q$28,FY16ProjSCH!$A$2:$S$2,0),FALSE)</f>
        <v>1783.2214062318569</v>
      </c>
      <c r="R42" s="410">
        <f>+GPpcntSCH*(VLOOKUP($A42,FY16ProjRev0!$A$4:$I$24,9,FALSE))*VLOOKUP($A42,FY16ProjSCH!$A$3:$S$23,MATCH(R$28,FY16ProjSCH!$A$2:$S$2,0),FALSE)</f>
        <v>0</v>
      </c>
      <c r="S42" s="410">
        <f>+GPpcntSCH*(VLOOKUP($A42,FY16ProjRev0!$A$4:$I$24,9,FALSE))*VLOOKUP($A42,FY16ProjSCH!$A$3:$S$23,MATCH(S$28,FY16ProjSCH!$A$2:$S$2,0),FALSE)</f>
        <v>0</v>
      </c>
      <c r="T42" s="441">
        <f t="shared" si="4"/>
        <v>963533.96650061337</v>
      </c>
    </row>
    <row r="43" spans="1:91" ht="20.100000000000001" customHeight="1">
      <c r="A43" s="404" t="s">
        <v>150</v>
      </c>
      <c r="B43" s="442" t="s">
        <v>31</v>
      </c>
      <c r="C43" s="443">
        <f>+GPpcntSCH*(VLOOKUP($A43,FY16ProjRev0!$A$4:$I$24,9,FALSE))*VLOOKUP($A43,FY16ProjSCH!$A$3:$S$23,MATCH(C$28,FY16ProjSCH!$A$2:$S$2,0),FALSE)</f>
        <v>1425.5340837005474</v>
      </c>
      <c r="D43" s="443">
        <f>+GPpcntSCH*(VLOOKUP($A43,FY16ProjRev0!$A$4:$I$24,9,FALSE))*VLOOKUP($A43,FY16ProjSCH!$A$3:$S$23,MATCH(D$28,FY16ProjSCH!$A$2:$S$2,0),FALSE)</f>
        <v>12918.902633536209</v>
      </c>
      <c r="E43" s="443">
        <f>+GPpcntSCH*(VLOOKUP($A43,FY16ProjRev0!$A$4:$I$24,9,FALSE))*VLOOKUP($A43,FY16ProjSCH!$A$3:$S$23,MATCH(E$28,FY16ProjSCH!$A$2:$S$2,0),FALSE)</f>
        <v>5167.5610534144844</v>
      </c>
      <c r="F43" s="443">
        <f>+GPpcntSCH*(VLOOKUP($A43,FY16ProjRev0!$A$4:$I$24,9,FALSE))*VLOOKUP($A43,FY16ProjSCH!$A$3:$S$23,MATCH(F$28,FY16ProjSCH!$A$2:$S$2,0),FALSE)</f>
        <v>2316.4928860133891</v>
      </c>
      <c r="G43" s="443">
        <f>+GPpcntSCH*(VLOOKUP($A43,FY16ProjRev0!$A$4:$I$24,9,FALSE))*VLOOKUP($A43,FY16ProjSCH!$A$3:$S$23,MATCH(G$28,FY16ProjSCH!$A$2:$S$2,0),FALSE)</f>
        <v>356.38352092513685</v>
      </c>
      <c r="H43" s="443">
        <f>+GPpcntSCH*(VLOOKUP($A43,FY16ProjRev0!$A$4:$I$24,9,FALSE))*VLOOKUP($A43,FY16ProjSCH!$A$3:$S$23,MATCH(H$28,FY16ProjSCH!$A$2:$S$2,0),FALSE)</f>
        <v>267.28764069385261</v>
      </c>
      <c r="I43" s="443">
        <f>+GPpcntSCH*(VLOOKUP($A43,FY16ProjRev0!$A$4:$I$24,9,FALSE))*VLOOKUP($A43,FY16ProjSCH!$A$3:$S$23,MATCH(I$28,FY16ProjSCH!$A$2:$S$2,0),FALSE)</f>
        <v>7127.6704185027365</v>
      </c>
      <c r="J43" s="443">
        <f>+GPpcntSCH*(VLOOKUP($A43,FY16ProjRev0!$A$4:$I$24,9,FALSE))*VLOOKUP($A43,FY16ProjSCH!$A$3:$S$23,MATCH(J$28,FY16ProjSCH!$A$2:$S$2,0),FALSE)</f>
        <v>1979799.5546193663</v>
      </c>
      <c r="K43" s="443">
        <f>+GPpcntSCH*(VLOOKUP($A43,FY16ProjRev0!$A$4:$I$24,9,FALSE))*VLOOKUP($A43,FY16ProjSCH!$A$3:$S$23,MATCH(K$28,FY16ProjSCH!$A$2:$S$2,0),FALSE)</f>
        <v>356.38352092513685</v>
      </c>
      <c r="L43" s="443">
        <f>+GPpcntSCH*(VLOOKUP($A43,FY16ProjRev0!$A$4:$I$24,9,FALSE))*VLOOKUP($A43,FY16ProjSCH!$A$3:$S$23,MATCH(L$28,FY16ProjSCH!$A$2:$S$2,0),FALSE)</f>
        <v>267.28764069385261</v>
      </c>
      <c r="M43" s="443">
        <f>+GPpcntSCH*(VLOOKUP($A43,FY16ProjRev0!$A$4:$I$24,9,FALSE))*VLOOKUP($A43,FY16ProjSCH!$A$3:$S$23,MATCH(M$28,FY16ProjSCH!$A$2:$S$2,0),FALSE)</f>
        <v>0</v>
      </c>
      <c r="N43" s="443">
        <f>+GPpcntSCH*(VLOOKUP($A43,FY16ProjRev0!$A$4:$I$24,9,FALSE))*VLOOKUP($A43,FY16ProjSCH!$A$3:$S$23,MATCH(N$28,FY16ProjSCH!$A$2:$S$2,0),FALSE)</f>
        <v>89.095880231284212</v>
      </c>
      <c r="O43" s="443">
        <f>+GPpcntSCH*(VLOOKUP($A43,FY16ProjRev0!$A$4:$I$24,9,FALSE))*VLOOKUP($A43,FY16ProjSCH!$A$3:$S$23,MATCH(O$28,FY16ProjSCH!$A$2:$S$2,0),FALSE)</f>
        <v>0</v>
      </c>
      <c r="P43" s="443">
        <f>+GPpcntSCH*(VLOOKUP($A43,FY16ProjRev0!$A$4:$I$24,9,FALSE))*VLOOKUP($A43,FY16ProjSCH!$A$3:$S$23,MATCH(P$28,FY16ProjSCH!$A$2:$S$2,0),FALSE)</f>
        <v>267.28764069385261</v>
      </c>
      <c r="Q43" s="443">
        <f>+GPpcntSCH*(VLOOKUP($A43,FY16ProjRev0!$A$4:$I$24,9,FALSE))*VLOOKUP($A43,FY16ProjSCH!$A$3:$S$23,MATCH(Q$28,FY16ProjSCH!$A$2:$S$2,0),FALSE)</f>
        <v>3831.1228499452204</v>
      </c>
      <c r="R43" s="443">
        <f>+GPpcntSCH*(VLOOKUP($A43,FY16ProjRev0!$A$4:$I$24,9,FALSE))*VLOOKUP($A43,FY16ProjSCH!$A$3:$S$23,MATCH(R$28,FY16ProjSCH!$A$2:$S$2,0),FALSE)</f>
        <v>0</v>
      </c>
      <c r="S43" s="443">
        <f>+GPpcntSCH*(VLOOKUP($A43,FY16ProjRev0!$A$4:$I$24,9,FALSE))*VLOOKUP($A43,FY16ProjSCH!$A$3:$S$23,MATCH(S$28,FY16ProjSCH!$A$2:$S$2,0),FALSE)</f>
        <v>712.7670418502737</v>
      </c>
      <c r="T43" s="444">
        <f t="shared" si="4"/>
        <v>2014903.3314304925</v>
      </c>
    </row>
    <row r="44" spans="1:91" s="18" customFormat="1" ht="20.100000000000001" customHeight="1">
      <c r="A44" s="404" t="s">
        <v>151</v>
      </c>
      <c r="B44" s="440" t="s">
        <v>209</v>
      </c>
      <c r="C44" s="410">
        <f>+GPpcntSCH*(VLOOKUP($A44,FY16ProjRev0!$A$4:$I$24,9,FALSE))*VLOOKUP($A44,FY16ProjSCH!$A$3:$S$23,MATCH(C$28,FY16ProjSCH!$A$2:$S$2,0),FALSE)</f>
        <v>0</v>
      </c>
      <c r="D44" s="410">
        <f>+GPpcntSCH*(VLOOKUP($A44,FY16ProjRev0!$A$4:$I$24,9,FALSE))*VLOOKUP($A44,FY16ProjSCH!$A$3:$S$23,MATCH(D$28,FY16ProjSCH!$A$2:$S$2,0),FALSE)</f>
        <v>10617.460913387731</v>
      </c>
      <c r="E44" s="410">
        <f>+GPpcntSCH*(VLOOKUP($A44,FY16ProjRev0!$A$4:$I$24,9,FALSE))*VLOOKUP($A44,FY16ProjSCH!$A$3:$S$23,MATCH(E$28,FY16ProjSCH!$A$2:$S$2,0),FALSE)</f>
        <v>1158.2684632786613</v>
      </c>
      <c r="F44" s="410">
        <f>+GPpcntSCH*(VLOOKUP($A44,FY16ProjRev0!$A$4:$I$24,9,FALSE))*VLOOKUP($A44,FY16ProjSCH!$A$3:$S$23,MATCH(F$28,FY16ProjSCH!$A$2:$S$2,0),FALSE)</f>
        <v>0</v>
      </c>
      <c r="G44" s="410">
        <f>+GPpcntSCH*(VLOOKUP($A44,FY16ProjRev0!$A$4:$I$24,9,FALSE))*VLOOKUP($A44,FY16ProjSCH!$A$3:$S$23,MATCH(G$28,FY16ProjSCH!$A$2:$S$2,0),FALSE)</f>
        <v>0</v>
      </c>
      <c r="H44" s="410">
        <f>+GPpcntSCH*(VLOOKUP($A44,FY16ProjRev0!$A$4:$I$24,9,FALSE))*VLOOKUP($A44,FY16ProjSCH!$A$3:$S$23,MATCH(H$28,FY16ProjSCH!$A$2:$S$2,0),FALSE)</f>
        <v>289.56711581966533</v>
      </c>
      <c r="I44" s="410">
        <f>+GPpcntSCH*(VLOOKUP($A44,FY16ProjRev0!$A$4:$I$24,9,FALSE))*VLOOKUP($A44,FY16ProjSCH!$A$3:$S$23,MATCH(I$28,FY16ProjSCH!$A$2:$S$2,0),FALSE)</f>
        <v>0</v>
      </c>
      <c r="J44" s="410">
        <f>+GPpcntSCH*(VLOOKUP($A44,FY16ProjRev0!$A$4:$I$24,9,FALSE))*VLOOKUP($A44,FY16ProjSCH!$A$3:$S$23,MATCH(J$28,FY16ProjSCH!$A$2:$S$2,0),FALSE)</f>
        <v>223159.72392502212</v>
      </c>
      <c r="K44" s="410">
        <f>+GPpcntSCH*(VLOOKUP($A44,FY16ProjRev0!$A$4:$I$24,9,FALSE))*VLOOKUP($A44,FY16ProjSCH!$A$3:$S$23,MATCH(K$28,FY16ProjSCH!$A$2:$S$2,0),FALSE)</f>
        <v>2123.4921826775462</v>
      </c>
      <c r="L44" s="410">
        <f>+GPpcntSCH*(VLOOKUP($A44,FY16ProjRev0!$A$4:$I$24,9,FALSE))*VLOOKUP($A44,FY16ProjSCH!$A$3:$S$23,MATCH(L$28,FY16ProjSCH!$A$2:$S$2,0),FALSE)</f>
        <v>0</v>
      </c>
      <c r="M44" s="410">
        <f>+GPpcntSCH*(VLOOKUP($A44,FY16ProjRev0!$A$4:$I$24,9,FALSE))*VLOOKUP($A44,FY16ProjSCH!$A$3:$S$23,MATCH(M$28,FY16ProjSCH!$A$2:$S$2,0),FALSE)</f>
        <v>0</v>
      </c>
      <c r="N44" s="410">
        <f>+GPpcntSCH*(VLOOKUP($A44,FY16ProjRev0!$A$4:$I$24,9,FALSE))*VLOOKUP($A44,FY16ProjSCH!$A$3:$S$23,MATCH(N$28,FY16ProjSCH!$A$2:$S$2,0),FALSE)</f>
        <v>289.56711581966533</v>
      </c>
      <c r="O44" s="410">
        <f>+GPpcntSCH*(VLOOKUP($A44,FY16ProjRev0!$A$4:$I$24,9,FALSE))*VLOOKUP($A44,FY16ProjSCH!$A$3:$S$23,MATCH(O$28,FY16ProjSCH!$A$2:$S$2,0),FALSE)</f>
        <v>0</v>
      </c>
      <c r="P44" s="410">
        <f>+GPpcntSCH*(VLOOKUP($A44,FY16ProjRev0!$A$4:$I$24,9,FALSE))*VLOOKUP($A44,FY16ProjSCH!$A$3:$S$23,MATCH(P$28,FY16ProjSCH!$A$2:$S$2,0),FALSE)</f>
        <v>0</v>
      </c>
      <c r="Q44" s="410">
        <f>+GPpcntSCH*(VLOOKUP($A44,FY16ProjRev0!$A$4:$I$24,9,FALSE))*VLOOKUP($A44,FY16ProjSCH!$A$3:$S$23,MATCH(Q$28,FY16ProjSCH!$A$2:$S$2,0),FALSE)</f>
        <v>482.61185969944228</v>
      </c>
      <c r="R44" s="410">
        <f>+GPpcntSCH*(VLOOKUP($A44,FY16ProjRev0!$A$4:$I$24,9,FALSE))*VLOOKUP($A44,FY16ProjSCH!$A$3:$S$23,MATCH(R$28,FY16ProjSCH!$A$2:$S$2,0),FALSE)</f>
        <v>0</v>
      </c>
      <c r="S44" s="410">
        <f>+GPpcntSCH*(VLOOKUP($A44,FY16ProjRev0!$A$4:$I$24,9,FALSE))*VLOOKUP($A44,FY16ProjSCH!$A$3:$S$23,MATCH(S$28,FY16ProjSCH!$A$2:$S$2,0),FALSE)</f>
        <v>386.08948775955383</v>
      </c>
      <c r="T44" s="441">
        <f t="shared" si="4"/>
        <v>238506.78106346438</v>
      </c>
    </row>
    <row r="45" spans="1:91" ht="20.100000000000001" customHeight="1">
      <c r="A45" s="404" t="s">
        <v>153</v>
      </c>
      <c r="B45" s="442" t="s">
        <v>100</v>
      </c>
      <c r="C45" s="443">
        <f>+GPpcntSCH*(VLOOKUP($A45,FY16ProjRev0!$A$4:$I$24,9,FALSE))*VLOOKUP($A45,FY16ProjSCH!$A$3:$S$23,MATCH(C$28,FY16ProjSCH!$A$2:$S$2,0),FALSE)</f>
        <v>587.5012211526913</v>
      </c>
      <c r="D45" s="443">
        <f>+GPpcntSCH*(VLOOKUP($A45,FY16ProjRev0!$A$4:$I$24,9,FALSE))*VLOOKUP($A45,FY16ProjSCH!$A$3:$S$23,MATCH(D$28,FY16ProjSCH!$A$2:$S$2,0),FALSE)</f>
        <v>881.25183172903712</v>
      </c>
      <c r="E45" s="443">
        <f>+GPpcntSCH*(VLOOKUP($A45,FY16ProjRev0!$A$4:$I$24,9,FALSE))*VLOOKUP($A45,FY16ProjSCH!$A$3:$S$23,MATCH(E$28,FY16ProjSCH!$A$2:$S$2,0),FALSE)</f>
        <v>1566.6699230738436</v>
      </c>
      <c r="F45" s="443">
        <f>+GPpcntSCH*(VLOOKUP($A45,FY16ProjRev0!$A$4:$I$24,9,FALSE))*VLOOKUP($A45,FY16ProjSCH!$A$3:$S$23,MATCH(F$28,FY16ProjSCH!$A$2:$S$2,0),FALSE)</f>
        <v>0</v>
      </c>
      <c r="G45" s="443">
        <f>+GPpcntSCH*(VLOOKUP($A45,FY16ProjRev0!$A$4:$I$24,9,FALSE))*VLOOKUP($A45,FY16ProjSCH!$A$3:$S$23,MATCH(G$28,FY16ProjSCH!$A$2:$S$2,0),FALSE)</f>
        <v>0</v>
      </c>
      <c r="H45" s="443">
        <f>+GPpcntSCH*(VLOOKUP($A45,FY16ProjRev0!$A$4:$I$24,9,FALSE))*VLOOKUP($A45,FY16ProjSCH!$A$3:$S$23,MATCH(H$28,FY16ProjSCH!$A$2:$S$2,0),FALSE)</f>
        <v>0</v>
      </c>
      <c r="I45" s="443">
        <f>+GPpcntSCH*(VLOOKUP($A45,FY16ProjRev0!$A$4:$I$24,9,FALSE))*VLOOKUP($A45,FY16ProjSCH!$A$3:$S$23,MATCH(I$28,FY16ProjSCH!$A$2:$S$2,0),FALSE)</f>
        <v>293.75061057634565</v>
      </c>
      <c r="J45" s="443">
        <f>+GPpcntSCH*(VLOOKUP($A45,FY16ProjRev0!$A$4:$I$24,9,FALSE))*VLOOKUP($A45,FY16ProjSCH!$A$3:$S$23,MATCH(J$28,FY16ProjSCH!$A$2:$S$2,0),FALSE)</f>
        <v>0</v>
      </c>
      <c r="K45" s="443">
        <f>+GPpcntSCH*(VLOOKUP($A45,FY16ProjRev0!$A$4:$I$24,9,FALSE))*VLOOKUP($A45,FY16ProjSCH!$A$3:$S$23,MATCH(K$28,FY16ProjSCH!$A$2:$S$2,0),FALSE)</f>
        <v>1958.3374038423044</v>
      </c>
      <c r="L45" s="443">
        <f>+GPpcntSCH*(VLOOKUP($A45,FY16ProjRev0!$A$4:$I$24,9,FALSE))*VLOOKUP($A45,FY16ProjSCH!$A$3:$S$23,MATCH(L$28,FY16ProjSCH!$A$2:$S$2,0),FALSE)</f>
        <v>587.5012211526913</v>
      </c>
      <c r="M45" s="443">
        <f>+GPpcntSCH*(VLOOKUP($A45,FY16ProjRev0!$A$4:$I$24,9,FALSE))*VLOOKUP($A45,FY16ProjSCH!$A$3:$S$23,MATCH(M$28,FY16ProjSCH!$A$2:$S$2,0),FALSE)</f>
        <v>0</v>
      </c>
      <c r="N45" s="443">
        <f>+GPpcntSCH*(VLOOKUP($A45,FY16ProjRev0!$A$4:$I$24,9,FALSE))*VLOOKUP($A45,FY16ProjSCH!$A$3:$S$23,MATCH(N$28,FY16ProjSCH!$A$2:$S$2,0),FALSE)</f>
        <v>3916.6748076846088</v>
      </c>
      <c r="O45" s="443">
        <f>+GPpcntSCH*(VLOOKUP($A45,FY16ProjRev0!$A$4:$I$24,9,FALSE))*VLOOKUP($A45,FY16ProjSCH!$A$3:$S$23,MATCH(O$28,FY16ProjSCH!$A$2:$S$2,0),FALSE)</f>
        <v>199750.41519191506</v>
      </c>
      <c r="P45" s="443">
        <f>+GPpcntSCH*(VLOOKUP($A45,FY16ProjRev0!$A$4:$I$24,9,FALSE))*VLOOKUP($A45,FY16ProjSCH!$A$3:$S$23,MATCH(P$28,FY16ProjSCH!$A$2:$S$2,0),FALSE)</f>
        <v>5483.3447307584529</v>
      </c>
      <c r="Q45" s="443">
        <f>+GPpcntSCH*(VLOOKUP($A45,FY16ProjRev0!$A$4:$I$24,9,FALSE))*VLOOKUP($A45,FY16ProjSCH!$A$3:$S$23,MATCH(Q$28,FY16ProjSCH!$A$2:$S$2,0),FALSE)</f>
        <v>4895.843509605761</v>
      </c>
      <c r="R45" s="443">
        <f>+GPpcntSCH*(VLOOKUP($A45,FY16ProjRev0!$A$4:$I$24,9,FALSE))*VLOOKUP($A45,FY16ProjSCH!$A$3:$S$23,MATCH(R$28,FY16ProjSCH!$A$2:$S$2,0),FALSE)</f>
        <v>0</v>
      </c>
      <c r="S45" s="443">
        <f>+GPpcntSCH*(VLOOKUP($A45,FY16ProjRev0!$A$4:$I$24,9,FALSE))*VLOOKUP($A45,FY16ProjSCH!$A$3:$S$23,MATCH(S$28,FY16ProjSCH!$A$2:$S$2,0),FALSE)</f>
        <v>97.916870192115226</v>
      </c>
      <c r="T45" s="444">
        <f t="shared" si="4"/>
        <v>220019.20732168292</v>
      </c>
    </row>
    <row r="46" spans="1:91" s="18" customFormat="1" ht="20.100000000000001" customHeight="1">
      <c r="A46" s="404" t="s">
        <v>155</v>
      </c>
      <c r="B46" s="440" t="s">
        <v>42</v>
      </c>
      <c r="C46" s="410">
        <f>+GPpcntSCH*(VLOOKUP($A46,FY16ProjRev0!$A$4:$I$24,9,FALSE))*VLOOKUP($A46,FY16ProjSCH!$A$3:$S$23,MATCH(C$28,FY16ProjSCH!$A$2:$S$2,0),FALSE)</f>
        <v>0</v>
      </c>
      <c r="D46" s="410">
        <f>+GPpcntSCH*(VLOOKUP($A46,FY16ProjRev0!$A$4:$I$24,9,FALSE))*VLOOKUP($A46,FY16ProjSCH!$A$3:$S$23,MATCH(D$28,FY16ProjSCH!$A$2:$S$2,0),FALSE)</f>
        <v>1791.6389596900917</v>
      </c>
      <c r="E46" s="410">
        <f>+GPpcntSCH*(VLOOKUP($A46,FY16ProjRev0!$A$4:$I$24,9,FALSE))*VLOOKUP($A46,FY16ProjSCH!$A$3:$S$23,MATCH(E$28,FY16ProjSCH!$A$2:$S$2,0),FALSE)</f>
        <v>716.65558387603676</v>
      </c>
      <c r="F46" s="410">
        <f>+GPpcntSCH*(VLOOKUP($A46,FY16ProjRev0!$A$4:$I$24,9,FALSE))*VLOOKUP($A46,FY16ProjSCH!$A$3:$S$23,MATCH(F$28,FY16ProjSCH!$A$2:$S$2,0),FALSE)</f>
        <v>0</v>
      </c>
      <c r="G46" s="410">
        <f>+GPpcntSCH*(VLOOKUP($A46,FY16ProjRev0!$A$4:$I$24,9,FALSE))*VLOOKUP($A46,FY16ProjSCH!$A$3:$S$23,MATCH(G$28,FY16ProjSCH!$A$2:$S$2,0),FALSE)</f>
        <v>0</v>
      </c>
      <c r="H46" s="410">
        <f>+GPpcntSCH*(VLOOKUP($A46,FY16ProjRev0!$A$4:$I$24,9,FALSE))*VLOOKUP($A46,FY16ProjSCH!$A$3:$S$23,MATCH(H$28,FY16ProjSCH!$A$2:$S$2,0),FALSE)</f>
        <v>0</v>
      </c>
      <c r="I46" s="410">
        <f>+GPpcntSCH*(VLOOKUP($A46,FY16ProjRev0!$A$4:$I$24,9,FALSE))*VLOOKUP($A46,FY16ProjSCH!$A$3:$S$23,MATCH(I$28,FY16ProjSCH!$A$2:$S$2,0),FALSE)</f>
        <v>0</v>
      </c>
      <c r="J46" s="410">
        <f>+GPpcntSCH*(VLOOKUP($A46,FY16ProjRev0!$A$4:$I$24,9,FALSE))*VLOOKUP($A46,FY16ProjSCH!$A$3:$S$23,MATCH(J$28,FY16ProjSCH!$A$2:$S$2,0),FALSE)</f>
        <v>0</v>
      </c>
      <c r="K46" s="410">
        <f>+GPpcntSCH*(VLOOKUP($A46,FY16ProjRev0!$A$4:$I$24,9,FALSE))*VLOOKUP($A46,FY16ProjSCH!$A$3:$S$23,MATCH(K$28,FY16ProjSCH!$A$2:$S$2,0),FALSE)</f>
        <v>0</v>
      </c>
      <c r="L46" s="410">
        <f>+GPpcntSCH*(VLOOKUP($A46,FY16ProjRev0!$A$4:$I$24,9,FALSE))*VLOOKUP($A46,FY16ProjSCH!$A$3:$S$23,MATCH(L$28,FY16ProjSCH!$A$2:$S$2,0),FALSE)</f>
        <v>0</v>
      </c>
      <c r="M46" s="410">
        <f>+GPpcntSCH*(VLOOKUP($A46,FY16ProjRev0!$A$4:$I$24,9,FALSE))*VLOOKUP($A46,FY16ProjSCH!$A$3:$S$23,MATCH(M$28,FY16ProjSCH!$A$2:$S$2,0),FALSE)</f>
        <v>143.33111677520733</v>
      </c>
      <c r="N46" s="410">
        <f>+GPpcntSCH*(VLOOKUP($A46,FY16ProjRev0!$A$4:$I$24,9,FALSE))*VLOOKUP($A46,FY16ProjSCH!$A$3:$S$23,MATCH(N$28,FY16ProjSCH!$A$2:$S$2,0),FALSE)</f>
        <v>141324.48114035444</v>
      </c>
      <c r="O46" s="410">
        <f>+GPpcntSCH*(VLOOKUP($A46,FY16ProjRev0!$A$4:$I$24,9,FALSE))*VLOOKUP($A46,FY16ProjSCH!$A$3:$S$23,MATCH(O$28,FY16ProjSCH!$A$2:$S$2,0),FALSE)</f>
        <v>2651.6256603413358</v>
      </c>
      <c r="P46" s="410">
        <f>+GPpcntSCH*(VLOOKUP($A46,FY16ProjRev0!$A$4:$I$24,9,FALSE))*VLOOKUP($A46,FY16ProjSCH!$A$3:$S$23,MATCH(P$28,FY16ProjSCH!$A$2:$S$2,0),FALSE)</f>
        <v>1182123.3856035224</v>
      </c>
      <c r="Q46" s="410">
        <f>+GPpcntSCH*(VLOOKUP($A46,FY16ProjRev0!$A$4:$I$24,9,FALSE))*VLOOKUP($A46,FY16ProjSCH!$A$3:$S$23,MATCH(Q$28,FY16ProjSCH!$A$2:$S$2,0),FALSE)</f>
        <v>12469.807159443038</v>
      </c>
      <c r="R46" s="410">
        <f>+GPpcntSCH*(VLOOKUP($A46,FY16ProjRev0!$A$4:$I$24,9,FALSE))*VLOOKUP($A46,FY16ProjSCH!$A$3:$S$23,MATCH(R$28,FY16ProjSCH!$A$2:$S$2,0),FALSE)</f>
        <v>0</v>
      </c>
      <c r="S46" s="410">
        <f>+GPpcntSCH*(VLOOKUP($A46,FY16ProjRev0!$A$4:$I$24,9,FALSE))*VLOOKUP($A46,FY16ProjSCH!$A$3:$S$23,MATCH(S$28,FY16ProjSCH!$A$2:$S$2,0),FALSE)</f>
        <v>0</v>
      </c>
      <c r="T46" s="441">
        <f t="shared" si="4"/>
        <v>1341220.9252240027</v>
      </c>
    </row>
    <row r="47" spans="1:91" ht="20.100000000000001" customHeight="1">
      <c r="A47" s="404" t="s">
        <v>162</v>
      </c>
      <c r="B47" s="442" t="s">
        <v>76</v>
      </c>
      <c r="C47" s="443">
        <f>+GPpcntSCH*(VLOOKUP($A47,FY16ProjRev0!$A$4:$I$24,9,FALSE))*VLOOKUP($A47,FY16ProjSCH!$A$3:$S$23,MATCH(C$28,FY16ProjSCH!$A$2:$S$2,0),FALSE)</f>
        <v>0</v>
      </c>
      <c r="D47" s="443">
        <f>+GPpcntSCH*(VLOOKUP($A47,FY16ProjRev0!$A$4:$I$24,9,FALSE))*VLOOKUP($A47,FY16ProjSCH!$A$3:$S$23,MATCH(D$28,FY16ProjSCH!$A$2:$S$2,0),FALSE)</f>
        <v>820.12076249580105</v>
      </c>
      <c r="E47" s="443">
        <f>+GPpcntSCH*(VLOOKUP($A47,FY16ProjRev0!$A$4:$I$24,9,FALSE))*VLOOKUP($A47,FY16ProjSCH!$A$3:$S$23,MATCH(E$28,FY16ProjSCH!$A$2:$S$2,0),FALSE)</f>
        <v>0</v>
      </c>
      <c r="F47" s="443">
        <f>+GPpcntSCH*(VLOOKUP($A47,FY16ProjRev0!$A$4:$I$24,9,FALSE))*VLOOKUP($A47,FY16ProjSCH!$A$3:$S$23,MATCH(F$28,FY16ProjSCH!$A$2:$S$2,0),FALSE)</f>
        <v>0</v>
      </c>
      <c r="G47" s="443">
        <f>+GPpcntSCH*(VLOOKUP($A47,FY16ProjRev0!$A$4:$I$24,9,FALSE))*VLOOKUP($A47,FY16ProjSCH!$A$3:$S$23,MATCH(G$28,FY16ProjSCH!$A$2:$S$2,0),FALSE)</f>
        <v>1025.1509531197512</v>
      </c>
      <c r="H47" s="443">
        <f>+GPpcntSCH*(VLOOKUP($A47,FY16ProjRev0!$A$4:$I$24,9,FALSE))*VLOOKUP($A47,FY16ProjSCH!$A$3:$S$23,MATCH(H$28,FY16ProjSCH!$A$2:$S$2,0),FALSE)</f>
        <v>205.03019062395026</v>
      </c>
      <c r="I47" s="443">
        <f>+GPpcntSCH*(VLOOKUP($A47,FY16ProjRev0!$A$4:$I$24,9,FALSE))*VLOOKUP($A47,FY16ProjSCH!$A$3:$S$23,MATCH(I$28,FY16ProjSCH!$A$2:$S$2,0),FALSE)</f>
        <v>0</v>
      </c>
      <c r="J47" s="443">
        <f>+GPpcntSCH*(VLOOKUP($A47,FY16ProjRev0!$A$4:$I$24,9,FALSE))*VLOOKUP($A47,FY16ProjSCH!$A$3:$S$23,MATCH(J$28,FY16ProjSCH!$A$2:$S$2,0),FALSE)</f>
        <v>0</v>
      </c>
      <c r="K47" s="443">
        <f>+GPpcntSCH*(VLOOKUP($A47,FY16ProjRev0!$A$4:$I$24,9,FALSE))*VLOOKUP($A47,FY16ProjSCH!$A$3:$S$23,MATCH(K$28,FY16ProjSCH!$A$2:$S$2,0),FALSE)</f>
        <v>0</v>
      </c>
      <c r="L47" s="443">
        <f>+GPpcntSCH*(VLOOKUP($A47,FY16ProjRev0!$A$4:$I$24,9,FALSE))*VLOOKUP($A47,FY16ProjSCH!$A$3:$S$23,MATCH(L$28,FY16ProjSCH!$A$2:$S$2,0),FALSE)</f>
        <v>0</v>
      </c>
      <c r="M47" s="443">
        <f>+GPpcntSCH*(VLOOKUP($A47,FY16ProjRev0!$A$4:$I$24,9,FALSE))*VLOOKUP($A47,FY16ProjSCH!$A$3:$S$23,MATCH(M$28,FY16ProjSCH!$A$2:$S$2,0),FALSE)</f>
        <v>0</v>
      </c>
      <c r="N47" s="443">
        <f>+GPpcntSCH*(VLOOKUP($A47,FY16ProjRev0!$A$4:$I$24,9,FALSE))*VLOOKUP($A47,FY16ProjSCH!$A$3:$S$23,MATCH(N$28,FY16ProjSCH!$A$2:$S$2,0),FALSE)</f>
        <v>2905961.2351101213</v>
      </c>
      <c r="O47" s="443">
        <f>+GPpcntSCH*(VLOOKUP($A47,FY16ProjRev0!$A$4:$I$24,9,FALSE))*VLOOKUP($A47,FY16ProjSCH!$A$3:$S$23,MATCH(O$28,FY16ProjSCH!$A$2:$S$2,0),FALSE)</f>
        <v>0</v>
      </c>
      <c r="P47" s="443">
        <f>+GPpcntSCH*(VLOOKUP($A47,FY16ProjRev0!$A$4:$I$24,9,FALSE))*VLOOKUP($A47,FY16ProjSCH!$A$3:$S$23,MATCH(P$28,FY16ProjSCH!$A$2:$S$2,0),FALSE)</f>
        <v>0</v>
      </c>
      <c r="Q47" s="443">
        <f>+GPpcntSCH*(VLOOKUP($A47,FY16ProjRev0!$A$4:$I$24,9,FALSE))*VLOOKUP($A47,FY16ProjSCH!$A$3:$S$23,MATCH(Q$28,FY16ProjSCH!$A$2:$S$2,0),FALSE)</f>
        <v>6560.9660999664084</v>
      </c>
      <c r="R47" s="443">
        <f>+GPpcntSCH*(VLOOKUP($A47,FY16ProjRev0!$A$4:$I$24,9,FALSE))*VLOOKUP($A47,FY16ProjSCH!$A$3:$S$23,MATCH(R$28,FY16ProjSCH!$A$2:$S$2,0),FALSE)</f>
        <v>0</v>
      </c>
      <c r="S47" s="443">
        <f>+GPpcntSCH*(VLOOKUP($A47,FY16ProjRev0!$A$4:$I$24,9,FALSE))*VLOOKUP($A47,FY16ProjSCH!$A$3:$S$23,MATCH(S$28,FY16ProjSCH!$A$2:$S$2,0),FALSE)</f>
        <v>0</v>
      </c>
      <c r="T47" s="444">
        <f t="shared" si="4"/>
        <v>2914572.5031163273</v>
      </c>
    </row>
    <row r="48" spans="1:91" s="18" customFormat="1" ht="20.100000000000001" customHeight="1">
      <c r="A48" s="404" t="s">
        <v>156</v>
      </c>
      <c r="B48" s="440" t="s">
        <v>77</v>
      </c>
      <c r="C48" s="410">
        <f>+GPpcntSCH*(VLOOKUP($A48,FY16ProjRev0!$A$4:$I$24,9,FALSE))*VLOOKUP($A48,FY16ProjSCH!$A$3:$S$23,MATCH(C$28,FY16ProjSCH!$A$2:$S$2,0),FALSE)</f>
        <v>0</v>
      </c>
      <c r="D48" s="410">
        <f>+GPpcntSCH*(VLOOKUP($A48,FY16ProjRev0!$A$4:$I$24,9,FALSE))*VLOOKUP($A48,FY16ProjSCH!$A$3:$S$23,MATCH(D$28,FY16ProjSCH!$A$2:$S$2,0),FALSE)</f>
        <v>457.54119576828214</v>
      </c>
      <c r="E48" s="410">
        <f>+GPpcntSCH*(VLOOKUP($A48,FY16ProjRev0!$A$4:$I$24,9,FALSE))*VLOOKUP($A48,FY16ProjSCH!$A$3:$S$23,MATCH(E$28,FY16ProjSCH!$A$2:$S$2,0),FALSE)</f>
        <v>0</v>
      </c>
      <c r="F48" s="410">
        <f>+GPpcntSCH*(VLOOKUP($A48,FY16ProjRev0!$A$4:$I$24,9,FALSE))*VLOOKUP($A48,FY16ProjSCH!$A$3:$S$23,MATCH(F$28,FY16ProjSCH!$A$2:$S$2,0),FALSE)</f>
        <v>0</v>
      </c>
      <c r="G48" s="410">
        <f>+GPpcntSCH*(VLOOKUP($A48,FY16ProjRev0!$A$4:$I$24,9,FALSE))*VLOOKUP($A48,FY16ProjSCH!$A$3:$S$23,MATCH(G$28,FY16ProjSCH!$A$2:$S$2,0),FALSE)</f>
        <v>0</v>
      </c>
      <c r="H48" s="410">
        <f>+GPpcntSCH*(VLOOKUP($A48,FY16ProjRev0!$A$4:$I$24,9,FALSE))*VLOOKUP($A48,FY16ProjSCH!$A$3:$S$23,MATCH(H$28,FY16ProjSCH!$A$2:$S$2,0),FALSE)</f>
        <v>0</v>
      </c>
      <c r="I48" s="410">
        <f>+GPpcntSCH*(VLOOKUP($A48,FY16ProjRev0!$A$4:$I$24,9,FALSE))*VLOOKUP($A48,FY16ProjSCH!$A$3:$S$23,MATCH(I$28,FY16ProjSCH!$A$2:$S$2,0),FALSE)</f>
        <v>0</v>
      </c>
      <c r="J48" s="410">
        <f>+GPpcntSCH*(VLOOKUP($A48,FY16ProjRev0!$A$4:$I$24,9,FALSE))*VLOOKUP($A48,FY16ProjSCH!$A$3:$S$23,MATCH(J$28,FY16ProjSCH!$A$2:$S$2,0),FALSE)</f>
        <v>0</v>
      </c>
      <c r="K48" s="410">
        <f>+GPpcntSCH*(VLOOKUP($A48,FY16ProjRev0!$A$4:$I$24,9,FALSE))*VLOOKUP($A48,FY16ProjSCH!$A$3:$S$23,MATCH(K$28,FY16ProjSCH!$A$2:$S$2,0),FALSE)</f>
        <v>0</v>
      </c>
      <c r="L48" s="410">
        <f>+GPpcntSCH*(VLOOKUP($A48,FY16ProjRev0!$A$4:$I$24,9,FALSE))*VLOOKUP($A48,FY16ProjSCH!$A$3:$S$23,MATCH(L$28,FY16ProjSCH!$A$2:$S$2,0),FALSE)</f>
        <v>0</v>
      </c>
      <c r="M48" s="410">
        <f>+GPpcntSCH*(VLOOKUP($A48,FY16ProjRev0!$A$4:$I$24,9,FALSE))*VLOOKUP($A48,FY16ProjSCH!$A$3:$S$23,MATCH(M$28,FY16ProjSCH!$A$2:$S$2,0),FALSE)</f>
        <v>1087194.1380113997</v>
      </c>
      <c r="N48" s="410">
        <f>+GPpcntSCH*(VLOOKUP($A48,FY16ProjRev0!$A$4:$I$24,9,FALSE))*VLOOKUP($A48,FY16ProjSCH!$A$3:$S$23,MATCH(N$28,FY16ProjSCH!$A$2:$S$2,0),FALSE)</f>
        <v>161893.32643601048</v>
      </c>
      <c r="O48" s="410">
        <f>+GPpcntSCH*(VLOOKUP($A48,FY16ProjRev0!$A$4:$I$24,9,FALSE))*VLOOKUP($A48,FY16ProjSCH!$A$3:$S$23,MATCH(O$28,FY16ProjSCH!$A$2:$S$2,0),FALSE)</f>
        <v>0</v>
      </c>
      <c r="P48" s="410">
        <f>+GPpcntSCH*(VLOOKUP($A48,FY16ProjRev0!$A$4:$I$24,9,FALSE))*VLOOKUP($A48,FY16ProjSCH!$A$3:$S$23,MATCH(P$28,FY16ProjSCH!$A$2:$S$2,0),FALSE)</f>
        <v>0</v>
      </c>
      <c r="Q48" s="410">
        <f>+GPpcntSCH*(VLOOKUP($A48,FY16ProjRev0!$A$4:$I$24,9,FALSE))*VLOOKUP($A48,FY16ProjSCH!$A$3:$S$23,MATCH(Q$28,FY16ProjSCH!$A$2:$S$2,0),FALSE)</f>
        <v>0</v>
      </c>
      <c r="R48" s="410">
        <f>+GPpcntSCH*(VLOOKUP($A48,FY16ProjRev0!$A$4:$I$24,9,FALSE))*VLOOKUP($A48,FY16ProjSCH!$A$3:$S$23,MATCH(R$28,FY16ProjSCH!$A$2:$S$2,0),FALSE)</f>
        <v>0</v>
      </c>
      <c r="S48" s="410">
        <f>+GPpcntSCH*(VLOOKUP($A48,FY16ProjRev0!$A$4:$I$24,9,FALSE))*VLOOKUP($A48,FY16ProjSCH!$A$3:$S$23,MATCH(S$28,FY16ProjSCH!$A$2:$S$2,0),FALSE)</f>
        <v>0</v>
      </c>
      <c r="T48" s="441">
        <f t="shared" si="4"/>
        <v>1249545.0056431785</v>
      </c>
    </row>
    <row r="49" spans="1:20" ht="20.100000000000001" customHeight="1">
      <c r="A49" s="404" t="s">
        <v>163</v>
      </c>
      <c r="B49" s="445" t="s">
        <v>164</v>
      </c>
      <c r="C49" s="443">
        <f>+GPpcntSCH*(VLOOKUP($A49,FY16ProjRev0!$A$4:$I$24,9,FALSE))*VLOOKUP($A49,FY16ProjSCH!$A$3:$S$23,MATCH(C$28,FY16ProjSCH!$A$2:$S$2,0),FALSE)</f>
        <v>0</v>
      </c>
      <c r="D49" s="443">
        <f>+GPpcntSCH*(VLOOKUP($A49,FY16ProjRev0!$A$4:$I$24,9,FALSE))*VLOOKUP($A49,FY16ProjSCH!$A$3:$S$23,MATCH(D$28,FY16ProjSCH!$A$2:$S$2,0),FALSE)</f>
        <v>0</v>
      </c>
      <c r="E49" s="443">
        <f>+GPpcntSCH*(VLOOKUP($A49,FY16ProjRev0!$A$4:$I$24,9,FALSE))*VLOOKUP($A49,FY16ProjSCH!$A$3:$S$23,MATCH(E$28,FY16ProjSCH!$A$2:$S$2,0),FALSE)</f>
        <v>0</v>
      </c>
      <c r="F49" s="443">
        <f>+GPpcntSCH*(VLOOKUP($A49,FY16ProjRev0!$A$4:$I$24,9,FALSE))*VLOOKUP($A49,FY16ProjSCH!$A$3:$S$23,MATCH(F$28,FY16ProjSCH!$A$2:$S$2,0),FALSE)</f>
        <v>0</v>
      </c>
      <c r="G49" s="443">
        <f>+GPpcntSCH*(VLOOKUP($A49,FY16ProjRev0!$A$4:$I$24,9,FALSE))*VLOOKUP($A49,FY16ProjSCH!$A$3:$S$23,MATCH(G$28,FY16ProjSCH!$A$2:$S$2,0),FALSE)</f>
        <v>0</v>
      </c>
      <c r="H49" s="443">
        <f>+GPpcntSCH*(VLOOKUP($A49,FY16ProjRev0!$A$4:$I$24,9,FALSE))*VLOOKUP($A49,FY16ProjSCH!$A$3:$S$23,MATCH(H$28,FY16ProjSCH!$A$2:$S$2,0),FALSE)</f>
        <v>0</v>
      </c>
      <c r="I49" s="443">
        <f>+GPpcntSCH*(VLOOKUP($A49,FY16ProjRev0!$A$4:$I$24,9,FALSE))*VLOOKUP($A49,FY16ProjSCH!$A$3:$S$23,MATCH(I$28,FY16ProjSCH!$A$2:$S$2,0),FALSE)</f>
        <v>0</v>
      </c>
      <c r="J49" s="443">
        <f>+GPpcntSCH*(VLOOKUP($A49,FY16ProjRev0!$A$4:$I$24,9,FALSE))*VLOOKUP($A49,FY16ProjSCH!$A$3:$S$23,MATCH(J$28,FY16ProjSCH!$A$2:$S$2,0),FALSE)</f>
        <v>0</v>
      </c>
      <c r="K49" s="443">
        <f>+GPpcntSCH*(VLOOKUP($A49,FY16ProjRev0!$A$4:$I$24,9,FALSE))*VLOOKUP($A49,FY16ProjSCH!$A$3:$S$23,MATCH(K$28,FY16ProjSCH!$A$2:$S$2,0),FALSE)</f>
        <v>0</v>
      </c>
      <c r="L49" s="443">
        <f>+GPpcntSCH*(VLOOKUP($A49,FY16ProjRev0!$A$4:$I$24,9,FALSE))*VLOOKUP($A49,FY16ProjSCH!$A$3:$S$23,MATCH(L$28,FY16ProjSCH!$A$2:$S$2,0),FALSE)</f>
        <v>0</v>
      </c>
      <c r="M49" s="443">
        <f>+GPpcntSCH*(VLOOKUP($A49,FY16ProjRev0!$A$4:$I$24,9,FALSE))*VLOOKUP($A49,FY16ProjSCH!$A$3:$S$23,MATCH(M$28,FY16ProjSCH!$A$2:$S$2,0),FALSE)</f>
        <v>176652.25692184805</v>
      </c>
      <c r="N49" s="443">
        <f>+GPpcntSCH*(VLOOKUP($A49,FY16ProjRev0!$A$4:$I$24,9,FALSE))*VLOOKUP($A49,FY16ProjSCH!$A$3:$S$23,MATCH(N$28,FY16ProjSCH!$A$2:$S$2,0),FALSE)</f>
        <v>1857.9929935145828</v>
      </c>
      <c r="O49" s="443">
        <f>+GPpcntSCH*(VLOOKUP($A49,FY16ProjRev0!$A$4:$I$24,9,FALSE))*VLOOKUP($A49,FY16ProjSCH!$A$3:$S$23,MATCH(O$28,FY16ProjSCH!$A$2:$S$2,0),FALSE)</f>
        <v>0</v>
      </c>
      <c r="P49" s="443">
        <f>+GPpcntSCH*(VLOOKUP($A49,FY16ProjRev0!$A$4:$I$24,9,FALSE))*VLOOKUP($A49,FY16ProjSCH!$A$3:$S$23,MATCH(P$28,FY16ProjSCH!$A$2:$S$2,0),FALSE)</f>
        <v>0</v>
      </c>
      <c r="Q49" s="443">
        <f>+GPpcntSCH*(VLOOKUP($A49,FY16ProjRev0!$A$4:$I$24,9,FALSE))*VLOOKUP($A49,FY16ProjSCH!$A$3:$S$23,MATCH(Q$28,FY16ProjSCH!$A$2:$S$2,0),FALSE)</f>
        <v>857.53522777596129</v>
      </c>
      <c r="R49" s="443">
        <f>+GPpcntSCH*(VLOOKUP($A49,FY16ProjRev0!$A$4:$I$24,9,FALSE))*VLOOKUP($A49,FY16ProjSCH!$A$3:$S$23,MATCH(R$28,FY16ProjSCH!$A$2:$S$2,0),FALSE)</f>
        <v>0</v>
      </c>
      <c r="S49" s="443">
        <f>+GPpcntSCH*(VLOOKUP($A49,FY16ProjRev0!$A$4:$I$24,9,FALSE))*VLOOKUP($A49,FY16ProjSCH!$A$3:$S$23,MATCH(S$28,FY16ProjSCH!$A$2:$S$2,0),FALSE)</f>
        <v>0</v>
      </c>
      <c r="T49" s="446">
        <f t="shared" si="4"/>
        <v>179367.78514313858</v>
      </c>
    </row>
    <row r="50" spans="1:20" ht="20.100000000000001" customHeight="1">
      <c r="A50" s="405"/>
      <c r="B50" s="447" t="s">
        <v>17</v>
      </c>
      <c r="C50" s="448">
        <f t="shared" ref="C50:S50" si="5">SUM(C29:C49)</f>
        <v>4641844.2106630886</v>
      </c>
      <c r="D50" s="448">
        <f t="shared" si="5"/>
        <v>114949118.98374462</v>
      </c>
      <c r="E50" s="448">
        <f t="shared" si="5"/>
        <v>12047774.44718325</v>
      </c>
      <c r="F50" s="448">
        <f t="shared" si="5"/>
        <v>3228898.5309610465</v>
      </c>
      <c r="G50" s="448">
        <f t="shared" si="5"/>
        <v>17977213.455707081</v>
      </c>
      <c r="H50" s="448">
        <f t="shared" si="5"/>
        <v>10554459.323524185</v>
      </c>
      <c r="I50" s="448">
        <f t="shared" si="5"/>
        <v>2422136.7217359254</v>
      </c>
      <c r="J50" s="448">
        <f t="shared" si="5"/>
        <v>2322332.5923835486</v>
      </c>
      <c r="K50" s="448">
        <f t="shared" si="5"/>
        <v>848293.51657456951</v>
      </c>
      <c r="L50" s="448">
        <f t="shared" si="5"/>
        <v>1164665.8536752334</v>
      </c>
      <c r="M50" s="448">
        <f t="shared" si="5"/>
        <v>1274561.7107575662</v>
      </c>
      <c r="N50" s="448">
        <f t="shared" si="5"/>
        <v>8738349.45082267</v>
      </c>
      <c r="O50" s="448">
        <f t="shared" si="5"/>
        <v>1736760.8922830371</v>
      </c>
      <c r="P50" s="448">
        <f t="shared" si="5"/>
        <v>1302260.2527236915</v>
      </c>
      <c r="Q50" s="448">
        <f t="shared" si="5"/>
        <v>3592344.6582729425</v>
      </c>
      <c r="R50" s="448">
        <f t="shared" si="5"/>
        <v>2341547.5739184227</v>
      </c>
      <c r="S50" s="448">
        <f t="shared" si="5"/>
        <v>231220.49087459789</v>
      </c>
      <c r="T50" s="448">
        <f>SUM(C50:S50)</f>
        <v>189373782.66580549</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+UGpcntDeg*(VLOOKUP($A53,FY16ProjRev0!$A$4:$I$24,9,FALSE))*VLOOKUP($A53,FY16ProjMjrs!$A$3:$S$23,MATCH(C$28,FY16ProjMjrs!$A$2:$S$2,0),FALSE)</f>
        <v>1486298.4585956521</v>
      </c>
      <c r="D53" s="455">
        <f>+UGpcntDeg*(VLOOKUP($A53,FY16ProjRev0!$A$4:$I$24,9,FALSE))*VLOOKUP($A53,FY16ProjMjrs!$A$3:$S$23,MATCH(D$28,FY16ProjMjrs!$A$2:$S$2,0),FALSE)</f>
        <v>72523402.466296777</v>
      </c>
      <c r="E53" s="455">
        <f>+UGpcntDeg*(VLOOKUP($A53,FY16ProjRev0!$A$4:$I$24,9,FALSE))*VLOOKUP($A53,FY16ProjMjrs!$A$3:$S$23,MATCH(E$28,FY16ProjMjrs!$A$2:$S$2,0),FALSE)</f>
        <v>12474290.634642079</v>
      </c>
      <c r="F53" s="455">
        <f>+UGpcntDeg*(VLOOKUP($A53,FY16ProjRev0!$A$4:$I$24,9,FALSE))*VLOOKUP($A53,FY16ProjMjrs!$A$3:$S$23,MATCH(F$28,FY16ProjMjrs!$A$2:$S$2,0),FALSE)</f>
        <v>1340322.7171264363</v>
      </c>
      <c r="G53" s="455">
        <f>+UGpcntDeg*(VLOOKUP($A53,FY16ProjRev0!$A$4:$I$24,9,FALSE))*VLOOKUP($A53,FY16ProjMjrs!$A$3:$S$23,MATCH(G$28,FY16ProjMjrs!$A$2:$S$2,0),FALSE)</f>
        <v>12978570.468808461</v>
      </c>
      <c r="H53" s="455">
        <f>+UGpcntDeg*(VLOOKUP($A53,FY16ProjRev0!$A$4:$I$24,9,FALSE))*VLOOKUP($A53,FY16ProjMjrs!$A$3:$S$23,MATCH(H$28,FY16ProjMjrs!$A$2:$S$2,0),FALSE)</f>
        <v>3914803.975765334</v>
      </c>
      <c r="I53" s="455">
        <f>+UGpcntDeg*(VLOOKUP($A53,FY16ProjRev0!$A$4:$I$24,9,FALSE))*VLOOKUP($A53,FY16ProjMjrs!$A$3:$S$23,MATCH(I$28,FY16ProjMjrs!$A$2:$S$2,0),FALSE)</f>
        <v>1327052.1951746894</v>
      </c>
      <c r="J53" s="455">
        <f>+UGpcntDeg*(VLOOKUP($A53,FY16ProjRev0!$A$4:$I$24,9,FALSE))*VLOOKUP($A53,FY16ProjMjrs!$A$3:$S$23,MATCH(J$28,FY16ProjMjrs!$A$2:$S$2,0),FALSE)</f>
        <v>0</v>
      </c>
      <c r="K53" s="455">
        <f>+UGpcntDeg*(VLOOKUP($A53,FY16ProjRev0!$A$4:$I$24,9,FALSE))*VLOOKUP($A53,FY16ProjMjrs!$A$3:$S$23,MATCH(K$28,FY16ProjMjrs!$A$2:$S$2,0),FALSE)</f>
        <v>0</v>
      </c>
      <c r="L53" s="455">
        <f>+UGpcntDeg*(VLOOKUP($A53,FY16ProjRev0!$A$4:$I$24,9,FALSE))*VLOOKUP($A53,FY16ProjMjrs!$A$3:$S$23,MATCH(L$28,FY16ProjMjrs!$A$2:$S$2,0),FALSE)</f>
        <v>544091.40002162266</v>
      </c>
      <c r="M53" s="455">
        <f>+UGpcntDeg*(VLOOKUP($A53,FY16ProjRev0!$A$4:$I$24,9,FALSE))*VLOOKUP($A53,FY16ProjMjrs!$A$3:$S$23,MATCH(M$28,FY16ProjMjrs!$A$2:$S$2,0),FALSE)</f>
        <v>0</v>
      </c>
      <c r="N53" s="455">
        <f>+UGpcntDeg*(VLOOKUP($A53,FY16ProjRev0!$A$4:$I$24,9,FALSE))*VLOOKUP($A53,FY16ProjMjrs!$A$3:$S$23,MATCH(N$28,FY16ProjMjrs!$A$2:$S$2,0),FALSE)</f>
        <v>2720457.0001081135</v>
      </c>
      <c r="O53" s="455">
        <f>+UGpcntDeg*(VLOOKUP($A53,FY16ProjRev0!$A$4:$I$24,9,FALSE))*VLOOKUP($A53,FY16ProjMjrs!$A$3:$S$23,MATCH(O$28,FY16ProjMjrs!$A$2:$S$2,0),FALSE)</f>
        <v>1884414.117148059</v>
      </c>
      <c r="P53" s="455">
        <f>+UGpcntDeg*(VLOOKUP($A53,FY16ProjRev0!$A$4:$I$24,9,FALSE))*VLOOKUP($A53,FY16ProjMjrs!$A$3:$S$23,MATCH(P$28,FY16ProjMjrs!$A$2:$S$2,0),FALSE)</f>
        <v>0</v>
      </c>
      <c r="Q53" s="455">
        <f>+UGpcntDeg*(VLOOKUP($A53,FY16ProjRev0!$A$4:$I$24,9,FALSE))*VLOOKUP($A53,FY16ProjMjrs!$A$3:$S$23,MATCH(Q$28,FY16ProjMjrs!$A$2:$S$2,0),FALSE)</f>
        <v>2375423.4293626938</v>
      </c>
      <c r="R53" s="455">
        <f>+UGpcntDeg*(VLOOKUP($A53,FY16ProjRev0!$A$4:$I$24,9,FALSE))*VLOOKUP($A53,FY16ProjMjrs!$A$3:$S$23,MATCH(R$28,FY16ProjMjrs!$A$2:$S$2,0),FALSE)</f>
        <v>172516.78537270962</v>
      </c>
      <c r="S53" s="455">
        <f>+UGpcntDeg*(VLOOKUP($A53,FY16ProjRev0!$A$4:$I$24,9,FALSE))*VLOOKUP($A53,FY16ProjMjrs!$A$3:$S$23,MATCH(S$28,FY16ProjMjrs!$A$2:$S$2,0),FALSE)</f>
        <v>0</v>
      </c>
      <c r="T53" s="455">
        <f t="shared" ref="T53:T74" si="6">SUM(C53:Q53)+R53+S53</f>
        <v>113741643.64842261</v>
      </c>
    </row>
    <row r="54" spans="1:20" s="18" customFormat="1" ht="20.100000000000001" customHeight="1">
      <c r="A54" s="404" t="s">
        <v>129</v>
      </c>
      <c r="B54" s="440" t="s">
        <v>35</v>
      </c>
      <c r="C54" s="410">
        <f>+GPpcntMjr*(VLOOKUP($A54,FY16ProjRev0!$A$4:$I$24,9,FALSE))*VLOOKUP($A54,FY16ProjMjrs!$A$3:$S$23,MATCH(C$28,FY16ProjMjrs!$A$2:$S$2,0),FALSE)</f>
        <v>72437.926527908276</v>
      </c>
      <c r="D54" s="410">
        <f>+GPpcntMjr*(VLOOKUP($A54,FY16ProjRev0!$A$4:$I$24,9,FALSE))*VLOOKUP($A54,FY16ProjMjrs!$A$3:$S$23,MATCH(D$28,FY16ProjMjrs!$A$2:$S$2,0),FALSE)</f>
        <v>7341209.1746731866</v>
      </c>
      <c r="E54" s="410">
        <f>+GPpcntMjr*(VLOOKUP($A54,FY16ProjRev0!$A$4:$I$24,9,FALSE))*VLOOKUP($A54,FY16ProjMjrs!$A$3:$S$23,MATCH(E$28,FY16ProjMjrs!$A$2:$S$2,0),FALSE)</f>
        <v>273515.61913123989</v>
      </c>
      <c r="F54" s="410">
        <f>+GPpcntMjr*(VLOOKUP($A54,FY16ProjRev0!$A$4:$I$24,9,FALSE))*VLOOKUP($A54,FY16ProjMjrs!$A$3:$S$23,MATCH(F$28,FY16ProjMjrs!$A$2:$S$2,0),FALSE)</f>
        <v>23729.66558672857</v>
      </c>
      <c r="G54" s="410">
        <f>+GPpcntMjr*(VLOOKUP($A54,FY16ProjRev0!$A$4:$I$24,9,FALSE))*VLOOKUP($A54,FY16ProjMjrs!$A$3:$S$23,MATCH(G$28,FY16ProjMjrs!$A$2:$S$2,0),FALSE)</f>
        <v>450863.64614784293</v>
      </c>
      <c r="H54" s="410">
        <f>+GPpcntMjr*(VLOOKUP($A54,FY16ProjRev0!$A$4:$I$24,9,FALSE))*VLOOKUP($A54,FY16ProjMjrs!$A$3:$S$23,MATCH(H$28,FY16ProjMjrs!$A$2:$S$2,0),FALSE)</f>
        <v>0</v>
      </c>
      <c r="I54" s="410">
        <f>+GPpcntMjr*(VLOOKUP($A54,FY16ProjRev0!$A$4:$I$24,9,FALSE))*VLOOKUP($A54,FY16ProjMjrs!$A$3:$S$23,MATCH(I$28,FY16ProjMjrs!$A$2:$S$2,0),FALSE)</f>
        <v>186090.53539066087</v>
      </c>
      <c r="J54" s="410">
        <f>+GPpcntMjr*(VLOOKUP($A54,FY16ProjRev0!$A$4:$I$24,9,FALSE))*VLOOKUP($A54,FY16ProjMjrs!$A$3:$S$23,MATCH(J$28,FY16ProjMjrs!$A$2:$S$2,0),FALSE)</f>
        <v>3746.7893031676695</v>
      </c>
      <c r="K54" s="410">
        <f>+GPpcntMjr*(VLOOKUP($A54,FY16ProjRev0!$A$4:$I$24,9,FALSE))*VLOOKUP($A54,FY16ProjMjrs!$A$3:$S$23,MATCH(K$28,FY16ProjMjrs!$A$2:$S$2,0),FALSE)</f>
        <v>64944.347921572924</v>
      </c>
      <c r="L54" s="410">
        <f>+GPpcntMjr*(VLOOKUP($A54,FY16ProjRev0!$A$4:$I$24,9,FALSE))*VLOOKUP($A54,FY16ProjMjrs!$A$3:$S$23,MATCH(L$28,FY16ProjMjrs!$A$2:$S$2,0),FALSE)</f>
        <v>1248.9297677225563</v>
      </c>
      <c r="M54" s="410">
        <f>+GPpcntMjr*(VLOOKUP($A54,FY16ProjRev0!$A$4:$I$24,9,FALSE))*VLOOKUP($A54,FY16ProjMjrs!$A$3:$S$23,MATCH(M$28,FY16ProjMjrs!$A$2:$S$2,0),FALSE)</f>
        <v>0</v>
      </c>
      <c r="N54" s="410">
        <f>+GPpcntMjr*(VLOOKUP($A54,FY16ProjRev0!$A$4:$I$24,9,FALSE))*VLOOKUP($A54,FY16ProjMjrs!$A$3:$S$23,MATCH(N$28,FY16ProjMjrs!$A$2:$S$2,0),FALSE)</f>
        <v>1597381.17291715</v>
      </c>
      <c r="O54" s="410">
        <f>+GPpcntMjr*(VLOOKUP($A54,FY16ProjRev0!$A$4:$I$24,9,FALSE))*VLOOKUP($A54,FY16ProjMjrs!$A$3:$S$23,MATCH(O$28,FY16ProjMjrs!$A$2:$S$2,0),FALSE)</f>
        <v>2497.8595354451127</v>
      </c>
      <c r="P54" s="410">
        <f>+GPpcntMjr*(VLOOKUP($A54,FY16ProjRev0!$A$4:$I$24,9,FALSE))*VLOOKUP($A54,FY16ProjMjrs!$A$3:$S$23,MATCH(P$28,FY16ProjMjrs!$A$2:$S$2,0),FALSE)</f>
        <v>259777.3916862917</v>
      </c>
      <c r="Q54" s="410">
        <f>+GPpcntMjr*(VLOOKUP($A54,FY16ProjRev0!$A$4:$I$24,9,FALSE))*VLOOKUP($A54,FY16ProjMjrs!$A$3:$S$23,MATCH(Q$28,FY16ProjMjrs!$A$2:$S$2,0),FALSE)</f>
        <v>2497.8595354451127</v>
      </c>
      <c r="R54" s="410">
        <f>+GPpcntMjr*(VLOOKUP($A54,FY16ProjRev0!$A$4:$I$24,9,FALSE))*VLOOKUP($A54,FY16ProjMjrs!$A$3:$S$23,MATCH(R$28,FY16ProjMjrs!$A$2:$S$2,0),FALSE)</f>
        <v>0</v>
      </c>
      <c r="S54" s="410">
        <f>+GPpcntMjr*(VLOOKUP($A54,FY16ProjRev0!$A$4:$I$24,9,FALSE))*VLOOKUP($A54,FY16ProjMjrs!$A$3:$S$23,MATCH(S$28,FY16ProjMjrs!$A$2:$S$2,0),FALSE)</f>
        <v>896731.5732247954</v>
      </c>
      <c r="T54" s="410">
        <f t="shared" si="6"/>
        <v>11176672.491349157</v>
      </c>
    </row>
    <row r="55" spans="1:20" ht="20.100000000000001" customHeight="1">
      <c r="A55" s="404" t="s">
        <v>140</v>
      </c>
      <c r="B55" s="456" t="s">
        <v>36</v>
      </c>
      <c r="C55" s="457">
        <f>+GPpcntMjr*(VLOOKUP($A55,FY16ProjRev0!$A$4:$I$24,9,FALSE))*VLOOKUP($A55,FY16ProjMjrs!$A$3:$S$23,MATCH(C$28,FY16ProjMjrs!$A$2:$S$2,0),FALSE)</f>
        <v>0</v>
      </c>
      <c r="D55" s="457">
        <f>+GPpcntMjr*(VLOOKUP($A55,FY16ProjRev0!$A$4:$I$24,9,FALSE))*VLOOKUP($A55,FY16ProjMjrs!$A$3:$S$23,MATCH(D$28,FY16ProjMjrs!$A$2:$S$2,0),FALSE)</f>
        <v>0</v>
      </c>
      <c r="E55" s="457">
        <f>+GPpcntMjr*(VLOOKUP($A55,FY16ProjRev0!$A$4:$I$24,9,FALSE))*VLOOKUP($A55,FY16ProjMjrs!$A$3:$S$23,MATCH(E$28,FY16ProjMjrs!$A$2:$S$2,0),FALSE)</f>
        <v>0</v>
      </c>
      <c r="F55" s="457">
        <f>+GPpcntMjr*(VLOOKUP($A55,FY16ProjRev0!$A$4:$I$24,9,FALSE))*VLOOKUP($A55,FY16ProjMjrs!$A$3:$S$23,MATCH(F$28,FY16ProjMjrs!$A$2:$S$2,0),FALSE)</f>
        <v>0</v>
      </c>
      <c r="G55" s="457">
        <f>+GPpcntMjr*(VLOOKUP($A55,FY16ProjRev0!$A$4:$I$24,9,FALSE))*VLOOKUP($A55,FY16ProjMjrs!$A$3:$S$23,MATCH(G$28,FY16ProjMjrs!$A$2:$S$2,0),FALSE)</f>
        <v>0</v>
      </c>
      <c r="H55" s="457">
        <f>+GPpcntMjr*(VLOOKUP($A55,FY16ProjRev0!$A$4:$I$24,9,FALSE))*VLOOKUP($A55,FY16ProjMjrs!$A$3:$S$23,MATCH(H$28,FY16ProjMjrs!$A$2:$S$2,0),FALSE)</f>
        <v>0</v>
      </c>
      <c r="I55" s="457">
        <f>+GPpcntMjr*(VLOOKUP($A55,FY16ProjRev0!$A$4:$I$24,9,FALSE))*VLOOKUP($A55,FY16ProjMjrs!$A$3:$S$23,MATCH(I$28,FY16ProjMjrs!$A$2:$S$2,0),FALSE)</f>
        <v>0</v>
      </c>
      <c r="J55" s="457">
        <f>+GPpcntMjr*(VLOOKUP($A55,FY16ProjRev0!$A$4:$I$24,9,FALSE))*VLOOKUP($A55,FY16ProjMjrs!$A$3:$S$23,MATCH(J$28,FY16ProjMjrs!$A$2:$S$2,0),FALSE)</f>
        <v>0</v>
      </c>
      <c r="K55" s="457">
        <f>+GPpcntMjr*(VLOOKUP($A55,FY16ProjRev0!$A$4:$I$24,9,FALSE))*VLOOKUP($A55,FY16ProjMjrs!$A$3:$S$23,MATCH(K$28,FY16ProjMjrs!$A$2:$S$2,0),FALSE)</f>
        <v>0</v>
      </c>
      <c r="L55" s="457">
        <f>+GPpcntMjr*(VLOOKUP($A55,FY16ProjRev0!$A$4:$I$24,9,FALSE))*VLOOKUP($A55,FY16ProjMjrs!$A$3:$S$23,MATCH(L$28,FY16ProjMjrs!$A$2:$S$2,0),FALSE)</f>
        <v>225503.37953026342</v>
      </c>
      <c r="M55" s="457">
        <f>+GPpcntMjr*(VLOOKUP($A55,FY16ProjRev0!$A$4:$I$24,9,FALSE))*VLOOKUP($A55,FY16ProjMjrs!$A$3:$S$23,MATCH(M$28,FY16ProjMjrs!$A$2:$S$2,0),FALSE)</f>
        <v>0</v>
      </c>
      <c r="N55" s="457">
        <f>+GPpcntMjr*(VLOOKUP($A55,FY16ProjRev0!$A$4:$I$24,9,FALSE))*VLOOKUP($A55,FY16ProjMjrs!$A$3:$S$23,MATCH(N$28,FY16ProjMjrs!$A$2:$S$2,0),FALSE)</f>
        <v>686209.20867811353</v>
      </c>
      <c r="O55" s="457">
        <f>+GPpcntMjr*(VLOOKUP($A55,FY16ProjRev0!$A$4:$I$24,9,FALSE))*VLOOKUP($A55,FY16ProjMjrs!$A$3:$S$23,MATCH(O$28,FY16ProjMjrs!$A$2:$S$2,0),FALSE)</f>
        <v>0</v>
      </c>
      <c r="P55" s="457">
        <f>+GPpcntMjr*(VLOOKUP($A55,FY16ProjRev0!$A$4:$I$24,9,FALSE))*VLOOKUP($A55,FY16ProjMjrs!$A$3:$S$23,MATCH(P$28,FY16ProjMjrs!$A$2:$S$2,0),FALSE)</f>
        <v>0</v>
      </c>
      <c r="Q55" s="457">
        <f>+GPpcntMjr*(VLOOKUP($A55,FY16ProjRev0!$A$4:$I$24,9,FALSE))*VLOOKUP($A55,FY16ProjMjrs!$A$3:$S$23,MATCH(Q$28,FY16ProjMjrs!$A$2:$S$2,0),FALSE)</f>
        <v>0</v>
      </c>
      <c r="R55" s="457">
        <f>+GPpcntMjr*(VLOOKUP($A55,FY16ProjRev0!$A$4:$I$24,9,FALSE))*VLOOKUP($A55,FY16ProjMjrs!$A$3:$S$23,MATCH(R$28,FY16ProjMjrs!$A$2:$S$2,0),FALSE)</f>
        <v>0</v>
      </c>
      <c r="S55" s="457">
        <f>+GPpcntMjr*(VLOOKUP($A55,FY16ProjRev0!$A$4:$I$24,9,FALSE))*VLOOKUP($A55,FY16ProjMjrs!$A$3:$S$23,MATCH(S$28,FY16ProjMjrs!$A$2:$S$2,0),FALSE)</f>
        <v>0</v>
      </c>
      <c r="T55" s="457">
        <f t="shared" si="6"/>
        <v>911712.5882083769</v>
      </c>
    </row>
    <row r="56" spans="1:20" s="18" customFormat="1" ht="20.100000000000001" customHeight="1">
      <c r="A56" s="404" t="s">
        <v>130</v>
      </c>
      <c r="B56" s="440" t="s">
        <v>37</v>
      </c>
      <c r="C56" s="410">
        <f>+GPpcntMjr*(VLOOKUP($A56,FY16ProjRev0!$A$4:$I$24,9,FALSE))*VLOOKUP($A56,FY16ProjMjrs!$A$3:$S$23,MATCH(C$28,FY16ProjMjrs!$A$2:$S$2,0),FALSE)</f>
        <v>1976.5155323866422</v>
      </c>
      <c r="D56" s="410">
        <f>+GPpcntMjr*(VLOOKUP($A56,FY16ProjRev0!$A$4:$I$24,9,FALSE))*VLOOKUP($A56,FY16ProjMjrs!$A$3:$S$23,MATCH(D$28,FY16ProjMjrs!$A$2:$S$2,0),FALSE)</f>
        <v>51389.403842052692</v>
      </c>
      <c r="E56" s="410">
        <f>+GPpcntMjr*(VLOOKUP($A56,FY16ProjRev0!$A$4:$I$24,9,FALSE))*VLOOKUP($A56,FY16ProjMjrs!$A$3:$S$23,MATCH(E$28,FY16ProjMjrs!$A$2:$S$2,0),FALSE)</f>
        <v>13835.608726706496</v>
      </c>
      <c r="F56" s="410">
        <f>+GPpcntMjr*(VLOOKUP($A56,FY16ProjRev0!$A$4:$I$24,9,FALSE))*VLOOKUP($A56,FY16ProjMjrs!$A$3:$S$23,MATCH(F$28,FY16ProjMjrs!$A$2:$S$2,0),FALSE)</f>
        <v>11859.093194319854</v>
      </c>
      <c r="G56" s="410">
        <f>+GPpcntMjr*(VLOOKUP($A56,FY16ProjRev0!$A$4:$I$24,9,FALSE))*VLOOKUP($A56,FY16ProjMjrs!$A$3:$S$23,MATCH(G$28,FY16ProjMjrs!$A$2:$S$2,0),FALSE)</f>
        <v>5909781.4418360591</v>
      </c>
      <c r="H56" s="410">
        <f>+GPpcntMjr*(VLOOKUP($A56,FY16ProjRev0!$A$4:$I$24,9,FALSE))*VLOOKUP($A56,FY16ProjMjrs!$A$3:$S$23,MATCH(H$28,FY16ProjMjrs!$A$2:$S$2,0),FALSE)</f>
        <v>3953.0310647732845</v>
      </c>
      <c r="I56" s="410">
        <f>+GPpcntMjr*(VLOOKUP($A56,FY16ProjRev0!$A$4:$I$24,9,FALSE))*VLOOKUP($A56,FY16ProjMjrs!$A$3:$S$23,MATCH(I$28,FY16ProjMjrs!$A$2:$S$2,0),FALSE)</f>
        <v>0</v>
      </c>
      <c r="J56" s="410">
        <f>+GPpcntMjr*(VLOOKUP($A56,FY16ProjRev0!$A$4:$I$24,9,FALSE))*VLOOKUP($A56,FY16ProjMjrs!$A$3:$S$23,MATCH(J$28,FY16ProjMjrs!$A$2:$S$2,0),FALSE)</f>
        <v>17788.639791479782</v>
      </c>
      <c r="K56" s="410">
        <f>+GPpcntMjr*(VLOOKUP($A56,FY16ProjRev0!$A$4:$I$24,9,FALSE))*VLOOKUP($A56,FY16ProjMjrs!$A$3:$S$23,MATCH(K$28,FY16ProjMjrs!$A$2:$S$2,0),FALSE)</f>
        <v>0</v>
      </c>
      <c r="L56" s="410">
        <f>+GPpcntMjr*(VLOOKUP($A56,FY16ProjRev0!$A$4:$I$24,9,FALSE))*VLOOKUP($A56,FY16ProjMjrs!$A$3:$S$23,MATCH(L$28,FY16ProjMjrs!$A$2:$S$2,0),FALSE)</f>
        <v>0</v>
      </c>
      <c r="M56" s="410">
        <f>+GPpcntMjr*(VLOOKUP($A56,FY16ProjRev0!$A$4:$I$24,9,FALSE))*VLOOKUP($A56,FY16ProjMjrs!$A$3:$S$23,MATCH(M$28,FY16ProjMjrs!$A$2:$S$2,0),FALSE)</f>
        <v>0</v>
      </c>
      <c r="N56" s="410">
        <f>+GPpcntMjr*(VLOOKUP($A56,FY16ProjRev0!$A$4:$I$24,9,FALSE))*VLOOKUP($A56,FY16ProjMjrs!$A$3:$S$23,MATCH(N$28,FY16ProjMjrs!$A$2:$S$2,0),FALSE)</f>
        <v>90919.714489785547</v>
      </c>
      <c r="O56" s="410">
        <f>+GPpcntMjr*(VLOOKUP($A56,FY16ProjRev0!$A$4:$I$24,9,FALSE))*VLOOKUP($A56,FY16ProjMjrs!$A$3:$S$23,MATCH(O$28,FY16ProjMjrs!$A$2:$S$2,0),FALSE)</f>
        <v>385420.52881539526</v>
      </c>
      <c r="P56" s="410">
        <f>+GPpcntMjr*(VLOOKUP($A56,FY16ProjRev0!$A$4:$I$24,9,FALSE))*VLOOKUP($A56,FY16ProjMjrs!$A$3:$S$23,MATCH(P$28,FY16ProjMjrs!$A$2:$S$2,0),FALSE)</f>
        <v>0</v>
      </c>
      <c r="Q56" s="410">
        <f>+GPpcntMjr*(VLOOKUP($A56,FY16ProjRev0!$A$4:$I$24,9,FALSE))*VLOOKUP($A56,FY16ProjMjrs!$A$3:$S$23,MATCH(Q$28,FY16ProjMjrs!$A$2:$S$2,0),FALSE)</f>
        <v>79060.621295465695</v>
      </c>
      <c r="R56" s="410">
        <f>+GPpcntMjr*(VLOOKUP($A56,FY16ProjRev0!$A$4:$I$24,9,FALSE))*VLOOKUP($A56,FY16ProjMjrs!$A$3:$S$23,MATCH(R$28,FY16ProjMjrs!$A$2:$S$2,0),FALSE)</f>
        <v>0</v>
      </c>
      <c r="S56" s="410">
        <f>+GPpcntMjr*(VLOOKUP($A56,FY16ProjRev0!$A$4:$I$24,9,FALSE))*VLOOKUP($A56,FY16ProjMjrs!$A$3:$S$23,MATCH(S$28,FY16ProjMjrs!$A$2:$S$2,0),FALSE)</f>
        <v>57318.950439212625</v>
      </c>
      <c r="T56" s="410">
        <f t="shared" si="6"/>
        <v>6623303.5490276376</v>
      </c>
    </row>
    <row r="57" spans="1:20" ht="20.100000000000001" customHeight="1">
      <c r="A57" s="404" t="s">
        <v>131</v>
      </c>
      <c r="B57" s="456" t="s">
        <v>141</v>
      </c>
      <c r="C57" s="457">
        <f>+GPpcntMjr*(VLOOKUP($A57,FY16ProjRev0!$A$4:$I$24,9,FALSE))*VLOOKUP($A57,FY16ProjMjrs!$A$3:$S$23,MATCH(C$28,FY16ProjMjrs!$A$2:$S$2,0),FALSE)</f>
        <v>0</v>
      </c>
      <c r="D57" s="457">
        <f>+GPpcntMjr*(VLOOKUP($A57,FY16ProjRev0!$A$4:$I$24,9,FALSE))*VLOOKUP($A57,FY16ProjMjrs!$A$3:$S$23,MATCH(D$28,FY16ProjMjrs!$A$2:$S$2,0),FALSE)</f>
        <v>51218.947355765522</v>
      </c>
      <c r="E57" s="457">
        <f>+GPpcntMjr*(VLOOKUP($A57,FY16ProjRev0!$A$4:$I$24,9,FALSE))*VLOOKUP($A57,FY16ProjMjrs!$A$3:$S$23,MATCH(E$28,FY16ProjMjrs!$A$2:$S$2,0),FALSE)</f>
        <v>0</v>
      </c>
      <c r="F57" s="457">
        <f>+GPpcntMjr*(VLOOKUP($A57,FY16ProjRev0!$A$4:$I$24,9,FALSE))*VLOOKUP($A57,FY16ProjMjrs!$A$3:$S$23,MATCH(F$28,FY16ProjMjrs!$A$2:$S$2,0),FALSE)</f>
        <v>0</v>
      </c>
      <c r="G57" s="457">
        <f>+GPpcntMjr*(VLOOKUP($A57,FY16ProjRev0!$A$4:$I$24,9,FALSE))*VLOOKUP($A57,FY16ProjMjrs!$A$3:$S$23,MATCH(G$28,FY16ProjMjrs!$A$2:$S$2,0),FALSE)</f>
        <v>0</v>
      </c>
      <c r="H57" s="457">
        <f>+GPpcntMjr*(VLOOKUP($A57,FY16ProjRev0!$A$4:$I$24,9,FALSE))*VLOOKUP($A57,FY16ProjMjrs!$A$3:$S$23,MATCH(H$28,FY16ProjMjrs!$A$2:$S$2,0),FALSE)</f>
        <v>2839578.4414036404</v>
      </c>
      <c r="I57" s="457">
        <f>+GPpcntMjr*(VLOOKUP($A57,FY16ProjRev0!$A$4:$I$24,9,FALSE))*VLOOKUP($A57,FY16ProjMjrs!$A$3:$S$23,MATCH(I$28,FY16ProjMjrs!$A$2:$S$2,0),FALSE)</f>
        <v>0</v>
      </c>
      <c r="J57" s="457">
        <f>+GPpcntMjr*(VLOOKUP($A57,FY16ProjRev0!$A$4:$I$24,9,FALSE))*VLOOKUP($A57,FY16ProjMjrs!$A$3:$S$23,MATCH(J$28,FY16ProjMjrs!$A$2:$S$2,0),FALSE)</f>
        <v>0</v>
      </c>
      <c r="K57" s="457">
        <f>+GPpcntMjr*(VLOOKUP($A57,FY16ProjRev0!$A$4:$I$24,9,FALSE))*VLOOKUP($A57,FY16ProjMjrs!$A$3:$S$23,MATCH(K$28,FY16ProjMjrs!$A$2:$S$2,0),FALSE)</f>
        <v>0</v>
      </c>
      <c r="L57" s="457">
        <f>+GPpcntMjr*(VLOOKUP($A57,FY16ProjRev0!$A$4:$I$24,9,FALSE))*VLOOKUP($A57,FY16ProjMjrs!$A$3:$S$23,MATCH(L$28,FY16ProjMjrs!$A$2:$S$2,0),FALSE)</f>
        <v>0</v>
      </c>
      <c r="M57" s="457">
        <f>+GPpcntMjr*(VLOOKUP($A57,FY16ProjRev0!$A$4:$I$24,9,FALSE))*VLOOKUP($A57,FY16ProjMjrs!$A$3:$S$23,MATCH(M$28,FY16ProjMjrs!$A$2:$S$2,0),FALSE)</f>
        <v>0</v>
      </c>
      <c r="N57" s="457">
        <f>+GPpcntMjr*(VLOOKUP($A57,FY16ProjRev0!$A$4:$I$24,9,FALSE))*VLOOKUP($A57,FY16ProjMjrs!$A$3:$S$23,MATCH(N$28,FY16ProjMjrs!$A$2:$S$2,0),FALSE)</f>
        <v>0</v>
      </c>
      <c r="O57" s="457">
        <f>+GPpcntMjr*(VLOOKUP($A57,FY16ProjRev0!$A$4:$I$24,9,FALSE))*VLOOKUP($A57,FY16ProjMjrs!$A$3:$S$23,MATCH(O$28,FY16ProjMjrs!$A$2:$S$2,0),FALSE)</f>
        <v>0</v>
      </c>
      <c r="P57" s="457">
        <f>+GPpcntMjr*(VLOOKUP($A57,FY16ProjRev0!$A$4:$I$24,9,FALSE))*VLOOKUP($A57,FY16ProjMjrs!$A$3:$S$23,MATCH(P$28,FY16ProjMjrs!$A$2:$S$2,0),FALSE)</f>
        <v>0</v>
      </c>
      <c r="Q57" s="457">
        <f>+GPpcntMjr*(VLOOKUP($A57,FY16ProjRev0!$A$4:$I$24,9,FALSE))*VLOOKUP($A57,FY16ProjMjrs!$A$3:$S$23,MATCH(Q$28,FY16ProjMjrs!$A$2:$S$2,0),FALSE)</f>
        <v>0</v>
      </c>
      <c r="R57" s="457">
        <f>+GPpcntMjr*(VLOOKUP($A57,FY16ProjRev0!$A$4:$I$24,9,FALSE))*VLOOKUP($A57,FY16ProjMjrs!$A$3:$S$23,MATCH(R$28,FY16ProjMjrs!$A$2:$S$2,0),FALSE)</f>
        <v>0</v>
      </c>
      <c r="S57" s="457">
        <f>+GPpcntMjr*(VLOOKUP($A57,FY16ProjRev0!$A$4:$I$24,9,FALSE))*VLOOKUP($A57,FY16ProjMjrs!$A$3:$S$23,MATCH(S$28,FY16ProjMjrs!$A$2:$S$2,0),FALSE)</f>
        <v>0</v>
      </c>
      <c r="T57" s="457">
        <f t="shared" si="6"/>
        <v>2890797.3887594058</v>
      </c>
    </row>
    <row r="58" spans="1:20" s="18" customFormat="1" ht="20.100000000000001" customHeight="1">
      <c r="A58" s="404" t="s">
        <v>132</v>
      </c>
      <c r="B58" s="440" t="s">
        <v>206</v>
      </c>
      <c r="C58" s="410">
        <f>+GPpcntMjr*(VLOOKUP($A58,FY16ProjRev0!$A$4:$I$24,9,FALSE))*VLOOKUP($A58,FY16ProjMjrs!$A$3:$S$23,MATCH(C$28,FY16ProjMjrs!$A$2:$S$2,0),FALSE)</f>
        <v>0</v>
      </c>
      <c r="D58" s="410">
        <f>+GPpcntMjr*(VLOOKUP($A58,FY16ProjRev0!$A$4:$I$24,9,FALSE))*VLOOKUP($A58,FY16ProjMjrs!$A$3:$S$23,MATCH(D$28,FY16ProjMjrs!$A$2:$S$2,0),FALSE)</f>
        <v>6174.9979422535534</v>
      </c>
      <c r="E58" s="410">
        <f>+GPpcntMjr*(VLOOKUP($A58,FY16ProjRev0!$A$4:$I$24,9,FALSE))*VLOOKUP($A58,FY16ProjMjrs!$A$3:$S$23,MATCH(E$28,FY16ProjMjrs!$A$2:$S$2,0),FALSE)</f>
        <v>0</v>
      </c>
      <c r="F58" s="410">
        <f>+GPpcntMjr*(VLOOKUP($A58,FY16ProjRev0!$A$4:$I$24,9,FALSE))*VLOOKUP($A58,FY16ProjMjrs!$A$3:$S$23,MATCH(F$28,FY16ProjMjrs!$A$2:$S$2,0),FALSE)</f>
        <v>3567090.4779751361</v>
      </c>
      <c r="G58" s="410">
        <f>+GPpcntMjr*(VLOOKUP($A58,FY16ProjRev0!$A$4:$I$24,9,FALSE))*VLOOKUP($A58,FY16ProjMjrs!$A$3:$S$23,MATCH(G$28,FY16ProjMjrs!$A$2:$S$2,0),FALSE)</f>
        <v>0</v>
      </c>
      <c r="H58" s="410">
        <f>+GPpcntMjr*(VLOOKUP($A58,FY16ProjRev0!$A$4:$I$24,9,FALSE))*VLOOKUP($A58,FY16ProjMjrs!$A$3:$S$23,MATCH(H$28,FY16ProjMjrs!$A$2:$S$2,0),FALSE)</f>
        <v>0</v>
      </c>
      <c r="I58" s="410">
        <f>+GPpcntMjr*(VLOOKUP($A58,FY16ProjRev0!$A$4:$I$24,9,FALSE))*VLOOKUP($A58,FY16ProjMjrs!$A$3:$S$23,MATCH(I$28,FY16ProjMjrs!$A$2:$S$2,0),FALSE)</f>
        <v>0</v>
      </c>
      <c r="J58" s="410">
        <f>+GPpcntMjr*(VLOOKUP($A58,FY16ProjRev0!$A$4:$I$24,9,FALSE))*VLOOKUP($A58,FY16ProjMjrs!$A$3:$S$23,MATCH(J$28,FY16ProjMjrs!$A$2:$S$2,0),FALSE)</f>
        <v>0</v>
      </c>
      <c r="K58" s="410">
        <f>+GPpcntMjr*(VLOOKUP($A58,FY16ProjRev0!$A$4:$I$24,9,FALSE))*VLOOKUP($A58,FY16ProjMjrs!$A$3:$S$23,MATCH(K$28,FY16ProjMjrs!$A$2:$S$2,0),FALSE)</f>
        <v>0</v>
      </c>
      <c r="L58" s="410">
        <f>+GPpcntMjr*(VLOOKUP($A58,FY16ProjRev0!$A$4:$I$24,9,FALSE))*VLOOKUP($A58,FY16ProjMjrs!$A$3:$S$23,MATCH(L$28,FY16ProjMjrs!$A$2:$S$2,0),FALSE)</f>
        <v>0</v>
      </c>
      <c r="M58" s="410">
        <f>+GPpcntMjr*(VLOOKUP($A58,FY16ProjRev0!$A$4:$I$24,9,FALSE))*VLOOKUP($A58,FY16ProjMjrs!$A$3:$S$23,MATCH(M$28,FY16ProjMjrs!$A$2:$S$2,0),FALSE)</f>
        <v>0</v>
      </c>
      <c r="N58" s="410">
        <f>+GPpcntMjr*(VLOOKUP($A58,FY16ProjRev0!$A$4:$I$24,9,FALSE))*VLOOKUP($A58,FY16ProjMjrs!$A$3:$S$23,MATCH(N$28,FY16ProjMjrs!$A$2:$S$2,0),FALSE)</f>
        <v>0</v>
      </c>
      <c r="O58" s="410">
        <f>+GPpcntMjr*(VLOOKUP($A58,FY16ProjRev0!$A$4:$I$24,9,FALSE))*VLOOKUP($A58,FY16ProjMjrs!$A$3:$S$23,MATCH(O$28,FY16ProjMjrs!$A$2:$S$2,0),FALSE)</f>
        <v>0</v>
      </c>
      <c r="P58" s="410">
        <f>+GPpcntMjr*(VLOOKUP($A58,FY16ProjRev0!$A$4:$I$24,9,FALSE))*VLOOKUP($A58,FY16ProjMjrs!$A$3:$S$23,MATCH(P$28,FY16ProjMjrs!$A$2:$S$2,0),FALSE)</f>
        <v>0</v>
      </c>
      <c r="Q58" s="410">
        <f>+GPpcntMjr*(VLOOKUP($A58,FY16ProjRev0!$A$4:$I$24,9,FALSE))*VLOOKUP($A58,FY16ProjMjrs!$A$3:$S$23,MATCH(Q$28,FY16ProjMjrs!$A$2:$S$2,0),FALSE)</f>
        <v>0</v>
      </c>
      <c r="R58" s="410">
        <f>+GPpcntMjr*(VLOOKUP($A58,FY16ProjRev0!$A$4:$I$24,9,FALSE))*VLOOKUP($A58,FY16ProjMjrs!$A$3:$S$23,MATCH(R$28,FY16ProjMjrs!$A$2:$S$2,0),FALSE)</f>
        <v>0</v>
      </c>
      <c r="S58" s="410">
        <f>+GPpcntMjr*(VLOOKUP($A58,FY16ProjRev0!$A$4:$I$24,9,FALSE))*VLOOKUP($A58,FY16ProjMjrs!$A$3:$S$23,MATCH(S$28,FY16ProjMjrs!$A$2:$S$2,0),FALSE)</f>
        <v>0</v>
      </c>
      <c r="T58" s="410">
        <f t="shared" si="6"/>
        <v>3573265.4759173896</v>
      </c>
    </row>
    <row r="59" spans="1:20" ht="20.100000000000001" customHeight="1">
      <c r="A59" s="404" t="s">
        <v>134</v>
      </c>
      <c r="B59" s="456" t="s">
        <v>40</v>
      </c>
      <c r="C59" s="457">
        <f>+GPpcntMjr*(VLOOKUP($A59,FY16ProjRev0!$A$4:$I$24,9,FALSE))*VLOOKUP($A59,FY16ProjMjrs!$A$3:$S$23,MATCH(C$28,FY16ProjMjrs!$A$2:$S$2,0),FALSE)</f>
        <v>0</v>
      </c>
      <c r="D59" s="457">
        <f>+GPpcntMjr*(VLOOKUP($A59,FY16ProjRev0!$A$4:$I$24,9,FALSE))*VLOOKUP($A59,FY16ProjMjrs!$A$3:$S$23,MATCH(D$28,FY16ProjMjrs!$A$2:$S$2,0),FALSE)</f>
        <v>0</v>
      </c>
      <c r="E59" s="457">
        <f>+GPpcntMjr*(VLOOKUP($A59,FY16ProjRev0!$A$4:$I$24,9,FALSE))*VLOOKUP($A59,FY16ProjMjrs!$A$3:$S$23,MATCH(E$28,FY16ProjMjrs!$A$2:$S$2,0),FALSE)</f>
        <v>0</v>
      </c>
      <c r="F59" s="457">
        <f>+GPpcntMjr*(VLOOKUP($A59,FY16ProjRev0!$A$4:$I$24,9,FALSE))*VLOOKUP($A59,FY16ProjMjrs!$A$3:$S$23,MATCH(F$28,FY16ProjMjrs!$A$2:$S$2,0),FALSE)</f>
        <v>0</v>
      </c>
      <c r="G59" s="457">
        <f>+GPpcntMjr*(VLOOKUP($A59,FY16ProjRev0!$A$4:$I$24,9,FALSE))*VLOOKUP($A59,FY16ProjMjrs!$A$3:$S$23,MATCH(G$28,FY16ProjMjrs!$A$2:$S$2,0),FALSE)</f>
        <v>0</v>
      </c>
      <c r="H59" s="457">
        <f>+GPpcntMjr*(VLOOKUP($A59,FY16ProjRev0!$A$4:$I$24,9,FALSE))*VLOOKUP($A59,FY16ProjMjrs!$A$3:$S$23,MATCH(H$28,FY16ProjMjrs!$A$2:$S$2,0),FALSE)</f>
        <v>0</v>
      </c>
      <c r="I59" s="457">
        <f>+GPpcntMjr*(VLOOKUP($A59,FY16ProjRev0!$A$4:$I$24,9,FALSE))*VLOOKUP($A59,FY16ProjMjrs!$A$3:$S$23,MATCH(I$28,FY16ProjMjrs!$A$2:$S$2,0),FALSE)</f>
        <v>4221.6171335666577</v>
      </c>
      <c r="J59" s="457">
        <f>+GPpcntMjr*(VLOOKUP($A59,FY16ProjRev0!$A$4:$I$24,9,FALSE))*VLOOKUP($A59,FY16ProjMjrs!$A$3:$S$23,MATCH(J$28,FY16ProjMjrs!$A$2:$S$2,0),FALSE)</f>
        <v>0</v>
      </c>
      <c r="K59" s="457">
        <f>+GPpcntMjr*(VLOOKUP($A59,FY16ProjRev0!$A$4:$I$24,9,FALSE))*VLOOKUP($A59,FY16ProjMjrs!$A$3:$S$23,MATCH(K$28,FY16ProjMjrs!$A$2:$S$2,0),FALSE)</f>
        <v>0</v>
      </c>
      <c r="L59" s="457">
        <f>+GPpcntMjr*(VLOOKUP($A59,FY16ProjRev0!$A$4:$I$24,9,FALSE))*VLOOKUP($A59,FY16ProjMjrs!$A$3:$S$23,MATCH(L$28,FY16ProjMjrs!$A$2:$S$2,0),FALSE)</f>
        <v>0</v>
      </c>
      <c r="M59" s="457">
        <f>+GPpcntMjr*(VLOOKUP($A59,FY16ProjRev0!$A$4:$I$24,9,FALSE))*VLOOKUP($A59,FY16ProjMjrs!$A$3:$S$23,MATCH(M$28,FY16ProjMjrs!$A$2:$S$2,0),FALSE)</f>
        <v>0</v>
      </c>
      <c r="N59" s="457">
        <f>+GPpcntMjr*(VLOOKUP($A59,FY16ProjRev0!$A$4:$I$24,9,FALSE))*VLOOKUP($A59,FY16ProjMjrs!$A$3:$S$23,MATCH(N$28,FY16ProjMjrs!$A$2:$S$2,0),FALSE)</f>
        <v>0</v>
      </c>
      <c r="O59" s="457">
        <f>+GPpcntMjr*(VLOOKUP($A59,FY16ProjRev0!$A$4:$I$24,9,FALSE))*VLOOKUP($A59,FY16ProjMjrs!$A$3:$S$23,MATCH(O$28,FY16ProjMjrs!$A$2:$S$2,0),FALSE)</f>
        <v>0</v>
      </c>
      <c r="P59" s="457">
        <f>+GPpcntMjr*(VLOOKUP($A59,FY16ProjRev0!$A$4:$I$24,9,FALSE))*VLOOKUP($A59,FY16ProjMjrs!$A$3:$S$23,MATCH(P$28,FY16ProjMjrs!$A$2:$S$2,0),FALSE)</f>
        <v>0</v>
      </c>
      <c r="Q59" s="457">
        <f>+GPpcntMjr*(VLOOKUP($A59,FY16ProjRev0!$A$4:$I$24,9,FALSE))*VLOOKUP($A59,FY16ProjMjrs!$A$3:$S$23,MATCH(Q$28,FY16ProjMjrs!$A$2:$S$2,0),FALSE)</f>
        <v>0</v>
      </c>
      <c r="R59" s="457">
        <f>+GPpcntMjr*(VLOOKUP($A59,FY16ProjRev0!$A$4:$I$24,9,FALSE))*VLOOKUP($A59,FY16ProjMjrs!$A$3:$S$23,MATCH(R$28,FY16ProjMjrs!$A$2:$S$2,0),FALSE)</f>
        <v>0</v>
      </c>
      <c r="S59" s="457">
        <f>+GPpcntMjr*(VLOOKUP($A59,FY16ProjRev0!$A$4:$I$24,9,FALSE))*VLOOKUP($A59,FY16ProjMjrs!$A$3:$S$23,MATCH(S$28,FY16ProjMjrs!$A$2:$S$2,0),FALSE)</f>
        <v>0</v>
      </c>
      <c r="T59" s="457">
        <f t="shared" si="6"/>
        <v>4221.6171335666577</v>
      </c>
    </row>
    <row r="60" spans="1:20" s="18" customFormat="1" ht="20.100000000000001" customHeight="1">
      <c r="A60" s="404" t="s">
        <v>135</v>
      </c>
      <c r="B60" s="440" t="s">
        <v>70</v>
      </c>
      <c r="C60" s="410">
        <f>+GPpcntMjr*(VLOOKUP($A60,FY16ProjRev0!$A$4:$I$24,9,FALSE))*VLOOKUP($A60,FY16ProjMjrs!$A$3:$S$23,MATCH(C$28,FY16ProjMjrs!$A$2:$S$2,0),FALSE)</f>
        <v>0</v>
      </c>
      <c r="D60" s="410">
        <f>+GPpcntMjr*(VLOOKUP($A60,FY16ProjRev0!$A$4:$I$24,9,FALSE))*VLOOKUP($A60,FY16ProjMjrs!$A$3:$S$23,MATCH(D$28,FY16ProjMjrs!$A$2:$S$2,0),FALSE)</f>
        <v>0</v>
      </c>
      <c r="E60" s="410">
        <f>+GPpcntMjr*(VLOOKUP($A60,FY16ProjRev0!$A$4:$I$24,9,FALSE))*VLOOKUP($A60,FY16ProjMjrs!$A$3:$S$23,MATCH(E$28,FY16ProjMjrs!$A$2:$S$2,0),FALSE)</f>
        <v>0</v>
      </c>
      <c r="F60" s="410">
        <f>+GPpcntMjr*(VLOOKUP($A60,FY16ProjRev0!$A$4:$I$24,9,FALSE))*VLOOKUP($A60,FY16ProjMjrs!$A$3:$S$23,MATCH(F$28,FY16ProjMjrs!$A$2:$S$2,0),FALSE)</f>
        <v>8944.5626979018216</v>
      </c>
      <c r="G60" s="410">
        <f>+GPpcntMjr*(VLOOKUP($A60,FY16ProjRev0!$A$4:$I$24,9,FALSE))*VLOOKUP($A60,FY16ProjMjrs!$A$3:$S$23,MATCH(G$28,FY16ProjMjrs!$A$2:$S$2,0),FALSE)</f>
        <v>0</v>
      </c>
      <c r="H60" s="410">
        <f>+GPpcntMjr*(VLOOKUP($A60,FY16ProjRev0!$A$4:$I$24,9,FALSE))*VLOOKUP($A60,FY16ProjMjrs!$A$3:$S$23,MATCH(H$28,FY16ProjMjrs!$A$2:$S$2,0),FALSE)</f>
        <v>0</v>
      </c>
      <c r="I60" s="410">
        <f>+GPpcntMjr*(VLOOKUP($A60,FY16ProjRev0!$A$4:$I$24,9,FALSE))*VLOOKUP($A60,FY16ProjMjrs!$A$3:$S$23,MATCH(I$28,FY16ProjMjrs!$A$2:$S$2,0),FALSE)</f>
        <v>0</v>
      </c>
      <c r="J60" s="410">
        <f>+GPpcntMjr*(VLOOKUP($A60,FY16ProjRev0!$A$4:$I$24,9,FALSE))*VLOOKUP($A60,FY16ProjMjrs!$A$3:$S$23,MATCH(J$28,FY16ProjMjrs!$A$2:$S$2,0),FALSE)</f>
        <v>0</v>
      </c>
      <c r="K60" s="410">
        <f>+GPpcntMjr*(VLOOKUP($A60,FY16ProjRev0!$A$4:$I$24,9,FALSE))*VLOOKUP($A60,FY16ProjMjrs!$A$3:$S$23,MATCH(K$28,FY16ProjMjrs!$A$2:$S$2,0),FALSE)</f>
        <v>0</v>
      </c>
      <c r="L60" s="410">
        <f>+GPpcntMjr*(VLOOKUP($A60,FY16ProjRev0!$A$4:$I$24,9,FALSE))*VLOOKUP($A60,FY16ProjMjrs!$A$3:$S$23,MATCH(L$28,FY16ProjMjrs!$A$2:$S$2,0),FALSE)</f>
        <v>2328567.8223537738</v>
      </c>
      <c r="M60" s="410">
        <f>+GPpcntMjr*(VLOOKUP($A60,FY16ProjRev0!$A$4:$I$24,9,FALSE))*VLOOKUP($A60,FY16ProjMjrs!$A$3:$S$23,MATCH(M$28,FY16ProjMjrs!$A$2:$S$2,0),FALSE)</f>
        <v>0</v>
      </c>
      <c r="N60" s="410">
        <f>+GPpcntMjr*(VLOOKUP($A60,FY16ProjRev0!$A$4:$I$24,9,FALSE))*VLOOKUP($A60,FY16ProjMjrs!$A$3:$S$23,MATCH(N$28,FY16ProjMjrs!$A$2:$S$2,0),FALSE)</f>
        <v>11926.083597202427</v>
      </c>
      <c r="O60" s="410">
        <f>+GPpcntMjr*(VLOOKUP($A60,FY16ProjRev0!$A$4:$I$24,9,FALSE))*VLOOKUP($A60,FY16ProjMjrs!$A$3:$S$23,MATCH(O$28,FY16ProjMjrs!$A$2:$S$2,0),FALSE)</f>
        <v>0</v>
      </c>
      <c r="P60" s="410">
        <f>+GPpcntMjr*(VLOOKUP($A60,FY16ProjRev0!$A$4:$I$24,9,FALSE))*VLOOKUP($A60,FY16ProjMjrs!$A$3:$S$23,MATCH(P$28,FY16ProjMjrs!$A$2:$S$2,0),FALSE)</f>
        <v>0</v>
      </c>
      <c r="Q60" s="410">
        <f>+GPpcntMjr*(VLOOKUP($A60,FY16ProjRev0!$A$4:$I$24,9,FALSE))*VLOOKUP($A60,FY16ProjMjrs!$A$3:$S$23,MATCH(Q$28,FY16ProjMjrs!$A$2:$S$2,0),FALSE)</f>
        <v>74538.022482515182</v>
      </c>
      <c r="R60" s="410">
        <f>+GPpcntMjr*(VLOOKUP($A60,FY16ProjRev0!$A$4:$I$24,9,FALSE))*VLOOKUP($A60,FY16ProjMjrs!$A$3:$S$23,MATCH(R$28,FY16ProjMjrs!$A$2:$S$2,0),FALSE)</f>
        <v>0</v>
      </c>
      <c r="S60" s="410">
        <f>+GPpcntMjr*(VLOOKUP($A60,FY16ProjRev0!$A$4:$I$24,9,FALSE))*VLOOKUP($A60,FY16ProjMjrs!$A$3:$S$23,MATCH(S$28,FY16ProjMjrs!$A$2:$S$2,0),FALSE)</f>
        <v>17889.125395803643</v>
      </c>
      <c r="T60" s="410">
        <f t="shared" si="6"/>
        <v>2441865.616527197</v>
      </c>
    </row>
    <row r="61" spans="1:20" ht="20.100000000000001" customHeight="1">
      <c r="A61" s="404" t="s">
        <v>136</v>
      </c>
      <c r="B61" s="456" t="s">
        <v>144</v>
      </c>
      <c r="C61" s="457">
        <f>+GPpcntMjr*(VLOOKUP($A61,FY16ProjRev0!$A$4:$I$24,9,FALSE))*VLOOKUP($A61,FY16ProjMjrs!$A$3:$S$23,MATCH(C$28,FY16ProjMjrs!$A$2:$S$2,0),FALSE)</f>
        <v>0</v>
      </c>
      <c r="D61" s="457">
        <f>+GPpcntMjr*(VLOOKUP($A61,FY16ProjRev0!$A$4:$I$24,9,FALSE))*VLOOKUP($A61,FY16ProjMjrs!$A$3:$S$23,MATCH(D$28,FY16ProjMjrs!$A$2:$S$2,0),FALSE)</f>
        <v>0</v>
      </c>
      <c r="E61" s="457">
        <f>+GPpcntMjr*(VLOOKUP($A61,FY16ProjRev0!$A$4:$I$24,9,FALSE))*VLOOKUP($A61,FY16ProjMjrs!$A$3:$S$23,MATCH(E$28,FY16ProjMjrs!$A$2:$S$2,0),FALSE)</f>
        <v>0</v>
      </c>
      <c r="F61" s="457">
        <f>+GPpcntMjr*(VLOOKUP($A61,FY16ProjRev0!$A$4:$I$24,9,FALSE))*VLOOKUP($A61,FY16ProjMjrs!$A$3:$S$23,MATCH(F$28,FY16ProjMjrs!$A$2:$S$2,0),FALSE)</f>
        <v>0</v>
      </c>
      <c r="G61" s="457">
        <f>+GPpcntMjr*(VLOOKUP($A61,FY16ProjRev0!$A$4:$I$24,9,FALSE))*VLOOKUP($A61,FY16ProjMjrs!$A$3:$S$23,MATCH(G$28,FY16ProjMjrs!$A$2:$S$2,0),FALSE)</f>
        <v>0</v>
      </c>
      <c r="H61" s="457">
        <f>+GPpcntMjr*(VLOOKUP($A61,FY16ProjRev0!$A$4:$I$24,9,FALSE))*VLOOKUP($A61,FY16ProjMjrs!$A$3:$S$23,MATCH(H$28,FY16ProjMjrs!$A$2:$S$2,0),FALSE)</f>
        <v>0</v>
      </c>
      <c r="I61" s="457">
        <f>+GPpcntMjr*(VLOOKUP($A61,FY16ProjRev0!$A$4:$I$24,9,FALSE))*VLOOKUP($A61,FY16ProjMjrs!$A$3:$S$23,MATCH(I$28,FY16ProjMjrs!$A$2:$S$2,0),FALSE)</f>
        <v>0</v>
      </c>
      <c r="J61" s="457">
        <f>+GPpcntMjr*(VLOOKUP($A61,FY16ProjRev0!$A$4:$I$24,9,FALSE))*VLOOKUP($A61,FY16ProjMjrs!$A$3:$S$23,MATCH(J$28,FY16ProjMjrs!$A$2:$S$2,0),FALSE)</f>
        <v>0</v>
      </c>
      <c r="K61" s="457">
        <f>+GPpcntMjr*(VLOOKUP($A61,FY16ProjRev0!$A$4:$I$24,9,FALSE))*VLOOKUP($A61,FY16ProjMjrs!$A$3:$S$23,MATCH(K$28,FY16ProjMjrs!$A$2:$S$2,0),FALSE)</f>
        <v>0</v>
      </c>
      <c r="L61" s="457">
        <f>+GPpcntMjr*(VLOOKUP($A61,FY16ProjRev0!$A$4:$I$24,9,FALSE))*VLOOKUP($A61,FY16ProjMjrs!$A$3:$S$23,MATCH(L$28,FY16ProjMjrs!$A$2:$S$2,0),FALSE)</f>
        <v>0</v>
      </c>
      <c r="M61" s="457">
        <f>+GPpcntMjr*(VLOOKUP($A61,FY16ProjRev0!$A$4:$I$24,9,FALSE))*VLOOKUP($A61,FY16ProjMjrs!$A$3:$S$23,MATCH(M$28,FY16ProjMjrs!$A$2:$S$2,0),FALSE)</f>
        <v>0</v>
      </c>
      <c r="N61" s="457">
        <f>+GPpcntMjr*(VLOOKUP($A61,FY16ProjRev0!$A$4:$I$24,9,FALSE))*VLOOKUP($A61,FY16ProjMjrs!$A$3:$S$23,MATCH(N$28,FY16ProjMjrs!$A$2:$S$2,0),FALSE)</f>
        <v>18791.149583980638</v>
      </c>
      <c r="O61" s="457">
        <f>+GPpcntMjr*(VLOOKUP($A61,FY16ProjRev0!$A$4:$I$24,9,FALSE))*VLOOKUP($A61,FY16ProjMjrs!$A$3:$S$23,MATCH(O$28,FY16ProjMjrs!$A$2:$S$2,0),FALSE)</f>
        <v>0</v>
      </c>
      <c r="P61" s="457">
        <f>+GPpcntMjr*(VLOOKUP($A61,FY16ProjRev0!$A$4:$I$24,9,FALSE))*VLOOKUP($A61,FY16ProjMjrs!$A$3:$S$23,MATCH(P$28,FY16ProjMjrs!$A$2:$S$2,0),FALSE)</f>
        <v>0</v>
      </c>
      <c r="Q61" s="457">
        <f>+GPpcntMjr*(VLOOKUP($A61,FY16ProjRev0!$A$4:$I$24,9,FALSE))*VLOOKUP($A61,FY16ProjMjrs!$A$3:$S$23,MATCH(Q$28,FY16ProjMjrs!$A$2:$S$2,0),FALSE)</f>
        <v>1872851.2418700701</v>
      </c>
      <c r="R61" s="457">
        <f>+GPpcntMjr*(VLOOKUP($A61,FY16ProjRev0!$A$4:$I$24,9,FALSE))*VLOOKUP($A61,FY16ProjMjrs!$A$3:$S$23,MATCH(R$28,FY16ProjMjrs!$A$2:$S$2,0),FALSE)</f>
        <v>0</v>
      </c>
      <c r="S61" s="457">
        <f>+GPpcntMjr*(VLOOKUP($A61,FY16ProjRev0!$A$4:$I$24,9,FALSE))*VLOOKUP($A61,FY16ProjMjrs!$A$3:$S$23,MATCH(S$28,FY16ProjMjrs!$A$2:$S$2,0),FALSE)</f>
        <v>0</v>
      </c>
      <c r="T61" s="457">
        <f t="shared" si="6"/>
        <v>1891642.3914540508</v>
      </c>
    </row>
    <row r="62" spans="1:20" s="18" customFormat="1" ht="20.100000000000001" customHeight="1">
      <c r="A62" s="404" t="s">
        <v>137</v>
      </c>
      <c r="B62" s="440" t="s">
        <v>49</v>
      </c>
      <c r="C62" s="410">
        <f>+GPpcntMjr*(VLOOKUP($A62,FY16ProjRev0!$A$4:$I$24,9,FALSE))*VLOOKUP($A62,FY16ProjMjrs!$A$3:$S$23,MATCH(C$28,FY16ProjMjrs!$A$2:$S$2,0),FALSE)</f>
        <v>1739.086814908738</v>
      </c>
      <c r="D62" s="410">
        <f>+GPpcntMjr*(VLOOKUP($A62,FY16ProjRev0!$A$4:$I$24,9,FALSE))*VLOOKUP($A62,FY16ProjMjrs!$A$3:$S$23,MATCH(D$28,FY16ProjMjrs!$A$2:$S$2,0),FALSE)</f>
        <v>31303.562668357277</v>
      </c>
      <c r="E62" s="410">
        <f>+GPpcntMjr*(VLOOKUP($A62,FY16ProjRev0!$A$4:$I$24,9,FALSE))*VLOOKUP($A62,FY16ProjMjrs!$A$3:$S$23,MATCH(E$28,FY16ProjMjrs!$A$2:$S$2,0),FALSE)</f>
        <v>0</v>
      </c>
      <c r="F62" s="410">
        <f>+GPpcntMjr*(VLOOKUP($A62,FY16ProjRev0!$A$4:$I$24,9,FALSE))*VLOOKUP($A62,FY16ProjMjrs!$A$3:$S$23,MATCH(F$28,FY16ProjMjrs!$A$2:$S$2,0),FALSE)</f>
        <v>0</v>
      </c>
      <c r="G62" s="410">
        <f>+GPpcntMjr*(VLOOKUP($A62,FY16ProjRev0!$A$4:$I$24,9,FALSE))*VLOOKUP($A62,FY16ProjMjrs!$A$3:$S$23,MATCH(G$28,FY16ProjMjrs!$A$2:$S$2,0),FALSE)</f>
        <v>5217.2604447262138</v>
      </c>
      <c r="H62" s="410">
        <f>+GPpcntMjr*(VLOOKUP($A62,FY16ProjRev0!$A$4:$I$24,9,FALSE))*VLOOKUP($A62,FY16ProjMjrs!$A$3:$S$23,MATCH(H$28,FY16ProjMjrs!$A$2:$S$2,0),FALSE)</f>
        <v>0</v>
      </c>
      <c r="I62" s="410">
        <f>+GPpcntMjr*(VLOOKUP($A62,FY16ProjRev0!$A$4:$I$24,9,FALSE))*VLOOKUP($A62,FY16ProjMjrs!$A$3:$S$23,MATCH(I$28,FY16ProjMjrs!$A$2:$S$2,0),FALSE)</f>
        <v>0</v>
      </c>
      <c r="J62" s="410">
        <f>+GPpcntMjr*(VLOOKUP($A62,FY16ProjRev0!$A$4:$I$24,9,FALSE))*VLOOKUP($A62,FY16ProjMjrs!$A$3:$S$23,MATCH(J$28,FY16ProjMjrs!$A$2:$S$2,0),FALSE)</f>
        <v>0</v>
      </c>
      <c r="K62" s="410">
        <f>+GPpcntMjr*(VLOOKUP($A62,FY16ProjRev0!$A$4:$I$24,9,FALSE))*VLOOKUP($A62,FY16ProjMjrs!$A$3:$S$23,MATCH(K$28,FY16ProjMjrs!$A$2:$S$2,0),FALSE)</f>
        <v>0</v>
      </c>
      <c r="L62" s="410">
        <f>+GPpcntMjr*(VLOOKUP($A62,FY16ProjRev0!$A$4:$I$24,9,FALSE))*VLOOKUP($A62,FY16ProjMjrs!$A$3:$S$23,MATCH(L$28,FY16ProjMjrs!$A$2:$S$2,0),FALSE)</f>
        <v>15651.781334178642</v>
      </c>
      <c r="M62" s="410">
        <f>+GPpcntMjr*(VLOOKUP($A62,FY16ProjRev0!$A$4:$I$24,9,FALSE))*VLOOKUP($A62,FY16ProjMjrs!$A$3:$S$23,MATCH(M$28,FY16ProjMjrs!$A$2:$S$2,0),FALSE)</f>
        <v>1739.086814908738</v>
      </c>
      <c r="N62" s="410">
        <f>+GPpcntMjr*(VLOOKUP($A62,FY16ProjRev0!$A$4:$I$24,9,FALSE))*VLOOKUP($A62,FY16ProjMjrs!$A$3:$S$23,MATCH(N$28,FY16ProjMjrs!$A$2:$S$2,0),FALSE)</f>
        <v>243472.15408722329</v>
      </c>
      <c r="O62" s="410">
        <f>+GPpcntMjr*(VLOOKUP($A62,FY16ProjRev0!$A$4:$I$24,9,FALSE))*VLOOKUP($A62,FY16ProjMjrs!$A$3:$S$23,MATCH(O$28,FY16ProjMjrs!$A$2:$S$2,0),FALSE)</f>
        <v>1739.086814908738</v>
      </c>
      <c r="P62" s="410">
        <f>+GPpcntMjr*(VLOOKUP($A62,FY16ProjRev0!$A$4:$I$24,9,FALSE))*VLOOKUP($A62,FY16ProjMjrs!$A$3:$S$23,MATCH(P$28,FY16ProjMjrs!$A$2:$S$2,0),FALSE)</f>
        <v>0</v>
      </c>
      <c r="Q62" s="410">
        <f>+GPpcntMjr*(VLOOKUP($A62,FY16ProjRev0!$A$4:$I$24,9,FALSE))*VLOOKUP($A62,FY16ProjMjrs!$A$3:$S$23,MATCH(Q$28,FY16ProjMjrs!$A$2:$S$2,0),FALSE)</f>
        <v>711286.50729767396</v>
      </c>
      <c r="R62" s="410">
        <f>+GPpcntMjr*(VLOOKUP($A62,FY16ProjRev0!$A$4:$I$24,9,FALSE))*VLOOKUP($A62,FY16ProjMjrs!$A$3:$S$23,MATCH(R$28,FY16ProjMjrs!$A$2:$S$2,0),FALSE)</f>
        <v>0</v>
      </c>
      <c r="S62" s="410">
        <f>+GPpcntMjr*(VLOOKUP($A62,FY16ProjRev0!$A$4:$I$24,9,FALSE))*VLOOKUP($A62,FY16ProjMjrs!$A$3:$S$23,MATCH(S$28,FY16ProjMjrs!$A$2:$S$2,0),FALSE)</f>
        <v>0</v>
      </c>
      <c r="T62" s="410">
        <f t="shared" si="6"/>
        <v>1012148.5262768855</v>
      </c>
    </row>
    <row r="63" spans="1:20" ht="20.100000000000001" customHeight="1">
      <c r="A63" s="553" t="s">
        <v>145</v>
      </c>
      <c r="B63" s="456" t="s">
        <v>207</v>
      </c>
      <c r="C63" s="457">
        <f>+GPpcntMjr*(VLOOKUP($A63,FY16ProjRev0!$A$4:$I$24,9,FALSE))*VLOOKUP($A63,FY16ProjMjrs!$A$3:$S$23,MATCH(C$28,FY16ProjMjrs!$A$2:$S$2,0),FALSE)</f>
        <v>3521984.1766624614</v>
      </c>
      <c r="D63" s="457">
        <f>+GPpcntMjr*(VLOOKUP($A63,FY16ProjRev0!$A$4:$I$24,9,FALSE))*VLOOKUP($A63,FY16ProjMjrs!$A$3:$S$23,MATCH(D$28,FY16ProjMjrs!$A$2:$S$2,0),FALSE)</f>
        <v>0</v>
      </c>
      <c r="E63" s="457">
        <f>+GPpcntMjr*(VLOOKUP($A63,FY16ProjRev0!$A$4:$I$24,9,FALSE))*VLOOKUP($A63,FY16ProjMjrs!$A$3:$S$23,MATCH(E$28,FY16ProjMjrs!$A$2:$S$2,0),FALSE)</f>
        <v>0</v>
      </c>
      <c r="F63" s="457">
        <f>+GPpcntMjr*(VLOOKUP($A63,FY16ProjRev0!$A$4:$I$24,9,FALSE))*VLOOKUP($A63,FY16ProjMjrs!$A$3:$S$23,MATCH(F$28,FY16ProjMjrs!$A$2:$S$2,0),FALSE)</f>
        <v>0</v>
      </c>
      <c r="G63" s="457">
        <f>+GPpcntMjr*(VLOOKUP($A63,FY16ProjRev0!$A$4:$I$24,9,FALSE))*VLOOKUP($A63,FY16ProjMjrs!$A$3:$S$23,MATCH(G$28,FY16ProjMjrs!$A$2:$S$2,0),FALSE)</f>
        <v>9911.7753564609629</v>
      </c>
      <c r="H63" s="457">
        <f>+GPpcntMjr*(VLOOKUP($A63,FY16ProjRev0!$A$4:$I$24,9,FALSE))*VLOOKUP($A63,FY16ProjMjrs!$A$3:$S$23,MATCH(H$28,FY16ProjMjrs!$A$2:$S$2,0),FALSE)</f>
        <v>0</v>
      </c>
      <c r="I63" s="457">
        <f>+GPpcntMjr*(VLOOKUP($A63,FY16ProjRev0!$A$4:$I$24,9,FALSE))*VLOOKUP($A63,FY16ProjMjrs!$A$3:$S$23,MATCH(I$28,FY16ProjMjrs!$A$2:$S$2,0),FALSE)</f>
        <v>0</v>
      </c>
      <c r="J63" s="457">
        <f>+GPpcntMjr*(VLOOKUP($A63,FY16ProjRev0!$A$4:$I$24,9,FALSE))*VLOOKUP($A63,FY16ProjMjrs!$A$3:$S$23,MATCH(J$28,FY16ProjMjrs!$A$2:$S$2,0),FALSE)</f>
        <v>0</v>
      </c>
      <c r="K63" s="457">
        <f>+GPpcntMjr*(VLOOKUP($A63,FY16ProjRev0!$A$4:$I$24,9,FALSE))*VLOOKUP($A63,FY16ProjMjrs!$A$3:$S$23,MATCH(K$28,FY16ProjMjrs!$A$2:$S$2,0),FALSE)</f>
        <v>0</v>
      </c>
      <c r="L63" s="457">
        <f>+GPpcntMjr*(VLOOKUP($A63,FY16ProjRev0!$A$4:$I$24,9,FALSE))*VLOOKUP($A63,FY16ProjMjrs!$A$3:$S$23,MATCH(L$28,FY16ProjMjrs!$A$2:$S$2,0),FALSE)</f>
        <v>0</v>
      </c>
      <c r="M63" s="457">
        <f>+GPpcntMjr*(VLOOKUP($A63,FY16ProjRev0!$A$4:$I$24,9,FALSE))*VLOOKUP($A63,FY16ProjMjrs!$A$3:$S$23,MATCH(M$28,FY16ProjMjrs!$A$2:$S$2,0),FALSE)</f>
        <v>0</v>
      </c>
      <c r="N63" s="457">
        <f>+GPpcntMjr*(VLOOKUP($A63,FY16ProjRev0!$A$4:$I$24,9,FALSE))*VLOOKUP($A63,FY16ProjMjrs!$A$3:$S$23,MATCH(N$28,FY16ProjMjrs!$A$2:$S$2,0),FALSE)</f>
        <v>0</v>
      </c>
      <c r="O63" s="457">
        <f>+GPpcntMjr*(VLOOKUP($A63,FY16ProjRev0!$A$4:$I$24,9,FALSE))*VLOOKUP($A63,FY16ProjMjrs!$A$3:$S$23,MATCH(O$28,FY16ProjMjrs!$A$2:$S$2,0),FALSE)</f>
        <v>0</v>
      </c>
      <c r="P63" s="457">
        <f>+GPpcntMjr*(VLOOKUP($A63,FY16ProjRev0!$A$4:$I$24,9,FALSE))*VLOOKUP($A63,FY16ProjMjrs!$A$3:$S$23,MATCH(P$28,FY16ProjMjrs!$A$2:$S$2,0),FALSE)</f>
        <v>0</v>
      </c>
      <c r="Q63" s="457">
        <f>+GPpcntMjr*(VLOOKUP($A63,FY16ProjRev0!$A$4:$I$24,9,FALSE))*VLOOKUP($A63,FY16ProjMjrs!$A$3:$S$23,MATCH(Q$28,FY16ProjMjrs!$A$2:$S$2,0),FALSE)</f>
        <v>0</v>
      </c>
      <c r="R63" s="457">
        <f>+GPpcntMjr*(VLOOKUP($A63,FY16ProjRev0!$A$4:$I$24,9,FALSE))*VLOOKUP($A63,FY16ProjMjrs!$A$3:$S$23,MATCH(R$28,FY16ProjMjrs!$A$2:$S$2,0),FALSE)</f>
        <v>0</v>
      </c>
      <c r="S63" s="457">
        <f>+GPpcntMjr*(VLOOKUP($A63,FY16ProjRev0!$A$4:$I$24,9,FALSE))*VLOOKUP($A63,FY16ProjMjrs!$A$3:$S$23,MATCH(S$28,FY16ProjMjrs!$A$2:$S$2,0),FALSE)</f>
        <v>0</v>
      </c>
      <c r="T63" s="457">
        <f t="shared" si="6"/>
        <v>3531895.9520189222</v>
      </c>
    </row>
    <row r="64" spans="1:20" s="18" customFormat="1" ht="20.100000000000001" customHeight="1">
      <c r="A64" s="404" t="s">
        <v>147</v>
      </c>
      <c r="B64" s="440" t="s">
        <v>208</v>
      </c>
      <c r="C64" s="410">
        <f>+GPpcntMjr*(VLOOKUP($A64,FY16ProjRev0!$A$4:$I$24,9,FALSE))*VLOOKUP($A64,FY16ProjMjrs!$A$3:$S$23,MATCH(C$28,FY16ProjMjrs!$A$2:$S$2,0),FALSE)</f>
        <v>0</v>
      </c>
      <c r="D64" s="410">
        <f>+GPpcntMjr*(VLOOKUP($A64,FY16ProjRev0!$A$4:$I$24,9,FALSE))*VLOOKUP($A64,FY16ProjMjrs!$A$3:$S$23,MATCH(D$28,FY16ProjMjrs!$A$2:$S$2,0),FALSE)</f>
        <v>0</v>
      </c>
      <c r="E64" s="410">
        <f>+GPpcntMjr*(VLOOKUP($A64,FY16ProjRev0!$A$4:$I$24,9,FALSE))*VLOOKUP($A64,FY16ProjMjrs!$A$3:$S$23,MATCH(E$28,FY16ProjMjrs!$A$2:$S$2,0),FALSE)</f>
        <v>0</v>
      </c>
      <c r="F64" s="410">
        <f>+GPpcntMjr*(VLOOKUP($A64,FY16ProjRev0!$A$4:$I$24,9,FALSE))*VLOOKUP($A64,FY16ProjMjrs!$A$3:$S$23,MATCH(F$28,FY16ProjMjrs!$A$2:$S$2,0),FALSE)</f>
        <v>0</v>
      </c>
      <c r="G64" s="410">
        <f>+GPpcntMjr*(VLOOKUP($A64,FY16ProjRev0!$A$4:$I$24,9,FALSE))*VLOOKUP($A64,FY16ProjMjrs!$A$3:$S$23,MATCH(G$28,FY16ProjMjrs!$A$2:$S$2,0),FALSE)</f>
        <v>941005.24067641457</v>
      </c>
      <c r="H64" s="410">
        <f>+GPpcntMjr*(VLOOKUP($A64,FY16ProjRev0!$A$4:$I$24,9,FALSE))*VLOOKUP($A64,FY16ProjMjrs!$A$3:$S$23,MATCH(H$28,FY16ProjMjrs!$A$2:$S$2,0),FALSE)</f>
        <v>10857.752777035554</v>
      </c>
      <c r="I64" s="410">
        <f>+GPpcntMjr*(VLOOKUP($A64,FY16ProjRev0!$A$4:$I$24,9,FALSE))*VLOOKUP($A64,FY16ProjMjrs!$A$3:$S$23,MATCH(I$28,FY16ProjMjrs!$A$2:$S$2,0),FALSE)</f>
        <v>0</v>
      </c>
      <c r="J64" s="410">
        <f>+GPpcntMjr*(VLOOKUP($A64,FY16ProjRev0!$A$4:$I$24,9,FALSE))*VLOOKUP($A64,FY16ProjMjrs!$A$3:$S$23,MATCH(J$28,FY16ProjMjrs!$A$2:$S$2,0),FALSE)</f>
        <v>0</v>
      </c>
      <c r="K64" s="410">
        <f>+GPpcntMjr*(VLOOKUP($A64,FY16ProjRev0!$A$4:$I$24,9,FALSE))*VLOOKUP($A64,FY16ProjMjrs!$A$3:$S$23,MATCH(K$28,FY16ProjMjrs!$A$2:$S$2,0),FALSE)</f>
        <v>0</v>
      </c>
      <c r="L64" s="410">
        <f>+GPpcntMjr*(VLOOKUP($A64,FY16ProjRev0!$A$4:$I$24,9,FALSE))*VLOOKUP($A64,FY16ProjMjrs!$A$3:$S$23,MATCH(L$28,FY16ProjMjrs!$A$2:$S$2,0),FALSE)</f>
        <v>0</v>
      </c>
      <c r="M64" s="410">
        <f>+GPpcntMjr*(VLOOKUP($A64,FY16ProjRev0!$A$4:$I$24,9,FALSE))*VLOOKUP($A64,FY16ProjMjrs!$A$3:$S$23,MATCH(M$28,FY16ProjMjrs!$A$2:$S$2,0),FALSE)</f>
        <v>0</v>
      </c>
      <c r="N64" s="410">
        <f>+GPpcntMjr*(VLOOKUP($A64,FY16ProjRev0!$A$4:$I$24,9,FALSE))*VLOOKUP($A64,FY16ProjMjrs!$A$3:$S$23,MATCH(N$28,FY16ProjMjrs!$A$2:$S$2,0),FALSE)</f>
        <v>0</v>
      </c>
      <c r="O64" s="410">
        <f>+GPpcntMjr*(VLOOKUP($A64,FY16ProjRev0!$A$4:$I$24,9,FALSE))*VLOOKUP($A64,FY16ProjMjrs!$A$3:$S$23,MATCH(O$28,FY16ProjMjrs!$A$2:$S$2,0),FALSE)</f>
        <v>0</v>
      </c>
      <c r="P64" s="410">
        <f>+GPpcntMjr*(VLOOKUP($A64,FY16ProjRev0!$A$4:$I$24,9,FALSE))*VLOOKUP($A64,FY16ProjMjrs!$A$3:$S$23,MATCH(P$28,FY16ProjMjrs!$A$2:$S$2,0),FALSE)</f>
        <v>0</v>
      </c>
      <c r="Q64" s="410">
        <f>+GPpcntMjr*(VLOOKUP($A64,FY16ProjRev0!$A$4:$I$24,9,FALSE))*VLOOKUP($A64,FY16ProjMjrs!$A$3:$S$23,MATCH(Q$28,FY16ProjMjrs!$A$2:$S$2,0),FALSE)</f>
        <v>0</v>
      </c>
      <c r="R64" s="410">
        <f>+GPpcntMjr*(VLOOKUP($A64,FY16ProjRev0!$A$4:$I$24,9,FALSE))*VLOOKUP($A64,FY16ProjMjrs!$A$3:$S$23,MATCH(R$28,FY16ProjMjrs!$A$2:$S$2,0),FALSE)</f>
        <v>0</v>
      </c>
      <c r="S64" s="410">
        <f>+GPpcntMjr*(VLOOKUP($A64,FY16ProjRev0!$A$4:$I$24,9,FALSE))*VLOOKUP($A64,FY16ProjMjrs!$A$3:$S$23,MATCH(S$28,FY16ProjMjrs!$A$2:$S$2,0),FALSE)</f>
        <v>0</v>
      </c>
      <c r="T64" s="410">
        <f t="shared" si="6"/>
        <v>951862.99345345015</v>
      </c>
    </row>
    <row r="65" spans="1:20" ht="20.100000000000001" customHeight="1">
      <c r="A65" s="404" t="s">
        <v>148</v>
      </c>
      <c r="B65" s="456" t="s">
        <v>39</v>
      </c>
      <c r="C65" s="457">
        <f>+GPpcntMjr*(VLOOKUP($A65,FY16ProjRev0!$A$4:$I$24,9,FALSE))*VLOOKUP($A65,FY16ProjMjrs!$A$3:$S$23,MATCH(C$28,FY16ProjMjrs!$A$2:$S$2,0),FALSE)</f>
        <v>53968.190280326635</v>
      </c>
      <c r="D65" s="457">
        <f>+GPpcntMjr*(VLOOKUP($A65,FY16ProjRev0!$A$4:$I$24,9,FALSE))*VLOOKUP($A65,FY16ProjMjrs!$A$3:$S$23,MATCH(D$28,FY16ProjMjrs!$A$2:$S$2,0),FALSE)</f>
        <v>130158.57655843483</v>
      </c>
      <c r="E65" s="457">
        <f>+GPpcntMjr*(VLOOKUP($A65,FY16ProjRev0!$A$4:$I$24,9,FALSE))*VLOOKUP($A65,FY16ProjMjrs!$A$3:$S$23,MATCH(E$28,FY16ProjMjrs!$A$2:$S$2,0),FALSE)</f>
        <v>0</v>
      </c>
      <c r="F65" s="457">
        <f>+GPpcntMjr*(VLOOKUP($A65,FY16ProjRev0!$A$4:$I$24,9,FALSE))*VLOOKUP($A65,FY16ProjMjrs!$A$3:$S$23,MATCH(F$28,FY16ProjMjrs!$A$2:$S$2,0),FALSE)</f>
        <v>0</v>
      </c>
      <c r="G65" s="457">
        <f>+GPpcntMjr*(VLOOKUP($A65,FY16ProjRev0!$A$4:$I$24,9,FALSE))*VLOOKUP($A65,FY16ProjMjrs!$A$3:$S$23,MATCH(G$28,FY16ProjMjrs!$A$2:$S$2,0),FALSE)</f>
        <v>0</v>
      </c>
      <c r="H65" s="457">
        <f>+GPpcntMjr*(VLOOKUP($A65,FY16ProjRev0!$A$4:$I$24,9,FALSE))*VLOOKUP($A65,FY16ProjMjrs!$A$3:$S$23,MATCH(H$28,FY16ProjMjrs!$A$2:$S$2,0),FALSE)</f>
        <v>85714.184562871713</v>
      </c>
      <c r="I65" s="457">
        <f>+GPpcntMjr*(VLOOKUP($A65,FY16ProjRev0!$A$4:$I$24,9,FALSE))*VLOOKUP($A65,FY16ProjMjrs!$A$3:$S$23,MATCH(I$28,FY16ProjMjrs!$A$2:$S$2,0),FALSE)</f>
        <v>9523.798284763523</v>
      </c>
      <c r="J65" s="457">
        <f>+GPpcntMjr*(VLOOKUP($A65,FY16ProjRev0!$A$4:$I$24,9,FALSE))*VLOOKUP($A65,FY16ProjMjrs!$A$3:$S$23,MATCH(J$28,FY16ProjMjrs!$A$2:$S$2,0),FALSE)</f>
        <v>9523.798284763523</v>
      </c>
      <c r="K65" s="457">
        <f>+GPpcntMjr*(VLOOKUP($A65,FY16ProjRev0!$A$4:$I$24,9,FALSE))*VLOOKUP($A65,FY16ProjMjrs!$A$3:$S$23,MATCH(K$28,FY16ProjMjrs!$A$2:$S$2,0),FALSE)</f>
        <v>3168250.2293979991</v>
      </c>
      <c r="L65" s="457">
        <f>+GPpcntMjr*(VLOOKUP($A65,FY16ProjRev0!$A$4:$I$24,9,FALSE))*VLOOKUP($A65,FY16ProjMjrs!$A$3:$S$23,MATCH(L$28,FY16ProjMjrs!$A$2:$S$2,0),FALSE)</f>
        <v>22222.195997781553</v>
      </c>
      <c r="M65" s="457">
        <f>+GPpcntMjr*(VLOOKUP($A65,FY16ProjRev0!$A$4:$I$24,9,FALSE))*VLOOKUP($A65,FY16ProjMjrs!$A$3:$S$23,MATCH(M$28,FY16ProjMjrs!$A$2:$S$2,0),FALSE)</f>
        <v>0</v>
      </c>
      <c r="N65" s="457">
        <f>+GPpcntMjr*(VLOOKUP($A65,FY16ProjRev0!$A$4:$I$24,9,FALSE))*VLOOKUP($A65,FY16ProjMjrs!$A$3:$S$23,MATCH(N$28,FY16ProjMjrs!$A$2:$S$2,0),FALSE)</f>
        <v>0</v>
      </c>
      <c r="O65" s="457">
        <f>+GPpcntMjr*(VLOOKUP($A65,FY16ProjRev0!$A$4:$I$24,9,FALSE))*VLOOKUP($A65,FY16ProjMjrs!$A$3:$S$23,MATCH(O$28,FY16ProjMjrs!$A$2:$S$2,0),FALSE)</f>
        <v>0</v>
      </c>
      <c r="P65" s="457">
        <f>+GPpcntMjr*(VLOOKUP($A65,FY16ProjRev0!$A$4:$I$24,9,FALSE))*VLOOKUP($A65,FY16ProjMjrs!$A$3:$S$23,MATCH(P$28,FY16ProjMjrs!$A$2:$S$2,0),FALSE)</f>
        <v>0</v>
      </c>
      <c r="Q65" s="457">
        <f>+GPpcntMjr*(VLOOKUP($A65,FY16ProjRev0!$A$4:$I$24,9,FALSE))*VLOOKUP($A65,FY16ProjMjrs!$A$3:$S$23,MATCH(Q$28,FY16ProjMjrs!$A$2:$S$2,0),FALSE)</f>
        <v>69841.187421599185</v>
      </c>
      <c r="R65" s="457">
        <f>+GPpcntMjr*(VLOOKUP($A65,FY16ProjRev0!$A$4:$I$24,9,FALSE))*VLOOKUP($A65,FY16ProjMjrs!$A$3:$S$23,MATCH(R$28,FY16ProjMjrs!$A$2:$S$2,0),FALSE)</f>
        <v>0</v>
      </c>
      <c r="S65" s="457">
        <f>+GPpcntMjr*(VLOOKUP($A65,FY16ProjRev0!$A$4:$I$24,9,FALSE))*VLOOKUP($A65,FY16ProjMjrs!$A$3:$S$23,MATCH(S$28,FY16ProjMjrs!$A$2:$S$2,0),FALSE)</f>
        <v>0</v>
      </c>
      <c r="T65" s="457">
        <f t="shared" si="6"/>
        <v>3549202.1607885403</v>
      </c>
    </row>
    <row r="66" spans="1:20" s="18" customFormat="1" ht="20.100000000000001" customHeight="1">
      <c r="A66" s="404" t="s">
        <v>149</v>
      </c>
      <c r="B66" s="440" t="s">
        <v>38</v>
      </c>
      <c r="C66" s="410">
        <f>+GPpcntMjr*(VLOOKUP($A66,FY16ProjRev0!$A$4:$I$24,9,FALSE))*VLOOKUP($A66,FY16ProjMjrs!$A$3:$S$23,MATCH(C$28,FY16ProjMjrs!$A$2:$S$2,0),FALSE)</f>
        <v>0</v>
      </c>
      <c r="D66" s="410">
        <f>+GPpcntMjr*(VLOOKUP($A66,FY16ProjRev0!$A$4:$I$24,9,FALSE))*VLOOKUP($A66,FY16ProjMjrs!$A$3:$S$23,MATCH(D$28,FY16ProjMjrs!$A$2:$S$2,0),FALSE)</f>
        <v>25557.930145904866</v>
      </c>
      <c r="E66" s="410">
        <f>+GPpcntMjr*(VLOOKUP($A66,FY16ProjRev0!$A$4:$I$24,9,FALSE))*VLOOKUP($A66,FY16ProjMjrs!$A$3:$S$23,MATCH(E$28,FY16ProjMjrs!$A$2:$S$2,0),FALSE)</f>
        <v>3757015.7314480157</v>
      </c>
      <c r="F66" s="410">
        <f>+GPpcntMjr*(VLOOKUP($A66,FY16ProjRev0!$A$4:$I$24,9,FALSE))*VLOOKUP($A66,FY16ProjMjrs!$A$3:$S$23,MATCH(F$28,FY16ProjMjrs!$A$2:$S$2,0),FALSE)</f>
        <v>0</v>
      </c>
      <c r="G66" s="410">
        <f>+GPpcntMjr*(VLOOKUP($A66,FY16ProjRev0!$A$4:$I$24,9,FALSE))*VLOOKUP($A66,FY16ProjMjrs!$A$3:$S$23,MATCH(G$28,FY16ProjMjrs!$A$2:$S$2,0),FALSE)</f>
        <v>10223.172058361946</v>
      </c>
      <c r="H66" s="410">
        <f>+GPpcntMjr*(VLOOKUP($A66,FY16ProjRev0!$A$4:$I$24,9,FALSE))*VLOOKUP($A66,FY16ProjMjrs!$A$3:$S$23,MATCH(H$28,FY16ProjMjrs!$A$2:$S$2,0),FALSE)</f>
        <v>0</v>
      </c>
      <c r="I66" s="410">
        <f>+GPpcntMjr*(VLOOKUP($A66,FY16ProjRev0!$A$4:$I$24,9,FALSE))*VLOOKUP($A66,FY16ProjMjrs!$A$3:$S$23,MATCH(I$28,FY16ProjMjrs!$A$2:$S$2,0),FALSE)</f>
        <v>0</v>
      </c>
      <c r="J66" s="410">
        <f>+GPpcntMjr*(VLOOKUP($A66,FY16ProjRev0!$A$4:$I$24,9,FALSE))*VLOOKUP($A66,FY16ProjMjrs!$A$3:$S$23,MATCH(J$28,FY16ProjMjrs!$A$2:$S$2,0),FALSE)</f>
        <v>10223.172058361946</v>
      </c>
      <c r="K66" s="410">
        <f>+GPpcntMjr*(VLOOKUP($A66,FY16ProjRev0!$A$4:$I$24,9,FALSE))*VLOOKUP($A66,FY16ProjMjrs!$A$3:$S$23,MATCH(K$28,FY16ProjMjrs!$A$2:$S$2,0),FALSE)</f>
        <v>0</v>
      </c>
      <c r="L66" s="410">
        <f>+GPpcntMjr*(VLOOKUP($A66,FY16ProjRev0!$A$4:$I$24,9,FALSE))*VLOOKUP($A66,FY16ProjMjrs!$A$3:$S$23,MATCH(L$28,FY16ProjMjrs!$A$2:$S$2,0),FALSE)</f>
        <v>0</v>
      </c>
      <c r="M66" s="410">
        <f>+GPpcntMjr*(VLOOKUP($A66,FY16ProjRev0!$A$4:$I$24,9,FALSE))*VLOOKUP($A66,FY16ProjMjrs!$A$3:$S$23,MATCH(M$28,FY16ProjMjrs!$A$2:$S$2,0),FALSE)</f>
        <v>0</v>
      </c>
      <c r="N66" s="410">
        <f>+GPpcntMjr*(VLOOKUP($A66,FY16ProjRev0!$A$4:$I$24,9,FALSE))*VLOOKUP($A66,FY16ProjMjrs!$A$3:$S$23,MATCH(N$28,FY16ProjMjrs!$A$2:$S$2,0),FALSE)</f>
        <v>10223.172058361946</v>
      </c>
      <c r="O66" s="410">
        <f>+GPpcntMjr*(VLOOKUP($A66,FY16ProjRev0!$A$4:$I$24,9,FALSE))*VLOOKUP($A66,FY16ProjMjrs!$A$3:$S$23,MATCH(O$28,FY16ProjMjrs!$A$2:$S$2,0),FALSE)</f>
        <v>0</v>
      </c>
      <c r="P66" s="410">
        <f>+GPpcntMjr*(VLOOKUP($A66,FY16ProjRev0!$A$4:$I$24,9,FALSE))*VLOOKUP($A66,FY16ProjMjrs!$A$3:$S$23,MATCH(P$28,FY16ProjMjrs!$A$2:$S$2,0),FALSE)</f>
        <v>10223.172058361946</v>
      </c>
      <c r="Q66" s="410">
        <f>+GPpcntMjr*(VLOOKUP($A66,FY16ProjRev0!$A$4:$I$24,9,FALSE))*VLOOKUP($A66,FY16ProjMjrs!$A$3:$S$23,MATCH(Q$28,FY16ProjMjrs!$A$2:$S$2,0),FALSE)</f>
        <v>30669.516175085842</v>
      </c>
      <c r="R66" s="410">
        <f>+GPpcntMjr*(VLOOKUP($A66,FY16ProjRev0!$A$4:$I$24,9,FALSE))*VLOOKUP($A66,FY16ProjMjrs!$A$3:$S$23,MATCH(R$28,FY16ProjMjrs!$A$2:$S$2,0),FALSE)</f>
        <v>0</v>
      </c>
      <c r="S66" s="410">
        <f>+GPpcntMjr*(VLOOKUP($A66,FY16ProjRev0!$A$4:$I$24,9,FALSE))*VLOOKUP($A66,FY16ProjMjrs!$A$3:$S$23,MATCH(S$28,FY16ProjMjrs!$A$2:$S$2,0),FALSE)</f>
        <v>0</v>
      </c>
      <c r="T66" s="410">
        <f t="shared" si="6"/>
        <v>3854135.8660024544</v>
      </c>
    </row>
    <row r="67" spans="1:20" ht="20.100000000000001" customHeight="1">
      <c r="A67" s="404" t="s">
        <v>150</v>
      </c>
      <c r="B67" s="456" t="s">
        <v>31</v>
      </c>
      <c r="C67" s="457">
        <f>+GPpcntMjr*(VLOOKUP($A67,FY16ProjRev0!$A$4:$I$24,9,FALSE))*VLOOKUP($A67,FY16ProjMjrs!$A$3:$S$23,MATCH(C$28,FY16ProjMjrs!$A$2:$S$2,0),FALSE)</f>
        <v>0</v>
      </c>
      <c r="D67" s="457">
        <f>+GPpcntMjr*(VLOOKUP($A67,FY16ProjRev0!$A$4:$I$24,9,FALSE))*VLOOKUP($A67,FY16ProjMjrs!$A$3:$S$23,MATCH(D$28,FY16ProjMjrs!$A$2:$S$2,0),FALSE)</f>
        <v>30801.070034606255</v>
      </c>
      <c r="E67" s="457">
        <f>+GPpcntMjr*(VLOOKUP($A67,FY16ProjRev0!$A$4:$I$24,9,FALSE))*VLOOKUP($A67,FY16ProjMjrs!$A$3:$S$23,MATCH(E$28,FY16ProjMjrs!$A$2:$S$2,0),FALSE)</f>
        <v>20534.046689737504</v>
      </c>
      <c r="F67" s="457">
        <f>+GPpcntMjr*(VLOOKUP($A67,FY16ProjRev0!$A$4:$I$24,9,FALSE))*VLOOKUP($A67,FY16ProjMjrs!$A$3:$S$23,MATCH(F$28,FY16ProjMjrs!$A$2:$S$2,0),FALSE)</f>
        <v>25667.55836217188</v>
      </c>
      <c r="G67" s="457">
        <f>+GPpcntMjr*(VLOOKUP($A67,FY16ProjRev0!$A$4:$I$24,9,FALSE))*VLOOKUP($A67,FY16ProjMjrs!$A$3:$S$23,MATCH(G$28,FY16ProjMjrs!$A$2:$S$2,0),FALSE)</f>
        <v>15400.535017303127</v>
      </c>
      <c r="H67" s="457">
        <f>+GPpcntMjr*(VLOOKUP($A67,FY16ProjRev0!$A$4:$I$24,9,FALSE))*VLOOKUP($A67,FY16ProjMjrs!$A$3:$S$23,MATCH(H$28,FY16ProjMjrs!$A$2:$S$2,0),FALSE)</f>
        <v>15400.535017303127</v>
      </c>
      <c r="I67" s="457">
        <f>+GPpcntMjr*(VLOOKUP($A67,FY16ProjRev0!$A$4:$I$24,9,FALSE))*VLOOKUP($A67,FY16ProjMjrs!$A$3:$S$23,MATCH(I$28,FY16ProjMjrs!$A$2:$S$2,0),FALSE)</f>
        <v>15400.535017303127</v>
      </c>
      <c r="J67" s="457">
        <f>+GPpcntMjr*(VLOOKUP($A67,FY16ProjRev0!$A$4:$I$24,9,FALSE))*VLOOKUP($A67,FY16ProjMjrs!$A$3:$S$23,MATCH(J$28,FY16ProjMjrs!$A$2:$S$2,0),FALSE)</f>
        <v>7905607.9755489379</v>
      </c>
      <c r="K67" s="457">
        <f>+GPpcntMjr*(VLOOKUP($A67,FY16ProjRev0!$A$4:$I$24,9,FALSE))*VLOOKUP($A67,FY16ProjMjrs!$A$3:$S$23,MATCH(K$28,FY16ProjMjrs!$A$2:$S$2,0),FALSE)</f>
        <v>15400.535017303127</v>
      </c>
      <c r="L67" s="457">
        <f>+GPpcntMjr*(VLOOKUP($A67,FY16ProjRev0!$A$4:$I$24,9,FALSE))*VLOOKUP($A67,FY16ProjMjrs!$A$3:$S$23,MATCH(L$28,FY16ProjMjrs!$A$2:$S$2,0),FALSE)</f>
        <v>0</v>
      </c>
      <c r="M67" s="457">
        <f>+GPpcntMjr*(VLOOKUP($A67,FY16ProjRev0!$A$4:$I$24,9,FALSE))*VLOOKUP($A67,FY16ProjMjrs!$A$3:$S$23,MATCH(M$28,FY16ProjMjrs!$A$2:$S$2,0),FALSE)</f>
        <v>0</v>
      </c>
      <c r="N67" s="457">
        <f>+GPpcntMjr*(VLOOKUP($A67,FY16ProjRev0!$A$4:$I$24,9,FALSE))*VLOOKUP($A67,FY16ProjMjrs!$A$3:$S$23,MATCH(N$28,FY16ProjMjrs!$A$2:$S$2,0),FALSE)</f>
        <v>0</v>
      </c>
      <c r="O67" s="457">
        <f>+GPpcntMjr*(VLOOKUP($A67,FY16ProjRev0!$A$4:$I$24,9,FALSE))*VLOOKUP($A67,FY16ProjMjrs!$A$3:$S$23,MATCH(O$28,FY16ProjMjrs!$A$2:$S$2,0),FALSE)</f>
        <v>0</v>
      </c>
      <c r="P67" s="457">
        <f>+GPpcntMjr*(VLOOKUP($A67,FY16ProjRev0!$A$4:$I$24,9,FALSE))*VLOOKUP($A67,FY16ProjMjrs!$A$3:$S$23,MATCH(P$28,FY16ProjMjrs!$A$2:$S$2,0),FALSE)</f>
        <v>0</v>
      </c>
      <c r="Q67" s="457">
        <f>+GPpcntMjr*(VLOOKUP($A67,FY16ProjRev0!$A$4:$I$24,9,FALSE))*VLOOKUP($A67,FY16ProjMjrs!$A$3:$S$23,MATCH(Q$28,FY16ProjMjrs!$A$2:$S$2,0),FALSE)</f>
        <v>15400.535017303127</v>
      </c>
      <c r="R67" s="457">
        <f>+GPpcntMjr*(VLOOKUP($A67,FY16ProjRev0!$A$4:$I$24,9,FALSE))*VLOOKUP($A67,FY16ProjMjrs!$A$3:$S$23,MATCH(R$28,FY16ProjMjrs!$A$2:$S$2,0),FALSE)</f>
        <v>0</v>
      </c>
      <c r="S67" s="457">
        <f>+GPpcntMjr*(VLOOKUP($A67,FY16ProjRev0!$A$4:$I$24,9,FALSE))*VLOOKUP($A67,FY16ProjMjrs!$A$3:$S$23,MATCH(S$28,FY16ProjMjrs!$A$2:$S$2,0),FALSE)</f>
        <v>0</v>
      </c>
      <c r="T67" s="457">
        <f t="shared" si="6"/>
        <v>8059613.3257219689</v>
      </c>
    </row>
    <row r="68" spans="1:20" s="18" customFormat="1" ht="20.100000000000001" customHeight="1">
      <c r="A68" s="404" t="s">
        <v>151</v>
      </c>
      <c r="B68" s="440" t="s">
        <v>209</v>
      </c>
      <c r="C68" s="410">
        <f>+GPpcntMjr*(VLOOKUP($A68,FY16ProjRev0!$A$4:$I$24,9,FALSE))*VLOOKUP($A68,FY16ProjMjrs!$A$3:$S$23,MATCH(C$28,FY16ProjMjrs!$A$2:$S$2,0),FALSE)</f>
        <v>0</v>
      </c>
      <c r="D68" s="410">
        <f>+GPpcntMjr*(VLOOKUP($A68,FY16ProjRev0!$A$4:$I$24,9,FALSE))*VLOOKUP($A68,FY16ProjMjrs!$A$3:$S$23,MATCH(D$28,FY16ProjMjrs!$A$2:$S$2,0),FALSE)</f>
        <v>0</v>
      </c>
      <c r="E68" s="410">
        <f>+GPpcntMjr*(VLOOKUP($A68,FY16ProjRev0!$A$4:$I$24,9,FALSE))*VLOOKUP($A68,FY16ProjMjrs!$A$3:$S$23,MATCH(E$28,FY16ProjMjrs!$A$2:$S$2,0),FALSE)</f>
        <v>0</v>
      </c>
      <c r="F68" s="410">
        <f>+GPpcntMjr*(VLOOKUP($A68,FY16ProjRev0!$A$4:$I$24,9,FALSE))*VLOOKUP($A68,FY16ProjMjrs!$A$3:$S$23,MATCH(F$28,FY16ProjMjrs!$A$2:$S$2,0),FALSE)</f>
        <v>0</v>
      </c>
      <c r="G68" s="410">
        <f>+GPpcntMjr*(VLOOKUP($A68,FY16ProjRev0!$A$4:$I$24,9,FALSE))*VLOOKUP($A68,FY16ProjMjrs!$A$3:$S$23,MATCH(G$28,FY16ProjMjrs!$A$2:$S$2,0),FALSE)</f>
        <v>0</v>
      </c>
      <c r="H68" s="410">
        <f>+GPpcntMjr*(VLOOKUP($A68,FY16ProjRev0!$A$4:$I$24,9,FALSE))*VLOOKUP($A68,FY16ProjMjrs!$A$3:$S$23,MATCH(H$28,FY16ProjMjrs!$A$2:$S$2,0),FALSE)</f>
        <v>0</v>
      </c>
      <c r="I68" s="410">
        <f>+GPpcntMjr*(VLOOKUP($A68,FY16ProjRev0!$A$4:$I$24,9,FALSE))*VLOOKUP($A68,FY16ProjMjrs!$A$3:$S$23,MATCH(I$28,FY16ProjMjrs!$A$2:$S$2,0),FALSE)</f>
        <v>0</v>
      </c>
      <c r="J68" s="410">
        <f>+GPpcntMjr*(VLOOKUP($A68,FY16ProjRev0!$A$4:$I$24,9,FALSE))*VLOOKUP($A68,FY16ProjMjrs!$A$3:$S$23,MATCH(J$28,FY16ProjMjrs!$A$2:$S$2,0),FALSE)</f>
        <v>954027.12425385753</v>
      </c>
      <c r="K68" s="410">
        <f>+GPpcntMjr*(VLOOKUP($A68,FY16ProjRev0!$A$4:$I$24,9,FALSE))*VLOOKUP($A68,FY16ProjMjrs!$A$3:$S$23,MATCH(K$28,FY16ProjMjrs!$A$2:$S$2,0),FALSE)</f>
        <v>0</v>
      </c>
      <c r="L68" s="410">
        <f>+GPpcntMjr*(VLOOKUP($A68,FY16ProjRev0!$A$4:$I$24,9,FALSE))*VLOOKUP($A68,FY16ProjMjrs!$A$3:$S$23,MATCH(L$28,FY16ProjMjrs!$A$2:$S$2,0),FALSE)</f>
        <v>0</v>
      </c>
      <c r="M68" s="410">
        <f>+GPpcntMjr*(VLOOKUP($A68,FY16ProjRev0!$A$4:$I$24,9,FALSE))*VLOOKUP($A68,FY16ProjMjrs!$A$3:$S$23,MATCH(M$28,FY16ProjMjrs!$A$2:$S$2,0),FALSE)</f>
        <v>0</v>
      </c>
      <c r="N68" s="410">
        <f>+GPpcntMjr*(VLOOKUP($A68,FY16ProjRev0!$A$4:$I$24,9,FALSE))*VLOOKUP($A68,FY16ProjMjrs!$A$3:$S$23,MATCH(N$28,FY16ProjMjrs!$A$2:$S$2,0),FALSE)</f>
        <v>0</v>
      </c>
      <c r="O68" s="410">
        <f>+GPpcntMjr*(VLOOKUP($A68,FY16ProjRev0!$A$4:$I$24,9,FALSE))*VLOOKUP($A68,FY16ProjMjrs!$A$3:$S$23,MATCH(O$28,FY16ProjMjrs!$A$2:$S$2,0),FALSE)</f>
        <v>0</v>
      </c>
      <c r="P68" s="410">
        <f>+GPpcntMjr*(VLOOKUP($A68,FY16ProjRev0!$A$4:$I$24,9,FALSE))*VLOOKUP($A68,FY16ProjMjrs!$A$3:$S$23,MATCH(P$28,FY16ProjMjrs!$A$2:$S$2,0),FALSE)</f>
        <v>0</v>
      </c>
      <c r="Q68" s="410">
        <f>+GPpcntMjr*(VLOOKUP($A68,FY16ProjRev0!$A$4:$I$24,9,FALSE))*VLOOKUP($A68,FY16ProjMjrs!$A$3:$S$23,MATCH(Q$28,FY16ProjMjrs!$A$2:$S$2,0),FALSE)</f>
        <v>0</v>
      </c>
      <c r="R68" s="410">
        <f>+GPpcntMjr*(VLOOKUP($A68,FY16ProjRev0!$A$4:$I$24,9,FALSE))*VLOOKUP($A68,FY16ProjMjrs!$A$3:$S$23,MATCH(R$28,FY16ProjMjrs!$A$2:$S$2,0),FALSE)</f>
        <v>0</v>
      </c>
      <c r="S68" s="410">
        <f>+GPpcntMjr*(VLOOKUP($A68,FY16ProjRev0!$A$4:$I$24,9,FALSE))*VLOOKUP($A68,FY16ProjMjrs!$A$3:$S$23,MATCH(S$28,FY16ProjMjrs!$A$2:$S$2,0),FALSE)</f>
        <v>0</v>
      </c>
      <c r="T68" s="410">
        <f t="shared" si="6"/>
        <v>954027.12425385753</v>
      </c>
    </row>
    <row r="69" spans="1:20" ht="20.100000000000001" customHeight="1">
      <c r="A69" s="404" t="s">
        <v>153</v>
      </c>
      <c r="B69" s="456" t="s">
        <v>100</v>
      </c>
      <c r="C69" s="457">
        <f>+GPpcntMjr*(VLOOKUP($A69,FY16ProjRev0!$A$4:$I$24,9,FALSE))*VLOOKUP($A69,FY16ProjMjrs!$A$3:$S$23,MATCH(C$28,FY16ProjMjrs!$A$2:$S$2,0),FALSE)</f>
        <v>0</v>
      </c>
      <c r="D69" s="457">
        <f>+GPpcntMjr*(VLOOKUP($A69,FY16ProjRev0!$A$4:$I$24,9,FALSE))*VLOOKUP($A69,FY16ProjMjrs!$A$3:$S$23,MATCH(D$28,FY16ProjMjrs!$A$2:$S$2,0),FALSE)</f>
        <v>0</v>
      </c>
      <c r="E69" s="457">
        <f>+GPpcntMjr*(VLOOKUP($A69,FY16ProjRev0!$A$4:$I$24,9,FALSE))*VLOOKUP($A69,FY16ProjMjrs!$A$3:$S$23,MATCH(E$28,FY16ProjMjrs!$A$2:$S$2,0),FALSE)</f>
        <v>0</v>
      </c>
      <c r="F69" s="457">
        <f>+GPpcntMjr*(VLOOKUP($A69,FY16ProjRev0!$A$4:$I$24,9,FALSE))*VLOOKUP($A69,FY16ProjMjrs!$A$3:$S$23,MATCH(F$28,FY16ProjMjrs!$A$2:$S$2,0),FALSE)</f>
        <v>0</v>
      </c>
      <c r="G69" s="457">
        <f>+GPpcntMjr*(VLOOKUP($A69,FY16ProjRev0!$A$4:$I$24,9,FALSE))*VLOOKUP($A69,FY16ProjMjrs!$A$3:$S$23,MATCH(G$28,FY16ProjMjrs!$A$2:$S$2,0),FALSE)</f>
        <v>0</v>
      </c>
      <c r="H69" s="457">
        <f>+GPpcntMjr*(VLOOKUP($A69,FY16ProjRev0!$A$4:$I$24,9,FALSE))*VLOOKUP($A69,FY16ProjMjrs!$A$3:$S$23,MATCH(H$28,FY16ProjMjrs!$A$2:$S$2,0),FALSE)</f>
        <v>0</v>
      </c>
      <c r="I69" s="457">
        <f>+GPpcntMjr*(VLOOKUP($A69,FY16ProjRev0!$A$4:$I$24,9,FALSE))*VLOOKUP($A69,FY16ProjMjrs!$A$3:$S$23,MATCH(I$28,FY16ProjMjrs!$A$2:$S$2,0),FALSE)</f>
        <v>0</v>
      </c>
      <c r="J69" s="457">
        <f>+GPpcntMjr*(VLOOKUP($A69,FY16ProjRev0!$A$4:$I$24,9,FALSE))*VLOOKUP($A69,FY16ProjMjrs!$A$3:$S$23,MATCH(J$28,FY16ProjMjrs!$A$2:$S$2,0),FALSE)</f>
        <v>0</v>
      </c>
      <c r="K69" s="457">
        <f>+GPpcntMjr*(VLOOKUP($A69,FY16ProjRev0!$A$4:$I$24,9,FALSE))*VLOOKUP($A69,FY16ProjMjrs!$A$3:$S$23,MATCH(K$28,FY16ProjMjrs!$A$2:$S$2,0),FALSE)</f>
        <v>0</v>
      </c>
      <c r="L69" s="457">
        <f>+GPpcntMjr*(VLOOKUP($A69,FY16ProjRev0!$A$4:$I$24,9,FALSE))*VLOOKUP($A69,FY16ProjMjrs!$A$3:$S$23,MATCH(L$28,FY16ProjMjrs!$A$2:$S$2,0),FALSE)</f>
        <v>0</v>
      </c>
      <c r="M69" s="457">
        <f>+GPpcntMjr*(VLOOKUP($A69,FY16ProjRev0!$A$4:$I$24,9,FALSE))*VLOOKUP($A69,FY16ProjMjrs!$A$3:$S$23,MATCH(M$28,FY16ProjMjrs!$A$2:$S$2,0),FALSE)</f>
        <v>0</v>
      </c>
      <c r="N69" s="457">
        <f>+GPpcntMjr*(VLOOKUP($A69,FY16ProjRev0!$A$4:$I$24,9,FALSE))*VLOOKUP($A69,FY16ProjMjrs!$A$3:$S$23,MATCH(N$28,FY16ProjMjrs!$A$2:$S$2,0),FALSE)</f>
        <v>0</v>
      </c>
      <c r="O69" s="457">
        <f>+GPpcntMjr*(VLOOKUP($A69,FY16ProjRev0!$A$4:$I$24,9,FALSE))*VLOOKUP($A69,FY16ProjMjrs!$A$3:$S$23,MATCH(O$28,FY16ProjMjrs!$A$2:$S$2,0),FALSE)</f>
        <v>880076.82928673166</v>
      </c>
      <c r="P69" s="457">
        <f>+GPpcntMjr*(VLOOKUP($A69,FY16ProjRev0!$A$4:$I$24,9,FALSE))*VLOOKUP($A69,FY16ProjMjrs!$A$3:$S$23,MATCH(P$28,FY16ProjMjrs!$A$2:$S$2,0),FALSE)</f>
        <v>0</v>
      </c>
      <c r="Q69" s="457">
        <f>+GPpcntMjr*(VLOOKUP($A69,FY16ProjRev0!$A$4:$I$24,9,FALSE))*VLOOKUP($A69,FY16ProjMjrs!$A$3:$S$23,MATCH(Q$28,FY16ProjMjrs!$A$2:$S$2,0),FALSE)</f>
        <v>0</v>
      </c>
      <c r="R69" s="457">
        <f>+GPpcntMjr*(VLOOKUP($A69,FY16ProjRev0!$A$4:$I$24,9,FALSE))*VLOOKUP($A69,FY16ProjMjrs!$A$3:$S$23,MATCH(R$28,FY16ProjMjrs!$A$2:$S$2,0),FALSE)</f>
        <v>0</v>
      </c>
      <c r="S69" s="457">
        <f>+GPpcntMjr*(VLOOKUP($A69,FY16ProjRev0!$A$4:$I$24,9,FALSE))*VLOOKUP($A69,FY16ProjMjrs!$A$3:$S$23,MATCH(S$28,FY16ProjMjrs!$A$2:$S$2,0),FALSE)</f>
        <v>0</v>
      </c>
      <c r="T69" s="457">
        <f t="shared" si="6"/>
        <v>880076.82928673166</v>
      </c>
    </row>
    <row r="70" spans="1:20" s="18" customFormat="1" ht="20.100000000000001" customHeight="1">
      <c r="A70" s="404" t="s">
        <v>155</v>
      </c>
      <c r="B70" s="440" t="s">
        <v>42</v>
      </c>
      <c r="C70" s="410">
        <f>+GPpcntMjr*(VLOOKUP($A70,FY16ProjRev0!$A$4:$I$24,9,FALSE))*VLOOKUP($A70,FY16ProjMjrs!$A$3:$S$23,MATCH(C$28,FY16ProjMjrs!$A$2:$S$2,0),FALSE)</f>
        <v>0</v>
      </c>
      <c r="D70" s="410">
        <f>+GPpcntMjr*(VLOOKUP($A70,FY16ProjRev0!$A$4:$I$24,9,FALSE))*VLOOKUP($A70,FY16ProjMjrs!$A$3:$S$23,MATCH(D$28,FY16ProjMjrs!$A$2:$S$2,0),FALSE)</f>
        <v>0</v>
      </c>
      <c r="E70" s="410">
        <f>+GPpcntMjr*(VLOOKUP($A70,FY16ProjRev0!$A$4:$I$24,9,FALSE))*VLOOKUP($A70,FY16ProjMjrs!$A$3:$S$23,MATCH(E$28,FY16ProjMjrs!$A$2:$S$2,0),FALSE)</f>
        <v>0</v>
      </c>
      <c r="F70" s="410">
        <f>+GPpcntMjr*(VLOOKUP($A70,FY16ProjRev0!$A$4:$I$24,9,FALSE))*VLOOKUP($A70,FY16ProjMjrs!$A$3:$S$23,MATCH(F$28,FY16ProjMjrs!$A$2:$S$2,0),FALSE)</f>
        <v>0</v>
      </c>
      <c r="G70" s="410">
        <f>+GPpcntMjr*(VLOOKUP($A70,FY16ProjRev0!$A$4:$I$24,9,FALSE))*VLOOKUP($A70,FY16ProjMjrs!$A$3:$S$23,MATCH(G$28,FY16ProjMjrs!$A$2:$S$2,0),FALSE)</f>
        <v>0</v>
      </c>
      <c r="H70" s="410">
        <f>+GPpcntMjr*(VLOOKUP($A70,FY16ProjRev0!$A$4:$I$24,9,FALSE))*VLOOKUP($A70,FY16ProjMjrs!$A$3:$S$23,MATCH(H$28,FY16ProjMjrs!$A$2:$S$2,0),FALSE)</f>
        <v>0</v>
      </c>
      <c r="I70" s="410">
        <f>+GPpcntMjr*(VLOOKUP($A70,FY16ProjRev0!$A$4:$I$24,9,FALSE))*VLOOKUP($A70,FY16ProjMjrs!$A$3:$S$23,MATCH(I$28,FY16ProjMjrs!$A$2:$S$2,0),FALSE)</f>
        <v>0</v>
      </c>
      <c r="J70" s="410">
        <f>+GPpcntMjr*(VLOOKUP($A70,FY16ProjRev0!$A$4:$I$24,9,FALSE))*VLOOKUP($A70,FY16ProjMjrs!$A$3:$S$23,MATCH(J$28,FY16ProjMjrs!$A$2:$S$2,0),FALSE)</f>
        <v>0</v>
      </c>
      <c r="K70" s="410">
        <f>+GPpcntMjr*(VLOOKUP($A70,FY16ProjRev0!$A$4:$I$24,9,FALSE))*VLOOKUP($A70,FY16ProjMjrs!$A$3:$S$23,MATCH(K$28,FY16ProjMjrs!$A$2:$S$2,0),FALSE)</f>
        <v>0</v>
      </c>
      <c r="L70" s="410">
        <f>+GPpcntMjr*(VLOOKUP($A70,FY16ProjRev0!$A$4:$I$24,9,FALSE))*VLOOKUP($A70,FY16ProjMjrs!$A$3:$S$23,MATCH(L$28,FY16ProjMjrs!$A$2:$S$2,0),FALSE)</f>
        <v>0</v>
      </c>
      <c r="M70" s="410">
        <f>+GPpcntMjr*(VLOOKUP($A70,FY16ProjRev0!$A$4:$I$24,9,FALSE))*VLOOKUP($A70,FY16ProjMjrs!$A$3:$S$23,MATCH(M$28,FY16ProjMjrs!$A$2:$S$2,0),FALSE)</f>
        <v>0</v>
      </c>
      <c r="N70" s="410">
        <f>+GPpcntMjr*(VLOOKUP($A70,FY16ProjRev0!$A$4:$I$24,9,FALSE))*VLOOKUP($A70,FY16ProjMjrs!$A$3:$S$23,MATCH(N$28,FY16ProjMjrs!$A$2:$S$2,0),FALSE)</f>
        <v>0</v>
      </c>
      <c r="O70" s="410">
        <f>+GPpcntMjr*(VLOOKUP($A70,FY16ProjRev0!$A$4:$I$24,9,FALSE))*VLOOKUP($A70,FY16ProjMjrs!$A$3:$S$23,MATCH(O$28,FY16ProjMjrs!$A$2:$S$2,0),FALSE)</f>
        <v>0</v>
      </c>
      <c r="P70" s="410">
        <f>+GPpcntMjr*(VLOOKUP($A70,FY16ProjRev0!$A$4:$I$24,9,FALSE))*VLOOKUP($A70,FY16ProjMjrs!$A$3:$S$23,MATCH(P$28,FY16ProjMjrs!$A$2:$S$2,0),FALSE)</f>
        <v>5364883.7008960107</v>
      </c>
      <c r="Q70" s="410">
        <f>+GPpcntMjr*(VLOOKUP($A70,FY16ProjRev0!$A$4:$I$24,9,FALSE))*VLOOKUP($A70,FY16ProjMjrs!$A$3:$S$23,MATCH(Q$28,FY16ProjMjrs!$A$2:$S$2,0),FALSE)</f>
        <v>0</v>
      </c>
      <c r="R70" s="410">
        <f>+GPpcntMjr*(VLOOKUP($A70,FY16ProjRev0!$A$4:$I$24,9,FALSE))*VLOOKUP($A70,FY16ProjMjrs!$A$3:$S$23,MATCH(R$28,FY16ProjMjrs!$A$2:$S$2,0),FALSE)</f>
        <v>0</v>
      </c>
      <c r="S70" s="410">
        <f>+GPpcntMjr*(VLOOKUP($A70,FY16ProjRev0!$A$4:$I$24,9,FALSE))*VLOOKUP($A70,FY16ProjMjrs!$A$3:$S$23,MATCH(S$28,FY16ProjMjrs!$A$2:$S$2,0),FALSE)</f>
        <v>0</v>
      </c>
      <c r="T70" s="410">
        <f t="shared" si="6"/>
        <v>5364883.7008960107</v>
      </c>
    </row>
    <row r="71" spans="1:20" ht="20.100000000000001" customHeight="1">
      <c r="A71" s="404" t="s">
        <v>162</v>
      </c>
      <c r="B71" s="456" t="s">
        <v>76</v>
      </c>
      <c r="C71" s="457">
        <f>+GPpcntMjr*(VLOOKUP($A71,FY16ProjRev0!$A$4:$I$24,9,FALSE))*VLOOKUP($A71,FY16ProjMjrs!$A$3:$S$23,MATCH(C$28,FY16ProjMjrs!$A$2:$S$2,0),FALSE)</f>
        <v>0</v>
      </c>
      <c r="D71" s="457">
        <f>+GPpcntMjr*(VLOOKUP($A71,FY16ProjRev0!$A$4:$I$24,9,FALSE))*VLOOKUP($A71,FY16ProjMjrs!$A$3:$S$23,MATCH(D$28,FY16ProjMjrs!$A$2:$S$2,0),FALSE)</f>
        <v>0</v>
      </c>
      <c r="E71" s="457">
        <f>+GPpcntMjr*(VLOOKUP($A71,FY16ProjRev0!$A$4:$I$24,9,FALSE))*VLOOKUP($A71,FY16ProjMjrs!$A$3:$S$23,MATCH(E$28,FY16ProjMjrs!$A$2:$S$2,0),FALSE)</f>
        <v>0</v>
      </c>
      <c r="F71" s="457">
        <f>+GPpcntMjr*(VLOOKUP($A71,FY16ProjRev0!$A$4:$I$24,9,FALSE))*VLOOKUP($A71,FY16ProjMjrs!$A$3:$S$23,MATCH(F$28,FY16ProjMjrs!$A$2:$S$2,0),FALSE)</f>
        <v>0</v>
      </c>
      <c r="G71" s="457">
        <f>+GPpcntMjr*(VLOOKUP($A71,FY16ProjRev0!$A$4:$I$24,9,FALSE))*VLOOKUP($A71,FY16ProjMjrs!$A$3:$S$23,MATCH(G$28,FY16ProjMjrs!$A$2:$S$2,0),FALSE)</f>
        <v>28869.063175729199</v>
      </c>
      <c r="H71" s="457">
        <f>+GPpcntMjr*(VLOOKUP($A71,FY16ProjRev0!$A$4:$I$24,9,FALSE))*VLOOKUP($A71,FY16ProjMjrs!$A$3:$S$23,MATCH(H$28,FY16ProjMjrs!$A$2:$S$2,0),FALSE)</f>
        <v>0</v>
      </c>
      <c r="I71" s="457">
        <f>+GPpcntMjr*(VLOOKUP($A71,FY16ProjRev0!$A$4:$I$24,9,FALSE))*VLOOKUP($A71,FY16ProjMjrs!$A$3:$S$23,MATCH(I$28,FY16ProjMjrs!$A$2:$S$2,0),FALSE)</f>
        <v>0</v>
      </c>
      <c r="J71" s="457">
        <f>+GPpcntMjr*(VLOOKUP($A71,FY16ProjRev0!$A$4:$I$24,9,FALSE))*VLOOKUP($A71,FY16ProjMjrs!$A$3:$S$23,MATCH(J$28,FY16ProjMjrs!$A$2:$S$2,0),FALSE)</f>
        <v>0</v>
      </c>
      <c r="K71" s="457">
        <f>+GPpcntMjr*(VLOOKUP($A71,FY16ProjRev0!$A$4:$I$24,9,FALSE))*VLOOKUP($A71,FY16ProjMjrs!$A$3:$S$23,MATCH(K$28,FY16ProjMjrs!$A$2:$S$2,0),FALSE)</f>
        <v>0</v>
      </c>
      <c r="L71" s="457">
        <f>+GPpcntMjr*(VLOOKUP($A71,FY16ProjRev0!$A$4:$I$24,9,FALSE))*VLOOKUP($A71,FY16ProjMjrs!$A$3:$S$23,MATCH(L$28,FY16ProjMjrs!$A$2:$S$2,0),FALSE)</f>
        <v>0</v>
      </c>
      <c r="M71" s="457">
        <f>+GPpcntMjr*(VLOOKUP($A71,FY16ProjRev0!$A$4:$I$24,9,FALSE))*VLOOKUP($A71,FY16ProjMjrs!$A$3:$S$23,MATCH(M$28,FY16ProjMjrs!$A$2:$S$2,0),FALSE)</f>
        <v>0</v>
      </c>
      <c r="N71" s="457">
        <f>+GPpcntMjr*(VLOOKUP($A71,FY16ProjRev0!$A$4:$I$24,9,FALSE))*VLOOKUP($A71,FY16ProjMjrs!$A$3:$S$23,MATCH(N$28,FY16ProjMjrs!$A$2:$S$2,0),FALSE)</f>
        <v>11374410.891237304</v>
      </c>
      <c r="O71" s="457">
        <f>+GPpcntMjr*(VLOOKUP($A71,FY16ProjRev0!$A$4:$I$24,9,FALSE))*VLOOKUP($A71,FY16ProjMjrs!$A$3:$S$23,MATCH(O$28,FY16ProjMjrs!$A$2:$S$2,0),FALSE)</f>
        <v>0</v>
      </c>
      <c r="P71" s="457">
        <f>+GPpcntMjr*(VLOOKUP($A71,FY16ProjRev0!$A$4:$I$24,9,FALSE))*VLOOKUP($A71,FY16ProjMjrs!$A$3:$S$23,MATCH(P$28,FY16ProjMjrs!$A$2:$S$2,0),FALSE)</f>
        <v>0</v>
      </c>
      <c r="Q71" s="457">
        <f>+GPpcntMjr*(VLOOKUP($A71,FY16ProjRev0!$A$4:$I$24,9,FALSE))*VLOOKUP($A71,FY16ProjMjrs!$A$3:$S$23,MATCH(Q$28,FY16ProjMjrs!$A$2:$S$2,0),FALSE)</f>
        <v>178025.88958366337</v>
      </c>
      <c r="R71" s="457">
        <f>+GPpcntMjr*(VLOOKUP($A71,FY16ProjRev0!$A$4:$I$24,9,FALSE))*VLOOKUP($A71,FY16ProjMjrs!$A$3:$S$23,MATCH(R$28,FY16ProjMjrs!$A$2:$S$2,0),FALSE)</f>
        <v>0</v>
      </c>
      <c r="S71" s="457">
        <f>+GPpcntMjr*(VLOOKUP($A71,FY16ProjRev0!$A$4:$I$24,9,FALSE))*VLOOKUP($A71,FY16ProjMjrs!$A$3:$S$23,MATCH(S$28,FY16ProjMjrs!$A$2:$S$2,0),FALSE)</f>
        <v>76984.168468611213</v>
      </c>
      <c r="T71" s="457">
        <f t="shared" si="6"/>
        <v>11658290.012465307</v>
      </c>
    </row>
    <row r="72" spans="1:20" s="18" customFormat="1" ht="20.100000000000001" customHeight="1">
      <c r="A72" s="404" t="s">
        <v>156</v>
      </c>
      <c r="B72" s="440" t="s">
        <v>77</v>
      </c>
      <c r="C72" s="410">
        <f>+GPpcntMjr*(VLOOKUP($A72,FY16ProjRev0!$A$4:$I$24,9,FALSE))*VLOOKUP($A72,FY16ProjMjrs!$A$3:$S$23,MATCH(C$28,FY16ProjMjrs!$A$2:$S$2,0),FALSE)</f>
        <v>0</v>
      </c>
      <c r="D72" s="410">
        <f>+GPpcntMjr*(VLOOKUP($A72,FY16ProjRev0!$A$4:$I$24,9,FALSE))*VLOOKUP($A72,FY16ProjMjrs!$A$3:$S$23,MATCH(D$28,FY16ProjMjrs!$A$2:$S$2,0),FALSE)</f>
        <v>0</v>
      </c>
      <c r="E72" s="410">
        <f>+GPpcntMjr*(VLOOKUP($A72,FY16ProjRev0!$A$4:$I$24,9,FALSE))*VLOOKUP($A72,FY16ProjMjrs!$A$3:$S$23,MATCH(E$28,FY16ProjMjrs!$A$2:$S$2,0),FALSE)</f>
        <v>0</v>
      </c>
      <c r="F72" s="410">
        <f>+GPpcntMjr*(VLOOKUP($A72,FY16ProjRev0!$A$4:$I$24,9,FALSE))*VLOOKUP($A72,FY16ProjMjrs!$A$3:$S$23,MATCH(F$28,FY16ProjMjrs!$A$2:$S$2,0),FALSE)</f>
        <v>0</v>
      </c>
      <c r="G72" s="410">
        <f>+GPpcntMjr*(VLOOKUP($A72,FY16ProjRev0!$A$4:$I$24,9,FALSE))*VLOOKUP($A72,FY16ProjMjrs!$A$3:$S$23,MATCH(G$28,FY16ProjMjrs!$A$2:$S$2,0),FALSE)</f>
        <v>0</v>
      </c>
      <c r="H72" s="410">
        <f>+GPpcntMjr*(VLOOKUP($A72,FY16ProjRev0!$A$4:$I$24,9,FALSE))*VLOOKUP($A72,FY16ProjMjrs!$A$3:$S$23,MATCH(H$28,FY16ProjMjrs!$A$2:$S$2,0),FALSE)</f>
        <v>0</v>
      </c>
      <c r="I72" s="410">
        <f>+GPpcntMjr*(VLOOKUP($A72,FY16ProjRev0!$A$4:$I$24,9,FALSE))*VLOOKUP($A72,FY16ProjMjrs!$A$3:$S$23,MATCH(I$28,FY16ProjMjrs!$A$2:$S$2,0),FALSE)</f>
        <v>0</v>
      </c>
      <c r="J72" s="410">
        <f>+GPpcntMjr*(VLOOKUP($A72,FY16ProjRev0!$A$4:$I$24,9,FALSE))*VLOOKUP($A72,FY16ProjMjrs!$A$3:$S$23,MATCH(J$28,FY16ProjMjrs!$A$2:$S$2,0),FALSE)</f>
        <v>0</v>
      </c>
      <c r="K72" s="410">
        <f>+GPpcntMjr*(VLOOKUP($A72,FY16ProjRev0!$A$4:$I$24,9,FALSE))*VLOOKUP($A72,FY16ProjMjrs!$A$3:$S$23,MATCH(K$28,FY16ProjMjrs!$A$2:$S$2,0),FALSE)</f>
        <v>0</v>
      </c>
      <c r="L72" s="410">
        <f>+GPpcntMjr*(VLOOKUP($A72,FY16ProjRev0!$A$4:$I$24,9,FALSE))*VLOOKUP($A72,FY16ProjMjrs!$A$3:$S$23,MATCH(L$28,FY16ProjMjrs!$A$2:$S$2,0),FALSE)</f>
        <v>0</v>
      </c>
      <c r="M72" s="410">
        <f>+GPpcntMjr*(VLOOKUP($A72,FY16ProjRev0!$A$4:$I$24,9,FALSE))*VLOOKUP($A72,FY16ProjMjrs!$A$3:$S$23,MATCH(M$28,FY16ProjMjrs!$A$2:$S$2,0),FALSE)</f>
        <v>4998180.0225727139</v>
      </c>
      <c r="N72" s="410">
        <f>+GPpcntMjr*(VLOOKUP($A72,FY16ProjRev0!$A$4:$I$24,9,FALSE))*VLOOKUP($A72,FY16ProjMjrs!$A$3:$S$23,MATCH(N$28,FY16ProjMjrs!$A$2:$S$2,0),FALSE)</f>
        <v>0</v>
      </c>
      <c r="O72" s="410">
        <f>+GPpcntMjr*(VLOOKUP($A72,FY16ProjRev0!$A$4:$I$24,9,FALSE))*VLOOKUP($A72,FY16ProjMjrs!$A$3:$S$23,MATCH(O$28,FY16ProjMjrs!$A$2:$S$2,0),FALSE)</f>
        <v>0</v>
      </c>
      <c r="P72" s="410">
        <f>+GPpcntMjr*(VLOOKUP($A72,FY16ProjRev0!$A$4:$I$24,9,FALSE))*VLOOKUP($A72,FY16ProjMjrs!$A$3:$S$23,MATCH(P$28,FY16ProjMjrs!$A$2:$S$2,0),FALSE)</f>
        <v>0</v>
      </c>
      <c r="Q72" s="410">
        <f>+GPpcntMjr*(VLOOKUP($A72,FY16ProjRev0!$A$4:$I$24,9,FALSE))*VLOOKUP($A72,FY16ProjMjrs!$A$3:$S$23,MATCH(Q$28,FY16ProjMjrs!$A$2:$S$2,0),FALSE)</f>
        <v>0</v>
      </c>
      <c r="R72" s="410">
        <f>+GPpcntMjr*(VLOOKUP($A72,FY16ProjRev0!$A$4:$I$24,9,FALSE))*VLOOKUP($A72,FY16ProjMjrs!$A$3:$S$23,MATCH(R$28,FY16ProjMjrs!$A$2:$S$2,0),FALSE)</f>
        <v>0</v>
      </c>
      <c r="S72" s="410">
        <f>+GPpcntMjr*(VLOOKUP($A72,FY16ProjRev0!$A$4:$I$24,9,FALSE))*VLOOKUP($A72,FY16ProjMjrs!$A$3:$S$23,MATCH(S$28,FY16ProjMjrs!$A$2:$S$2,0),FALSE)</f>
        <v>0</v>
      </c>
      <c r="T72" s="410">
        <f t="shared" si="6"/>
        <v>4998180.0225727139</v>
      </c>
    </row>
    <row r="73" spans="1:20" ht="20.100000000000001" customHeight="1">
      <c r="A73" s="406" t="s">
        <v>163</v>
      </c>
      <c r="B73" s="458" t="s">
        <v>164</v>
      </c>
      <c r="C73" s="457">
        <f>+GPpcntMjr*(VLOOKUP($A73,FY16ProjRev0!$A$4:$I$24,9,FALSE))*VLOOKUP($A73,FY16ProjMjrs!$A$3:$S$23,MATCH(C$28,FY16ProjMjrs!$A$2:$S$2,0),FALSE)</f>
        <v>0</v>
      </c>
      <c r="D73" s="457">
        <f>+GPpcntMjr*(VLOOKUP($A73,FY16ProjRev0!$A$4:$I$24,9,FALSE))*VLOOKUP($A73,FY16ProjMjrs!$A$3:$S$23,MATCH(D$28,FY16ProjMjrs!$A$2:$S$2,0),FALSE)</f>
        <v>0</v>
      </c>
      <c r="E73" s="457">
        <f>+GPpcntMjr*(VLOOKUP($A73,FY16ProjRev0!$A$4:$I$24,9,FALSE))*VLOOKUP($A73,FY16ProjMjrs!$A$3:$S$23,MATCH(E$28,FY16ProjMjrs!$A$2:$S$2,0),FALSE)</f>
        <v>0</v>
      </c>
      <c r="F73" s="457">
        <f>+GPpcntMjr*(VLOOKUP($A73,FY16ProjRev0!$A$4:$I$24,9,FALSE))*VLOOKUP($A73,FY16ProjMjrs!$A$3:$S$23,MATCH(F$28,FY16ProjMjrs!$A$2:$S$2,0),FALSE)</f>
        <v>0</v>
      </c>
      <c r="G73" s="457">
        <f>+GPpcntMjr*(VLOOKUP($A73,FY16ProjRev0!$A$4:$I$24,9,FALSE))*VLOOKUP($A73,FY16ProjMjrs!$A$3:$S$23,MATCH(G$28,FY16ProjMjrs!$A$2:$S$2,0),FALSE)</f>
        <v>0</v>
      </c>
      <c r="H73" s="457">
        <f>+GPpcntMjr*(VLOOKUP($A73,FY16ProjRev0!$A$4:$I$24,9,FALSE))*VLOOKUP($A73,FY16ProjMjrs!$A$3:$S$23,MATCH(H$28,FY16ProjMjrs!$A$2:$S$2,0),FALSE)</f>
        <v>0</v>
      </c>
      <c r="I73" s="457">
        <f>+GPpcntMjr*(VLOOKUP($A73,FY16ProjRev0!$A$4:$I$24,9,FALSE))*VLOOKUP($A73,FY16ProjMjrs!$A$3:$S$23,MATCH(I$28,FY16ProjMjrs!$A$2:$S$2,0),FALSE)</f>
        <v>0</v>
      </c>
      <c r="J73" s="457">
        <f>+GPpcntMjr*(VLOOKUP($A73,FY16ProjRev0!$A$4:$I$24,9,FALSE))*VLOOKUP($A73,FY16ProjMjrs!$A$3:$S$23,MATCH(J$28,FY16ProjMjrs!$A$2:$S$2,0),FALSE)</f>
        <v>0</v>
      </c>
      <c r="K73" s="457">
        <f>+GPpcntMjr*(VLOOKUP($A73,FY16ProjRev0!$A$4:$I$24,9,FALSE))*VLOOKUP($A73,FY16ProjMjrs!$A$3:$S$23,MATCH(K$28,FY16ProjMjrs!$A$2:$S$2,0),FALSE)</f>
        <v>0</v>
      </c>
      <c r="L73" s="457">
        <f>+GPpcntMjr*(VLOOKUP($A73,FY16ProjRev0!$A$4:$I$24,9,FALSE))*VLOOKUP($A73,FY16ProjMjrs!$A$3:$S$23,MATCH(L$28,FY16ProjMjrs!$A$2:$S$2,0),FALSE)</f>
        <v>0</v>
      </c>
      <c r="M73" s="457">
        <f>+GPpcntMjr*(VLOOKUP($A73,FY16ProjRev0!$A$4:$I$24,9,FALSE))*VLOOKUP($A73,FY16ProjMjrs!$A$3:$S$23,MATCH(M$28,FY16ProjMjrs!$A$2:$S$2,0),FALSE)</f>
        <v>717471.14057255432</v>
      </c>
      <c r="N73" s="457">
        <f>+GPpcntMjr*(VLOOKUP($A73,FY16ProjRev0!$A$4:$I$24,9,FALSE))*VLOOKUP($A73,FY16ProjMjrs!$A$3:$S$23,MATCH(N$28,FY16ProjMjrs!$A$2:$S$2,0),FALSE)</f>
        <v>0</v>
      </c>
      <c r="O73" s="457">
        <f>+GPpcntMjr*(VLOOKUP($A73,FY16ProjRev0!$A$4:$I$24,9,FALSE))*VLOOKUP($A73,FY16ProjMjrs!$A$3:$S$23,MATCH(O$28,FY16ProjMjrs!$A$2:$S$2,0),FALSE)</f>
        <v>0</v>
      </c>
      <c r="P73" s="457">
        <f>+GPpcntMjr*(VLOOKUP($A73,FY16ProjRev0!$A$4:$I$24,9,FALSE))*VLOOKUP($A73,FY16ProjMjrs!$A$3:$S$23,MATCH(P$28,FY16ProjMjrs!$A$2:$S$2,0),FALSE)</f>
        <v>0</v>
      </c>
      <c r="Q73" s="457">
        <f>+GPpcntMjr*(VLOOKUP($A73,FY16ProjRev0!$A$4:$I$24,9,FALSE))*VLOOKUP($A73,FY16ProjMjrs!$A$3:$S$23,MATCH(Q$28,FY16ProjMjrs!$A$2:$S$2,0),FALSE)</f>
        <v>0</v>
      </c>
      <c r="R73" s="457">
        <f>+GPpcntMjr*(VLOOKUP($A73,FY16ProjRev0!$A$4:$I$24,9,FALSE))*VLOOKUP($A73,FY16ProjMjrs!$A$3:$S$23,MATCH(R$28,FY16ProjMjrs!$A$2:$S$2,0),FALSE)</f>
        <v>0</v>
      </c>
      <c r="S73" s="457">
        <f>+GPpcntMjr*(VLOOKUP($A73,FY16ProjRev0!$A$4:$I$24,9,FALSE))*VLOOKUP($A73,FY16ProjMjrs!$A$3:$S$23,MATCH(S$28,FY16ProjMjrs!$A$2:$S$2,0),FALSE)</f>
        <v>0</v>
      </c>
      <c r="T73" s="457">
        <f t="shared" si="6"/>
        <v>717471.14057255432</v>
      </c>
    </row>
    <row r="74" spans="1:20" ht="20.100000000000001" customHeight="1">
      <c r="B74" s="459" t="s">
        <v>17</v>
      </c>
      <c r="C74" s="460">
        <f t="shared" ref="C74:S74" si="7">SUM(C53:C73)</f>
        <v>5138404.3544136444</v>
      </c>
      <c r="D74" s="460">
        <f t="shared" si="7"/>
        <v>80191216.129517332</v>
      </c>
      <c r="E74" s="460">
        <f t="shared" si="7"/>
        <v>16539191.640637778</v>
      </c>
      <c r="F74" s="460">
        <f t="shared" si="7"/>
        <v>4977614.074942694</v>
      </c>
      <c r="G74" s="460">
        <f t="shared" si="7"/>
        <v>20349842.603521362</v>
      </c>
      <c r="H74" s="460">
        <f t="shared" si="7"/>
        <v>6870307.9205909586</v>
      </c>
      <c r="I74" s="460">
        <f t="shared" si="7"/>
        <v>1542288.6810009836</v>
      </c>
      <c r="J74" s="460">
        <f t="shared" si="7"/>
        <v>8900917.4992405679</v>
      </c>
      <c r="K74" s="460">
        <f t="shared" si="7"/>
        <v>3248595.1123368754</v>
      </c>
      <c r="L74" s="460">
        <f t="shared" si="7"/>
        <v>3137285.5090053426</v>
      </c>
      <c r="M74" s="460">
        <f t="shared" si="7"/>
        <v>5717390.2499601766</v>
      </c>
      <c r="N74" s="460">
        <f t="shared" si="7"/>
        <v>16753790.546757234</v>
      </c>
      <c r="O74" s="460">
        <f t="shared" si="7"/>
        <v>3154148.4216005402</v>
      </c>
      <c r="P74" s="460">
        <f t="shared" si="7"/>
        <v>5634884.2646406647</v>
      </c>
      <c r="Q74" s="460">
        <f t="shared" si="7"/>
        <v>5409594.8100415152</v>
      </c>
      <c r="R74" s="460">
        <f t="shared" si="7"/>
        <v>172516.78537270962</v>
      </c>
      <c r="S74" s="460">
        <f t="shared" si="7"/>
        <v>1048923.8175284229</v>
      </c>
      <c r="T74" s="460">
        <f t="shared" si="6"/>
        <v>188786912.42110881</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B1" workbookViewId="0">
      <selection activeCell="C43" sqref="C43"/>
    </sheetView>
  </sheetViews>
  <sheetFormatPr defaultColWidth="8.85546875" defaultRowHeight="15"/>
  <cols>
    <col min="1" max="1" width="6.28515625" style="32" hidden="1" customWidth="1"/>
    <col min="2" max="2" width="47.7109375" style="32" customWidth="1"/>
    <col min="3" max="4" width="15.85546875" style="32" customWidth="1"/>
    <col min="5" max="6" width="14.7109375" style="32" customWidth="1"/>
    <col min="7" max="8" width="18.140625" style="32" customWidth="1"/>
    <col min="9" max="9" width="18.7109375" style="32" customWidth="1"/>
    <col min="10" max="10" width="21.85546875" style="32" customWidth="1"/>
    <col min="11" max="11" width="14.42578125" style="25" bestFit="1" customWidth="1"/>
    <col min="12" max="12" width="15.42578125" style="32" bestFit="1" customWidth="1"/>
    <col min="13" max="13" width="14.85546875" style="153" bestFit="1" customWidth="1"/>
    <col min="14" max="16384" width="8.85546875" style="32"/>
  </cols>
  <sheetData>
    <row r="1" spans="1:13" ht="28.5" customHeight="1">
      <c r="B1" s="635" t="s">
        <v>424</v>
      </c>
      <c r="C1" s="635"/>
      <c r="D1" s="636"/>
      <c r="E1" s="635"/>
      <c r="F1" s="635"/>
      <c r="G1" s="635"/>
      <c r="H1" s="636"/>
      <c r="I1" s="635"/>
    </row>
    <row r="2" spans="1:13" s="2" customFormat="1" ht="30">
      <c r="B2" s="215" t="s">
        <v>103</v>
      </c>
      <c r="C2" s="215" t="s">
        <v>124</v>
      </c>
      <c r="D2" s="216" t="s">
        <v>199</v>
      </c>
      <c r="E2" s="217" t="s">
        <v>170</v>
      </c>
      <c r="F2" s="217" t="s">
        <v>176</v>
      </c>
      <c r="G2" s="217" t="s">
        <v>171</v>
      </c>
      <c r="H2" s="217" t="s">
        <v>281</v>
      </c>
      <c r="I2" s="218" t="s">
        <v>81</v>
      </c>
      <c r="M2" s="168"/>
    </row>
    <row r="3" spans="1:13" s="2" customFormat="1" ht="15" customHeight="1">
      <c r="B3" s="248"/>
      <c r="C3" s="249"/>
      <c r="D3" s="250"/>
      <c r="E3" s="251"/>
      <c r="F3" s="251"/>
      <c r="G3" s="251"/>
      <c r="H3" s="265">
        <v>0.01</v>
      </c>
      <c r="I3" s="252"/>
      <c r="K3"/>
      <c r="L3"/>
      <c r="M3"/>
    </row>
    <row r="4" spans="1:13" ht="15.95" customHeight="1">
      <c r="A4" s="32" t="s">
        <v>128</v>
      </c>
      <c r="B4" s="220" t="s">
        <v>21</v>
      </c>
      <c r="C4" s="227">
        <v>27216.738749455024</v>
      </c>
      <c r="D4" s="228">
        <v>433206389.78507447</v>
      </c>
      <c r="E4" s="473">
        <v>13883000</v>
      </c>
      <c r="F4" s="473">
        <v>9000000</v>
      </c>
      <c r="G4" s="473">
        <f>+D4-E4-F4</f>
        <v>410323389.78507447</v>
      </c>
      <c r="H4" s="473">
        <f>+(1-$H$3)*G4</f>
        <v>406220155.88722372</v>
      </c>
      <c r="I4" s="230">
        <f>+H4*0.7</f>
        <v>284354109.12105656</v>
      </c>
      <c r="K4"/>
      <c r="L4"/>
      <c r="M4"/>
    </row>
    <row r="5" spans="1:13" ht="15.95" customHeight="1">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59"/>
      <c r="K5"/>
      <c r="L5"/>
      <c r="M5"/>
    </row>
    <row r="6" spans="1:13" ht="15.95" customHeight="1">
      <c r="A6" s="32" t="s">
        <v>140</v>
      </c>
      <c r="B6" s="222" t="s">
        <v>36</v>
      </c>
      <c r="C6" s="231">
        <v>157.23888888812041</v>
      </c>
      <c r="D6" s="232">
        <v>1644503.2254840855</v>
      </c>
      <c r="E6" s="474"/>
      <c r="F6" s="474"/>
      <c r="G6" s="474">
        <f t="shared" si="0"/>
        <v>1644503.2254840855</v>
      </c>
      <c r="H6" s="565">
        <f t="shared" si="1"/>
        <v>1628058.1932292446</v>
      </c>
      <c r="I6" s="234">
        <f t="shared" si="2"/>
        <v>1139640.735260471</v>
      </c>
      <c r="K6"/>
      <c r="L6"/>
      <c r="M6"/>
    </row>
    <row r="7" spans="1:13" ht="15.95" customHeight="1">
      <c r="A7" s="32" t="s">
        <v>130</v>
      </c>
      <c r="B7" s="222" t="s">
        <v>37</v>
      </c>
      <c r="C7" s="231">
        <v>1165.6444444296301</v>
      </c>
      <c r="D7" s="232">
        <v>11946795.723354323</v>
      </c>
      <c r="E7" s="474"/>
      <c r="F7" s="474"/>
      <c r="G7" s="474">
        <f t="shared" si="0"/>
        <v>11946795.723354323</v>
      </c>
      <c r="H7" s="565">
        <f t="shared" si="1"/>
        <v>11827327.76612078</v>
      </c>
      <c r="I7" s="234">
        <f t="shared" si="2"/>
        <v>8279129.4362845458</v>
      </c>
      <c r="K7"/>
      <c r="L7"/>
      <c r="M7"/>
    </row>
    <row r="8" spans="1:13" ht="15.95" customHeight="1">
      <c r="A8" s="32" t="s">
        <v>131</v>
      </c>
      <c r="B8" s="222" t="s">
        <v>141</v>
      </c>
      <c r="C8" s="231">
        <v>523.99999999573902</v>
      </c>
      <c r="D8" s="232">
        <v>5214281.0042557828</v>
      </c>
      <c r="E8" s="474"/>
      <c r="F8" s="474"/>
      <c r="G8" s="474">
        <f t="shared" si="0"/>
        <v>5214281.0042557828</v>
      </c>
      <c r="H8" s="565">
        <f t="shared" si="1"/>
        <v>5162138.1942132246</v>
      </c>
      <c r="I8" s="234">
        <f t="shared" si="2"/>
        <v>3613496.7359492569</v>
      </c>
      <c r="K8"/>
      <c r="L8"/>
      <c r="M8"/>
    </row>
    <row r="9" spans="1:13" ht="15.95" customHeight="1">
      <c r="A9" s="32" t="s">
        <v>132</v>
      </c>
      <c r="B9" s="222" t="s">
        <v>206</v>
      </c>
      <c r="C9" s="231">
        <v>654.72222221887398</v>
      </c>
      <c r="D9" s="232">
        <v>6445284.0474700388</v>
      </c>
      <c r="E9" s="474"/>
      <c r="F9" s="474"/>
      <c r="G9" s="474">
        <f t="shared" si="0"/>
        <v>6445284.0474700388</v>
      </c>
      <c r="H9" s="565">
        <f t="shared" si="1"/>
        <v>6380831.2069953382</v>
      </c>
      <c r="I9" s="234">
        <f t="shared" si="2"/>
        <v>4466581.8448967366</v>
      </c>
      <c r="K9"/>
      <c r="L9"/>
      <c r="M9"/>
    </row>
    <row r="10" spans="1:13" ht="15.95" customHeight="1">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K10"/>
      <c r="L10"/>
      <c r="M10"/>
    </row>
    <row r="11" spans="1:13" ht="15.95" customHeight="1">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K11"/>
      <c r="L11"/>
      <c r="M11"/>
    </row>
    <row r="12" spans="1:13" ht="15.95" customHeight="1">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K12"/>
      <c r="L12"/>
      <c r="M12"/>
    </row>
    <row r="13" spans="1:13" ht="15.95" customHeight="1">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K13"/>
      <c r="L13"/>
      <c r="M13"/>
    </row>
    <row r="14" spans="1:13" ht="15.95" customHeight="1">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K14"/>
      <c r="L14"/>
      <c r="M14"/>
    </row>
    <row r="15" spans="1:13" ht="15.95" customHeight="1">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K15"/>
      <c r="L15"/>
      <c r="M15"/>
    </row>
    <row r="16" spans="1:13" ht="15.95" customHeight="1">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K16"/>
      <c r="L16"/>
      <c r="M16"/>
    </row>
    <row r="17" spans="1:13" ht="15.95" customHeight="1">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K17"/>
      <c r="L17"/>
      <c r="M17"/>
    </row>
    <row r="18" spans="1:13">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K18"/>
      <c r="L18"/>
      <c r="M18"/>
    </row>
    <row r="19" spans="1:13">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K19"/>
      <c r="L19"/>
      <c r="M19"/>
    </row>
    <row r="20" spans="1:13">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K20"/>
      <c r="L20"/>
      <c r="M20"/>
    </row>
    <row r="21" spans="1:13">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K21"/>
      <c r="L21"/>
      <c r="M21"/>
    </row>
    <row r="22" spans="1:13">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K22"/>
      <c r="L22"/>
      <c r="M22"/>
    </row>
    <row r="23" spans="1:13">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K23"/>
      <c r="L23"/>
      <c r="M23"/>
    </row>
    <row r="24" spans="1:13">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10" t="s">
        <v>335</v>
      </c>
      <c r="K24"/>
      <c r="L24"/>
      <c r="M24"/>
    </row>
    <row r="25" spans="1:13">
      <c r="B25" s="223" t="s">
        <v>106</v>
      </c>
      <c r="C25" s="236">
        <f t="shared" ref="C25:I25" si="3">SUM(C4:C24)</f>
        <v>38343.072082705301</v>
      </c>
      <c r="D25" s="191">
        <f t="shared" si="3"/>
        <v>568569428.69684601</v>
      </c>
      <c r="E25" s="191">
        <f>SUM(E4:E24)</f>
        <v>13883000</v>
      </c>
      <c r="F25" s="191">
        <f t="shared" si="3"/>
        <v>9000000</v>
      </c>
      <c r="G25" s="191">
        <f t="shared" si="3"/>
        <v>545686428.69684613</v>
      </c>
      <c r="H25" s="191">
        <f>SUM(H4:H24)</f>
        <v>540229564.40987766</v>
      </c>
      <c r="I25" s="552">
        <f t="shared" si="3"/>
        <v>378160695.08691424</v>
      </c>
      <c r="J25" s="606">
        <f>+H25-I25</f>
        <v>162068869.32296342</v>
      </c>
      <c r="K25"/>
      <c r="L25"/>
      <c r="M25"/>
    </row>
    <row r="26" spans="1:13">
      <c r="B26" s="224" t="s">
        <v>107</v>
      </c>
      <c r="C26" s="246">
        <v>4700.2414598625101</v>
      </c>
      <c r="D26" s="228">
        <v>57420969.03430935</v>
      </c>
      <c r="E26" s="238">
        <v>2926000</v>
      </c>
      <c r="F26" s="239"/>
      <c r="G26" s="239">
        <f>+D26-E26-F26</f>
        <v>54494969.03430935</v>
      </c>
      <c r="H26" s="239">
        <f t="shared" si="1"/>
        <v>53950019.343966253</v>
      </c>
      <c r="I26" s="240"/>
      <c r="K26"/>
      <c r="L26"/>
      <c r="M26"/>
    </row>
    <row r="27" spans="1:13">
      <c r="B27" s="225" t="s">
        <v>108</v>
      </c>
      <c r="C27" s="247">
        <v>4114.5833952965304</v>
      </c>
      <c r="D27" s="235">
        <v>48399604.557428584</v>
      </c>
      <c r="E27" s="241">
        <v>2510000</v>
      </c>
      <c r="F27" s="242"/>
      <c r="G27" s="242">
        <f>+D27-E27-F27</f>
        <v>45889604.557428584</v>
      </c>
      <c r="H27" s="242">
        <f t="shared" si="1"/>
        <v>45430708.511854298</v>
      </c>
      <c r="I27" s="243"/>
      <c r="K27"/>
      <c r="L27"/>
      <c r="M27"/>
    </row>
    <row r="28" spans="1:13">
      <c r="B28" s="226" t="s">
        <v>109</v>
      </c>
      <c r="C28" s="244">
        <f t="shared" ref="C28:H28" si="4">SUM(C25:C27)</f>
        <v>47157.896937864345</v>
      </c>
      <c r="D28" s="193">
        <f t="shared" si="4"/>
        <v>674390002.28858399</v>
      </c>
      <c r="E28" s="193">
        <f t="shared" si="4"/>
        <v>19319000</v>
      </c>
      <c r="F28" s="191">
        <f t="shared" si="4"/>
        <v>9000000</v>
      </c>
      <c r="G28" s="193">
        <f t="shared" si="4"/>
        <v>646071002.28858411</v>
      </c>
      <c r="H28" s="193">
        <f t="shared" si="4"/>
        <v>639610292.26569819</v>
      </c>
      <c r="I28" s="245"/>
      <c r="K28"/>
      <c r="L28"/>
      <c r="M28"/>
    </row>
    <row r="29" spans="1:13">
      <c r="B29" s="208"/>
      <c r="C29" s="209"/>
      <c r="D29" s="210"/>
      <c r="E29" s="210"/>
      <c r="F29" s="211"/>
      <c r="G29" s="210"/>
      <c r="H29" s="210"/>
      <c r="I29" s="32" t="s">
        <v>277</v>
      </c>
      <c r="K29"/>
      <c r="L29"/>
      <c r="M29"/>
    </row>
    <row r="30" spans="1:13">
      <c r="B30" s="208"/>
      <c r="C30" s="212"/>
      <c r="D30" s="214"/>
      <c r="E30" s="210"/>
      <c r="F30" s="211"/>
      <c r="G30" s="210"/>
      <c r="H30" s="210"/>
      <c r="I30" s="210" t="s">
        <v>17</v>
      </c>
      <c r="K30"/>
      <c r="L30"/>
      <c r="M30"/>
    </row>
    <row r="31" spans="1:13">
      <c r="B31" s="208"/>
      <c r="C31" s="496"/>
      <c r="D31" s="214"/>
      <c r="E31" s="210"/>
      <c r="F31" s="211"/>
      <c r="G31" s="210"/>
      <c r="H31" s="210">
        <f>+H26-FY15Revenue!G26</f>
        <v>4344398.3439662531</v>
      </c>
      <c r="I31" s="59"/>
      <c r="K31"/>
      <c r="L31"/>
      <c r="M31"/>
    </row>
    <row r="32" spans="1:13">
      <c r="B32"/>
      <c r="C32"/>
      <c r="D32"/>
      <c r="E32"/>
      <c r="G32" s="210"/>
      <c r="H32" s="210">
        <f>+H27-FY15Revenue!G27</f>
        <v>2224856.5118542984</v>
      </c>
      <c r="I32" s="10"/>
      <c r="K32"/>
      <c r="L32"/>
      <c r="M32"/>
    </row>
    <row r="33" spans="2:13" ht="15" customHeight="1">
      <c r="B33"/>
      <c r="C33"/>
      <c r="D33"/>
      <c r="E33"/>
      <c r="K33"/>
      <c r="L33"/>
      <c r="M33"/>
    </row>
    <row r="34" spans="2:13">
      <c r="B34"/>
      <c r="C34"/>
      <c r="D34"/>
      <c r="E34"/>
      <c r="K34"/>
      <c r="L34"/>
      <c r="M34"/>
    </row>
    <row r="35" spans="2:13">
      <c r="B35"/>
      <c r="C35"/>
      <c r="D35"/>
      <c r="E35"/>
      <c r="K35"/>
      <c r="L35"/>
      <c r="M35"/>
    </row>
    <row r="36" spans="2:13">
      <c r="B36"/>
      <c r="C36"/>
      <c r="D36"/>
      <c r="E36"/>
      <c r="K36"/>
      <c r="L36"/>
      <c r="M36"/>
    </row>
    <row r="37" spans="2:13">
      <c r="B37"/>
      <c r="C37"/>
      <c r="D37"/>
      <c r="E37"/>
      <c r="K37"/>
      <c r="L37"/>
      <c r="M37"/>
    </row>
    <row r="38" spans="2:13">
      <c r="B38"/>
      <c r="C38"/>
      <c r="D38"/>
      <c r="E38"/>
      <c r="K38"/>
      <c r="L38"/>
      <c r="M38"/>
    </row>
    <row r="39" spans="2:13">
      <c r="B39"/>
      <c r="C39"/>
      <c r="D39"/>
      <c r="E39"/>
      <c r="K39"/>
      <c r="L39"/>
      <c r="M39"/>
    </row>
    <row r="40" spans="2:13">
      <c r="B40"/>
      <c r="C40"/>
      <c r="D40"/>
      <c r="E40"/>
      <c r="K40"/>
      <c r="L40"/>
      <c r="M40"/>
    </row>
    <row r="41" spans="2:13">
      <c r="K41"/>
      <c r="L41"/>
      <c r="M41"/>
    </row>
    <row r="42" spans="2:13">
      <c r="K42"/>
      <c r="L42"/>
      <c r="M42"/>
    </row>
    <row r="43" spans="2:13">
      <c r="K43"/>
      <c r="L43"/>
      <c r="M43"/>
    </row>
    <row r="68" spans="3:9">
      <c r="C68" s="25"/>
      <c r="D68" s="25"/>
      <c r="E68" s="25"/>
      <c r="F68" s="25"/>
      <c r="G68" s="25"/>
      <c r="H68" s="25"/>
      <c r="I68" s="25"/>
    </row>
  </sheetData>
  <mergeCells count="1">
    <mergeCell ref="B1:I1"/>
  </mergeCells>
  <pageMargins left="0.7" right="0.7" top="0.75" bottom="0.75" header="0.3" footer="0.3"/>
  <pageSetup scale="68" orientation="landscape"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B1" workbookViewId="0">
      <selection activeCell="B1" sqref="A1:XFD1048576"/>
    </sheetView>
  </sheetViews>
  <sheetFormatPr defaultColWidth="8.85546875" defaultRowHeight="18" customHeight="1"/>
  <cols>
    <col min="1" max="1" width="9.140625" style="32" hidden="1" customWidth="1"/>
    <col min="2" max="2" width="28.42578125" style="32" customWidth="1"/>
    <col min="3" max="3" width="16" style="32" customWidth="1"/>
    <col min="4" max="14" width="16" style="564" customWidth="1"/>
    <col min="15" max="20" width="16" style="32" customWidth="1"/>
    <col min="21" max="21" width="12.7109375" style="32" customWidth="1"/>
    <col min="22" max="16384" width="8.85546875" style="32"/>
  </cols>
  <sheetData>
    <row r="1" spans="1:21" s="315" customFormat="1" ht="33.75" customHeight="1">
      <c r="B1" s="499" t="s">
        <v>282</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282</v>
      </c>
      <c r="S2" s="317">
        <v>266</v>
      </c>
      <c r="T2" s="318"/>
      <c r="U2" s="268"/>
    </row>
    <row r="3" spans="1:21" s="6" customFormat="1" ht="18" customHeight="1">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c r="C48" s="7"/>
      <c r="D48" s="7"/>
      <c r="E48" s="7"/>
      <c r="F48" s="7"/>
      <c r="G48" s="7"/>
      <c r="H48" s="7"/>
      <c r="I48" s="7"/>
      <c r="J48" s="7"/>
      <c r="K48" s="7"/>
      <c r="L48" s="7"/>
      <c r="M48" s="7"/>
      <c r="N48" s="7"/>
      <c r="O48" s="7"/>
      <c r="P48" s="7"/>
      <c r="Q48" s="7"/>
      <c r="R48" s="7"/>
      <c r="S48" s="7"/>
    </row>
    <row r="49" spans="1:20" ht="39" customHeight="1">
      <c r="A49" s="640" t="s">
        <v>278</v>
      </c>
      <c r="B49" s="641"/>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54" si="6">SUM(C50:S50)</f>
        <v>29368.5</v>
      </c>
    </row>
    <row r="51" spans="1:20" ht="18" customHeight="1">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SUM(C55:S55)</f>
        <v>-1056</v>
      </c>
    </row>
    <row r="56" spans="1:20" ht="18" customHeight="1">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ref="T56:T59" si="7">SUM(C56:S56)</f>
        <v>12</v>
      </c>
    </row>
    <row r="57" spans="1:20" ht="18" customHeight="1">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7"/>
        <v>801</v>
      </c>
    </row>
    <row r="58" spans="1:20" ht="18" customHeight="1">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7"/>
        <v>-251.5</v>
      </c>
    </row>
    <row r="59" spans="1:20" ht="18" customHeight="1">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7"/>
        <v>-353.5</v>
      </c>
    </row>
    <row r="60" spans="1:20" ht="18" customHeight="1">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SUM(C60:S60)</f>
        <v>83</v>
      </c>
    </row>
    <row r="61" spans="1:20" ht="18" customHeight="1">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SUM(C61:S61)</f>
        <v>1161</v>
      </c>
    </row>
    <row r="62" spans="1:20" ht="18" customHeight="1">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ref="T62:T64" si="8">SUM(C62:S62)</f>
        <v>-237</v>
      </c>
    </row>
    <row r="63" spans="1:20" ht="18" customHeight="1">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8"/>
        <v>676</v>
      </c>
    </row>
    <row r="64" spans="1:20" ht="18" customHeight="1">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8"/>
        <v>-414</v>
      </c>
    </row>
    <row r="65" spans="1:20" ht="18" customHeight="1">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SUM(C65:S65)</f>
        <v>55</v>
      </c>
    </row>
    <row r="66" spans="1:20" ht="18" customHeight="1">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ref="T66:T70" si="9">SUM(C66:S66)</f>
        <v>-121</v>
      </c>
    </row>
    <row r="67" spans="1:20" ht="18" customHeight="1">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9"/>
        <v>-229</v>
      </c>
    </row>
    <row r="68" spans="1:20" ht="18" customHeight="1">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9"/>
        <v>2110.5</v>
      </c>
    </row>
    <row r="69" spans="1:20" ht="18" customHeight="1">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9"/>
        <v>3</v>
      </c>
    </row>
    <row r="70" spans="1:20" ht="18" customHeight="1">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9"/>
        <v>-333</v>
      </c>
    </row>
    <row r="71" spans="1:20" ht="18" customHeight="1">
      <c r="A71" s="339"/>
      <c r="B71" s="467" t="s">
        <v>17</v>
      </c>
      <c r="C71" s="468">
        <f t="shared" ref="C71:T71" si="10">SUM(C50:C70)</f>
        <v>2670</v>
      </c>
      <c r="D71" s="469">
        <f t="shared" si="10"/>
        <v>6352</v>
      </c>
      <c r="E71" s="468">
        <f t="shared" si="10"/>
        <v>184</v>
      </c>
      <c r="F71" s="468">
        <f t="shared" si="10"/>
        <v>-460</v>
      </c>
      <c r="G71" s="469">
        <f t="shared" si="10"/>
        <v>11312</v>
      </c>
      <c r="H71" s="468">
        <f t="shared" si="10"/>
        <v>-1717</v>
      </c>
      <c r="I71" s="468">
        <f t="shared" si="10"/>
        <v>2910</v>
      </c>
      <c r="J71" s="468">
        <f t="shared" si="10"/>
        <v>266</v>
      </c>
      <c r="K71" s="468">
        <f t="shared" si="10"/>
        <v>193</v>
      </c>
      <c r="L71" s="468">
        <f t="shared" si="10"/>
        <v>544</v>
      </c>
      <c r="M71" s="468">
        <f t="shared" si="10"/>
        <v>-264</v>
      </c>
      <c r="N71" s="469">
        <f t="shared" si="10"/>
        <v>4966</v>
      </c>
      <c r="O71" s="468">
        <f t="shared" si="10"/>
        <v>693</v>
      </c>
      <c r="P71" s="468">
        <f t="shared" si="10"/>
        <v>146</v>
      </c>
      <c r="Q71" s="468">
        <f t="shared" si="10"/>
        <v>4968</v>
      </c>
      <c r="R71" s="468">
        <f t="shared" si="10"/>
        <v>1061</v>
      </c>
      <c r="S71" s="468">
        <f t="shared" si="10"/>
        <v>-1938</v>
      </c>
      <c r="T71" s="342">
        <f t="shared" si="10"/>
        <v>31886</v>
      </c>
    </row>
    <row r="73" spans="1:20" ht="21" customHeight="1">
      <c r="A73" s="640" t="s">
        <v>279</v>
      </c>
      <c r="B73" s="641"/>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row>
    <row r="74" spans="1:20" ht="18" customHeight="1">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row>
    <row r="75" spans="1:20" ht="18" customHeight="1">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row>
    <row r="76" spans="1:20" ht="18" customHeight="1">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row>
    <row r="77" spans="1:20" ht="18" customHeight="1">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row>
    <row r="78" spans="1:20" ht="18" customHeight="1">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row>
    <row r="79" spans="1:20" ht="18" customHeight="1">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row>
    <row r="80" spans="1:20" ht="18" customHeight="1">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row>
    <row r="81" spans="1:19" ht="18" customHeight="1">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row>
    <row r="82" spans="1:19" ht="18" customHeight="1">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row>
    <row r="83" spans="1:19" ht="18" customHeight="1">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row>
    <row r="84" spans="1:19" ht="18" customHeight="1">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row>
    <row r="85" spans="1:19" ht="18" customHeight="1">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row>
    <row r="86" spans="1:19" ht="18" customHeight="1">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row>
    <row r="87" spans="1:19" ht="18" customHeight="1">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row>
    <row r="88" spans="1:19" ht="18" customHeight="1">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row>
    <row r="89" spans="1:19" ht="18" customHeight="1">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row>
    <row r="90" spans="1:19" ht="18" customHeight="1">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row>
    <row r="91" spans="1:19" ht="18" customHeight="1">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row>
    <row r="92" spans="1:19" ht="18" customHeight="1">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row>
    <row r="93" spans="1:19" ht="18" customHeight="1">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row>
    <row r="94" spans="1:19" ht="18" customHeight="1">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B40" zoomScale="90" zoomScaleNormal="90" zoomScalePageLayoutView="90" workbookViewId="0">
      <selection activeCell="C50" sqref="C50"/>
    </sheetView>
  </sheetViews>
  <sheetFormatPr defaultColWidth="8.85546875" defaultRowHeight="50.25" customHeight="1"/>
  <cols>
    <col min="1" max="1" width="8.42578125" style="502" hidden="1" customWidth="1"/>
    <col min="2" max="2" width="52.140625" style="502" customWidth="1"/>
    <col min="3" max="19" width="25" style="502" customWidth="1"/>
    <col min="20" max="20" width="18.140625" style="502" customWidth="1"/>
    <col min="21" max="21" width="13.7109375" style="502" customWidth="1"/>
    <col min="22" max="16384" width="8.85546875" style="502"/>
  </cols>
  <sheetData>
    <row r="1" spans="1:38" ht="74.25" customHeight="1">
      <c r="A1" s="637" t="s">
        <v>283</v>
      </c>
      <c r="B1" s="638"/>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c r="V2" s="32"/>
      <c r="W2" s="32"/>
      <c r="X2" s="32"/>
      <c r="Y2" s="32"/>
      <c r="Z2" s="32"/>
      <c r="AA2" s="32"/>
      <c r="AB2" s="32"/>
      <c r="AC2" s="32"/>
      <c r="AD2" s="32"/>
      <c r="AE2" s="32"/>
      <c r="AF2" s="32"/>
      <c r="AG2" s="32"/>
      <c r="AH2" s="32"/>
      <c r="AI2" s="32"/>
      <c r="AJ2" s="32"/>
      <c r="AK2" s="32"/>
      <c r="AL2" s="32"/>
    </row>
    <row r="3" spans="1:38" s="507" customFormat="1" ht="24" customHeight="1">
      <c r="A3" s="505" t="s">
        <v>128</v>
      </c>
      <c r="B3" s="533" t="s">
        <v>173</v>
      </c>
      <c r="C3" s="506">
        <f>+C26/$T26</f>
        <v>1.3067320032668301E-2</v>
      </c>
      <c r="D3" s="506">
        <f t="shared" ref="D3:T3" si="0">+D26/$T26</f>
        <v>0.63761521409403799</v>
      </c>
      <c r="E3" s="506">
        <f t="shared" si="0"/>
        <v>0.10967215027418037</v>
      </c>
      <c r="F3" s="506">
        <f t="shared" si="0"/>
        <v>1.1783922529459806E-2</v>
      </c>
      <c r="G3" s="506">
        <f t="shared" si="0"/>
        <v>0.11410570528526426</v>
      </c>
      <c r="H3" s="506">
        <f t="shared" si="0"/>
        <v>3.441838758604597E-2</v>
      </c>
      <c r="I3" s="506">
        <f t="shared" si="0"/>
        <v>1.1667250029168125E-2</v>
      </c>
      <c r="J3" s="506">
        <f t="shared" si="0"/>
        <v>0</v>
      </c>
      <c r="K3" s="506">
        <f t="shared" si="0"/>
        <v>0</v>
      </c>
      <c r="L3" s="506">
        <f t="shared" si="0"/>
        <v>4.7835725119589317E-3</v>
      </c>
      <c r="M3" s="506">
        <f t="shared" si="0"/>
        <v>0</v>
      </c>
      <c r="N3" s="506">
        <f t="shared" si="0"/>
        <v>2.3917862559794657E-2</v>
      </c>
      <c r="O3" s="506">
        <f t="shared" si="0"/>
        <v>1.6567495041418738E-2</v>
      </c>
      <c r="P3" s="506">
        <f t="shared" si="0"/>
        <v>0</v>
      </c>
      <c r="Q3" s="506">
        <f t="shared" si="0"/>
        <v>2.0884377552210943E-2</v>
      </c>
      <c r="R3" s="506">
        <f t="shared" si="0"/>
        <v>1.5167425037918563E-3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s="32"/>
      <c r="W4" s="32"/>
      <c r="X4" s="32"/>
      <c r="Y4" s="32"/>
      <c r="Z4" s="32"/>
      <c r="AA4" s="32"/>
      <c r="AB4" s="32"/>
      <c r="AC4" s="32"/>
      <c r="AD4" s="32"/>
      <c r="AE4" s="32"/>
      <c r="AF4" s="32"/>
      <c r="AG4" s="32"/>
      <c r="AH4" s="32"/>
      <c r="AI4" s="32"/>
      <c r="AJ4" s="32"/>
      <c r="AK4" s="32"/>
      <c r="AL4" s="32"/>
    </row>
    <row r="5" spans="1:38" s="507" customFormat="1" ht="24" customHeight="1">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s="32"/>
      <c r="W6" s="32"/>
      <c r="X6" s="32"/>
      <c r="Y6" s="32"/>
      <c r="Z6" s="32"/>
      <c r="AA6" s="32"/>
      <c r="AB6" s="32"/>
      <c r="AC6" s="32"/>
      <c r="AD6" s="32"/>
      <c r="AE6" s="32"/>
      <c r="AF6" s="32"/>
      <c r="AG6" s="32"/>
      <c r="AH6" s="32"/>
      <c r="AI6" s="32"/>
      <c r="AJ6" s="32"/>
      <c r="AK6" s="32"/>
      <c r="AL6" s="32"/>
    </row>
    <row r="7" spans="1:38" s="507" customFormat="1" ht="24" customHeight="1">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c r="B24" s="537"/>
    </row>
    <row r="25" spans="1:21" ht="60" customHeight="1">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c r="A26" s="505" t="s">
        <v>128</v>
      </c>
      <c r="B26" s="533" t="s">
        <v>173</v>
      </c>
      <c r="C26" s="515">
        <v>112</v>
      </c>
      <c r="D26" s="515">
        <f>5665-200</f>
        <v>5465</v>
      </c>
      <c r="E26" s="515">
        <f>890+50</f>
        <v>940</v>
      </c>
      <c r="F26" s="515">
        <v>101</v>
      </c>
      <c r="G26" s="515">
        <f>928+50</f>
        <v>978</v>
      </c>
      <c r="H26" s="515">
        <v>295</v>
      </c>
      <c r="I26" s="515">
        <v>100</v>
      </c>
      <c r="J26" s="515"/>
      <c r="K26" s="515"/>
      <c r="L26" s="515">
        <v>41</v>
      </c>
      <c r="M26" s="515"/>
      <c r="N26" s="515">
        <v>205</v>
      </c>
      <c r="O26" s="515">
        <v>142</v>
      </c>
      <c r="P26" s="515"/>
      <c r="Q26" s="515">
        <v>179</v>
      </c>
      <c r="R26" s="515">
        <v>13</v>
      </c>
      <c r="S26" s="515">
        <v>0</v>
      </c>
      <c r="T26" s="517">
        <f>SUM(C26:S26)</f>
        <v>8571</v>
      </c>
      <c r="U26" s="32"/>
    </row>
    <row r="27" spans="1:21" s="507" customFormat="1" ht="24" customHeight="1">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s="32"/>
    </row>
    <row r="28" spans="1:21" s="507" customFormat="1" ht="24" customHeight="1">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s="32"/>
    </row>
    <row r="30" spans="1:21" s="507" customFormat="1" ht="24" customHeight="1">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s="32"/>
    </row>
    <row r="31" spans="1:21" s="507" customFormat="1" ht="24" customHeight="1">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s="32"/>
    </row>
    <row r="34" spans="1:21" s="507" customFormat="1" ht="24" customHeight="1">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s="32"/>
    </row>
    <row r="37" spans="1:21" s="507" customFormat="1" ht="24" customHeight="1">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s="32"/>
    </row>
    <row r="40" spans="1:21" s="507" customFormat="1" ht="24" customHeight="1">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s="32"/>
    </row>
    <row r="47" spans="1:21" ht="24" customHeight="1">
      <c r="B47" s="539" t="s">
        <v>17</v>
      </c>
      <c r="C47" s="524">
        <f t="shared" ref="C47:T47" si="5">SUM(C26:C46)</f>
        <v>493.00000000000006</v>
      </c>
      <c r="D47" s="525">
        <f t="shared" si="5"/>
        <v>7465.6666666666679</v>
      </c>
      <c r="E47" s="524">
        <f t="shared" si="5"/>
        <v>1261.6666666666667</v>
      </c>
      <c r="F47" s="524">
        <f t="shared" si="5"/>
        <v>689.66666666666663</v>
      </c>
      <c r="G47" s="525">
        <f t="shared" si="5"/>
        <v>2187.333333333333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17838.333333333339</v>
      </c>
      <c r="U47" s="32"/>
    </row>
    <row r="48" spans="1:21" ht="43.5" customHeight="1">
      <c r="U48" s="32"/>
    </row>
    <row r="49" spans="2:20" ht="42" customHeight="1">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c r="B50" s="533" t="s">
        <v>173</v>
      </c>
      <c r="C50" s="515">
        <f>+C26-FY15ProjMajors!C26</f>
        <v>-22</v>
      </c>
      <c r="D50" s="515">
        <f>+D26-FY15ProjMajors!D26</f>
        <v>-599</v>
      </c>
      <c r="E50" s="515">
        <f>+E26-FY15ProjMajors!E26</f>
        <v>125</v>
      </c>
      <c r="F50" s="515">
        <f>+F26-FY15ProjMajors!F26</f>
        <v>22</v>
      </c>
      <c r="G50" s="515">
        <f>+G26-FY15ProjMajors!G26</f>
        <v>134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-248</v>
      </c>
    </row>
    <row r="51" spans="2:20" ht="24" customHeight="1">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c r="B71" s="539" t="s">
        <v>17</v>
      </c>
      <c r="C71" s="524">
        <f t="shared" ref="C71:S71" si="7">SUM(C50:C70)</f>
        <v>-21.666666666666689</v>
      </c>
      <c r="D71" s="525">
        <f t="shared" si="7"/>
        <v>-674.33333333333246</v>
      </c>
      <c r="E71" s="524">
        <f t="shared" si="7"/>
        <v>136.66666666666666</v>
      </c>
      <c r="F71" s="524">
        <f t="shared" si="7"/>
        <v>10.999999999999959</v>
      </c>
      <c r="G71" s="525">
        <f t="shared" si="7"/>
        <v>218.66666666666634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 t="shared" ref="T71" si="8">SUM(T50:T70)</f>
        <v>-301.33333333333292</v>
      </c>
    </row>
    <row r="72" spans="2:20" s="32" customFormat="1" ht="50.25" customHeight="1"/>
    <row r="73" spans="2:20" s="32" customFormat="1" ht="50.25" customHeight="1">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s="32" customFormat="1" ht="24" customHeight="1">
      <c r="B74" s="533" t="s">
        <v>173</v>
      </c>
      <c r="C74" s="506">
        <f>+C3-FY15ProjMajors!C3</f>
        <v>-2.1271464601313357E-3</v>
      </c>
      <c r="D74" s="506">
        <f>+D3-FY15ProjMajors!D3</f>
        <v>-4.9991090475641098E-2</v>
      </c>
      <c r="E74" s="506">
        <f>+E3-FY15ProjMajors!E3</f>
        <v>1.7258044366481082E-2</v>
      </c>
      <c r="F74" s="506">
        <f>+F3-FY15ProjMajors!F3</f>
        <v>2.8259907911674827E-3</v>
      </c>
      <c r="G74" s="506">
        <f>+G3-FY15ProjMajors!G3</f>
        <v>1.8403244688824746E-2</v>
      </c>
      <c r="H74" s="506">
        <f>+H3-FY15ProjMajors!H3</f>
        <v>2.4419730265721057E-3</v>
      </c>
      <c r="I74" s="506">
        <f>+I3-FY15ProjMajors!I3</f>
        <v>-4.6564485687337551E-4</v>
      </c>
      <c r="J74" s="506">
        <f>+J3-FY15ProjMajors!J3</f>
        <v>0</v>
      </c>
      <c r="K74" s="506">
        <f>+K3-FY15ProjMajors!K3</f>
        <v>0</v>
      </c>
      <c r="L74" s="506">
        <f>+L3-FY15ProjMajors!L3</f>
        <v>-9.2263750655877282E-5</v>
      </c>
      <c r="M74" s="506">
        <f>+M3-FY15ProjMajors!M3</f>
        <v>0</v>
      </c>
      <c r="N74" s="506">
        <f>+N3-FY15ProjMajors!N3</f>
        <v>6.6823483291562624E-3</v>
      </c>
      <c r="O74" s="506">
        <f>+O3-FY15ProjMajors!O3</f>
        <v>1.3730285486191016E-3</v>
      </c>
      <c r="P74" s="506">
        <f>+P3-FY15ProjMajors!P3</f>
        <v>0</v>
      </c>
      <c r="Q74" s="506">
        <f>+Q3-FY15ProjMajors!Q3</f>
        <v>9.091657289142567E-3</v>
      </c>
      <c r="R74" s="506">
        <f>+R3-FY15ProjMajors!R3</f>
        <v>2.6943555289039357E-4</v>
      </c>
      <c r="S74" s="506">
        <f>+S3-FY15ProjMajors!S3</f>
        <v>-5.6695770495521032E-3</v>
      </c>
    </row>
    <row r="75" spans="2:20" s="32" customFormat="1" ht="24" customHeight="1">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s="32" customFormat="1" ht="24" customHeight="1">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s="32" customFormat="1" ht="24" customHeight="1">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s="32" customFormat="1" ht="24" customHeight="1">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s="32" customFormat="1" ht="24" customHeight="1">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s="32" customFormat="1" ht="24" customHeight="1">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s="32" customFormat="1" ht="24" customHeight="1">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s="32" customFormat="1" ht="24" customHeight="1">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s="32" customFormat="1" ht="24" customHeight="1">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s="32" customFormat="1" ht="24" customHeight="1">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s="32" customFormat="1" ht="24" customHeight="1">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s="32" customFormat="1" ht="24" customHeight="1">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s="32" customFormat="1" ht="24" customHeight="1">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2" sqref="B2"/>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423</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-36447.913859186461</v>
      </c>
      <c r="D5" s="413">
        <f t="shared" si="0"/>
        <v>672161.20313484967</v>
      </c>
      <c r="E5" s="413">
        <f t="shared" si="0"/>
        <v>-179112.80072528496</v>
      </c>
      <c r="F5" s="413">
        <f t="shared" si="0"/>
        <v>-26777.203574293759</v>
      </c>
      <c r="G5" s="413">
        <f t="shared" si="0"/>
        <v>-214520.8937115781</v>
      </c>
      <c r="H5" s="413">
        <f t="shared" si="0"/>
        <v>-46347.364406881854</v>
      </c>
      <c r="I5" s="413">
        <f t="shared" si="0"/>
        <v>-26708.899119490292</v>
      </c>
      <c r="J5" s="413">
        <f t="shared" si="0"/>
        <v>-586.10099265907775</v>
      </c>
      <c r="K5" s="413">
        <f t="shared" si="0"/>
        <v>-172.67564656244576</v>
      </c>
      <c r="L5" s="413">
        <f t="shared" si="0"/>
        <v>-8404.1394464527257</v>
      </c>
      <c r="M5" s="413">
        <f t="shared" si="0"/>
        <v>-58.942167816991059</v>
      </c>
      <c r="N5" s="413">
        <f t="shared" si="0"/>
        <v>703545.09413463529</v>
      </c>
      <c r="O5" s="413">
        <f t="shared" si="0"/>
        <v>-26928.609354990302</v>
      </c>
      <c r="P5" s="413">
        <f t="shared" si="0"/>
        <v>-339.54009348096588</v>
      </c>
      <c r="Q5" s="413">
        <f t="shared" si="0"/>
        <v>-39718.452753902879</v>
      </c>
      <c r="R5" s="413">
        <f t="shared" si="0"/>
        <v>-15366.976910984144</v>
      </c>
      <c r="S5" s="413">
        <f t="shared" si="0"/>
        <v>-754215.78450591187</v>
      </c>
      <c r="T5" s="413">
        <f t="shared" ref="T5:T26" si="1">SUM(C5:S5)</f>
        <v>8.149072527885437E-9</v>
      </c>
      <c r="X5" s="495"/>
    </row>
    <row r="6" spans="1:24" ht="20.100000000000001" customHeight="1">
      <c r="A6" s="401" t="s">
        <v>129</v>
      </c>
      <c r="B6" s="408" t="s">
        <v>35</v>
      </c>
      <c r="C6" s="410">
        <f t="shared" si="0"/>
        <v>-554.78430106057203</v>
      </c>
      <c r="D6" s="410">
        <f t="shared" si="0"/>
        <v>-7237.1333398115821</v>
      </c>
      <c r="E6" s="410">
        <f t="shared" si="0"/>
        <v>-1272.9728973407109</v>
      </c>
      <c r="F6" s="410">
        <f t="shared" si="0"/>
        <v>-436.01869014127624</v>
      </c>
      <c r="G6" s="410">
        <f t="shared" si="0"/>
        <v>-2923.6496595687495</v>
      </c>
      <c r="H6" s="410">
        <f t="shared" si="0"/>
        <v>-480.17784424180718</v>
      </c>
      <c r="I6" s="410">
        <f t="shared" si="0"/>
        <v>-885.68397842739796</v>
      </c>
      <c r="J6" s="410">
        <f t="shared" si="0"/>
        <v>-183.32956341258978</v>
      </c>
      <c r="K6" s="410">
        <f t="shared" si="0"/>
        <v>-290.88323290315202</v>
      </c>
      <c r="L6" s="410">
        <f t="shared" si="0"/>
        <v>-99.524082010208303</v>
      </c>
      <c r="M6" s="410">
        <f t="shared" si="0"/>
        <v>-0.96035568848361308</v>
      </c>
      <c r="N6" s="410">
        <f t="shared" si="0"/>
        <v>17246.6200553503</v>
      </c>
      <c r="O6" s="410">
        <f t="shared" si="0"/>
        <v>-10.818449077627292</v>
      </c>
      <c r="P6" s="410">
        <f t="shared" si="0"/>
        <v>-1029.0831352249152</v>
      </c>
      <c r="Q6" s="410">
        <f t="shared" si="0"/>
        <v>-875.13856871287817</v>
      </c>
      <c r="R6" s="410">
        <f t="shared" si="0"/>
        <v>-4.8017784424180832</v>
      </c>
      <c r="S6" s="410">
        <f t="shared" si="0"/>
        <v>-961.66017928777728</v>
      </c>
      <c r="T6" s="410">
        <f t="shared" si="1"/>
        <v>-1.8446826288709417E-9</v>
      </c>
      <c r="W6" s="497"/>
      <c r="X6" s="495"/>
    </row>
    <row r="7" spans="1:24" ht="20.100000000000001" customHeight="1">
      <c r="A7" s="401" t="s">
        <v>140</v>
      </c>
      <c r="B7" s="414" t="s">
        <v>36</v>
      </c>
      <c r="C7" s="415">
        <f t="shared" si="0"/>
        <v>0</v>
      </c>
      <c r="D7" s="415">
        <f t="shared" si="0"/>
        <v>-216.67584203889965</v>
      </c>
      <c r="E7" s="415">
        <f t="shared" si="0"/>
        <v>0</v>
      </c>
      <c r="F7" s="415">
        <f t="shared" si="0"/>
        <v>-25.886051925001311</v>
      </c>
      <c r="G7" s="415">
        <f t="shared" si="0"/>
        <v>-0.95874266388893403</v>
      </c>
      <c r="H7" s="415">
        <f t="shared" si="0"/>
        <v>0</v>
      </c>
      <c r="I7" s="415">
        <f t="shared" si="0"/>
        <v>-3.8349706555557361</v>
      </c>
      <c r="J7" s="415">
        <f t="shared" si="0"/>
        <v>-5.7524559833336752</v>
      </c>
      <c r="K7" s="415">
        <f t="shared" si="0"/>
        <v>-3.8349706555557361</v>
      </c>
      <c r="L7" s="415">
        <f t="shared" si="0"/>
        <v>-676.87232070558821</v>
      </c>
      <c r="M7" s="415">
        <f t="shared" si="0"/>
        <v>0</v>
      </c>
      <c r="N7" s="415">
        <f t="shared" si="0"/>
        <v>995.17488511672127</v>
      </c>
      <c r="O7" s="415">
        <f t="shared" si="0"/>
        <v>0</v>
      </c>
      <c r="P7" s="415">
        <f t="shared" si="0"/>
        <v>-3.8349706555557361</v>
      </c>
      <c r="Q7" s="415">
        <f t="shared" si="0"/>
        <v>-54.64833184166946</v>
      </c>
      <c r="R7" s="415">
        <f t="shared" si="0"/>
        <v>0</v>
      </c>
      <c r="S7" s="415">
        <f t="shared" si="0"/>
        <v>-2.8762279916668376</v>
      </c>
      <c r="T7" s="415">
        <f t="shared" si="1"/>
        <v>5.9969806898152456E-12</v>
      </c>
    </row>
    <row r="8" spans="1:24" ht="20.100000000000001" customHeight="1">
      <c r="A8" s="401" t="s">
        <v>130</v>
      </c>
      <c r="B8" s="408" t="s">
        <v>37</v>
      </c>
      <c r="C8" s="410">
        <f t="shared" si="0"/>
        <v>-37.058795118483431</v>
      </c>
      <c r="D8" s="410">
        <f t="shared" si="0"/>
        <v>2358.3499743200009</v>
      </c>
      <c r="E8" s="410">
        <f t="shared" si="0"/>
        <v>20.40497688299547</v>
      </c>
      <c r="F8" s="410">
        <f t="shared" si="0"/>
        <v>22.108730860762989</v>
      </c>
      <c r="G8" s="410">
        <f t="shared" si="0"/>
        <v>17101.763474199688</v>
      </c>
      <c r="H8" s="410">
        <f t="shared" si="0"/>
        <v>-51.788090569145425</v>
      </c>
      <c r="I8" s="410">
        <f t="shared" si="0"/>
        <v>-14.886333111880504</v>
      </c>
      <c r="J8" s="410">
        <f t="shared" si="0"/>
        <v>44.676744557362326</v>
      </c>
      <c r="K8" s="410">
        <f t="shared" si="0"/>
        <v>-3.7215832779701259</v>
      </c>
      <c r="L8" s="410">
        <f t="shared" si="0"/>
        <v>-5.117177007208852</v>
      </c>
      <c r="M8" s="410">
        <f t="shared" si="0"/>
        <v>0</v>
      </c>
      <c r="N8" s="410">
        <f t="shared" si="0"/>
        <v>3273.8376788053647</v>
      </c>
      <c r="O8" s="410">
        <f t="shared" si="0"/>
        <v>1278.2831378769915</v>
      </c>
      <c r="P8" s="410">
        <f t="shared" si="0"/>
        <v>-2.791187458477566</v>
      </c>
      <c r="Q8" s="410">
        <f t="shared" si="0"/>
        <v>150.02766056030669</v>
      </c>
      <c r="R8" s="410">
        <f t="shared" si="0"/>
        <v>0</v>
      </c>
      <c r="S8" s="410">
        <f t="shared" si="0"/>
        <v>-24134.089211520113</v>
      </c>
      <c r="T8" s="410">
        <f t="shared" si="1"/>
        <v>1.9281287677586079E-10</v>
      </c>
    </row>
    <row r="9" spans="1:24" ht="20.100000000000001" customHeight="1">
      <c r="A9" s="416" t="s">
        <v>131</v>
      </c>
      <c r="B9" s="414" t="s">
        <v>141</v>
      </c>
      <c r="C9" s="415">
        <f t="shared" si="0"/>
        <v>-0.38018371548560026</v>
      </c>
      <c r="D9" s="415">
        <f t="shared" si="0"/>
        <v>417.8219033186615</v>
      </c>
      <c r="E9" s="415">
        <f t="shared" si="0"/>
        <v>-0.70605547161608229</v>
      </c>
      <c r="F9" s="415">
        <f t="shared" si="0"/>
        <v>-0.40733969516315938</v>
      </c>
      <c r="G9" s="415">
        <f t="shared" si="0"/>
        <v>-2.87853384581922</v>
      </c>
      <c r="H9" s="415">
        <f t="shared" si="0"/>
        <v>-405.68318040261511</v>
      </c>
      <c r="I9" s="415">
        <f t="shared" si="0"/>
        <v>0</v>
      </c>
      <c r="J9" s="415">
        <f t="shared" si="0"/>
        <v>-0.67889949193840948</v>
      </c>
      <c r="K9" s="415">
        <f t="shared" si="0"/>
        <v>-4.1277089109853478</v>
      </c>
      <c r="L9" s="415">
        <f t="shared" si="0"/>
        <v>0</v>
      </c>
      <c r="M9" s="415">
        <f t="shared" si="0"/>
        <v>0</v>
      </c>
      <c r="N9" s="415">
        <f t="shared" si="0"/>
        <v>-0.84183537000376418</v>
      </c>
      <c r="O9" s="415">
        <f t="shared" si="0"/>
        <v>0</v>
      </c>
      <c r="P9" s="415">
        <f t="shared" si="0"/>
        <v>0</v>
      </c>
      <c r="Q9" s="415">
        <f t="shared" si="0"/>
        <v>-0.95045928871400065</v>
      </c>
      <c r="R9" s="415">
        <f t="shared" si="0"/>
        <v>-8.1467939032620507E-2</v>
      </c>
      <c r="S9" s="415">
        <f t="shared" si="0"/>
        <v>-1.0862391871019099</v>
      </c>
      <c r="T9" s="415">
        <f t="shared" si="1"/>
        <v>1.8627588360686786E-10</v>
      </c>
    </row>
    <row r="10" spans="1:24" ht="20.100000000000001" customHeight="1">
      <c r="A10" s="401" t="s">
        <v>132</v>
      </c>
      <c r="B10" s="408" t="s">
        <v>206</v>
      </c>
      <c r="C10" s="410">
        <f t="shared" si="0"/>
        <v>0</v>
      </c>
      <c r="D10" s="410">
        <f t="shared" si="0"/>
        <v>635.85407677705734</v>
      </c>
      <c r="E10" s="410">
        <f t="shared" si="0"/>
        <v>-0.15935693161921449</v>
      </c>
      <c r="F10" s="410">
        <f t="shared" si="0"/>
        <v>-751.64680721482728</v>
      </c>
      <c r="G10" s="410">
        <f t="shared" si="0"/>
        <v>-0.27887463033357562</v>
      </c>
      <c r="H10" s="410">
        <f t="shared" si="0"/>
        <v>-3.4261740298129553</v>
      </c>
      <c r="I10" s="410">
        <f t="shared" si="0"/>
        <v>-0.67726695938165449</v>
      </c>
      <c r="J10" s="410">
        <f t="shared" si="0"/>
        <v>0</v>
      </c>
      <c r="K10" s="410">
        <f t="shared" si="0"/>
        <v>-5.2587787434331403</v>
      </c>
      <c r="L10" s="410">
        <f t="shared" si="0"/>
        <v>-2.4301932071930423</v>
      </c>
      <c r="M10" s="410">
        <f t="shared" si="0"/>
        <v>0</v>
      </c>
      <c r="N10" s="410">
        <f t="shared" si="0"/>
        <v>-1.075659288429506</v>
      </c>
      <c r="O10" s="410">
        <f t="shared" si="0"/>
        <v>-0.39839232904796518</v>
      </c>
      <c r="P10" s="410">
        <f t="shared" si="0"/>
        <v>0</v>
      </c>
      <c r="Q10" s="410">
        <f t="shared" si="0"/>
        <v>-1.4342123845726746</v>
      </c>
      <c r="R10" s="410">
        <f t="shared" si="0"/>
        <v>0</v>
      </c>
      <c r="S10" s="410">
        <f t="shared" si="0"/>
        <v>130.93163894162512</v>
      </c>
      <c r="T10" s="410">
        <f t="shared" si="1"/>
        <v>3.149125404888764E-11</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c r="A12" s="401" t="s">
        <v>135</v>
      </c>
      <c r="B12" s="408" t="s">
        <v>70</v>
      </c>
      <c r="C12" s="410">
        <f t="shared" si="0"/>
        <v>-5.6393816860946799E-2</v>
      </c>
      <c r="D12" s="410">
        <f t="shared" si="0"/>
        <v>287.69305671609709</v>
      </c>
      <c r="E12" s="410">
        <f t="shared" si="0"/>
        <v>0</v>
      </c>
      <c r="F12" s="410">
        <f t="shared" si="0"/>
        <v>-0.42295362645700152</v>
      </c>
      <c r="G12" s="410">
        <f t="shared" si="0"/>
        <v>0</v>
      </c>
      <c r="H12" s="410">
        <f t="shared" si="0"/>
        <v>-8.4590725291405988E-2</v>
      </c>
      <c r="I12" s="410">
        <f t="shared" si="0"/>
        <v>0</v>
      </c>
      <c r="J12" s="410">
        <f t="shared" si="0"/>
        <v>0</v>
      </c>
      <c r="K12" s="410">
        <f t="shared" si="0"/>
        <v>-0.90230106977514879</v>
      </c>
      <c r="L12" s="410">
        <f t="shared" si="0"/>
        <v>-277.513972772751</v>
      </c>
      <c r="M12" s="410">
        <f t="shared" si="0"/>
        <v>0</v>
      </c>
      <c r="N12" s="410">
        <f t="shared" si="0"/>
        <v>-3.3554321032261214</v>
      </c>
      <c r="O12" s="410">
        <f t="shared" si="0"/>
        <v>-5.6393816860946799E-2</v>
      </c>
      <c r="P12" s="410">
        <f t="shared" si="0"/>
        <v>0</v>
      </c>
      <c r="Q12" s="410">
        <f t="shared" si="0"/>
        <v>-5.3010187849286012</v>
      </c>
      <c r="R12" s="410">
        <f t="shared" si="0"/>
        <v>0</v>
      </c>
      <c r="S12" s="410">
        <f t="shared" si="0"/>
        <v>0</v>
      </c>
      <c r="T12" s="410">
        <f t="shared" si="1"/>
        <v>-5.4029669627198018E-11</v>
      </c>
    </row>
    <row r="13" spans="1:24" ht="20.100000000000001" customHeight="1">
      <c r="A13" s="416" t="s">
        <v>136</v>
      </c>
      <c r="B13" s="414" t="s">
        <v>144</v>
      </c>
      <c r="C13" s="415">
        <f t="shared" si="0"/>
        <v>-0.25756650562061623</v>
      </c>
      <c r="D13" s="415">
        <f t="shared" si="0"/>
        <v>-46.447826513587643</v>
      </c>
      <c r="E13" s="415">
        <f t="shared" si="0"/>
        <v>-0.51513301124123245</v>
      </c>
      <c r="F13" s="415">
        <f t="shared" si="0"/>
        <v>-0.51513301124123245</v>
      </c>
      <c r="G13" s="415">
        <f t="shared" si="0"/>
        <v>-4.0352085880563209</v>
      </c>
      <c r="H13" s="415">
        <f t="shared" si="0"/>
        <v>-2.4898095543328509</v>
      </c>
      <c r="I13" s="415">
        <f t="shared" si="0"/>
        <v>-0.34342200749415497</v>
      </c>
      <c r="J13" s="415">
        <f t="shared" si="0"/>
        <v>-0.42927750936769371</v>
      </c>
      <c r="K13" s="415">
        <f t="shared" si="0"/>
        <v>-2.7473760599532397</v>
      </c>
      <c r="L13" s="415">
        <f t="shared" si="0"/>
        <v>-0.77269951686190552</v>
      </c>
      <c r="M13" s="415">
        <f t="shared" si="0"/>
        <v>-0.17171100374707748</v>
      </c>
      <c r="N13" s="415">
        <f t="shared" si="0"/>
        <v>817.38730558704628</v>
      </c>
      <c r="O13" s="415">
        <f t="shared" si="0"/>
        <v>-0.34342200749415497</v>
      </c>
      <c r="P13" s="415">
        <f t="shared" si="0"/>
        <v>-4.6361971011710921</v>
      </c>
      <c r="Q13" s="415">
        <f t="shared" si="0"/>
        <v>-752.13712416315684</v>
      </c>
      <c r="R13" s="415">
        <f t="shared" si="0"/>
        <v>0</v>
      </c>
      <c r="S13" s="415">
        <f t="shared" si="0"/>
        <v>-1.545399033723811</v>
      </c>
      <c r="T13" s="415">
        <f t="shared" si="1"/>
        <v>-3.5242919693700969E-12</v>
      </c>
    </row>
    <row r="14" spans="1:24" ht="20.100000000000001" customHeight="1">
      <c r="A14" s="401" t="s">
        <v>137</v>
      </c>
      <c r="B14" s="408" t="s">
        <v>49</v>
      </c>
      <c r="C14" s="410">
        <f t="shared" si="0"/>
        <v>-3.6646915813844316</v>
      </c>
      <c r="D14" s="410">
        <f t="shared" si="0"/>
        <v>-24.384293983826865</v>
      </c>
      <c r="E14" s="410">
        <f t="shared" si="0"/>
        <v>0</v>
      </c>
      <c r="F14" s="410">
        <f t="shared" si="0"/>
        <v>-0.42284902862127183</v>
      </c>
      <c r="G14" s="410">
        <f t="shared" si="0"/>
        <v>-4.3694399624196194</v>
      </c>
      <c r="H14" s="410">
        <f t="shared" si="0"/>
        <v>-1.4094967620708871</v>
      </c>
      <c r="I14" s="410">
        <f t="shared" si="0"/>
        <v>0</v>
      </c>
      <c r="J14" s="410">
        <f t="shared" si="0"/>
        <v>-2.6780438479347595</v>
      </c>
      <c r="K14" s="410">
        <f t="shared" si="0"/>
        <v>-4.7922889910410049</v>
      </c>
      <c r="L14" s="410">
        <f t="shared" si="0"/>
        <v>-10.712175391739038</v>
      </c>
      <c r="M14" s="410">
        <f t="shared" si="0"/>
        <v>-1.2685470858638155</v>
      </c>
      <c r="N14" s="410">
        <f t="shared" si="0"/>
        <v>722.78993958995125</v>
      </c>
      <c r="O14" s="410">
        <f t="shared" si="0"/>
        <v>-1.4094967620708871</v>
      </c>
      <c r="P14" s="410">
        <f t="shared" si="0"/>
        <v>-3.2418425527631598</v>
      </c>
      <c r="Q14" s="410">
        <f t="shared" si="0"/>
        <v>-662.88632720193709</v>
      </c>
      <c r="R14" s="410">
        <f t="shared" si="0"/>
        <v>0</v>
      </c>
      <c r="S14" s="410">
        <f t="shared" si="0"/>
        <v>-1.5504464382779588</v>
      </c>
      <c r="T14" s="410">
        <f t="shared" si="1"/>
        <v>5.6843418860808015E-13</v>
      </c>
    </row>
    <row r="15" spans="1:24" ht="20.100000000000001" customHeight="1">
      <c r="A15" s="401">
        <v>25</v>
      </c>
      <c r="B15" s="414" t="s">
        <v>207</v>
      </c>
      <c r="C15" s="415">
        <f t="shared" si="0"/>
        <v>56369.722064014641</v>
      </c>
      <c r="D15" s="415">
        <f t="shared" si="0"/>
        <v>341.61029479997524</v>
      </c>
      <c r="E15" s="415">
        <f t="shared" si="0"/>
        <v>-1.7564205950002361</v>
      </c>
      <c r="F15" s="415">
        <f t="shared" si="0"/>
        <v>0</v>
      </c>
      <c r="G15" s="415">
        <f t="shared" si="0"/>
        <v>26.282234006605904</v>
      </c>
      <c r="H15" s="415">
        <f t="shared" si="0"/>
        <v>-4.4045624151549418</v>
      </c>
      <c r="I15" s="415">
        <f t="shared" si="0"/>
        <v>-5.4043710615388818E-2</v>
      </c>
      <c r="J15" s="415">
        <f t="shared" si="0"/>
        <v>-0.16213113184619488</v>
      </c>
      <c r="K15" s="415">
        <f t="shared" si="0"/>
        <v>-4.5666935470017052</v>
      </c>
      <c r="L15" s="415">
        <f t="shared" si="0"/>
        <v>0</v>
      </c>
      <c r="M15" s="415">
        <f t="shared" si="0"/>
        <v>0</v>
      </c>
      <c r="N15" s="415">
        <f t="shared" si="0"/>
        <v>-0.18915298715387507</v>
      </c>
      <c r="O15" s="415">
        <f t="shared" si="0"/>
        <v>0</v>
      </c>
      <c r="P15" s="415">
        <f t="shared" si="0"/>
        <v>0</v>
      </c>
      <c r="Q15" s="415">
        <f t="shared" si="0"/>
        <v>-1.0808742123081174</v>
      </c>
      <c r="R15" s="415">
        <f t="shared" si="0"/>
        <v>0</v>
      </c>
      <c r="S15" s="415">
        <f t="shared" si="0"/>
        <v>-56725.400714222298</v>
      </c>
      <c r="T15" s="415">
        <f t="shared" si="1"/>
        <v>-1.6007106751203537E-10</v>
      </c>
    </row>
    <row r="16" spans="1:24" ht="20.100000000000001" customHeight="1">
      <c r="A16" s="401" t="s">
        <v>147</v>
      </c>
      <c r="B16" s="408" t="s">
        <v>208</v>
      </c>
      <c r="C16" s="410">
        <f t="shared" si="0"/>
        <v>0</v>
      </c>
      <c r="D16" s="410">
        <f t="shared" si="0"/>
        <v>-4.3360235399624116</v>
      </c>
      <c r="E16" s="410">
        <f t="shared" si="0"/>
        <v>-1.0840058849906029</v>
      </c>
      <c r="F16" s="410">
        <f t="shared" si="0"/>
        <v>0</v>
      </c>
      <c r="G16" s="410">
        <f t="shared" si="0"/>
        <v>-1163.1383145949221</v>
      </c>
      <c r="H16" s="410">
        <f t="shared" si="0"/>
        <v>-7.5880411949342488</v>
      </c>
      <c r="I16" s="410">
        <f t="shared" si="0"/>
        <v>-5.4200294249529861</v>
      </c>
      <c r="J16" s="410">
        <f t="shared" si="0"/>
        <v>0</v>
      </c>
      <c r="K16" s="410">
        <f t="shared" si="0"/>
        <v>0</v>
      </c>
      <c r="L16" s="410">
        <f t="shared" si="0"/>
        <v>0</v>
      </c>
      <c r="M16" s="410">
        <f t="shared" si="0"/>
        <v>0</v>
      </c>
      <c r="N16" s="410">
        <f t="shared" si="0"/>
        <v>-45.528247169608221</v>
      </c>
      <c r="O16" s="410">
        <f t="shared" si="0"/>
        <v>0</v>
      </c>
      <c r="P16" s="410">
        <f t="shared" si="0"/>
        <v>0</v>
      </c>
      <c r="Q16" s="410">
        <f t="shared" si="0"/>
        <v>-1.6260088274859186</v>
      </c>
      <c r="R16" s="410">
        <f t="shared" si="0"/>
        <v>0</v>
      </c>
      <c r="S16" s="410">
        <f t="shared" si="0"/>
        <v>1228.7206706368713</v>
      </c>
      <c r="T16" s="410">
        <f t="shared" si="1"/>
        <v>1.4551915228366852E-11</v>
      </c>
    </row>
    <row r="17" spans="1:91" ht="20.100000000000001" customHeight="1">
      <c r="A17" s="416" t="s">
        <v>148</v>
      </c>
      <c r="B17" s="414" t="s">
        <v>39</v>
      </c>
      <c r="C17" s="415">
        <f t="shared" si="0"/>
        <v>-3.7108306721556801</v>
      </c>
      <c r="D17" s="415">
        <f t="shared" si="0"/>
        <v>-18.826507905527251</v>
      </c>
      <c r="E17" s="415">
        <f t="shared" si="0"/>
        <v>-6.4343761196105334</v>
      </c>
      <c r="F17" s="415">
        <f t="shared" si="0"/>
        <v>-1.7022159046587149</v>
      </c>
      <c r="G17" s="415">
        <f t="shared" si="0"/>
        <v>-0.81706363423631956</v>
      </c>
      <c r="H17" s="415">
        <f t="shared" si="0"/>
        <v>-10.51969429078963</v>
      </c>
      <c r="I17" s="415">
        <f t="shared" si="0"/>
        <v>-0.57875340758414495</v>
      </c>
      <c r="J17" s="415">
        <f t="shared" si="0"/>
        <v>-1.9405261313104347</v>
      </c>
      <c r="K17" s="415">
        <f t="shared" si="0"/>
        <v>-364.00184905226342</v>
      </c>
      <c r="L17" s="415">
        <f t="shared" si="0"/>
        <v>-1.4979499961000329</v>
      </c>
      <c r="M17" s="415">
        <f t="shared" si="0"/>
        <v>0</v>
      </c>
      <c r="N17" s="415">
        <f t="shared" si="0"/>
        <v>419.39195458984977</v>
      </c>
      <c r="O17" s="415">
        <f t="shared" si="0"/>
        <v>0</v>
      </c>
      <c r="P17" s="415">
        <f t="shared" si="0"/>
        <v>0</v>
      </c>
      <c r="Q17" s="415">
        <f t="shared" si="0"/>
        <v>-9.2600545213463192</v>
      </c>
      <c r="R17" s="415">
        <f t="shared" si="0"/>
        <v>0</v>
      </c>
      <c r="S17" s="415">
        <f t="shared" si="0"/>
        <v>-0.10213295427953994</v>
      </c>
      <c r="T17" s="415">
        <f t="shared" si="1"/>
        <v>-1.2249756764504127E-11</v>
      </c>
    </row>
    <row r="18" spans="1:91" ht="20.100000000000001" customHeight="1">
      <c r="A18" s="401" t="s">
        <v>149</v>
      </c>
      <c r="B18" s="408" t="s">
        <v>38</v>
      </c>
      <c r="C18" s="410">
        <f t="shared" si="0"/>
        <v>0</v>
      </c>
      <c r="D18" s="410">
        <f t="shared" si="0"/>
        <v>32.858340509174013</v>
      </c>
      <c r="E18" s="410">
        <f t="shared" si="0"/>
        <v>4830.1760548488237</v>
      </c>
      <c r="F18" s="410">
        <f t="shared" si="0"/>
        <v>0</v>
      </c>
      <c r="G18" s="410">
        <f t="shared" si="0"/>
        <v>13.143336203669605</v>
      </c>
      <c r="H18" s="410">
        <f t="shared" si="0"/>
        <v>0</v>
      </c>
      <c r="I18" s="410">
        <f t="shared" si="0"/>
        <v>0</v>
      </c>
      <c r="J18" s="410">
        <f t="shared" si="0"/>
        <v>13.143336203669605</v>
      </c>
      <c r="K18" s="410">
        <f t="shared" si="0"/>
        <v>0</v>
      </c>
      <c r="L18" s="410">
        <f t="shared" si="0"/>
        <v>0</v>
      </c>
      <c r="M18" s="410">
        <f t="shared" si="0"/>
        <v>0</v>
      </c>
      <c r="N18" s="410">
        <f t="shared" si="0"/>
        <v>13.143336203669605</v>
      </c>
      <c r="O18" s="410">
        <f t="shared" si="0"/>
        <v>0</v>
      </c>
      <c r="P18" s="410">
        <f t="shared" si="0"/>
        <v>13.143336203669605</v>
      </c>
      <c r="Q18" s="410">
        <f t="shared" si="0"/>
        <v>39.430008611012454</v>
      </c>
      <c r="R18" s="410">
        <f t="shared" si="0"/>
        <v>0</v>
      </c>
      <c r="S18" s="410">
        <f t="shared" si="0"/>
        <v>-4955.0377487835985</v>
      </c>
      <c r="T18" s="410">
        <f t="shared" si="1"/>
        <v>9.0039975475519896E-11</v>
      </c>
    </row>
    <row r="19" spans="1:91" ht="20.100000000000001" customHeight="1">
      <c r="A19" s="401" t="s">
        <v>150</v>
      </c>
      <c r="B19" s="414" t="s">
        <v>31</v>
      </c>
      <c r="C19" s="415">
        <f t="shared" si="0"/>
        <v>-0.32065013583473956</v>
      </c>
      <c r="D19" s="415">
        <f t="shared" si="0"/>
        <v>-2.9058918560021993</v>
      </c>
      <c r="E19" s="415">
        <f t="shared" si="0"/>
        <v>-1.162356742400334</v>
      </c>
      <c r="F19" s="415">
        <f t="shared" si="0"/>
        <v>-0.52105647073130967</v>
      </c>
      <c r="G19" s="415">
        <f t="shared" si="0"/>
        <v>-8.016253395868489E-2</v>
      </c>
      <c r="H19" s="415">
        <f t="shared" si="0"/>
        <v>-6.0121900469027878E-2</v>
      </c>
      <c r="I19" s="415">
        <f t="shared" si="0"/>
        <v>-1.6032506791734704</v>
      </c>
      <c r="J19" s="415">
        <f t="shared" si="0"/>
        <v>7.8960095949005336</v>
      </c>
      <c r="K19" s="415">
        <f t="shared" si="0"/>
        <v>-8.016253395868489E-2</v>
      </c>
      <c r="L19" s="415">
        <f t="shared" si="0"/>
        <v>-6.0121900469027878E-2</v>
      </c>
      <c r="M19" s="415">
        <f t="shared" si="0"/>
        <v>0</v>
      </c>
      <c r="N19" s="415">
        <f t="shared" si="0"/>
        <v>-2.0040633489671222E-2</v>
      </c>
      <c r="O19" s="415">
        <f t="shared" si="0"/>
        <v>0</v>
      </c>
      <c r="P19" s="415">
        <f t="shared" si="0"/>
        <v>-6.0121900469027878E-2</v>
      </c>
      <c r="Q19" s="415">
        <f t="shared" si="0"/>
        <v>-0.86174724005513781</v>
      </c>
      <c r="R19" s="415">
        <f t="shared" si="0"/>
        <v>0</v>
      </c>
      <c r="S19" s="415">
        <f t="shared" si="0"/>
        <v>-0.16032506791736978</v>
      </c>
      <c r="T19" s="415">
        <f t="shared" si="1"/>
        <v>-2.8151703190815169E-11</v>
      </c>
    </row>
    <row r="20" spans="1:91" ht="20.100000000000001" customHeight="1">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c r="A21" s="416" t="s">
        <v>153</v>
      </c>
      <c r="B21" s="414" t="s">
        <v>210</v>
      </c>
      <c r="C21" s="415">
        <f t="shared" si="2"/>
        <v>-3.1863914456207567</v>
      </c>
      <c r="D21" s="415">
        <f t="shared" si="2"/>
        <v>-4.7795871684312488</v>
      </c>
      <c r="E21" s="415">
        <f t="shared" si="2"/>
        <v>-8.4970438549889877</v>
      </c>
      <c r="F21" s="415">
        <f t="shared" si="2"/>
        <v>0</v>
      </c>
      <c r="G21" s="415">
        <f t="shared" si="2"/>
        <v>0</v>
      </c>
      <c r="H21" s="415">
        <f t="shared" si="2"/>
        <v>0</v>
      </c>
      <c r="I21" s="415">
        <f t="shared" si="2"/>
        <v>-1.5931957228103784</v>
      </c>
      <c r="J21" s="415">
        <f t="shared" si="2"/>
        <v>0</v>
      </c>
      <c r="K21" s="415">
        <f t="shared" si="2"/>
        <v>-10.621304818736235</v>
      </c>
      <c r="L21" s="415">
        <f t="shared" si="2"/>
        <v>-3.1863914456207567</v>
      </c>
      <c r="M21" s="415">
        <f t="shared" si="2"/>
        <v>0</v>
      </c>
      <c r="N21" s="415">
        <f t="shared" si="2"/>
        <v>1172.0609867475337</v>
      </c>
      <c r="O21" s="415">
        <f t="shared" si="2"/>
        <v>-1083.3730915110791</v>
      </c>
      <c r="P21" s="415">
        <f t="shared" si="2"/>
        <v>-29.739653492461912</v>
      </c>
      <c r="Q21" s="415">
        <f t="shared" si="2"/>
        <v>-26.553262046841155</v>
      </c>
      <c r="R21" s="415">
        <f t="shared" si="2"/>
        <v>0</v>
      </c>
      <c r="S21" s="415">
        <f t="shared" si="2"/>
        <v>-0.53106524093681173</v>
      </c>
      <c r="T21" s="415">
        <f t="shared" si="1"/>
        <v>6.1959326558280736E-12</v>
      </c>
    </row>
    <row r="22" spans="1:91" ht="20.100000000000001" customHeight="1">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c r="A23" s="401" t="s">
        <v>162</v>
      </c>
      <c r="B23" s="414" t="s">
        <v>76</v>
      </c>
      <c r="C23" s="415">
        <f t="shared" si="2"/>
        <v>0</v>
      </c>
      <c r="D23" s="415">
        <f t="shared" si="2"/>
        <v>-1.8499887510870394E-2</v>
      </c>
      <c r="E23" s="415">
        <f t="shared" si="2"/>
        <v>0</v>
      </c>
      <c r="F23" s="415">
        <f t="shared" si="2"/>
        <v>0</v>
      </c>
      <c r="G23" s="415">
        <f t="shared" si="2"/>
        <v>-2.3124859388758523E-2</v>
      </c>
      <c r="H23" s="415">
        <f t="shared" si="2"/>
        <v>-4.6249718777175985E-3</v>
      </c>
      <c r="I23" s="415">
        <f t="shared" si="2"/>
        <v>0</v>
      </c>
      <c r="J23" s="415">
        <f t="shared" si="2"/>
        <v>0</v>
      </c>
      <c r="K23" s="415">
        <f t="shared" si="2"/>
        <v>0</v>
      </c>
      <c r="L23" s="415">
        <f t="shared" si="2"/>
        <v>0</v>
      </c>
      <c r="M23" s="415">
        <f t="shared" si="2"/>
        <v>0</v>
      </c>
      <c r="N23" s="415">
        <f t="shared" si="2"/>
        <v>0.19424881879240274</v>
      </c>
      <c r="O23" s="415">
        <f t="shared" si="2"/>
        <v>0</v>
      </c>
      <c r="P23" s="415">
        <f t="shared" si="2"/>
        <v>0</v>
      </c>
      <c r="Q23" s="415">
        <f t="shared" si="2"/>
        <v>-0.14799910008696315</v>
      </c>
      <c r="R23" s="415">
        <f t="shared" si="2"/>
        <v>0</v>
      </c>
      <c r="S23" s="415">
        <f t="shared" si="2"/>
        <v>0</v>
      </c>
      <c r="T23" s="415">
        <f t="shared" si="1"/>
        <v>-7.1906924858922139E-11</v>
      </c>
    </row>
    <row r="24" spans="1:91" ht="20.100000000000001" customHeight="1">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c r="A26" s="402"/>
      <c r="B26" s="421" t="s">
        <v>17</v>
      </c>
      <c r="C26" s="569">
        <f t="shared" ref="C26:S26" si="3">SUM(C5:C25)</f>
        <v>19318.388400776159</v>
      </c>
      <c r="D26" s="569">
        <f t="shared" si="3"/>
        <v>668679.88296858524</v>
      </c>
      <c r="E26" s="569">
        <f t="shared" si="3"/>
        <v>-175555.50733950533</v>
      </c>
      <c r="F26" s="569">
        <f t="shared" si="3"/>
        <v>-27972.637940450972</v>
      </c>
      <c r="G26" s="569">
        <f t="shared" si="3"/>
        <v>-201479.93379204985</v>
      </c>
      <c r="H26" s="569">
        <f t="shared" si="3"/>
        <v>-47315.000637940146</v>
      </c>
      <c r="I26" s="569">
        <f t="shared" si="3"/>
        <v>-27623.574363597138</v>
      </c>
      <c r="J26" s="569">
        <f t="shared" si="3"/>
        <v>-715.35579981146623</v>
      </c>
      <c r="K26" s="569">
        <f t="shared" si="3"/>
        <v>-868.2138971262716</v>
      </c>
      <c r="L26" s="569">
        <f t="shared" si="3"/>
        <v>-9481.8265304064662</v>
      </c>
      <c r="M26" s="569">
        <f t="shared" si="3"/>
        <v>-61.342781595085569</v>
      </c>
      <c r="N26" s="569">
        <f t="shared" si="3"/>
        <v>728154.68415789236</v>
      </c>
      <c r="O26" s="569">
        <f t="shared" si="3"/>
        <v>-26746.725462617484</v>
      </c>
      <c r="P26" s="569">
        <f t="shared" si="3"/>
        <v>-1399.78386566311</v>
      </c>
      <c r="Q26" s="569">
        <f t="shared" si="3"/>
        <v>-41921.021073057549</v>
      </c>
      <c r="R26" s="423">
        <f t="shared" si="3"/>
        <v>-15371.860157365594</v>
      </c>
      <c r="S26" s="423">
        <f t="shared" si="3"/>
        <v>-839640.17188606109</v>
      </c>
      <c r="T26" s="422">
        <f t="shared" si="1"/>
        <v>6.28642737865448E-9</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+FY15RevToColl!C29-FY15RevToCollwoMapChg!C29</f>
        <v>-22010.333737067878</v>
      </c>
      <c r="D29" s="438">
        <f>+FY15RevToColl!D29-FY15RevToCollwoMapChg!D29</f>
        <v>284666.86521442235</v>
      </c>
      <c r="E29" s="438">
        <f>+FY15RevToColl!E29-FY15RevToCollwoMapChg!E29</f>
        <v>-64385.60154059343</v>
      </c>
      <c r="F29" s="438">
        <f>+FY15RevToColl!F29-FY15RevToCollwoMapChg!F29</f>
        <v>-13757.600071311928</v>
      </c>
      <c r="G29" s="438">
        <f>+FY15RevToColl!G29-FY15RevToCollwoMapChg!G29</f>
        <v>-94895.229842595756</v>
      </c>
      <c r="H29" s="438">
        <f>+FY15RevToColl!H29-FY15RevToCollwoMapChg!H29</f>
        <v>-8319.8096209447831</v>
      </c>
      <c r="I29" s="438">
        <f>+FY15RevToColl!I29-FY15RevToCollwoMapChg!I29</f>
        <v>-13818.202581884339</v>
      </c>
      <c r="J29" s="438">
        <f>+FY15RevToColl!J29-FY15RevToCollwoMapChg!J29</f>
        <v>-586.10099265907775</v>
      </c>
      <c r="K29" s="438">
        <f>+FY15RevToColl!K29-FY15RevToCollwoMapChg!K29</f>
        <v>-172.67564656244576</v>
      </c>
      <c r="L29" s="438">
        <f>+FY15RevToColl!L29-FY15RevToCollwoMapChg!L29</f>
        <v>-3118.9538660342223</v>
      </c>
      <c r="M29" s="438">
        <f>+FY15RevToColl!M29-FY15RevToCollwoMapChg!M29</f>
        <v>-58.942167816991059</v>
      </c>
      <c r="N29" s="438">
        <f>+FY15RevToColl!N29-FY15RevToCollwoMapChg!N29</f>
        <v>164815.36636356823</v>
      </c>
      <c r="O29" s="438">
        <f>+FY15RevToColl!O29-FY15RevToCollwoMapChg!O29</f>
        <v>-8623.8202715900261</v>
      </c>
      <c r="P29" s="438">
        <f>+FY15RevToColl!P29-FY15RevToCollwoMapChg!P29</f>
        <v>-339.54009348096588</v>
      </c>
      <c r="Q29" s="438">
        <f>+FY15RevToColl!Q29-FY15RevToCollwoMapChg!Q29</f>
        <v>-16644.105951588601</v>
      </c>
      <c r="R29" s="438">
        <f>+FY15RevToColl!R29-FY15RevToCollwoMapChg!R29</f>
        <v>-13691.186361095402</v>
      </c>
      <c r="S29" s="438">
        <f>+FY15RevToColl!S29-FY15RevToCollwoMapChg!S29</f>
        <v>-189060.12883275253</v>
      </c>
      <c r="T29" s="439">
        <f t="shared" ref="T29:T49" si="4">SUM(C29:Q29)+R29+S29</f>
        <v>1.2223608791828156E-8</v>
      </c>
    </row>
    <row r="30" spans="1:91" s="18" customFormat="1" ht="20.100000000000001" customHeight="1">
      <c r="A30" s="404" t="s">
        <v>129</v>
      </c>
      <c r="B30" s="440" t="s">
        <v>35</v>
      </c>
      <c r="C30" s="410">
        <f>+FY15RevToColl!C30-FY15RevToCollwoMapChg!C30</f>
        <v>-742.3549471978331</v>
      </c>
      <c r="D30" s="410">
        <f>+FY15RevToColl!D30-FY15RevToCollwoMapChg!D30</f>
        <v>-30021.342538259458</v>
      </c>
      <c r="E30" s="410">
        <f>+FY15RevToColl!E30-FY15RevToCollwoMapChg!E30</f>
        <v>-1981.2137853417007</v>
      </c>
      <c r="F30" s="410">
        <f>+FY15RevToColl!F30-FY15RevToCollwoMapChg!F30</f>
        <v>-497.46424663451216</v>
      </c>
      <c r="G30" s="410">
        <f>+FY15RevToColl!G30-FY15RevToCollwoMapChg!G30</f>
        <v>-4091.1152329401957</v>
      </c>
      <c r="H30" s="410">
        <f>+FY15RevToColl!H30-FY15RevToCollwoMapChg!H30</f>
        <v>-480.17784424180718</v>
      </c>
      <c r="I30" s="410">
        <f>+FY15RevToColl!I30-FY15RevToCollwoMapChg!I30</f>
        <v>-1367.5465004006619</v>
      </c>
      <c r="J30" s="410">
        <f>+FY15RevToColl!J30-FY15RevToCollwoMapChg!J30</f>
        <v>-193.03149338520689</v>
      </c>
      <c r="K30" s="410">
        <f>+FY15RevToColl!K30-FY15RevToCollwoMapChg!K30</f>
        <v>-459.05001909516614</v>
      </c>
      <c r="L30" s="410">
        <f>+FY15RevToColl!L30-FY15RevToCollwoMapChg!L30</f>
        <v>-102.75805866774726</v>
      </c>
      <c r="M30" s="410">
        <f>+FY15RevToColl!M30-FY15RevToCollwoMapChg!M30</f>
        <v>-0.96035568848361308</v>
      </c>
      <c r="N30" s="410">
        <f>+FY15RevToColl!N30-FY15RevToCollwoMapChg!N30</f>
        <v>13110.363910357526</v>
      </c>
      <c r="O30" s="410">
        <f>+FY15RevToColl!O30-FY15RevToCollwoMapChg!O30</f>
        <v>-17.286402392705213</v>
      </c>
      <c r="P30" s="410">
        <f>+FY15RevToColl!P30-FY15RevToCollwoMapChg!P30</f>
        <v>-1701.7502799929716</v>
      </c>
      <c r="Q30" s="410">
        <f>+FY15RevToColl!Q30-FY15RevToCollwoMapChg!Q30</f>
        <v>-881.60652202795609</v>
      </c>
      <c r="R30" s="410">
        <f>+FY15RevToColl!R30-FY15RevToCollwoMapChg!R30</f>
        <v>-4.8017784424180832</v>
      </c>
      <c r="S30" s="410">
        <f>+FY15RevToColl!S30-FY15RevToCollwoMapChg!S30</f>
        <v>29432.096094351145</v>
      </c>
      <c r="T30" s="441">
        <f t="shared" si="4"/>
        <v>-1.5279510989785194E-10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+FY15RevToColl!C31-FY15RevToCollwoMapChg!C31</f>
        <v>0</v>
      </c>
      <c r="D31" s="443">
        <f>+FY15RevToColl!D31-FY15RevToCollwoMapChg!D31</f>
        <v>-216.67584203889965</v>
      </c>
      <c r="E31" s="443">
        <f>+FY15RevToColl!E31-FY15RevToCollwoMapChg!E31</f>
        <v>0</v>
      </c>
      <c r="F31" s="443">
        <f>+FY15RevToColl!F31-FY15RevToCollwoMapChg!F31</f>
        <v>-25.886051925001311</v>
      </c>
      <c r="G31" s="443">
        <f>+FY15RevToColl!G31-FY15RevToCollwoMapChg!G31</f>
        <v>-0.95874266388893403</v>
      </c>
      <c r="H31" s="443">
        <f>+FY15RevToColl!H31-FY15RevToCollwoMapChg!H31</f>
        <v>0</v>
      </c>
      <c r="I31" s="443">
        <f>+FY15RevToColl!I31-FY15RevToCollwoMapChg!I31</f>
        <v>-3.8349706555557361</v>
      </c>
      <c r="J31" s="443">
        <f>+FY15RevToColl!J31-FY15RevToCollwoMapChg!J31</f>
        <v>-5.7524559833336752</v>
      </c>
      <c r="K31" s="443">
        <f>+FY15RevToColl!K31-FY15RevToCollwoMapChg!K31</f>
        <v>-3.8349706555557361</v>
      </c>
      <c r="L31" s="443">
        <f>+FY15RevToColl!L31-FY15RevToCollwoMapChg!L31</f>
        <v>-676.87232070558821</v>
      </c>
      <c r="M31" s="443">
        <f>+FY15RevToColl!M31-FY15RevToCollwoMapChg!M31</f>
        <v>0</v>
      </c>
      <c r="N31" s="443">
        <f>+FY15RevToColl!N31-FY15RevToCollwoMapChg!N31</f>
        <v>995.17488511672127</v>
      </c>
      <c r="O31" s="443">
        <f>+FY15RevToColl!O31-FY15RevToCollwoMapChg!O31</f>
        <v>0</v>
      </c>
      <c r="P31" s="443">
        <f>+FY15RevToColl!P31-FY15RevToCollwoMapChg!P31</f>
        <v>-3.8349706555557361</v>
      </c>
      <c r="Q31" s="443">
        <f>+FY15RevToColl!Q31-FY15RevToCollwoMapChg!Q31</f>
        <v>-54.64833184166946</v>
      </c>
      <c r="R31" s="443">
        <f>+FY15RevToColl!R31-FY15RevToCollwoMapChg!R31</f>
        <v>0</v>
      </c>
      <c r="S31" s="443">
        <f>+FY15RevToColl!S31-FY15RevToCollwoMapChg!S31</f>
        <v>-2.8762279916668376</v>
      </c>
      <c r="T31" s="444">
        <f t="shared" si="4"/>
        <v>5.9969806898152456E-12</v>
      </c>
    </row>
    <row r="32" spans="1:91" s="18" customFormat="1" ht="20.100000000000001" customHeight="1">
      <c r="A32" s="404" t="s">
        <v>130</v>
      </c>
      <c r="B32" s="440" t="s">
        <v>37</v>
      </c>
      <c r="C32" s="410">
        <f>+FY15RevToColl!C32-FY15RevToCollwoMapChg!C32</f>
        <v>-45.124197245388132</v>
      </c>
      <c r="D32" s="410">
        <f>+FY15RevToColl!D32-FY15RevToCollwoMapChg!D32</f>
        <v>218.13790993073781</v>
      </c>
      <c r="E32" s="410">
        <f>+FY15RevToColl!E32-FY15RevToCollwoMapChg!E32</f>
        <v>-36.052838005334706</v>
      </c>
      <c r="F32" s="410">
        <f>+FY15RevToColl!F32-FY15RevToCollwoMapChg!F32</f>
        <v>-26.283681900663396</v>
      </c>
      <c r="G32" s="410">
        <f>+FY15RevToColl!G32-FY15RevToCollwoMapChg!G32</f>
        <v>-7013.7888852444012</v>
      </c>
      <c r="H32" s="410">
        <f>+FY15RevToColl!H32-FY15RevToCollwoMapChg!H32</f>
        <v>-67.918894822954826</v>
      </c>
      <c r="I32" s="410">
        <f>+FY15RevToColl!I32-FY15RevToCollwoMapChg!I32</f>
        <v>-14.886333111880504</v>
      </c>
      <c r="J32" s="410">
        <f>+FY15RevToColl!J32-FY15RevToCollwoMapChg!J32</f>
        <v>-27.911874584775433</v>
      </c>
      <c r="K32" s="410">
        <f>+FY15RevToColl!K32-FY15RevToCollwoMapChg!K32</f>
        <v>-3.7215832779701259</v>
      </c>
      <c r="L32" s="410">
        <f>+FY15RevToColl!L32-FY15RevToCollwoMapChg!L32</f>
        <v>-5.117177007208852</v>
      </c>
      <c r="M32" s="410">
        <f>+FY15RevToColl!M32-FY15RevToCollwoMapChg!M32</f>
        <v>0</v>
      </c>
      <c r="N32" s="410">
        <f>+FY15RevToColl!N32-FY15RevToCollwoMapChg!N32</f>
        <v>972.31757187798939</v>
      </c>
      <c r="O32" s="410">
        <f>+FY15RevToColl!O32-FY15RevToCollwoMapChg!O32</f>
        <v>-294.47027686938236</v>
      </c>
      <c r="P32" s="410">
        <f>+FY15RevToColl!P32-FY15RevToCollwoMapChg!P32</f>
        <v>-2.791187458477566</v>
      </c>
      <c r="Q32" s="410">
        <f>+FY15RevToColl!Q32-FY15RevToCollwoMapChg!Q32</f>
        <v>-172.58842451585951</v>
      </c>
      <c r="R32" s="410">
        <f>+FY15RevToColl!R32-FY15RevToCollwoMapChg!R32</f>
        <v>0</v>
      </c>
      <c r="S32" s="410">
        <f>+FY15RevToColl!S32-FY15RevToCollwoMapChg!S32</f>
        <v>6520.1998722355729</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+FY15RevToColl!C33-FY15RevToCollwoMapChg!C33</f>
        <v>-0.38018371548560026</v>
      </c>
      <c r="D33" s="443">
        <f>+FY15RevToColl!D33-FY15RevToCollwoMapChg!D33</f>
        <v>417.8219033186615</v>
      </c>
      <c r="E33" s="443">
        <f>+FY15RevToColl!E33-FY15RevToCollwoMapChg!E33</f>
        <v>-0.70605547161608229</v>
      </c>
      <c r="F33" s="443">
        <f>+FY15RevToColl!F33-FY15RevToCollwoMapChg!F33</f>
        <v>-0.40733969516315938</v>
      </c>
      <c r="G33" s="443">
        <f>+FY15RevToColl!G33-FY15RevToCollwoMapChg!G33</f>
        <v>-2.87853384581922</v>
      </c>
      <c r="H33" s="443">
        <f>+FY15RevToColl!H33-FY15RevToCollwoMapChg!H33</f>
        <v>-405.68318040261511</v>
      </c>
      <c r="I33" s="443">
        <f>+FY15RevToColl!I33-FY15RevToCollwoMapChg!I33</f>
        <v>0</v>
      </c>
      <c r="J33" s="443">
        <f>+FY15RevToColl!J33-FY15RevToCollwoMapChg!J33</f>
        <v>-0.67889949193840948</v>
      </c>
      <c r="K33" s="443">
        <f>+FY15RevToColl!K33-FY15RevToCollwoMapChg!K33</f>
        <v>-4.1277089109853478</v>
      </c>
      <c r="L33" s="443">
        <f>+FY15RevToColl!L33-FY15RevToCollwoMapChg!L33</f>
        <v>0</v>
      </c>
      <c r="M33" s="443">
        <f>+FY15RevToColl!M33-FY15RevToCollwoMapChg!M33</f>
        <v>0</v>
      </c>
      <c r="N33" s="443">
        <f>+FY15RevToColl!N33-FY15RevToCollwoMapChg!N33</f>
        <v>-0.84183537000376418</v>
      </c>
      <c r="O33" s="443">
        <f>+FY15RevToColl!O33-FY15RevToCollwoMapChg!O33</f>
        <v>0</v>
      </c>
      <c r="P33" s="443">
        <f>+FY15RevToColl!P33-FY15RevToCollwoMapChg!P33</f>
        <v>0</v>
      </c>
      <c r="Q33" s="443">
        <f>+FY15RevToColl!Q33-FY15RevToCollwoMapChg!Q33</f>
        <v>-0.95045928871400065</v>
      </c>
      <c r="R33" s="443">
        <f>+FY15RevToColl!R33-FY15RevToCollwoMapChg!R33</f>
        <v>-8.1467939032620507E-2</v>
      </c>
      <c r="S33" s="443">
        <f>+FY15RevToColl!S33-FY15RevToCollwoMapChg!S33</f>
        <v>-1.0862391871019099</v>
      </c>
      <c r="T33" s="444">
        <f t="shared" si="4"/>
        <v>1.8627588360686786E-10</v>
      </c>
    </row>
    <row r="34" spans="1:91" s="18" customFormat="1" ht="20.100000000000001" customHeight="1">
      <c r="A34" s="404" t="s">
        <v>132</v>
      </c>
      <c r="B34" s="440" t="s">
        <v>206</v>
      </c>
      <c r="C34" s="410">
        <f>+FY15RevToColl!C34-FY15RevToCollwoMapChg!C34</f>
        <v>0</v>
      </c>
      <c r="D34" s="410">
        <f>+FY15RevToColl!D34-FY15RevToCollwoMapChg!D34</f>
        <v>635.85407677705734</v>
      </c>
      <c r="E34" s="410">
        <f>+FY15RevToColl!E34-FY15RevToCollwoMapChg!E34</f>
        <v>-0.15935693161921449</v>
      </c>
      <c r="F34" s="410">
        <f>+FY15RevToColl!F34-FY15RevToCollwoMapChg!F34</f>
        <v>-751.64680721482728</v>
      </c>
      <c r="G34" s="410">
        <f>+FY15RevToColl!G34-FY15RevToCollwoMapChg!G34</f>
        <v>-0.27887463033357562</v>
      </c>
      <c r="H34" s="410">
        <f>+FY15RevToColl!H34-FY15RevToCollwoMapChg!H34</f>
        <v>-3.4261740298129553</v>
      </c>
      <c r="I34" s="410">
        <f>+FY15RevToColl!I34-FY15RevToCollwoMapChg!I34</f>
        <v>-0.67726695938165449</v>
      </c>
      <c r="J34" s="410">
        <f>+FY15RevToColl!J34-FY15RevToCollwoMapChg!J34</f>
        <v>0</v>
      </c>
      <c r="K34" s="410">
        <f>+FY15RevToColl!K34-FY15RevToCollwoMapChg!K34</f>
        <v>-5.2587787434331403</v>
      </c>
      <c r="L34" s="410">
        <f>+FY15RevToColl!L34-FY15RevToCollwoMapChg!L34</f>
        <v>-2.4301932071930423</v>
      </c>
      <c r="M34" s="410">
        <f>+FY15RevToColl!M34-FY15RevToCollwoMapChg!M34</f>
        <v>0</v>
      </c>
      <c r="N34" s="410">
        <f>+FY15RevToColl!N34-FY15RevToCollwoMapChg!N34</f>
        <v>-1.075659288429506</v>
      </c>
      <c r="O34" s="410">
        <f>+FY15RevToColl!O34-FY15RevToCollwoMapChg!O34</f>
        <v>-0.39839232904796518</v>
      </c>
      <c r="P34" s="410">
        <f>+FY15RevToColl!P34-FY15RevToCollwoMapChg!P34</f>
        <v>0</v>
      </c>
      <c r="Q34" s="410">
        <f>+FY15RevToColl!Q34-FY15RevToCollwoMapChg!Q34</f>
        <v>-1.4342123845726746</v>
      </c>
      <c r="R34" s="410">
        <f>+FY15RevToColl!R34-FY15RevToCollwoMapChg!R34</f>
        <v>0</v>
      </c>
      <c r="S34" s="410">
        <f>+FY15RevToColl!S34-FY15RevToCollwoMapChg!S34</f>
        <v>130.93163894162512</v>
      </c>
      <c r="T34" s="441">
        <f t="shared" si="4"/>
        <v>3.149125404888764E-11</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+FY15RevToColl!C35-FY15RevToCollwoMapChg!C35</f>
        <v>0</v>
      </c>
      <c r="D35" s="443">
        <f>+FY15RevToColl!D35-FY15RevToCollwoMapChg!D35</f>
        <v>0</v>
      </c>
      <c r="E35" s="443">
        <f>+FY15RevToColl!E35-FY15RevToCollwoMapChg!E35</f>
        <v>0</v>
      </c>
      <c r="F35" s="443">
        <f>+FY15RevToColl!F35-FY15RevToCollwoMapChg!F35</f>
        <v>0</v>
      </c>
      <c r="G35" s="443">
        <f>+FY15RevToColl!G35-FY15RevToCollwoMapChg!G35</f>
        <v>0</v>
      </c>
      <c r="H35" s="443">
        <f>+FY15RevToColl!H35-FY15RevToCollwoMapChg!H35</f>
        <v>0</v>
      </c>
      <c r="I35" s="443">
        <f>+FY15RevToColl!I35-FY15RevToCollwoMapChg!I35</f>
        <v>0</v>
      </c>
      <c r="J35" s="443">
        <f>+FY15RevToColl!J35-FY15RevToCollwoMapChg!J35</f>
        <v>0</v>
      </c>
      <c r="K35" s="443">
        <f>+FY15RevToColl!K35-FY15RevToCollwoMapChg!K35</f>
        <v>0</v>
      </c>
      <c r="L35" s="443">
        <f>+FY15RevToColl!L35-FY15RevToCollwoMapChg!L35</f>
        <v>0</v>
      </c>
      <c r="M35" s="443">
        <f>+FY15RevToColl!M35-FY15RevToCollwoMapChg!M35</f>
        <v>0</v>
      </c>
      <c r="N35" s="443">
        <f>+FY15RevToColl!N35-FY15RevToCollwoMapChg!N35</f>
        <v>0</v>
      </c>
      <c r="O35" s="443">
        <f>+FY15RevToColl!O35-FY15RevToCollwoMapChg!O35</f>
        <v>0</v>
      </c>
      <c r="P35" s="443">
        <f>+FY15RevToColl!P35-FY15RevToCollwoMapChg!P35</f>
        <v>0</v>
      </c>
      <c r="Q35" s="443">
        <f>+FY15RevToColl!Q35-FY15RevToCollwoMapChg!Q35</f>
        <v>0</v>
      </c>
      <c r="R35" s="443">
        <f>+FY15RevToColl!R35-FY15RevToCollwoMapChg!R35</f>
        <v>0</v>
      </c>
      <c r="S35" s="443">
        <f>+FY15RevToColl!S35-FY15RevToCollwoMapChg!S35</f>
        <v>0</v>
      </c>
      <c r="T35" s="444">
        <f t="shared" si="4"/>
        <v>0</v>
      </c>
    </row>
    <row r="36" spans="1:91" s="18" customFormat="1" ht="20.100000000000001" customHeight="1">
      <c r="A36" s="404" t="s">
        <v>135</v>
      </c>
      <c r="B36" s="440" t="s">
        <v>70</v>
      </c>
      <c r="C36" s="410">
        <f>+FY15RevToColl!C36-FY15RevToCollwoMapChg!C36</f>
        <v>-5.6393816860946799E-2</v>
      </c>
      <c r="D36" s="410">
        <f>+FY15RevToColl!D36-FY15RevToCollwoMapChg!D36</f>
        <v>287.69305671609709</v>
      </c>
      <c r="E36" s="410">
        <f>+FY15RevToColl!E36-FY15RevToCollwoMapChg!E36</f>
        <v>0</v>
      </c>
      <c r="F36" s="410">
        <f>+FY15RevToColl!F36-FY15RevToCollwoMapChg!F36</f>
        <v>-0.42295362645700152</v>
      </c>
      <c r="G36" s="410">
        <f>+FY15RevToColl!G36-FY15RevToCollwoMapChg!G36</f>
        <v>0</v>
      </c>
      <c r="H36" s="410">
        <f>+FY15RevToColl!H36-FY15RevToCollwoMapChg!H36</f>
        <v>-8.4590725291405988E-2</v>
      </c>
      <c r="I36" s="410">
        <f>+FY15RevToColl!I36-FY15RevToCollwoMapChg!I36</f>
        <v>0</v>
      </c>
      <c r="J36" s="410">
        <f>+FY15RevToColl!J36-FY15RevToCollwoMapChg!J36</f>
        <v>0</v>
      </c>
      <c r="K36" s="410">
        <f>+FY15RevToColl!K36-FY15RevToCollwoMapChg!K36</f>
        <v>-0.90230106977514879</v>
      </c>
      <c r="L36" s="410">
        <f>+FY15RevToColl!L36-FY15RevToCollwoMapChg!L36</f>
        <v>-277.513972772751</v>
      </c>
      <c r="M36" s="410">
        <f>+FY15RevToColl!M36-FY15RevToCollwoMapChg!M36</f>
        <v>0</v>
      </c>
      <c r="N36" s="410">
        <f>+FY15RevToColl!N36-FY15RevToCollwoMapChg!N36</f>
        <v>-3.3554321032261214</v>
      </c>
      <c r="O36" s="410">
        <f>+FY15RevToColl!O36-FY15RevToCollwoMapChg!O36</f>
        <v>-5.6393816860946799E-2</v>
      </c>
      <c r="P36" s="410">
        <f>+FY15RevToColl!P36-FY15RevToCollwoMapChg!P36</f>
        <v>0</v>
      </c>
      <c r="Q36" s="410">
        <f>+FY15RevToColl!Q36-FY15RevToCollwoMapChg!Q36</f>
        <v>-5.3010187849286012</v>
      </c>
      <c r="R36" s="410">
        <f>+FY15RevToColl!R36-FY15RevToCollwoMapChg!R36</f>
        <v>0</v>
      </c>
      <c r="S36" s="410">
        <f>+FY15RevToColl!S36-FY15RevToCollwoMapChg!S36</f>
        <v>0</v>
      </c>
      <c r="T36" s="441">
        <f t="shared" si="4"/>
        <v>-5.4029669627198018E-11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+FY15RevToColl!C37-FY15RevToCollwoMapChg!C37</f>
        <v>-0.25756650562061623</v>
      </c>
      <c r="D37" s="443">
        <f>+FY15RevToColl!D37-FY15RevToCollwoMapChg!D37</f>
        <v>-46.447826513587643</v>
      </c>
      <c r="E37" s="443">
        <f>+FY15RevToColl!E37-FY15RevToCollwoMapChg!E37</f>
        <v>-0.51513301124123245</v>
      </c>
      <c r="F37" s="443">
        <f>+FY15RevToColl!F37-FY15RevToCollwoMapChg!F37</f>
        <v>-0.51513301124123245</v>
      </c>
      <c r="G37" s="443">
        <f>+FY15RevToColl!G37-FY15RevToCollwoMapChg!G37</f>
        <v>-4.0352085880563209</v>
      </c>
      <c r="H37" s="443">
        <f>+FY15RevToColl!H37-FY15RevToCollwoMapChg!H37</f>
        <v>-2.4898095543328509</v>
      </c>
      <c r="I37" s="443">
        <f>+FY15RevToColl!I37-FY15RevToCollwoMapChg!I37</f>
        <v>-0.34342200749415497</v>
      </c>
      <c r="J37" s="443">
        <f>+FY15RevToColl!J37-FY15RevToCollwoMapChg!J37</f>
        <v>-0.42927750936769371</v>
      </c>
      <c r="K37" s="443">
        <f>+FY15RevToColl!K37-FY15RevToCollwoMapChg!K37</f>
        <v>-2.7473760599532397</v>
      </c>
      <c r="L37" s="443">
        <f>+FY15RevToColl!L37-FY15RevToCollwoMapChg!L37</f>
        <v>-0.77269951686190552</v>
      </c>
      <c r="M37" s="443">
        <f>+FY15RevToColl!M37-FY15RevToCollwoMapChg!M37</f>
        <v>-0.17171100374707748</v>
      </c>
      <c r="N37" s="443">
        <f>+FY15RevToColl!N37-FY15RevToCollwoMapChg!N37</f>
        <v>817.38730558704628</v>
      </c>
      <c r="O37" s="443">
        <f>+FY15RevToColl!O37-FY15RevToCollwoMapChg!O37</f>
        <v>-0.34342200749415497</v>
      </c>
      <c r="P37" s="443">
        <f>+FY15RevToColl!P37-FY15RevToCollwoMapChg!P37</f>
        <v>-4.6361971011710921</v>
      </c>
      <c r="Q37" s="443">
        <f>+FY15RevToColl!Q37-FY15RevToCollwoMapChg!Q37</f>
        <v>-752.13712416315684</v>
      </c>
      <c r="R37" s="443">
        <f>+FY15RevToColl!R37-FY15RevToCollwoMapChg!R37</f>
        <v>0</v>
      </c>
      <c r="S37" s="443">
        <f>+FY15RevToColl!S37-FY15RevToCollwoMapChg!S37</f>
        <v>-1.545399033723811</v>
      </c>
      <c r="T37" s="444">
        <f t="shared" si="4"/>
        <v>-3.5242919693700969E-12</v>
      </c>
    </row>
    <row r="38" spans="1:91" s="18" customFormat="1" ht="20.100000000000001" customHeight="1">
      <c r="A38" s="404" t="s">
        <v>137</v>
      </c>
      <c r="B38" s="440" t="s">
        <v>49</v>
      </c>
      <c r="C38" s="410">
        <f>+FY15RevToColl!C38-FY15RevToCollwoMapChg!C38</f>
        <v>-3.6646915813844316</v>
      </c>
      <c r="D38" s="410">
        <f>+FY15RevToColl!D38-FY15RevToCollwoMapChg!D38</f>
        <v>-24.384293983826865</v>
      </c>
      <c r="E38" s="410">
        <f>+FY15RevToColl!E38-FY15RevToCollwoMapChg!E38</f>
        <v>0</v>
      </c>
      <c r="F38" s="410">
        <f>+FY15RevToColl!F38-FY15RevToCollwoMapChg!F38</f>
        <v>-0.42284902862127183</v>
      </c>
      <c r="G38" s="410">
        <f>+FY15RevToColl!G38-FY15RevToCollwoMapChg!G38</f>
        <v>-4.3694399624196194</v>
      </c>
      <c r="H38" s="410">
        <f>+FY15RevToColl!H38-FY15RevToCollwoMapChg!H38</f>
        <v>-1.4094967620708871</v>
      </c>
      <c r="I38" s="410">
        <f>+FY15RevToColl!I38-FY15RevToCollwoMapChg!I38</f>
        <v>0</v>
      </c>
      <c r="J38" s="410">
        <f>+FY15RevToColl!J38-FY15RevToCollwoMapChg!J38</f>
        <v>-2.6780438479347595</v>
      </c>
      <c r="K38" s="410">
        <f>+FY15RevToColl!K38-FY15RevToCollwoMapChg!K38</f>
        <v>-4.7922889910410049</v>
      </c>
      <c r="L38" s="410">
        <f>+FY15RevToColl!L38-FY15RevToCollwoMapChg!L38</f>
        <v>-10.712175391739038</v>
      </c>
      <c r="M38" s="410">
        <f>+FY15RevToColl!M38-FY15RevToCollwoMapChg!M38</f>
        <v>-1.2685470858638155</v>
      </c>
      <c r="N38" s="410">
        <f>+FY15RevToColl!N38-FY15RevToCollwoMapChg!N38</f>
        <v>722.78993958995125</v>
      </c>
      <c r="O38" s="410">
        <f>+FY15RevToColl!O38-FY15RevToCollwoMapChg!O38</f>
        <v>-1.4094967620708871</v>
      </c>
      <c r="P38" s="410">
        <f>+FY15RevToColl!P38-FY15RevToCollwoMapChg!P38</f>
        <v>-3.2418425527631598</v>
      </c>
      <c r="Q38" s="410">
        <f>+FY15RevToColl!Q38-FY15RevToCollwoMapChg!Q38</f>
        <v>-662.88632720193709</v>
      </c>
      <c r="R38" s="410">
        <f>+FY15RevToColl!R38-FY15RevToCollwoMapChg!R38</f>
        <v>0</v>
      </c>
      <c r="S38" s="410">
        <f>+FY15RevToColl!S38-FY15RevToCollwoMapChg!S38</f>
        <v>-1.5504464382779588</v>
      </c>
      <c r="T38" s="441">
        <f t="shared" si="4"/>
        <v>5.6843418860808015E-13</v>
      </c>
    </row>
    <row r="39" spans="1:91" ht="20.100000000000001" customHeight="1">
      <c r="A39" s="553" t="s">
        <v>145</v>
      </c>
      <c r="B39" s="442" t="s">
        <v>207</v>
      </c>
      <c r="C39" s="443">
        <f>+FY15RevToColl!C39-FY15RevToCollwoMapChg!C39</f>
        <v>-327.58595189533662</v>
      </c>
      <c r="D39" s="443">
        <f>+FY15RevToColl!D39-FY15RevToCollwoMapChg!D39</f>
        <v>341.61029479997524</v>
      </c>
      <c r="E39" s="443">
        <f>+FY15RevToColl!E39-FY15RevToCollwoMapChg!E39</f>
        <v>-1.7564205950002361</v>
      </c>
      <c r="F39" s="443">
        <f>+FY15RevToColl!F39-FY15RevToCollwoMapChg!F39</f>
        <v>0</v>
      </c>
      <c r="G39" s="443">
        <f>+FY15RevToColl!G39-FY15RevToCollwoMapChg!G39</f>
        <v>-1.8104643056167333</v>
      </c>
      <c r="H39" s="443">
        <f>+FY15RevToColl!H39-FY15RevToCollwoMapChg!H39</f>
        <v>-4.4045624151549418</v>
      </c>
      <c r="I39" s="443">
        <f>+FY15RevToColl!I39-FY15RevToCollwoMapChg!I39</f>
        <v>-5.4043710615388818E-2</v>
      </c>
      <c r="J39" s="443">
        <f>+FY15RevToColl!J39-FY15RevToCollwoMapChg!J39</f>
        <v>-0.16213113184619488</v>
      </c>
      <c r="K39" s="443">
        <f>+FY15RevToColl!K39-FY15RevToCollwoMapChg!K39</f>
        <v>-4.5666935470017052</v>
      </c>
      <c r="L39" s="443">
        <f>+FY15RevToColl!L39-FY15RevToCollwoMapChg!L39</f>
        <v>0</v>
      </c>
      <c r="M39" s="443">
        <f>+FY15RevToColl!M39-FY15RevToCollwoMapChg!M39</f>
        <v>0</v>
      </c>
      <c r="N39" s="443">
        <f>+FY15RevToColl!N39-FY15RevToCollwoMapChg!N39</f>
        <v>-0.18915298715387507</v>
      </c>
      <c r="O39" s="443">
        <f>+FY15RevToColl!O39-FY15RevToCollwoMapChg!O39</f>
        <v>0</v>
      </c>
      <c r="P39" s="443">
        <f>+FY15RevToColl!P39-FY15RevToCollwoMapChg!P39</f>
        <v>0</v>
      </c>
      <c r="Q39" s="443">
        <f>+FY15RevToColl!Q39-FY15RevToCollwoMapChg!Q39</f>
        <v>-1.0808742123081174</v>
      </c>
      <c r="R39" s="443">
        <f>+FY15RevToColl!R39-FY15RevToCollwoMapChg!R39</f>
        <v>0</v>
      </c>
      <c r="S39" s="443">
        <f>+FY15RevToColl!S39-FY15RevToCollwoMapChg!S39</f>
        <v>0</v>
      </c>
      <c r="T39" s="444">
        <f t="shared" si="4"/>
        <v>-5.8577143136062659E-11</v>
      </c>
    </row>
    <row r="40" spans="1:91" s="18" customFormat="1" ht="20.100000000000001" customHeight="1">
      <c r="A40" s="404" t="s">
        <v>147</v>
      </c>
      <c r="B40" s="440" t="s">
        <v>208</v>
      </c>
      <c r="C40" s="410">
        <f>+FY15RevToColl!C40-FY15RevToCollwoMapChg!C40</f>
        <v>0</v>
      </c>
      <c r="D40" s="410">
        <f>+FY15RevToColl!D40-FY15RevToCollwoMapChg!D40</f>
        <v>-4.3360235399624116</v>
      </c>
      <c r="E40" s="410">
        <f>+FY15RevToColl!E40-FY15RevToCollwoMapChg!E40</f>
        <v>-1.0840058849906029</v>
      </c>
      <c r="F40" s="410">
        <f>+FY15RevToColl!F40-FY15RevToCollwoMapChg!F40</f>
        <v>0</v>
      </c>
      <c r="G40" s="410">
        <f>+FY15RevToColl!G40-FY15RevToCollwoMapChg!G40</f>
        <v>-1163.1383145949221</v>
      </c>
      <c r="H40" s="410">
        <f>+FY15RevToColl!H40-FY15RevToCollwoMapChg!H40</f>
        <v>-7.5880411949342488</v>
      </c>
      <c r="I40" s="410">
        <f>+FY15RevToColl!I40-FY15RevToCollwoMapChg!I40</f>
        <v>-5.4200294249529861</v>
      </c>
      <c r="J40" s="410">
        <f>+FY15RevToColl!J40-FY15RevToCollwoMapChg!J40</f>
        <v>0</v>
      </c>
      <c r="K40" s="410">
        <f>+FY15RevToColl!K40-FY15RevToCollwoMapChg!K40</f>
        <v>0</v>
      </c>
      <c r="L40" s="410">
        <f>+FY15RevToColl!L40-FY15RevToCollwoMapChg!L40</f>
        <v>0</v>
      </c>
      <c r="M40" s="410">
        <f>+FY15RevToColl!M40-FY15RevToCollwoMapChg!M40</f>
        <v>0</v>
      </c>
      <c r="N40" s="410">
        <f>+FY15RevToColl!N40-FY15RevToCollwoMapChg!N40</f>
        <v>-45.528247169608221</v>
      </c>
      <c r="O40" s="410">
        <f>+FY15RevToColl!O40-FY15RevToCollwoMapChg!O40</f>
        <v>0</v>
      </c>
      <c r="P40" s="410">
        <f>+FY15RevToColl!P40-FY15RevToCollwoMapChg!P40</f>
        <v>0</v>
      </c>
      <c r="Q40" s="410">
        <f>+FY15RevToColl!Q40-FY15RevToCollwoMapChg!Q40</f>
        <v>-1.6260088274859186</v>
      </c>
      <c r="R40" s="410">
        <f>+FY15RevToColl!R40-FY15RevToCollwoMapChg!R40</f>
        <v>0</v>
      </c>
      <c r="S40" s="410">
        <f>+FY15RevToColl!S40-FY15RevToCollwoMapChg!S40</f>
        <v>1228.7206706368713</v>
      </c>
      <c r="T40" s="441">
        <f t="shared" si="4"/>
        <v>1.4551915228366852E-11</v>
      </c>
    </row>
    <row r="41" spans="1:91" ht="20.100000000000001" customHeight="1">
      <c r="A41" s="404" t="s">
        <v>148</v>
      </c>
      <c r="B41" s="442" t="s">
        <v>39</v>
      </c>
      <c r="C41" s="443">
        <f>+FY15RevToColl!C41-FY15RevToCollwoMapChg!C41</f>
        <v>-3.7108306721556801</v>
      </c>
      <c r="D41" s="443">
        <f>+FY15RevToColl!D41-FY15RevToCollwoMapChg!D41</f>
        <v>-18.826507905527251</v>
      </c>
      <c r="E41" s="443">
        <f>+FY15RevToColl!E41-FY15RevToCollwoMapChg!E41</f>
        <v>-6.4343761196105334</v>
      </c>
      <c r="F41" s="443">
        <f>+FY15RevToColl!F41-FY15RevToCollwoMapChg!F41</f>
        <v>-1.7022159046587149</v>
      </c>
      <c r="G41" s="443">
        <f>+FY15RevToColl!G41-FY15RevToCollwoMapChg!G41</f>
        <v>-0.81706363423631956</v>
      </c>
      <c r="H41" s="443">
        <f>+FY15RevToColl!H41-FY15RevToCollwoMapChg!H41</f>
        <v>-10.51969429078963</v>
      </c>
      <c r="I41" s="443">
        <f>+FY15RevToColl!I41-FY15RevToCollwoMapChg!I41</f>
        <v>-0.57875340758414495</v>
      </c>
      <c r="J41" s="443">
        <f>+FY15RevToColl!J41-FY15RevToCollwoMapChg!J41</f>
        <v>-1.9405261313104347</v>
      </c>
      <c r="K41" s="443">
        <f>+FY15RevToColl!K41-FY15RevToCollwoMapChg!K41</f>
        <v>-364.00184905226342</v>
      </c>
      <c r="L41" s="443">
        <f>+FY15RevToColl!L41-FY15RevToCollwoMapChg!L41</f>
        <v>-1.4979499961000329</v>
      </c>
      <c r="M41" s="443">
        <f>+FY15RevToColl!M41-FY15RevToCollwoMapChg!M41</f>
        <v>0</v>
      </c>
      <c r="N41" s="443">
        <f>+FY15RevToColl!N41-FY15RevToCollwoMapChg!N41</f>
        <v>419.39195458984977</v>
      </c>
      <c r="O41" s="443">
        <f>+FY15RevToColl!O41-FY15RevToCollwoMapChg!O41</f>
        <v>0</v>
      </c>
      <c r="P41" s="443">
        <f>+FY15RevToColl!P41-FY15RevToCollwoMapChg!P41</f>
        <v>0</v>
      </c>
      <c r="Q41" s="443">
        <f>+FY15RevToColl!Q41-FY15RevToCollwoMapChg!Q41</f>
        <v>-9.2600545213463192</v>
      </c>
      <c r="R41" s="443">
        <f>+FY15RevToColl!R41-FY15RevToCollwoMapChg!R41</f>
        <v>0</v>
      </c>
      <c r="S41" s="443">
        <f>+FY15RevToColl!S41-FY15RevToCollwoMapChg!S41</f>
        <v>-0.10213295427953994</v>
      </c>
      <c r="T41" s="444">
        <f t="shared" si="4"/>
        <v>-1.2249756764504127E-11</v>
      </c>
    </row>
    <row r="42" spans="1:91" s="18" customFormat="1" ht="20.100000000000001" customHeight="1">
      <c r="A42" s="404" t="s">
        <v>149</v>
      </c>
      <c r="B42" s="440" t="s">
        <v>38</v>
      </c>
      <c r="C42" s="410">
        <f>+FY15RevToColl!C42-FY15RevToCollwoMapChg!C42</f>
        <v>0</v>
      </c>
      <c r="D42" s="410">
        <f>+FY15RevToColl!D42-FY15RevToCollwoMapChg!D42</f>
        <v>0</v>
      </c>
      <c r="E42" s="410">
        <f>+FY15RevToColl!E42-FY15RevToCollwoMapChg!E42</f>
        <v>0</v>
      </c>
      <c r="F42" s="410">
        <f>+FY15RevToColl!F42-FY15RevToCollwoMapChg!F42</f>
        <v>0</v>
      </c>
      <c r="G42" s="410">
        <f>+FY15RevToColl!G42-FY15RevToCollwoMapChg!G42</f>
        <v>0</v>
      </c>
      <c r="H42" s="410">
        <f>+FY15RevToColl!H42-FY15RevToCollwoMapChg!H42</f>
        <v>0</v>
      </c>
      <c r="I42" s="410">
        <f>+FY15RevToColl!I42-FY15RevToCollwoMapChg!I42</f>
        <v>0</v>
      </c>
      <c r="J42" s="410">
        <f>+FY15RevToColl!J42-FY15RevToCollwoMapChg!J42</f>
        <v>0</v>
      </c>
      <c r="K42" s="410">
        <f>+FY15RevToColl!K42-FY15RevToCollwoMapChg!K42</f>
        <v>0</v>
      </c>
      <c r="L42" s="410">
        <f>+FY15RevToColl!L42-FY15RevToCollwoMapChg!L42</f>
        <v>0</v>
      </c>
      <c r="M42" s="410">
        <f>+FY15RevToColl!M42-FY15RevToCollwoMapChg!M42</f>
        <v>0</v>
      </c>
      <c r="N42" s="410">
        <f>+FY15RevToColl!N42-FY15RevToCollwoMapChg!N42</f>
        <v>0</v>
      </c>
      <c r="O42" s="410">
        <f>+FY15RevToColl!O42-FY15RevToCollwoMapChg!O42</f>
        <v>0</v>
      </c>
      <c r="P42" s="410">
        <f>+FY15RevToColl!P42-FY15RevToCollwoMapChg!P42</f>
        <v>0</v>
      </c>
      <c r="Q42" s="410">
        <f>+FY15RevToColl!Q42-FY15RevToCollwoMapChg!Q42</f>
        <v>0</v>
      </c>
      <c r="R42" s="410">
        <f>+FY15RevToColl!R42-FY15RevToCollwoMapChg!R42</f>
        <v>0</v>
      </c>
      <c r="S42" s="410">
        <f>+FY15RevToColl!S42-FY15RevToCollwoMapChg!S42</f>
        <v>0</v>
      </c>
      <c r="T42" s="441">
        <f t="shared" si="4"/>
        <v>0</v>
      </c>
    </row>
    <row r="43" spans="1:91" ht="20.100000000000001" customHeight="1">
      <c r="A43" s="404" t="s">
        <v>150</v>
      </c>
      <c r="B43" s="442" t="s">
        <v>31</v>
      </c>
      <c r="C43" s="443">
        <f>+FY15RevToColl!C43-FY15RevToCollwoMapChg!C43</f>
        <v>-0.32065013583473956</v>
      </c>
      <c r="D43" s="443">
        <f>+FY15RevToColl!D43-FY15RevToCollwoMapChg!D43</f>
        <v>-2.9058918560021993</v>
      </c>
      <c r="E43" s="443">
        <f>+FY15RevToColl!E43-FY15RevToCollwoMapChg!E43</f>
        <v>-1.162356742400334</v>
      </c>
      <c r="F43" s="443">
        <f>+FY15RevToColl!F43-FY15RevToCollwoMapChg!F43</f>
        <v>-0.52105647073130967</v>
      </c>
      <c r="G43" s="443">
        <f>+FY15RevToColl!G43-FY15RevToCollwoMapChg!G43</f>
        <v>-8.016253395868489E-2</v>
      </c>
      <c r="H43" s="443">
        <f>+FY15RevToColl!H43-FY15RevToCollwoMapChg!H43</f>
        <v>-6.0121900469027878E-2</v>
      </c>
      <c r="I43" s="443">
        <f>+FY15RevToColl!I43-FY15RevToCollwoMapChg!I43</f>
        <v>-1.6032506791734704</v>
      </c>
      <c r="J43" s="443">
        <f>+FY15RevToColl!J43-FY15RevToCollwoMapChg!J43</f>
        <v>7.8960095949005336</v>
      </c>
      <c r="K43" s="443">
        <f>+FY15RevToColl!K43-FY15RevToCollwoMapChg!K43</f>
        <v>-8.016253395868489E-2</v>
      </c>
      <c r="L43" s="443">
        <f>+FY15RevToColl!L43-FY15RevToCollwoMapChg!L43</f>
        <v>-6.0121900469027878E-2</v>
      </c>
      <c r="M43" s="443">
        <f>+FY15RevToColl!M43-FY15RevToCollwoMapChg!M43</f>
        <v>0</v>
      </c>
      <c r="N43" s="443">
        <f>+FY15RevToColl!N43-FY15RevToCollwoMapChg!N43</f>
        <v>-2.0040633489671222E-2</v>
      </c>
      <c r="O43" s="443">
        <f>+FY15RevToColl!O43-FY15RevToCollwoMapChg!O43</f>
        <v>0</v>
      </c>
      <c r="P43" s="443">
        <f>+FY15RevToColl!P43-FY15RevToCollwoMapChg!P43</f>
        <v>-6.0121900469027878E-2</v>
      </c>
      <c r="Q43" s="443">
        <f>+FY15RevToColl!Q43-FY15RevToCollwoMapChg!Q43</f>
        <v>-0.86174724005513781</v>
      </c>
      <c r="R43" s="443">
        <f>+FY15RevToColl!R43-FY15RevToCollwoMapChg!R43</f>
        <v>0</v>
      </c>
      <c r="S43" s="443">
        <f>+FY15RevToColl!S43-FY15RevToCollwoMapChg!S43</f>
        <v>-0.16032506791736978</v>
      </c>
      <c r="T43" s="444">
        <f t="shared" si="4"/>
        <v>-2.8151703190815169E-11</v>
      </c>
    </row>
    <row r="44" spans="1:91" s="18" customFormat="1" ht="20.100000000000001" customHeight="1">
      <c r="A44" s="404" t="s">
        <v>151</v>
      </c>
      <c r="B44" s="440" t="s">
        <v>209</v>
      </c>
      <c r="C44" s="410">
        <f>+FY15RevToColl!C44-FY15RevToCollwoMapChg!C44</f>
        <v>0</v>
      </c>
      <c r="D44" s="410">
        <f>+FY15RevToColl!D44-FY15RevToCollwoMapChg!D44</f>
        <v>0</v>
      </c>
      <c r="E44" s="410">
        <f>+FY15RevToColl!E44-FY15RevToCollwoMapChg!E44</f>
        <v>0</v>
      </c>
      <c r="F44" s="410">
        <f>+FY15RevToColl!F44-FY15RevToCollwoMapChg!F44</f>
        <v>0</v>
      </c>
      <c r="G44" s="410">
        <f>+FY15RevToColl!G44-FY15RevToCollwoMapChg!G44</f>
        <v>0</v>
      </c>
      <c r="H44" s="410">
        <f>+FY15RevToColl!H44-FY15RevToCollwoMapChg!H44</f>
        <v>0</v>
      </c>
      <c r="I44" s="410">
        <f>+FY15RevToColl!I44-FY15RevToCollwoMapChg!I44</f>
        <v>0</v>
      </c>
      <c r="J44" s="410">
        <f>+FY15RevToColl!J44-FY15RevToCollwoMapChg!J44</f>
        <v>0</v>
      </c>
      <c r="K44" s="410">
        <f>+FY15RevToColl!K44-FY15RevToCollwoMapChg!K44</f>
        <v>0</v>
      </c>
      <c r="L44" s="410">
        <f>+FY15RevToColl!L44-FY15RevToCollwoMapChg!L44</f>
        <v>0</v>
      </c>
      <c r="M44" s="410">
        <f>+FY15RevToColl!M44-FY15RevToCollwoMapChg!M44</f>
        <v>0</v>
      </c>
      <c r="N44" s="410">
        <f>+FY15RevToColl!N44-FY15RevToCollwoMapChg!N44</f>
        <v>0</v>
      </c>
      <c r="O44" s="410">
        <f>+FY15RevToColl!O44-FY15RevToCollwoMapChg!O44</f>
        <v>0</v>
      </c>
      <c r="P44" s="410">
        <f>+FY15RevToColl!P44-FY15RevToCollwoMapChg!P44</f>
        <v>0</v>
      </c>
      <c r="Q44" s="410">
        <f>+FY15RevToColl!Q44-FY15RevToCollwoMapChg!Q44</f>
        <v>0</v>
      </c>
      <c r="R44" s="410">
        <f>+FY15RevToColl!R44-FY15RevToCollwoMapChg!R44</f>
        <v>0</v>
      </c>
      <c r="S44" s="410">
        <f>+FY15RevToColl!S44-FY15RevToCollwoMapChg!S44</f>
        <v>0</v>
      </c>
      <c r="T44" s="441">
        <f t="shared" si="4"/>
        <v>0</v>
      </c>
    </row>
    <row r="45" spans="1:91" ht="20.100000000000001" customHeight="1">
      <c r="A45" s="404" t="s">
        <v>153</v>
      </c>
      <c r="B45" s="442" t="s">
        <v>100</v>
      </c>
      <c r="C45" s="443">
        <f>+FY15RevToColl!C45-FY15RevToCollwoMapChg!C45</f>
        <v>-3.1863914456207567</v>
      </c>
      <c r="D45" s="443">
        <f>+FY15RevToColl!D45-FY15RevToCollwoMapChg!D45</f>
        <v>-4.7795871684312488</v>
      </c>
      <c r="E45" s="443">
        <f>+FY15RevToColl!E45-FY15RevToCollwoMapChg!E45</f>
        <v>-8.4970438549889877</v>
      </c>
      <c r="F45" s="443">
        <f>+FY15RevToColl!F45-FY15RevToCollwoMapChg!F45</f>
        <v>0</v>
      </c>
      <c r="G45" s="443">
        <f>+FY15RevToColl!G45-FY15RevToCollwoMapChg!G45</f>
        <v>0</v>
      </c>
      <c r="H45" s="443">
        <f>+FY15RevToColl!H45-FY15RevToCollwoMapChg!H45</f>
        <v>0</v>
      </c>
      <c r="I45" s="443">
        <f>+FY15RevToColl!I45-FY15RevToCollwoMapChg!I45</f>
        <v>-1.5931957228103784</v>
      </c>
      <c r="J45" s="443">
        <f>+FY15RevToColl!J45-FY15RevToCollwoMapChg!J45</f>
        <v>0</v>
      </c>
      <c r="K45" s="443">
        <f>+FY15RevToColl!K45-FY15RevToCollwoMapChg!K45</f>
        <v>-10.621304818736235</v>
      </c>
      <c r="L45" s="443">
        <f>+FY15RevToColl!L45-FY15RevToCollwoMapChg!L45</f>
        <v>-3.1863914456207567</v>
      </c>
      <c r="M45" s="443">
        <f>+FY15RevToColl!M45-FY15RevToCollwoMapChg!M45</f>
        <v>0</v>
      </c>
      <c r="N45" s="443">
        <f>+FY15RevToColl!N45-FY15RevToCollwoMapChg!N45</f>
        <v>1172.0609867475337</v>
      </c>
      <c r="O45" s="443">
        <f>+FY15RevToColl!O45-FY15RevToCollwoMapChg!O45</f>
        <v>-1083.3730915110791</v>
      </c>
      <c r="P45" s="443">
        <f>+FY15RevToColl!P45-FY15RevToCollwoMapChg!P45</f>
        <v>-29.739653492461912</v>
      </c>
      <c r="Q45" s="443">
        <f>+FY15RevToColl!Q45-FY15RevToCollwoMapChg!Q45</f>
        <v>-26.553262046841155</v>
      </c>
      <c r="R45" s="443">
        <f>+FY15RevToColl!R45-FY15RevToCollwoMapChg!R45</f>
        <v>0</v>
      </c>
      <c r="S45" s="443">
        <f>+FY15RevToColl!S45-FY15RevToCollwoMapChg!S45</f>
        <v>-0.53106524093681173</v>
      </c>
      <c r="T45" s="444">
        <f t="shared" si="4"/>
        <v>6.1959326558280736E-12</v>
      </c>
    </row>
    <row r="46" spans="1:91" s="18" customFormat="1" ht="20.100000000000001" customHeight="1">
      <c r="A46" s="404" t="s">
        <v>155</v>
      </c>
      <c r="B46" s="440" t="s">
        <v>42</v>
      </c>
      <c r="C46" s="410">
        <f>+FY15RevToColl!C46-FY15RevToCollwoMapChg!C46</f>
        <v>0</v>
      </c>
      <c r="D46" s="410">
        <f>+FY15RevToColl!D46-FY15RevToCollwoMapChg!D46</f>
        <v>0</v>
      </c>
      <c r="E46" s="410">
        <f>+FY15RevToColl!E46-FY15RevToCollwoMapChg!E46</f>
        <v>0</v>
      </c>
      <c r="F46" s="410">
        <f>+FY15RevToColl!F46-FY15RevToCollwoMapChg!F46</f>
        <v>0</v>
      </c>
      <c r="G46" s="410">
        <f>+FY15RevToColl!G46-FY15RevToCollwoMapChg!G46</f>
        <v>0</v>
      </c>
      <c r="H46" s="410">
        <f>+FY15RevToColl!H46-FY15RevToCollwoMapChg!H46</f>
        <v>0</v>
      </c>
      <c r="I46" s="410">
        <f>+FY15RevToColl!I46-FY15RevToCollwoMapChg!I46</f>
        <v>0</v>
      </c>
      <c r="J46" s="410">
        <f>+FY15RevToColl!J46-FY15RevToCollwoMapChg!J46</f>
        <v>0</v>
      </c>
      <c r="K46" s="410">
        <f>+FY15RevToColl!K46-FY15RevToCollwoMapChg!K46</f>
        <v>0</v>
      </c>
      <c r="L46" s="410">
        <f>+FY15RevToColl!L46-FY15RevToCollwoMapChg!L46</f>
        <v>0</v>
      </c>
      <c r="M46" s="410">
        <f>+FY15RevToColl!M46-FY15RevToCollwoMapChg!M46</f>
        <v>0</v>
      </c>
      <c r="N46" s="410">
        <f>+FY15RevToColl!N46-FY15RevToCollwoMapChg!N46</f>
        <v>0</v>
      </c>
      <c r="O46" s="410">
        <f>+FY15RevToColl!O46-FY15RevToCollwoMapChg!O46</f>
        <v>0</v>
      </c>
      <c r="P46" s="410">
        <f>+FY15RevToColl!P46-FY15RevToCollwoMapChg!P46</f>
        <v>0</v>
      </c>
      <c r="Q46" s="410">
        <f>+FY15RevToColl!Q46-FY15RevToCollwoMapChg!Q46</f>
        <v>0</v>
      </c>
      <c r="R46" s="410">
        <f>+FY15RevToColl!R46-FY15RevToCollwoMapChg!R46</f>
        <v>0</v>
      </c>
      <c r="S46" s="410">
        <f>+FY15RevToColl!S46-FY15RevToCollwoMapChg!S46</f>
        <v>0</v>
      </c>
      <c r="T46" s="441">
        <f t="shared" si="4"/>
        <v>0</v>
      </c>
    </row>
    <row r="47" spans="1:91" ht="20.100000000000001" customHeight="1">
      <c r="A47" s="404" t="s">
        <v>162</v>
      </c>
      <c r="B47" s="442" t="s">
        <v>76</v>
      </c>
      <c r="C47" s="443">
        <f>+FY15RevToColl!C47-FY15RevToCollwoMapChg!C47</f>
        <v>0</v>
      </c>
      <c r="D47" s="443">
        <f>+FY15RevToColl!D47-FY15RevToCollwoMapChg!D47</f>
        <v>-1.8499887510870394E-2</v>
      </c>
      <c r="E47" s="443">
        <f>+FY15RevToColl!E47-FY15RevToCollwoMapChg!E47</f>
        <v>0</v>
      </c>
      <c r="F47" s="443">
        <f>+FY15RevToColl!F47-FY15RevToCollwoMapChg!F47</f>
        <v>0</v>
      </c>
      <c r="G47" s="443">
        <f>+FY15RevToColl!G47-FY15RevToCollwoMapChg!G47</f>
        <v>-2.3124859388758523E-2</v>
      </c>
      <c r="H47" s="443">
        <f>+FY15RevToColl!H47-FY15RevToCollwoMapChg!H47</f>
        <v>-4.6249718777175985E-3</v>
      </c>
      <c r="I47" s="443">
        <f>+FY15RevToColl!I47-FY15RevToCollwoMapChg!I47</f>
        <v>0</v>
      </c>
      <c r="J47" s="443">
        <f>+FY15RevToColl!J47-FY15RevToCollwoMapChg!J47</f>
        <v>0</v>
      </c>
      <c r="K47" s="443">
        <f>+FY15RevToColl!K47-FY15RevToCollwoMapChg!K47</f>
        <v>0</v>
      </c>
      <c r="L47" s="443">
        <f>+FY15RevToColl!L47-FY15RevToCollwoMapChg!L47</f>
        <v>0</v>
      </c>
      <c r="M47" s="443">
        <f>+FY15RevToColl!M47-FY15RevToCollwoMapChg!M47</f>
        <v>0</v>
      </c>
      <c r="N47" s="443">
        <f>+FY15RevToColl!N47-FY15RevToCollwoMapChg!N47</f>
        <v>0.19424881879240274</v>
      </c>
      <c r="O47" s="443">
        <f>+FY15RevToColl!O47-FY15RevToCollwoMapChg!O47</f>
        <v>0</v>
      </c>
      <c r="P47" s="443">
        <f>+FY15RevToColl!P47-FY15RevToCollwoMapChg!P47</f>
        <v>0</v>
      </c>
      <c r="Q47" s="443">
        <f>+FY15RevToColl!Q47-FY15RevToCollwoMapChg!Q47</f>
        <v>-0.14799910008696315</v>
      </c>
      <c r="R47" s="443">
        <f>+FY15RevToColl!R47-FY15RevToCollwoMapChg!R47</f>
        <v>0</v>
      </c>
      <c r="S47" s="443">
        <f>+FY15RevToColl!S47-FY15RevToCollwoMapChg!S47</f>
        <v>0</v>
      </c>
      <c r="T47" s="444">
        <f t="shared" si="4"/>
        <v>-7.1906924858922139E-11</v>
      </c>
    </row>
    <row r="48" spans="1:91" s="18" customFormat="1" ht="20.100000000000001" customHeight="1">
      <c r="A48" s="404" t="s">
        <v>156</v>
      </c>
      <c r="B48" s="440" t="s">
        <v>77</v>
      </c>
      <c r="C48" s="410">
        <f>+FY15RevToColl!C48-FY15RevToCollwoMapChg!C48</f>
        <v>0</v>
      </c>
      <c r="D48" s="410">
        <f>+FY15RevToColl!D48-FY15RevToCollwoMapChg!D48</f>
        <v>0</v>
      </c>
      <c r="E48" s="410">
        <f>+FY15RevToColl!E48-FY15RevToCollwoMapChg!E48</f>
        <v>0</v>
      </c>
      <c r="F48" s="410">
        <f>+FY15RevToColl!F48-FY15RevToCollwoMapChg!F48</f>
        <v>0</v>
      </c>
      <c r="G48" s="410">
        <f>+FY15RevToColl!G48-FY15RevToCollwoMapChg!G48</f>
        <v>0</v>
      </c>
      <c r="H48" s="410">
        <f>+FY15RevToColl!H48-FY15RevToCollwoMapChg!H48</f>
        <v>0</v>
      </c>
      <c r="I48" s="410">
        <f>+FY15RevToColl!I48-FY15RevToCollwoMapChg!I48</f>
        <v>0</v>
      </c>
      <c r="J48" s="410">
        <f>+FY15RevToColl!J48-FY15RevToCollwoMapChg!J48</f>
        <v>0</v>
      </c>
      <c r="K48" s="410">
        <f>+FY15RevToColl!K48-FY15RevToCollwoMapChg!K48</f>
        <v>0</v>
      </c>
      <c r="L48" s="410">
        <f>+FY15RevToColl!L48-FY15RevToCollwoMapChg!L48</f>
        <v>0</v>
      </c>
      <c r="M48" s="410">
        <f>+FY15RevToColl!M48-FY15RevToCollwoMapChg!M48</f>
        <v>0</v>
      </c>
      <c r="N48" s="410">
        <f>+FY15RevToColl!N48-FY15RevToCollwoMapChg!N48</f>
        <v>0</v>
      </c>
      <c r="O48" s="410">
        <f>+FY15RevToColl!O48-FY15RevToCollwoMapChg!O48</f>
        <v>0</v>
      </c>
      <c r="P48" s="410">
        <f>+FY15RevToColl!P48-FY15RevToCollwoMapChg!P48</f>
        <v>0</v>
      </c>
      <c r="Q48" s="410">
        <f>+FY15RevToColl!Q48-FY15RevToCollwoMapChg!Q48</f>
        <v>0</v>
      </c>
      <c r="R48" s="410">
        <f>+FY15RevToColl!R48-FY15RevToCollwoMapChg!R48</f>
        <v>0</v>
      </c>
      <c r="S48" s="410">
        <f>+FY15RevToColl!S48-FY15RevToCollwoMapChg!S48</f>
        <v>0</v>
      </c>
      <c r="T48" s="441">
        <f t="shared" si="4"/>
        <v>0</v>
      </c>
    </row>
    <row r="49" spans="1:20" ht="20.100000000000001" customHeight="1">
      <c r="A49" s="404" t="s">
        <v>163</v>
      </c>
      <c r="B49" s="445" t="s">
        <v>164</v>
      </c>
      <c r="C49" s="443">
        <f>+FY15RevToColl!C49-FY15RevToCollwoMapChg!C49</f>
        <v>0</v>
      </c>
      <c r="D49" s="443">
        <f>+FY15RevToColl!D49-FY15RevToCollwoMapChg!D49</f>
        <v>0</v>
      </c>
      <c r="E49" s="443">
        <f>+FY15RevToColl!E49-FY15RevToCollwoMapChg!E49</f>
        <v>0</v>
      </c>
      <c r="F49" s="443">
        <f>+FY15RevToColl!F49-FY15RevToCollwoMapChg!F49</f>
        <v>0</v>
      </c>
      <c r="G49" s="443">
        <f>+FY15RevToColl!G49-FY15RevToCollwoMapChg!G49</f>
        <v>0</v>
      </c>
      <c r="H49" s="443">
        <f>+FY15RevToColl!H49-FY15RevToCollwoMapChg!H49</f>
        <v>0</v>
      </c>
      <c r="I49" s="443">
        <f>+FY15RevToColl!I49-FY15RevToCollwoMapChg!I49</f>
        <v>0</v>
      </c>
      <c r="J49" s="443">
        <f>+FY15RevToColl!J49-FY15RevToCollwoMapChg!J49</f>
        <v>0</v>
      </c>
      <c r="K49" s="443">
        <f>+FY15RevToColl!K49-FY15RevToCollwoMapChg!K49</f>
        <v>0</v>
      </c>
      <c r="L49" s="443">
        <f>+FY15RevToColl!L49-FY15RevToCollwoMapChg!L49</f>
        <v>0</v>
      </c>
      <c r="M49" s="443">
        <f>+FY15RevToColl!M49-FY15RevToCollwoMapChg!M49</f>
        <v>0</v>
      </c>
      <c r="N49" s="443">
        <f>+FY15RevToColl!N49-FY15RevToCollwoMapChg!N49</f>
        <v>0</v>
      </c>
      <c r="O49" s="443">
        <f>+FY15RevToColl!O49-FY15RevToCollwoMapChg!O49</f>
        <v>0</v>
      </c>
      <c r="P49" s="443">
        <f>+FY15RevToColl!P49-FY15RevToCollwoMapChg!P49</f>
        <v>0</v>
      </c>
      <c r="Q49" s="443">
        <f>+FY15RevToColl!Q49-FY15RevToCollwoMapChg!Q49</f>
        <v>0</v>
      </c>
      <c r="R49" s="443">
        <f>+FY15RevToColl!R49-FY15RevToCollwoMapChg!R49</f>
        <v>0</v>
      </c>
      <c r="S49" s="443">
        <f>+FY15RevToColl!S49-FY15RevToCollwoMapChg!S49</f>
        <v>0</v>
      </c>
      <c r="T49" s="446">
        <f t="shared" si="4"/>
        <v>0</v>
      </c>
    </row>
    <row r="50" spans="1:20" ht="20.100000000000001" customHeight="1">
      <c r="A50" s="405"/>
      <c r="B50" s="447" t="s">
        <v>17</v>
      </c>
      <c r="C50" s="448">
        <f t="shared" ref="C50:S50" si="5">SUM(C29:C49)</f>
        <v>-23136.975541279397</v>
      </c>
      <c r="D50" s="448">
        <f t="shared" si="5"/>
        <v>256228.26544481164</v>
      </c>
      <c r="E50" s="448">
        <f t="shared" si="5"/>
        <v>-66423.182912551929</v>
      </c>
      <c r="F50" s="448">
        <f t="shared" si="5"/>
        <v>-15062.872406723804</v>
      </c>
      <c r="G50" s="448">
        <f t="shared" si="5"/>
        <v>-107178.523890399</v>
      </c>
      <c r="H50" s="448">
        <f t="shared" si="5"/>
        <v>-9303.5766562568951</v>
      </c>
      <c r="I50" s="448">
        <f t="shared" si="5"/>
        <v>-15214.740347964449</v>
      </c>
      <c r="J50" s="448">
        <f t="shared" si="5"/>
        <v>-810.7896851298907</v>
      </c>
      <c r="K50" s="448">
        <f t="shared" si="5"/>
        <v>-1036.3806833182855</v>
      </c>
      <c r="L50" s="448">
        <f t="shared" si="5"/>
        <v>-4199.8749266455025</v>
      </c>
      <c r="M50" s="448">
        <f t="shared" si="5"/>
        <v>-61.342781595085569</v>
      </c>
      <c r="N50" s="448">
        <f t="shared" si="5"/>
        <v>182974.03679870174</v>
      </c>
      <c r="O50" s="448">
        <f t="shared" si="5"/>
        <v>-10021.157747278668</v>
      </c>
      <c r="P50" s="448">
        <f t="shared" si="5"/>
        <v>-2085.5943466348358</v>
      </c>
      <c r="Q50" s="448">
        <f t="shared" si="5"/>
        <v>-19215.188317745517</v>
      </c>
      <c r="R50" s="448">
        <f t="shared" si="5"/>
        <v>-13696.069607476853</v>
      </c>
      <c r="S50" s="448">
        <f t="shared" si="5"/>
        <v>-151756.03239250122</v>
      </c>
      <c r="T50" s="448">
        <f>SUM(C50:S50)</f>
        <v>1.2078089639544487E-8</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+FY15RevToColl!C53-FY15RevToCollwoMapChg!C53</f>
        <v>-14437.580122118583</v>
      </c>
      <c r="D53" s="455">
        <f>+FY15RevToColl!D53-FY15RevToCollwoMapChg!D53</f>
        <v>387494.33792042732</v>
      </c>
      <c r="E53" s="455">
        <f>+FY15RevToColl!E53-FY15RevToCollwoMapChg!E53</f>
        <v>-114727.19918469153</v>
      </c>
      <c r="F53" s="455">
        <f>+FY15RevToColl!F53-FY15RevToCollwoMapChg!F53</f>
        <v>-13019.60350298183</v>
      </c>
      <c r="G53" s="455">
        <f>+FY15RevToColl!G53-FY15RevToCollwoMapChg!G53</f>
        <v>-119625.66386898234</v>
      </c>
      <c r="H53" s="455">
        <f>+FY15RevToColl!H53-FY15RevToCollwoMapChg!H53</f>
        <v>-38027.554785937071</v>
      </c>
      <c r="I53" s="455">
        <f>+FY15RevToColl!I53-FY15RevToCollwoMapChg!I53</f>
        <v>-12890.696537605952</v>
      </c>
      <c r="J53" s="455">
        <f>+FY15RevToColl!J53-FY15RevToCollwoMapChg!J53</f>
        <v>0</v>
      </c>
      <c r="K53" s="455">
        <f>+FY15RevToColl!K53-FY15RevToCollwoMapChg!K53</f>
        <v>0</v>
      </c>
      <c r="L53" s="455">
        <f>+FY15RevToColl!L53-FY15RevToCollwoMapChg!L53</f>
        <v>-5285.1855804185034</v>
      </c>
      <c r="M53" s="455">
        <f>+FY15RevToColl!M53-FY15RevToCollwoMapChg!M53</f>
        <v>0</v>
      </c>
      <c r="N53" s="455">
        <f>+FY15RevToColl!N53-FY15RevToCollwoMapChg!N53</f>
        <v>538729.72777106706</v>
      </c>
      <c r="O53" s="455">
        <f>+FY15RevToColl!O53-FY15RevToCollwoMapChg!O53</f>
        <v>-18304.789083400276</v>
      </c>
      <c r="P53" s="455">
        <f>+FY15RevToColl!P53-FY15RevToCollwoMapChg!P53</f>
        <v>0</v>
      </c>
      <c r="Q53" s="455">
        <f>+FY15RevToColl!Q53-FY15RevToCollwoMapChg!Q53</f>
        <v>-23074.346802314278</v>
      </c>
      <c r="R53" s="455">
        <f>+FY15RevToColl!R53-FY15RevToCollwoMapChg!R53</f>
        <v>-1675.7905498887412</v>
      </c>
      <c r="S53" s="455">
        <f>+FY15RevToColl!S53-FY15RevToCollwoMapChg!S53</f>
        <v>-565155.65567315929</v>
      </c>
      <c r="T53" s="455">
        <f t="shared" ref="T53:T74" si="6">SUM(C53:Q53)+R53+S53</f>
        <v>-3.9581209421157837E-9</v>
      </c>
    </row>
    <row r="54" spans="1:20" s="18" customFormat="1" ht="20.100000000000001" customHeight="1">
      <c r="A54" s="404" t="s">
        <v>129</v>
      </c>
      <c r="B54" s="440" t="s">
        <v>35</v>
      </c>
      <c r="C54" s="410">
        <f>+FY15RevToColl!C54-FY15RevToCollwoMapChg!C54</f>
        <v>187.57064613726106</v>
      </c>
      <c r="D54" s="410">
        <f>+FY15RevToColl!D54-FY15RevToCollwoMapChg!D54</f>
        <v>22784.209198447876</v>
      </c>
      <c r="E54" s="410">
        <f>+FY15RevToColl!E54-FY15RevToCollwoMapChg!E54</f>
        <v>708.2408880009898</v>
      </c>
      <c r="F54" s="410">
        <f>+FY15RevToColl!F54-FY15RevToCollwoMapChg!F54</f>
        <v>61.445556493235927</v>
      </c>
      <c r="G54" s="410">
        <f>+FY15RevToColl!G54-FY15RevToCollwoMapChg!G54</f>
        <v>1167.4655733714462</v>
      </c>
      <c r="H54" s="410">
        <f>+FY15RevToColl!H54-FY15RevToCollwoMapChg!H54</f>
        <v>0</v>
      </c>
      <c r="I54" s="410">
        <f>+FY15RevToColl!I54-FY15RevToCollwoMapChg!I54</f>
        <v>481.86252197326394</v>
      </c>
      <c r="J54" s="410">
        <f>+FY15RevToColl!J54-FY15RevToCollwoMapChg!J54</f>
        <v>9.7019299726171084</v>
      </c>
      <c r="K54" s="410">
        <f>+FY15RevToColl!K54-FY15RevToCollwoMapChg!K54</f>
        <v>168.16678619201411</v>
      </c>
      <c r="L54" s="410">
        <f>+FY15RevToColl!L54-FY15RevToCollwoMapChg!L54</f>
        <v>3.2339766575389604</v>
      </c>
      <c r="M54" s="410">
        <f>+FY15RevToColl!M54-FY15RevToCollwoMapChg!M54</f>
        <v>0</v>
      </c>
      <c r="N54" s="410">
        <f>+FY15RevToColl!N54-FY15RevToCollwoMapChg!N54</f>
        <v>4136.2561449927744</v>
      </c>
      <c r="O54" s="410">
        <f>+FY15RevToColl!O54-FY15RevToCollwoMapChg!O54</f>
        <v>6.4679533150779207</v>
      </c>
      <c r="P54" s="410">
        <f>+FY15RevToColl!P54-FY15RevToCollwoMapChg!P54</f>
        <v>672.66714476805646</v>
      </c>
      <c r="Q54" s="410">
        <f>+FY15RevToColl!Q54-FY15RevToCollwoMapChg!Q54</f>
        <v>6.4679533150779207</v>
      </c>
      <c r="R54" s="410">
        <f>+FY15RevToColl!R54-FY15RevToCollwoMapChg!R54</f>
        <v>0</v>
      </c>
      <c r="S54" s="410">
        <f>+FY15RevToColl!S54-FY15RevToCollwoMapChg!S54</f>
        <v>-30393.756273638923</v>
      </c>
      <c r="T54" s="410">
        <f t="shared" si="6"/>
        <v>-1.6952981241047382E-9</v>
      </c>
    </row>
    <row r="55" spans="1:20" ht="20.100000000000001" customHeight="1">
      <c r="A55" s="404" t="s">
        <v>140</v>
      </c>
      <c r="B55" s="456" t="s">
        <v>36</v>
      </c>
      <c r="C55" s="457">
        <f>+FY15RevToColl!C55-FY15RevToCollwoMapChg!C55</f>
        <v>0</v>
      </c>
      <c r="D55" s="457">
        <f>+FY15RevToColl!D55-FY15RevToCollwoMapChg!D55</f>
        <v>0</v>
      </c>
      <c r="E55" s="457">
        <f>+FY15RevToColl!E55-FY15RevToCollwoMapChg!E55</f>
        <v>0</v>
      </c>
      <c r="F55" s="457">
        <f>+FY15RevToColl!F55-FY15RevToCollwoMapChg!F55</f>
        <v>0</v>
      </c>
      <c r="G55" s="457">
        <f>+FY15RevToColl!G55-FY15RevToCollwoMapChg!G55</f>
        <v>0</v>
      </c>
      <c r="H55" s="457">
        <f>+FY15RevToColl!H55-FY15RevToCollwoMapChg!H55</f>
        <v>0</v>
      </c>
      <c r="I55" s="457">
        <f>+FY15RevToColl!I55-FY15RevToCollwoMapChg!I55</f>
        <v>0</v>
      </c>
      <c r="J55" s="457">
        <f>+FY15RevToColl!J55-FY15RevToCollwoMapChg!J55</f>
        <v>0</v>
      </c>
      <c r="K55" s="457">
        <f>+FY15RevToColl!K55-FY15RevToCollwoMapChg!K55</f>
        <v>0</v>
      </c>
      <c r="L55" s="457">
        <f>+FY15RevToColl!L55-FY15RevToCollwoMapChg!L55</f>
        <v>0</v>
      </c>
      <c r="M55" s="457">
        <f>+FY15RevToColl!M55-FY15RevToCollwoMapChg!M55</f>
        <v>0</v>
      </c>
      <c r="N55" s="457">
        <f>+FY15RevToColl!N55-FY15RevToCollwoMapChg!N55</f>
        <v>0</v>
      </c>
      <c r="O55" s="457">
        <f>+FY15RevToColl!O55-FY15RevToCollwoMapChg!O55</f>
        <v>0</v>
      </c>
      <c r="P55" s="457">
        <f>+FY15RevToColl!P55-FY15RevToCollwoMapChg!P55</f>
        <v>0</v>
      </c>
      <c r="Q55" s="457">
        <f>+FY15RevToColl!Q55-FY15RevToCollwoMapChg!Q55</f>
        <v>0</v>
      </c>
      <c r="R55" s="457">
        <f>+FY15RevToColl!R55-FY15RevToCollwoMapChg!R55</f>
        <v>0</v>
      </c>
      <c r="S55" s="457">
        <f>+FY15RevToColl!S55-FY15RevToCollwoMapChg!S55</f>
        <v>0</v>
      </c>
      <c r="T55" s="457">
        <f t="shared" si="6"/>
        <v>0</v>
      </c>
    </row>
    <row r="56" spans="1:20" s="18" customFormat="1" ht="20.100000000000001" customHeight="1">
      <c r="A56" s="404" t="s">
        <v>130</v>
      </c>
      <c r="B56" s="440" t="s">
        <v>37</v>
      </c>
      <c r="C56" s="410">
        <f>+FY15RevToColl!C56-FY15RevToCollwoMapChg!C56</f>
        <v>8.0654021269047007</v>
      </c>
      <c r="D56" s="410">
        <f>+FY15RevToColl!D56-FY15RevToCollwoMapChg!D56</f>
        <v>2140.2120643892631</v>
      </c>
      <c r="E56" s="410">
        <f>+FY15RevToColl!E56-FY15RevToCollwoMapChg!E56</f>
        <v>56.457814888330176</v>
      </c>
      <c r="F56" s="410">
        <f>+FY15RevToColl!F56-FY15RevToCollwoMapChg!F56</f>
        <v>48.392412761426385</v>
      </c>
      <c r="G56" s="410">
        <f>+FY15RevToColl!G56-FY15RevToCollwoMapChg!G56</f>
        <v>24115.552359444089</v>
      </c>
      <c r="H56" s="410">
        <f>+FY15RevToColl!H56-FY15RevToCollwoMapChg!H56</f>
        <v>16.130804253809401</v>
      </c>
      <c r="I56" s="410">
        <f>+FY15RevToColl!I56-FY15RevToCollwoMapChg!I56</f>
        <v>0</v>
      </c>
      <c r="J56" s="410">
        <f>+FY15RevToColl!J56-FY15RevToCollwoMapChg!J56</f>
        <v>72.588619142137759</v>
      </c>
      <c r="K56" s="410">
        <f>+FY15RevToColl!K56-FY15RevToCollwoMapChg!K56</f>
        <v>0</v>
      </c>
      <c r="L56" s="410">
        <f>+FY15RevToColl!L56-FY15RevToCollwoMapChg!L56</f>
        <v>0</v>
      </c>
      <c r="M56" s="410">
        <f>+FY15RevToColl!M56-FY15RevToCollwoMapChg!M56</f>
        <v>0</v>
      </c>
      <c r="N56" s="410">
        <f>+FY15RevToColl!N56-FY15RevToCollwoMapChg!N56</f>
        <v>2301.5201069273753</v>
      </c>
      <c r="O56" s="410">
        <f>+FY15RevToColl!O56-FY15RevToCollwoMapChg!O56</f>
        <v>1572.7534147463739</v>
      </c>
      <c r="P56" s="410">
        <f>+FY15RevToColl!P56-FY15RevToCollwoMapChg!P56</f>
        <v>0</v>
      </c>
      <c r="Q56" s="410">
        <f>+FY15RevToColl!Q56-FY15RevToCollwoMapChg!Q56</f>
        <v>322.6160850761662</v>
      </c>
      <c r="R56" s="410">
        <f>+FY15RevToColl!R56-FY15RevToCollwoMapChg!R56</f>
        <v>0</v>
      </c>
      <c r="S56" s="410">
        <f>+FY15RevToColl!S56-FY15RevToCollwoMapChg!S56</f>
        <v>-30654.289083755684</v>
      </c>
      <c r="T56" s="410">
        <f t="shared" si="6"/>
        <v>1.8917489796876907E-10</v>
      </c>
    </row>
    <row r="57" spans="1:20" ht="20.100000000000001" customHeight="1">
      <c r="A57" s="404" t="s">
        <v>131</v>
      </c>
      <c r="B57" s="456" t="s">
        <v>141</v>
      </c>
      <c r="C57" s="457">
        <f>+FY15RevToColl!C57-FY15RevToCollwoMapChg!C57</f>
        <v>0</v>
      </c>
      <c r="D57" s="457">
        <f>+FY15RevToColl!D57-FY15RevToCollwoMapChg!D57</f>
        <v>0</v>
      </c>
      <c r="E57" s="457">
        <f>+FY15RevToColl!E57-FY15RevToCollwoMapChg!E57</f>
        <v>0</v>
      </c>
      <c r="F57" s="457">
        <f>+FY15RevToColl!F57-FY15RevToCollwoMapChg!F57</f>
        <v>0</v>
      </c>
      <c r="G57" s="457">
        <f>+FY15RevToColl!G57-FY15RevToCollwoMapChg!G57</f>
        <v>0</v>
      </c>
      <c r="H57" s="457">
        <f>+FY15RevToColl!H57-FY15RevToCollwoMapChg!H57</f>
        <v>0</v>
      </c>
      <c r="I57" s="457">
        <f>+FY15RevToColl!I57-FY15RevToCollwoMapChg!I57</f>
        <v>0</v>
      </c>
      <c r="J57" s="457">
        <f>+FY15RevToColl!J57-FY15RevToCollwoMapChg!J57</f>
        <v>0</v>
      </c>
      <c r="K57" s="457">
        <f>+FY15RevToColl!K57-FY15RevToCollwoMapChg!K57</f>
        <v>0</v>
      </c>
      <c r="L57" s="457">
        <f>+FY15RevToColl!L57-FY15RevToCollwoMapChg!L57</f>
        <v>0</v>
      </c>
      <c r="M57" s="457">
        <f>+FY15RevToColl!M57-FY15RevToCollwoMapChg!M57</f>
        <v>0</v>
      </c>
      <c r="N57" s="457">
        <f>+FY15RevToColl!N57-FY15RevToCollwoMapChg!N57</f>
        <v>0</v>
      </c>
      <c r="O57" s="457">
        <f>+FY15RevToColl!O57-FY15RevToCollwoMapChg!O57</f>
        <v>0</v>
      </c>
      <c r="P57" s="457">
        <f>+FY15RevToColl!P57-FY15RevToCollwoMapChg!P57</f>
        <v>0</v>
      </c>
      <c r="Q57" s="457">
        <f>+FY15RevToColl!Q57-FY15RevToCollwoMapChg!Q57</f>
        <v>0</v>
      </c>
      <c r="R57" s="457">
        <f>+FY15RevToColl!R57-FY15RevToCollwoMapChg!R57</f>
        <v>0</v>
      </c>
      <c r="S57" s="457">
        <f>+FY15RevToColl!S57-FY15RevToCollwoMapChg!S57</f>
        <v>0</v>
      </c>
      <c r="T57" s="457">
        <f t="shared" si="6"/>
        <v>0</v>
      </c>
    </row>
    <row r="58" spans="1:20" s="18" customFormat="1" ht="20.100000000000001" customHeight="1">
      <c r="A58" s="404" t="s">
        <v>132</v>
      </c>
      <c r="B58" s="440" t="s">
        <v>206</v>
      </c>
      <c r="C58" s="410">
        <f>+FY15RevToColl!C58-FY15RevToCollwoMapChg!C58</f>
        <v>0</v>
      </c>
      <c r="D58" s="410">
        <f>+FY15RevToColl!D58-FY15RevToCollwoMapChg!D58</f>
        <v>0</v>
      </c>
      <c r="E58" s="410">
        <f>+FY15RevToColl!E58-FY15RevToCollwoMapChg!E58</f>
        <v>0</v>
      </c>
      <c r="F58" s="410">
        <f>+FY15RevToColl!F58-FY15RevToCollwoMapChg!F58</f>
        <v>0</v>
      </c>
      <c r="G58" s="410">
        <f>+FY15RevToColl!G58-FY15RevToCollwoMapChg!G58</f>
        <v>0</v>
      </c>
      <c r="H58" s="410">
        <f>+FY15RevToColl!H58-FY15RevToCollwoMapChg!H58</f>
        <v>0</v>
      </c>
      <c r="I58" s="410">
        <f>+FY15RevToColl!I58-FY15RevToCollwoMapChg!I58</f>
        <v>0</v>
      </c>
      <c r="J58" s="410">
        <f>+FY15RevToColl!J58-FY15RevToCollwoMapChg!J58</f>
        <v>0</v>
      </c>
      <c r="K58" s="410">
        <f>+FY15RevToColl!K58-FY15RevToCollwoMapChg!K58</f>
        <v>0</v>
      </c>
      <c r="L58" s="410">
        <f>+FY15RevToColl!L58-FY15RevToCollwoMapChg!L58</f>
        <v>0</v>
      </c>
      <c r="M58" s="410">
        <f>+FY15RevToColl!M58-FY15RevToCollwoMapChg!M58</f>
        <v>0</v>
      </c>
      <c r="N58" s="410">
        <f>+FY15RevToColl!N58-FY15RevToCollwoMapChg!N58</f>
        <v>0</v>
      </c>
      <c r="O58" s="410">
        <f>+FY15RevToColl!O58-FY15RevToCollwoMapChg!O58</f>
        <v>0</v>
      </c>
      <c r="P58" s="410">
        <f>+FY15RevToColl!P58-FY15RevToCollwoMapChg!P58</f>
        <v>0</v>
      </c>
      <c r="Q58" s="410">
        <f>+FY15RevToColl!Q58-FY15RevToCollwoMapChg!Q58</f>
        <v>0</v>
      </c>
      <c r="R58" s="410">
        <f>+FY15RevToColl!R58-FY15RevToCollwoMapChg!R58</f>
        <v>0</v>
      </c>
      <c r="S58" s="410">
        <f>+FY15RevToColl!S58-FY15RevToCollwoMapChg!S58</f>
        <v>0</v>
      </c>
      <c r="T58" s="410">
        <f t="shared" si="6"/>
        <v>0</v>
      </c>
    </row>
    <row r="59" spans="1:20" ht="20.100000000000001" customHeight="1">
      <c r="A59" s="404" t="s">
        <v>134</v>
      </c>
      <c r="B59" s="456" t="s">
        <v>40</v>
      </c>
      <c r="C59" s="457">
        <f>+FY15RevToColl!C59-FY15RevToCollwoMapChg!C59</f>
        <v>0</v>
      </c>
      <c r="D59" s="457">
        <f>+FY15RevToColl!D59-FY15RevToCollwoMapChg!D59</f>
        <v>0</v>
      </c>
      <c r="E59" s="457">
        <f>+FY15RevToColl!E59-FY15RevToCollwoMapChg!E59</f>
        <v>0</v>
      </c>
      <c r="F59" s="457">
        <f>+FY15RevToColl!F59-FY15RevToCollwoMapChg!F59</f>
        <v>0</v>
      </c>
      <c r="G59" s="457">
        <f>+FY15RevToColl!G59-FY15RevToCollwoMapChg!G59</f>
        <v>0</v>
      </c>
      <c r="H59" s="457">
        <f>+FY15RevToColl!H59-FY15RevToCollwoMapChg!H59</f>
        <v>0</v>
      </c>
      <c r="I59" s="457">
        <f>+FY15RevToColl!I59-FY15RevToCollwoMapChg!I59</f>
        <v>0</v>
      </c>
      <c r="J59" s="457">
        <f>+FY15RevToColl!J59-FY15RevToCollwoMapChg!J59</f>
        <v>0</v>
      </c>
      <c r="K59" s="457">
        <f>+FY15RevToColl!K59-FY15RevToCollwoMapChg!K59</f>
        <v>0</v>
      </c>
      <c r="L59" s="457">
        <f>+FY15RevToColl!L59-FY15RevToCollwoMapChg!L59</f>
        <v>0</v>
      </c>
      <c r="M59" s="457">
        <f>+FY15RevToColl!M59-FY15RevToCollwoMapChg!M59</f>
        <v>0</v>
      </c>
      <c r="N59" s="457">
        <f>+FY15RevToColl!N59-FY15RevToCollwoMapChg!N59</f>
        <v>0</v>
      </c>
      <c r="O59" s="457">
        <f>+FY15RevToColl!O59-FY15RevToCollwoMapChg!O59</f>
        <v>0</v>
      </c>
      <c r="P59" s="457">
        <f>+FY15RevToColl!P59-FY15RevToCollwoMapChg!P59</f>
        <v>0</v>
      </c>
      <c r="Q59" s="457">
        <f>+FY15RevToColl!Q59-FY15RevToCollwoMapChg!Q59</f>
        <v>0</v>
      </c>
      <c r="R59" s="457">
        <f>+FY15RevToColl!R59-FY15RevToCollwoMapChg!R59</f>
        <v>0</v>
      </c>
      <c r="S59" s="457">
        <f>+FY15RevToColl!S59-FY15RevToCollwoMapChg!S59</f>
        <v>0</v>
      </c>
      <c r="T59" s="457">
        <f t="shared" si="6"/>
        <v>0</v>
      </c>
    </row>
    <row r="60" spans="1:20" s="18" customFormat="1" ht="20.100000000000001" customHeight="1">
      <c r="A60" s="404" t="s">
        <v>135</v>
      </c>
      <c r="B60" s="440" t="s">
        <v>70</v>
      </c>
      <c r="C60" s="410">
        <f>+FY15RevToColl!C60-FY15RevToCollwoMapChg!C60</f>
        <v>0</v>
      </c>
      <c r="D60" s="410">
        <f>+FY15RevToColl!D60-FY15RevToCollwoMapChg!D60</f>
        <v>0</v>
      </c>
      <c r="E60" s="410">
        <f>+FY15RevToColl!E60-FY15RevToCollwoMapChg!E60</f>
        <v>0</v>
      </c>
      <c r="F60" s="410">
        <f>+FY15RevToColl!F60-FY15RevToCollwoMapChg!F60</f>
        <v>0</v>
      </c>
      <c r="G60" s="410">
        <f>+FY15RevToColl!G60-FY15RevToCollwoMapChg!G60</f>
        <v>0</v>
      </c>
      <c r="H60" s="410">
        <f>+FY15RevToColl!H60-FY15RevToCollwoMapChg!H60</f>
        <v>0</v>
      </c>
      <c r="I60" s="410">
        <f>+FY15RevToColl!I60-FY15RevToCollwoMapChg!I60</f>
        <v>0</v>
      </c>
      <c r="J60" s="410">
        <f>+FY15RevToColl!J60-FY15RevToCollwoMapChg!J60</f>
        <v>0</v>
      </c>
      <c r="K60" s="410">
        <f>+FY15RevToColl!K60-FY15RevToCollwoMapChg!K60</f>
        <v>0</v>
      </c>
      <c r="L60" s="410">
        <f>+FY15RevToColl!L60-FY15RevToCollwoMapChg!L60</f>
        <v>0</v>
      </c>
      <c r="M60" s="410">
        <f>+FY15RevToColl!M60-FY15RevToCollwoMapChg!M60</f>
        <v>0</v>
      </c>
      <c r="N60" s="410">
        <f>+FY15RevToColl!N60-FY15RevToCollwoMapChg!N60</f>
        <v>0</v>
      </c>
      <c r="O60" s="410">
        <f>+FY15RevToColl!O60-FY15RevToCollwoMapChg!O60</f>
        <v>0</v>
      </c>
      <c r="P60" s="410">
        <f>+FY15RevToColl!P60-FY15RevToCollwoMapChg!P60</f>
        <v>0</v>
      </c>
      <c r="Q60" s="410">
        <f>+FY15RevToColl!Q60-FY15RevToCollwoMapChg!Q60</f>
        <v>0</v>
      </c>
      <c r="R60" s="410">
        <f>+FY15RevToColl!R60-FY15RevToCollwoMapChg!R60</f>
        <v>0</v>
      </c>
      <c r="S60" s="410">
        <f>+FY15RevToColl!S60-FY15RevToCollwoMapChg!S60</f>
        <v>0</v>
      </c>
      <c r="T60" s="410">
        <f t="shared" si="6"/>
        <v>0</v>
      </c>
    </row>
    <row r="61" spans="1:20" ht="20.100000000000001" customHeight="1">
      <c r="A61" s="404" t="s">
        <v>136</v>
      </c>
      <c r="B61" s="456" t="s">
        <v>144</v>
      </c>
      <c r="C61" s="457">
        <f>+FY15RevToColl!C61-FY15RevToCollwoMapChg!C61</f>
        <v>0</v>
      </c>
      <c r="D61" s="457">
        <f>+FY15RevToColl!D61-FY15RevToCollwoMapChg!D61</f>
        <v>0</v>
      </c>
      <c r="E61" s="457">
        <f>+FY15RevToColl!E61-FY15RevToCollwoMapChg!E61</f>
        <v>0</v>
      </c>
      <c r="F61" s="457">
        <f>+FY15RevToColl!F61-FY15RevToCollwoMapChg!F61</f>
        <v>0</v>
      </c>
      <c r="G61" s="457">
        <f>+FY15RevToColl!G61-FY15RevToCollwoMapChg!G61</f>
        <v>0</v>
      </c>
      <c r="H61" s="457">
        <f>+FY15RevToColl!H61-FY15RevToCollwoMapChg!H61</f>
        <v>0</v>
      </c>
      <c r="I61" s="457">
        <f>+FY15RevToColl!I61-FY15RevToCollwoMapChg!I61</f>
        <v>0</v>
      </c>
      <c r="J61" s="457">
        <f>+FY15RevToColl!J61-FY15RevToCollwoMapChg!J61</f>
        <v>0</v>
      </c>
      <c r="K61" s="457">
        <f>+FY15RevToColl!K61-FY15RevToCollwoMapChg!K61</f>
        <v>0</v>
      </c>
      <c r="L61" s="457">
        <f>+FY15RevToColl!L61-FY15RevToCollwoMapChg!L61</f>
        <v>0</v>
      </c>
      <c r="M61" s="457">
        <f>+FY15RevToColl!M61-FY15RevToCollwoMapChg!M61</f>
        <v>0</v>
      </c>
      <c r="N61" s="457">
        <f>+FY15RevToColl!N61-FY15RevToCollwoMapChg!N61</f>
        <v>0</v>
      </c>
      <c r="O61" s="457">
        <f>+FY15RevToColl!O61-FY15RevToCollwoMapChg!O61</f>
        <v>0</v>
      </c>
      <c r="P61" s="457">
        <f>+FY15RevToColl!P61-FY15RevToCollwoMapChg!P61</f>
        <v>0</v>
      </c>
      <c r="Q61" s="457">
        <f>+FY15RevToColl!Q61-FY15RevToCollwoMapChg!Q61</f>
        <v>0</v>
      </c>
      <c r="R61" s="457">
        <f>+FY15RevToColl!R61-FY15RevToCollwoMapChg!R61</f>
        <v>0</v>
      </c>
      <c r="S61" s="457">
        <f>+FY15RevToColl!S61-FY15RevToCollwoMapChg!S61</f>
        <v>0</v>
      </c>
      <c r="T61" s="457">
        <f t="shared" si="6"/>
        <v>0</v>
      </c>
    </row>
    <row r="62" spans="1:20" s="18" customFormat="1" ht="20.100000000000001" customHeight="1">
      <c r="A62" s="404" t="s">
        <v>137</v>
      </c>
      <c r="B62" s="440" t="s">
        <v>49</v>
      </c>
      <c r="C62" s="410">
        <f>+FY15RevToColl!C62-FY15RevToCollwoMapChg!C62</f>
        <v>0</v>
      </c>
      <c r="D62" s="410">
        <f>+FY15RevToColl!D62-FY15RevToCollwoMapChg!D62</f>
        <v>0</v>
      </c>
      <c r="E62" s="410">
        <f>+FY15RevToColl!E62-FY15RevToCollwoMapChg!E62</f>
        <v>0</v>
      </c>
      <c r="F62" s="410">
        <f>+FY15RevToColl!F62-FY15RevToCollwoMapChg!F62</f>
        <v>0</v>
      </c>
      <c r="G62" s="410">
        <f>+FY15RevToColl!G62-FY15RevToCollwoMapChg!G62</f>
        <v>0</v>
      </c>
      <c r="H62" s="410">
        <f>+FY15RevToColl!H62-FY15RevToCollwoMapChg!H62</f>
        <v>0</v>
      </c>
      <c r="I62" s="410">
        <f>+FY15RevToColl!I62-FY15RevToCollwoMapChg!I62</f>
        <v>0</v>
      </c>
      <c r="J62" s="410">
        <f>+FY15RevToColl!J62-FY15RevToCollwoMapChg!J62</f>
        <v>0</v>
      </c>
      <c r="K62" s="410">
        <f>+FY15RevToColl!K62-FY15RevToCollwoMapChg!K62</f>
        <v>0</v>
      </c>
      <c r="L62" s="410">
        <f>+FY15RevToColl!L62-FY15RevToCollwoMapChg!L62</f>
        <v>0</v>
      </c>
      <c r="M62" s="410">
        <f>+FY15RevToColl!M62-FY15RevToCollwoMapChg!M62</f>
        <v>0</v>
      </c>
      <c r="N62" s="410">
        <f>+FY15RevToColl!N62-FY15RevToCollwoMapChg!N62</f>
        <v>0</v>
      </c>
      <c r="O62" s="410">
        <f>+FY15RevToColl!O62-FY15RevToCollwoMapChg!O62</f>
        <v>0</v>
      </c>
      <c r="P62" s="410">
        <f>+FY15RevToColl!P62-FY15RevToCollwoMapChg!P62</f>
        <v>0</v>
      </c>
      <c r="Q62" s="410">
        <f>+FY15RevToColl!Q62-FY15RevToCollwoMapChg!Q62</f>
        <v>0</v>
      </c>
      <c r="R62" s="410">
        <f>+FY15RevToColl!R62-FY15RevToCollwoMapChg!R62</f>
        <v>0</v>
      </c>
      <c r="S62" s="410">
        <f>+FY15RevToColl!S62-FY15RevToCollwoMapChg!S62</f>
        <v>0</v>
      </c>
      <c r="T62" s="410">
        <f t="shared" si="6"/>
        <v>0</v>
      </c>
    </row>
    <row r="63" spans="1:20" ht="20.100000000000001" customHeight="1">
      <c r="A63" s="553" t="s">
        <v>145</v>
      </c>
      <c r="B63" s="456" t="s">
        <v>207</v>
      </c>
      <c r="C63" s="457">
        <f>+FY15RevToColl!C63-FY15RevToCollwoMapChg!C63</f>
        <v>56697.308015909977</v>
      </c>
      <c r="D63" s="457">
        <f>+FY15RevToColl!D63-FY15RevToCollwoMapChg!D63</f>
        <v>0</v>
      </c>
      <c r="E63" s="457">
        <f>+FY15RevToColl!E63-FY15RevToCollwoMapChg!E63</f>
        <v>0</v>
      </c>
      <c r="F63" s="457">
        <f>+FY15RevToColl!F63-FY15RevToCollwoMapChg!F63</f>
        <v>0</v>
      </c>
      <c r="G63" s="457">
        <f>+FY15RevToColl!G63-FY15RevToCollwoMapChg!G63</f>
        <v>28.092698312222637</v>
      </c>
      <c r="H63" s="457">
        <f>+FY15RevToColl!H63-FY15RevToCollwoMapChg!H63</f>
        <v>0</v>
      </c>
      <c r="I63" s="457">
        <f>+FY15RevToColl!I63-FY15RevToCollwoMapChg!I63</f>
        <v>0</v>
      </c>
      <c r="J63" s="457">
        <f>+FY15RevToColl!J63-FY15RevToCollwoMapChg!J63</f>
        <v>0</v>
      </c>
      <c r="K63" s="457">
        <f>+FY15RevToColl!K63-FY15RevToCollwoMapChg!K63</f>
        <v>0</v>
      </c>
      <c r="L63" s="457">
        <f>+FY15RevToColl!L63-FY15RevToCollwoMapChg!L63</f>
        <v>0</v>
      </c>
      <c r="M63" s="457">
        <f>+FY15RevToColl!M63-FY15RevToCollwoMapChg!M63</f>
        <v>0</v>
      </c>
      <c r="N63" s="457">
        <f>+FY15RevToColl!N63-FY15RevToCollwoMapChg!N63</f>
        <v>0</v>
      </c>
      <c r="O63" s="457">
        <f>+FY15RevToColl!O63-FY15RevToCollwoMapChg!O63</f>
        <v>0</v>
      </c>
      <c r="P63" s="457">
        <f>+FY15RevToColl!P63-FY15RevToCollwoMapChg!P63</f>
        <v>0</v>
      </c>
      <c r="Q63" s="457">
        <f>+FY15RevToColl!Q63-FY15RevToCollwoMapChg!Q63</f>
        <v>0</v>
      </c>
      <c r="R63" s="457">
        <f>+FY15RevToColl!R63-FY15RevToCollwoMapChg!R63</f>
        <v>0</v>
      </c>
      <c r="S63" s="457">
        <f>+FY15RevToColl!S63-FY15RevToCollwoMapChg!S63</f>
        <v>-56725.400714222298</v>
      </c>
      <c r="T63" s="457">
        <f t="shared" si="6"/>
        <v>-1.0186340659856796E-10</v>
      </c>
    </row>
    <row r="64" spans="1:20" s="18" customFormat="1" ht="20.100000000000001" customHeight="1">
      <c r="A64" s="404" t="s">
        <v>147</v>
      </c>
      <c r="B64" s="440" t="s">
        <v>208</v>
      </c>
      <c r="C64" s="410">
        <f>+FY15RevToColl!C64-FY15RevToCollwoMapChg!C64</f>
        <v>0</v>
      </c>
      <c r="D64" s="410">
        <f>+FY15RevToColl!D64-FY15RevToCollwoMapChg!D64</f>
        <v>0</v>
      </c>
      <c r="E64" s="410">
        <f>+FY15RevToColl!E64-FY15RevToCollwoMapChg!E64</f>
        <v>0</v>
      </c>
      <c r="F64" s="410">
        <f>+FY15RevToColl!F64-FY15RevToCollwoMapChg!F64</f>
        <v>0</v>
      </c>
      <c r="G64" s="410">
        <f>+FY15RevToColl!G64-FY15RevToCollwoMapChg!G64</f>
        <v>0</v>
      </c>
      <c r="H64" s="410">
        <f>+FY15RevToColl!H64-FY15RevToCollwoMapChg!H64</f>
        <v>0</v>
      </c>
      <c r="I64" s="410">
        <f>+FY15RevToColl!I64-FY15RevToCollwoMapChg!I64</f>
        <v>0</v>
      </c>
      <c r="J64" s="410">
        <f>+FY15RevToColl!J64-FY15RevToCollwoMapChg!J64</f>
        <v>0</v>
      </c>
      <c r="K64" s="410">
        <f>+FY15RevToColl!K64-FY15RevToCollwoMapChg!K64</f>
        <v>0</v>
      </c>
      <c r="L64" s="410">
        <f>+FY15RevToColl!L64-FY15RevToCollwoMapChg!L64</f>
        <v>0</v>
      </c>
      <c r="M64" s="410">
        <f>+FY15RevToColl!M64-FY15RevToCollwoMapChg!M64</f>
        <v>0</v>
      </c>
      <c r="N64" s="410">
        <f>+FY15RevToColl!N64-FY15RevToCollwoMapChg!N64</f>
        <v>0</v>
      </c>
      <c r="O64" s="410">
        <f>+FY15RevToColl!O64-FY15RevToCollwoMapChg!O64</f>
        <v>0</v>
      </c>
      <c r="P64" s="410">
        <f>+FY15RevToColl!P64-FY15RevToCollwoMapChg!P64</f>
        <v>0</v>
      </c>
      <c r="Q64" s="410">
        <f>+FY15RevToColl!Q64-FY15RevToCollwoMapChg!Q64</f>
        <v>0</v>
      </c>
      <c r="R64" s="410">
        <f>+FY15RevToColl!R64-FY15RevToCollwoMapChg!R64</f>
        <v>0</v>
      </c>
      <c r="S64" s="410">
        <f>+FY15RevToColl!S64-FY15RevToCollwoMapChg!S64</f>
        <v>0</v>
      </c>
      <c r="T64" s="410">
        <f t="shared" si="6"/>
        <v>0</v>
      </c>
    </row>
    <row r="65" spans="1:20" ht="20.100000000000001" customHeight="1">
      <c r="A65" s="404" t="s">
        <v>148</v>
      </c>
      <c r="B65" s="456" t="s">
        <v>39</v>
      </c>
      <c r="C65" s="457">
        <f>+FY15RevToColl!C65-FY15RevToCollwoMapChg!C65</f>
        <v>0</v>
      </c>
      <c r="D65" s="457">
        <f>+FY15RevToColl!D65-FY15RevToCollwoMapChg!D65</f>
        <v>0</v>
      </c>
      <c r="E65" s="457">
        <f>+FY15RevToColl!E65-FY15RevToCollwoMapChg!E65</f>
        <v>0</v>
      </c>
      <c r="F65" s="457">
        <f>+FY15RevToColl!F65-FY15RevToCollwoMapChg!F65</f>
        <v>0</v>
      </c>
      <c r="G65" s="457">
        <f>+FY15RevToColl!G65-FY15RevToCollwoMapChg!G65</f>
        <v>0</v>
      </c>
      <c r="H65" s="457">
        <f>+FY15RevToColl!H65-FY15RevToCollwoMapChg!H65</f>
        <v>0</v>
      </c>
      <c r="I65" s="457">
        <f>+FY15RevToColl!I65-FY15RevToCollwoMapChg!I65</f>
        <v>0</v>
      </c>
      <c r="J65" s="457">
        <f>+FY15RevToColl!J65-FY15RevToCollwoMapChg!J65</f>
        <v>0</v>
      </c>
      <c r="K65" s="457">
        <f>+FY15RevToColl!K65-FY15RevToCollwoMapChg!K65</f>
        <v>0</v>
      </c>
      <c r="L65" s="457">
        <f>+FY15RevToColl!L65-FY15RevToCollwoMapChg!L65</f>
        <v>0</v>
      </c>
      <c r="M65" s="457">
        <f>+FY15RevToColl!M65-FY15RevToCollwoMapChg!M65</f>
        <v>0</v>
      </c>
      <c r="N65" s="457">
        <f>+FY15RevToColl!N65-FY15RevToCollwoMapChg!N65</f>
        <v>0</v>
      </c>
      <c r="O65" s="457">
        <f>+FY15RevToColl!O65-FY15RevToCollwoMapChg!O65</f>
        <v>0</v>
      </c>
      <c r="P65" s="457">
        <f>+FY15RevToColl!P65-FY15RevToCollwoMapChg!P65</f>
        <v>0</v>
      </c>
      <c r="Q65" s="457">
        <f>+FY15RevToColl!Q65-FY15RevToCollwoMapChg!Q65</f>
        <v>0</v>
      </c>
      <c r="R65" s="457">
        <f>+FY15RevToColl!R65-FY15RevToCollwoMapChg!R65</f>
        <v>0</v>
      </c>
      <c r="S65" s="457">
        <f>+FY15RevToColl!S65-FY15RevToCollwoMapChg!S65</f>
        <v>0</v>
      </c>
      <c r="T65" s="457">
        <f t="shared" si="6"/>
        <v>0</v>
      </c>
    </row>
    <row r="66" spans="1:20" s="18" customFormat="1" ht="20.100000000000001" customHeight="1">
      <c r="A66" s="404" t="s">
        <v>149</v>
      </c>
      <c r="B66" s="440" t="s">
        <v>38</v>
      </c>
      <c r="C66" s="410">
        <f>+FY15RevToColl!C66-FY15RevToCollwoMapChg!C66</f>
        <v>0</v>
      </c>
      <c r="D66" s="410">
        <f>+FY15RevToColl!D66-FY15RevToCollwoMapChg!D66</f>
        <v>32.858340509174013</v>
      </c>
      <c r="E66" s="410">
        <f>+FY15RevToColl!E66-FY15RevToCollwoMapChg!E66</f>
        <v>4830.1760548488237</v>
      </c>
      <c r="F66" s="410">
        <f>+FY15RevToColl!F66-FY15RevToCollwoMapChg!F66</f>
        <v>0</v>
      </c>
      <c r="G66" s="410">
        <f>+FY15RevToColl!G66-FY15RevToCollwoMapChg!G66</f>
        <v>13.143336203669605</v>
      </c>
      <c r="H66" s="410">
        <f>+FY15RevToColl!H66-FY15RevToCollwoMapChg!H66</f>
        <v>0</v>
      </c>
      <c r="I66" s="410">
        <f>+FY15RevToColl!I66-FY15RevToCollwoMapChg!I66</f>
        <v>0</v>
      </c>
      <c r="J66" s="410">
        <f>+FY15RevToColl!J66-FY15RevToCollwoMapChg!J66</f>
        <v>13.143336203669605</v>
      </c>
      <c r="K66" s="410">
        <f>+FY15RevToColl!K66-FY15RevToCollwoMapChg!K66</f>
        <v>0</v>
      </c>
      <c r="L66" s="410">
        <f>+FY15RevToColl!L66-FY15RevToCollwoMapChg!L66</f>
        <v>0</v>
      </c>
      <c r="M66" s="410">
        <f>+FY15RevToColl!M66-FY15RevToCollwoMapChg!M66</f>
        <v>0</v>
      </c>
      <c r="N66" s="410">
        <f>+FY15RevToColl!N66-FY15RevToCollwoMapChg!N66</f>
        <v>13.143336203669605</v>
      </c>
      <c r="O66" s="410">
        <f>+FY15RevToColl!O66-FY15RevToCollwoMapChg!O66</f>
        <v>0</v>
      </c>
      <c r="P66" s="410">
        <f>+FY15RevToColl!P66-FY15RevToCollwoMapChg!P66</f>
        <v>13.143336203669605</v>
      </c>
      <c r="Q66" s="410">
        <f>+FY15RevToColl!Q66-FY15RevToCollwoMapChg!Q66</f>
        <v>39.430008611012454</v>
      </c>
      <c r="R66" s="410">
        <f>+FY15RevToColl!R66-FY15RevToCollwoMapChg!R66</f>
        <v>0</v>
      </c>
      <c r="S66" s="410">
        <f>+FY15RevToColl!S66-FY15RevToCollwoMapChg!S66</f>
        <v>-4955.0377487835985</v>
      </c>
      <c r="T66" s="410">
        <f t="shared" si="6"/>
        <v>9.0039975475519896E-11</v>
      </c>
    </row>
    <row r="67" spans="1:20" ht="20.100000000000001" customHeight="1">
      <c r="A67" s="404" t="s">
        <v>150</v>
      </c>
      <c r="B67" s="456" t="s">
        <v>31</v>
      </c>
      <c r="C67" s="457">
        <f>+FY15RevToColl!C67-FY15RevToCollwoMapChg!C67</f>
        <v>0</v>
      </c>
      <c r="D67" s="457">
        <f>+FY15RevToColl!D67-FY15RevToCollwoMapChg!D67</f>
        <v>0</v>
      </c>
      <c r="E67" s="457">
        <f>+FY15RevToColl!E67-FY15RevToCollwoMapChg!E67</f>
        <v>0</v>
      </c>
      <c r="F67" s="457">
        <f>+FY15RevToColl!F67-FY15RevToCollwoMapChg!F67</f>
        <v>0</v>
      </c>
      <c r="G67" s="457">
        <f>+FY15RevToColl!G67-FY15RevToCollwoMapChg!G67</f>
        <v>0</v>
      </c>
      <c r="H67" s="457">
        <f>+FY15RevToColl!H67-FY15RevToCollwoMapChg!H67</f>
        <v>0</v>
      </c>
      <c r="I67" s="457">
        <f>+FY15RevToColl!I67-FY15RevToCollwoMapChg!I67</f>
        <v>0</v>
      </c>
      <c r="J67" s="457">
        <f>+FY15RevToColl!J67-FY15RevToCollwoMapChg!J67</f>
        <v>0</v>
      </c>
      <c r="K67" s="457">
        <f>+FY15RevToColl!K67-FY15RevToCollwoMapChg!K67</f>
        <v>0</v>
      </c>
      <c r="L67" s="457">
        <f>+FY15RevToColl!L67-FY15RevToCollwoMapChg!L67</f>
        <v>0</v>
      </c>
      <c r="M67" s="457">
        <f>+FY15RevToColl!M67-FY15RevToCollwoMapChg!M67</f>
        <v>0</v>
      </c>
      <c r="N67" s="457">
        <f>+FY15RevToColl!N67-FY15RevToCollwoMapChg!N67</f>
        <v>0</v>
      </c>
      <c r="O67" s="457">
        <f>+FY15RevToColl!O67-FY15RevToCollwoMapChg!O67</f>
        <v>0</v>
      </c>
      <c r="P67" s="457">
        <f>+FY15RevToColl!P67-FY15RevToCollwoMapChg!P67</f>
        <v>0</v>
      </c>
      <c r="Q67" s="457">
        <f>+FY15RevToColl!Q67-FY15RevToCollwoMapChg!Q67</f>
        <v>0</v>
      </c>
      <c r="R67" s="457">
        <f>+FY15RevToColl!R67-FY15RevToCollwoMapChg!R67</f>
        <v>0</v>
      </c>
      <c r="S67" s="457">
        <f>+FY15RevToColl!S67-FY15RevToCollwoMapChg!S67</f>
        <v>0</v>
      </c>
      <c r="T67" s="457">
        <f t="shared" si="6"/>
        <v>0</v>
      </c>
    </row>
    <row r="68" spans="1:20" s="18" customFormat="1" ht="20.100000000000001" customHeight="1">
      <c r="A68" s="404" t="s">
        <v>151</v>
      </c>
      <c r="B68" s="440" t="s">
        <v>209</v>
      </c>
      <c r="C68" s="410">
        <f>+FY15RevToColl!C68-FY15RevToCollwoMapChg!C68</f>
        <v>0</v>
      </c>
      <c r="D68" s="410">
        <f>+FY15RevToColl!D68-FY15RevToCollwoMapChg!D68</f>
        <v>0</v>
      </c>
      <c r="E68" s="410">
        <f>+FY15RevToColl!E68-FY15RevToCollwoMapChg!E68</f>
        <v>0</v>
      </c>
      <c r="F68" s="410">
        <f>+FY15RevToColl!F68-FY15RevToCollwoMapChg!F68</f>
        <v>0</v>
      </c>
      <c r="G68" s="410">
        <f>+FY15RevToColl!G68-FY15RevToCollwoMapChg!G68</f>
        <v>0</v>
      </c>
      <c r="H68" s="410">
        <f>+FY15RevToColl!H68-FY15RevToCollwoMapChg!H68</f>
        <v>0</v>
      </c>
      <c r="I68" s="410">
        <f>+FY15RevToColl!I68-FY15RevToCollwoMapChg!I68</f>
        <v>0</v>
      </c>
      <c r="J68" s="410">
        <f>+FY15RevToColl!J68-FY15RevToCollwoMapChg!J68</f>
        <v>0</v>
      </c>
      <c r="K68" s="410">
        <f>+FY15RevToColl!K68-FY15RevToCollwoMapChg!K68</f>
        <v>0</v>
      </c>
      <c r="L68" s="410">
        <f>+FY15RevToColl!L68-FY15RevToCollwoMapChg!L68</f>
        <v>0</v>
      </c>
      <c r="M68" s="410">
        <f>+FY15RevToColl!M68-FY15RevToCollwoMapChg!M68</f>
        <v>0</v>
      </c>
      <c r="N68" s="410">
        <f>+FY15RevToColl!N68-FY15RevToCollwoMapChg!N68</f>
        <v>0</v>
      </c>
      <c r="O68" s="410">
        <f>+FY15RevToColl!O68-FY15RevToCollwoMapChg!O68</f>
        <v>0</v>
      </c>
      <c r="P68" s="410">
        <f>+FY15RevToColl!P68-FY15RevToCollwoMapChg!P68</f>
        <v>0</v>
      </c>
      <c r="Q68" s="410">
        <f>+FY15RevToColl!Q68-FY15RevToCollwoMapChg!Q68</f>
        <v>0</v>
      </c>
      <c r="R68" s="410">
        <f>+FY15RevToColl!R68-FY15RevToCollwoMapChg!R68</f>
        <v>0</v>
      </c>
      <c r="S68" s="410">
        <f>+FY15RevToColl!S68-FY15RevToCollwoMapChg!S68</f>
        <v>0</v>
      </c>
      <c r="T68" s="410">
        <f t="shared" si="6"/>
        <v>0</v>
      </c>
    </row>
    <row r="69" spans="1:20" ht="20.100000000000001" customHeight="1">
      <c r="A69" s="404" t="s">
        <v>153</v>
      </c>
      <c r="B69" s="456" t="s">
        <v>100</v>
      </c>
      <c r="C69" s="457">
        <f>+FY15RevToColl!C69-FY15RevToCollwoMapChg!C69</f>
        <v>0</v>
      </c>
      <c r="D69" s="457">
        <f>+FY15RevToColl!D69-FY15RevToCollwoMapChg!D69</f>
        <v>0</v>
      </c>
      <c r="E69" s="457">
        <f>+FY15RevToColl!E69-FY15RevToCollwoMapChg!E69</f>
        <v>0</v>
      </c>
      <c r="F69" s="457">
        <f>+FY15RevToColl!F69-FY15RevToCollwoMapChg!F69</f>
        <v>0</v>
      </c>
      <c r="G69" s="457">
        <f>+FY15RevToColl!G69-FY15RevToCollwoMapChg!G69</f>
        <v>0</v>
      </c>
      <c r="H69" s="457">
        <f>+FY15RevToColl!H69-FY15RevToCollwoMapChg!H69</f>
        <v>0</v>
      </c>
      <c r="I69" s="457">
        <f>+FY15RevToColl!I69-FY15RevToCollwoMapChg!I69</f>
        <v>0</v>
      </c>
      <c r="J69" s="457">
        <f>+FY15RevToColl!J69-FY15RevToCollwoMapChg!J69</f>
        <v>0</v>
      </c>
      <c r="K69" s="457">
        <f>+FY15RevToColl!K69-FY15RevToCollwoMapChg!K69</f>
        <v>0</v>
      </c>
      <c r="L69" s="457">
        <f>+FY15RevToColl!L69-FY15RevToCollwoMapChg!L69</f>
        <v>0</v>
      </c>
      <c r="M69" s="457">
        <f>+FY15RevToColl!M69-FY15RevToCollwoMapChg!M69</f>
        <v>0</v>
      </c>
      <c r="N69" s="457">
        <f>+FY15RevToColl!N69-FY15RevToCollwoMapChg!N69</f>
        <v>0</v>
      </c>
      <c r="O69" s="457">
        <f>+FY15RevToColl!O69-FY15RevToCollwoMapChg!O69</f>
        <v>0</v>
      </c>
      <c r="P69" s="457">
        <f>+FY15RevToColl!P69-FY15RevToCollwoMapChg!P69</f>
        <v>0</v>
      </c>
      <c r="Q69" s="457">
        <f>+FY15RevToColl!Q69-FY15RevToCollwoMapChg!Q69</f>
        <v>0</v>
      </c>
      <c r="R69" s="457">
        <f>+FY15RevToColl!R69-FY15RevToCollwoMapChg!R69</f>
        <v>0</v>
      </c>
      <c r="S69" s="457">
        <f>+FY15RevToColl!S69-FY15RevToCollwoMapChg!S69</f>
        <v>0</v>
      </c>
      <c r="T69" s="457">
        <f t="shared" si="6"/>
        <v>0</v>
      </c>
    </row>
    <row r="70" spans="1:20" s="18" customFormat="1" ht="20.100000000000001" customHeight="1">
      <c r="A70" s="404" t="s">
        <v>155</v>
      </c>
      <c r="B70" s="440" t="s">
        <v>42</v>
      </c>
      <c r="C70" s="410">
        <f>+FY15RevToColl!C70-FY15RevToCollwoMapChg!C70</f>
        <v>0</v>
      </c>
      <c r="D70" s="410">
        <f>+FY15RevToColl!D70-FY15RevToCollwoMapChg!D70</f>
        <v>0</v>
      </c>
      <c r="E70" s="410">
        <f>+FY15RevToColl!E70-FY15RevToCollwoMapChg!E70</f>
        <v>0</v>
      </c>
      <c r="F70" s="410">
        <f>+FY15RevToColl!F70-FY15RevToCollwoMapChg!F70</f>
        <v>0</v>
      </c>
      <c r="G70" s="410">
        <f>+FY15RevToColl!G70-FY15RevToCollwoMapChg!G70</f>
        <v>0</v>
      </c>
      <c r="H70" s="410">
        <f>+FY15RevToColl!H70-FY15RevToCollwoMapChg!H70</f>
        <v>0</v>
      </c>
      <c r="I70" s="410">
        <f>+FY15RevToColl!I70-FY15RevToCollwoMapChg!I70</f>
        <v>0</v>
      </c>
      <c r="J70" s="410">
        <f>+FY15RevToColl!J70-FY15RevToCollwoMapChg!J70</f>
        <v>0</v>
      </c>
      <c r="K70" s="410">
        <f>+FY15RevToColl!K70-FY15RevToCollwoMapChg!K70</f>
        <v>0</v>
      </c>
      <c r="L70" s="410">
        <f>+FY15RevToColl!L70-FY15RevToCollwoMapChg!L70</f>
        <v>0</v>
      </c>
      <c r="M70" s="410">
        <f>+FY15RevToColl!M70-FY15RevToCollwoMapChg!M70</f>
        <v>0</v>
      </c>
      <c r="N70" s="410">
        <f>+FY15RevToColl!N70-FY15RevToCollwoMapChg!N70</f>
        <v>0</v>
      </c>
      <c r="O70" s="410">
        <f>+FY15RevToColl!O70-FY15RevToCollwoMapChg!O70</f>
        <v>0</v>
      </c>
      <c r="P70" s="410">
        <f>+FY15RevToColl!P70-FY15RevToCollwoMapChg!P70</f>
        <v>0</v>
      </c>
      <c r="Q70" s="410">
        <f>+FY15RevToColl!Q70-FY15RevToCollwoMapChg!Q70</f>
        <v>0</v>
      </c>
      <c r="R70" s="410">
        <f>+FY15RevToColl!R70-FY15RevToCollwoMapChg!R70</f>
        <v>0</v>
      </c>
      <c r="S70" s="410">
        <f>+FY15RevToColl!S70-FY15RevToCollwoMapChg!S70</f>
        <v>0</v>
      </c>
      <c r="T70" s="410">
        <f t="shared" si="6"/>
        <v>0</v>
      </c>
    </row>
    <row r="71" spans="1:20" ht="20.100000000000001" customHeight="1">
      <c r="A71" s="404" t="s">
        <v>162</v>
      </c>
      <c r="B71" s="456" t="s">
        <v>76</v>
      </c>
      <c r="C71" s="457">
        <f>+FY15RevToColl!C71-FY15RevToCollwoMapChg!C71</f>
        <v>0</v>
      </c>
      <c r="D71" s="457">
        <f>+FY15RevToColl!D71-FY15RevToCollwoMapChg!D71</f>
        <v>0</v>
      </c>
      <c r="E71" s="457">
        <f>+FY15RevToColl!E71-FY15RevToCollwoMapChg!E71</f>
        <v>0</v>
      </c>
      <c r="F71" s="457">
        <f>+FY15RevToColl!F71-FY15RevToCollwoMapChg!F71</f>
        <v>0</v>
      </c>
      <c r="G71" s="457">
        <f>+FY15RevToColl!G71-FY15RevToCollwoMapChg!G71</f>
        <v>0</v>
      </c>
      <c r="H71" s="457">
        <f>+FY15RevToColl!H71-FY15RevToCollwoMapChg!H71</f>
        <v>0</v>
      </c>
      <c r="I71" s="457">
        <f>+FY15RevToColl!I71-FY15RevToCollwoMapChg!I71</f>
        <v>0</v>
      </c>
      <c r="J71" s="457">
        <f>+FY15RevToColl!J71-FY15RevToCollwoMapChg!J71</f>
        <v>0</v>
      </c>
      <c r="K71" s="457">
        <f>+FY15RevToColl!K71-FY15RevToCollwoMapChg!K71</f>
        <v>0</v>
      </c>
      <c r="L71" s="457">
        <f>+FY15RevToColl!L71-FY15RevToCollwoMapChg!L71</f>
        <v>0</v>
      </c>
      <c r="M71" s="457">
        <f>+FY15RevToColl!M71-FY15RevToCollwoMapChg!M71</f>
        <v>0</v>
      </c>
      <c r="N71" s="457">
        <f>+FY15RevToColl!N71-FY15RevToCollwoMapChg!N71</f>
        <v>0</v>
      </c>
      <c r="O71" s="457">
        <f>+FY15RevToColl!O71-FY15RevToCollwoMapChg!O71</f>
        <v>0</v>
      </c>
      <c r="P71" s="457">
        <f>+FY15RevToColl!P71-FY15RevToCollwoMapChg!P71</f>
        <v>0</v>
      </c>
      <c r="Q71" s="457">
        <f>+FY15RevToColl!Q71-FY15RevToCollwoMapChg!Q71</f>
        <v>0</v>
      </c>
      <c r="R71" s="457">
        <f>+FY15RevToColl!R71-FY15RevToCollwoMapChg!R71</f>
        <v>0</v>
      </c>
      <c r="S71" s="457">
        <f>+FY15RevToColl!S71-FY15RevToCollwoMapChg!S71</f>
        <v>0</v>
      </c>
      <c r="T71" s="457">
        <f t="shared" si="6"/>
        <v>0</v>
      </c>
    </row>
    <row r="72" spans="1:20" s="18" customFormat="1" ht="20.100000000000001" customHeight="1">
      <c r="A72" s="404" t="s">
        <v>156</v>
      </c>
      <c r="B72" s="440" t="s">
        <v>77</v>
      </c>
      <c r="C72" s="410">
        <f>+FY15RevToColl!C72-FY15RevToCollwoMapChg!C72</f>
        <v>0</v>
      </c>
      <c r="D72" s="410">
        <f>+FY15RevToColl!D72-FY15RevToCollwoMapChg!D72</f>
        <v>0</v>
      </c>
      <c r="E72" s="410">
        <f>+FY15RevToColl!E72-FY15RevToCollwoMapChg!E72</f>
        <v>0</v>
      </c>
      <c r="F72" s="410">
        <f>+FY15RevToColl!F72-FY15RevToCollwoMapChg!F72</f>
        <v>0</v>
      </c>
      <c r="G72" s="410">
        <f>+FY15RevToColl!G72-FY15RevToCollwoMapChg!G72</f>
        <v>0</v>
      </c>
      <c r="H72" s="410">
        <f>+FY15RevToColl!H72-FY15RevToCollwoMapChg!H72</f>
        <v>0</v>
      </c>
      <c r="I72" s="410">
        <f>+FY15RevToColl!I72-FY15RevToCollwoMapChg!I72</f>
        <v>0</v>
      </c>
      <c r="J72" s="410">
        <f>+FY15RevToColl!J72-FY15RevToCollwoMapChg!J72</f>
        <v>0</v>
      </c>
      <c r="K72" s="410">
        <f>+FY15RevToColl!K72-FY15RevToCollwoMapChg!K72</f>
        <v>0</v>
      </c>
      <c r="L72" s="410">
        <f>+FY15RevToColl!L72-FY15RevToCollwoMapChg!L72</f>
        <v>0</v>
      </c>
      <c r="M72" s="410">
        <f>+FY15RevToColl!M72-FY15RevToCollwoMapChg!M72</f>
        <v>0</v>
      </c>
      <c r="N72" s="410">
        <f>+FY15RevToColl!N72-FY15RevToCollwoMapChg!N72</f>
        <v>0</v>
      </c>
      <c r="O72" s="410">
        <f>+FY15RevToColl!O72-FY15RevToCollwoMapChg!O72</f>
        <v>0</v>
      </c>
      <c r="P72" s="410">
        <f>+FY15RevToColl!P72-FY15RevToCollwoMapChg!P72</f>
        <v>0</v>
      </c>
      <c r="Q72" s="410">
        <f>+FY15RevToColl!Q72-FY15RevToCollwoMapChg!Q72</f>
        <v>0</v>
      </c>
      <c r="R72" s="410">
        <f>+FY15RevToColl!R72-FY15RevToCollwoMapChg!R72</f>
        <v>0</v>
      </c>
      <c r="S72" s="410">
        <f>+FY15RevToColl!S72-FY15RevToCollwoMapChg!S72</f>
        <v>0</v>
      </c>
      <c r="T72" s="410">
        <f t="shared" si="6"/>
        <v>0</v>
      </c>
    </row>
    <row r="73" spans="1:20" ht="20.100000000000001" customHeight="1">
      <c r="A73" s="406" t="s">
        <v>163</v>
      </c>
      <c r="B73" s="458" t="s">
        <v>164</v>
      </c>
      <c r="C73" s="457">
        <f>+FY15RevToColl!C73-FY15RevToCollwoMapChg!C73</f>
        <v>0</v>
      </c>
      <c r="D73" s="457">
        <f>+FY15RevToColl!D73-FY15RevToCollwoMapChg!D73</f>
        <v>0</v>
      </c>
      <c r="E73" s="457">
        <f>+FY15RevToColl!E73-FY15RevToCollwoMapChg!E73</f>
        <v>0</v>
      </c>
      <c r="F73" s="457">
        <f>+FY15RevToColl!F73-FY15RevToCollwoMapChg!F73</f>
        <v>0</v>
      </c>
      <c r="G73" s="457">
        <f>+FY15RevToColl!G73-FY15RevToCollwoMapChg!G73</f>
        <v>0</v>
      </c>
      <c r="H73" s="457">
        <f>+FY15RevToColl!H73-FY15RevToCollwoMapChg!H73</f>
        <v>0</v>
      </c>
      <c r="I73" s="457">
        <f>+FY15RevToColl!I73-FY15RevToCollwoMapChg!I73</f>
        <v>0</v>
      </c>
      <c r="J73" s="457">
        <f>+FY15RevToColl!J73-FY15RevToCollwoMapChg!J73</f>
        <v>0</v>
      </c>
      <c r="K73" s="457">
        <f>+FY15RevToColl!K73-FY15RevToCollwoMapChg!K73</f>
        <v>0</v>
      </c>
      <c r="L73" s="457">
        <f>+FY15RevToColl!L73-FY15RevToCollwoMapChg!L73</f>
        <v>0</v>
      </c>
      <c r="M73" s="457">
        <f>+FY15RevToColl!M73-FY15RevToCollwoMapChg!M73</f>
        <v>0</v>
      </c>
      <c r="N73" s="457">
        <f>+FY15RevToColl!N73-FY15RevToCollwoMapChg!N73</f>
        <v>0</v>
      </c>
      <c r="O73" s="457">
        <f>+FY15RevToColl!O73-FY15RevToCollwoMapChg!O73</f>
        <v>0</v>
      </c>
      <c r="P73" s="457">
        <f>+FY15RevToColl!P73-FY15RevToCollwoMapChg!P73</f>
        <v>0</v>
      </c>
      <c r="Q73" s="457">
        <f>+FY15RevToColl!Q73-FY15RevToCollwoMapChg!Q73</f>
        <v>0</v>
      </c>
      <c r="R73" s="457">
        <f>+FY15RevToColl!R73-FY15RevToCollwoMapChg!R73</f>
        <v>0</v>
      </c>
      <c r="S73" s="457">
        <f>+FY15RevToColl!S73-FY15RevToCollwoMapChg!S73</f>
        <v>0</v>
      </c>
      <c r="T73" s="457">
        <f t="shared" si="6"/>
        <v>0</v>
      </c>
    </row>
    <row r="74" spans="1:20" ht="20.100000000000001" customHeight="1">
      <c r="B74" s="459" t="s">
        <v>17</v>
      </c>
      <c r="C74" s="460">
        <f t="shared" ref="C74:S74" si="7">SUM(C53:C73)</f>
        <v>42455.363942055556</v>
      </c>
      <c r="D74" s="460">
        <f t="shared" si="7"/>
        <v>412451.61752377363</v>
      </c>
      <c r="E74" s="460">
        <f t="shared" si="7"/>
        <v>-109132.32442695339</v>
      </c>
      <c r="F74" s="460">
        <f t="shared" si="7"/>
        <v>-12909.765533727168</v>
      </c>
      <c r="G74" s="460">
        <f t="shared" si="7"/>
        <v>-94301.409901650914</v>
      </c>
      <c r="H74" s="460">
        <f t="shared" si="7"/>
        <v>-38011.423981683263</v>
      </c>
      <c r="I74" s="460">
        <f t="shared" si="7"/>
        <v>-12408.834015632689</v>
      </c>
      <c r="J74" s="460">
        <f t="shared" si="7"/>
        <v>95.433885318424473</v>
      </c>
      <c r="K74" s="460">
        <f t="shared" si="7"/>
        <v>168.16678619201411</v>
      </c>
      <c r="L74" s="460">
        <f t="shared" si="7"/>
        <v>-5281.9516037609646</v>
      </c>
      <c r="M74" s="460">
        <f t="shared" si="7"/>
        <v>0</v>
      </c>
      <c r="N74" s="460">
        <f t="shared" si="7"/>
        <v>545180.64735919086</v>
      </c>
      <c r="O74" s="460">
        <f t="shared" si="7"/>
        <v>-16725.567715338824</v>
      </c>
      <c r="P74" s="460">
        <f t="shared" si="7"/>
        <v>685.81048097172607</v>
      </c>
      <c r="Q74" s="460">
        <f t="shared" si="7"/>
        <v>-22705.832755312022</v>
      </c>
      <c r="R74" s="460">
        <f t="shared" si="7"/>
        <v>-1675.7905498887412</v>
      </c>
      <c r="S74" s="460">
        <f t="shared" si="7"/>
        <v>-687884.13949355984</v>
      </c>
      <c r="T74" s="460">
        <f t="shared" si="6"/>
        <v>-5.5879354476928711E-9</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A1:XFD1"/>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42.75" customHeight="1">
      <c r="B1" s="639" t="s">
        <v>422</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4958828.534735769</v>
      </c>
      <c r="D5" s="413">
        <f t="shared" si="0"/>
        <v>177274330.38959101</v>
      </c>
      <c r="E5" s="413">
        <f t="shared" si="0"/>
        <v>21496137.029424548</v>
      </c>
      <c r="F5" s="413">
        <f t="shared" si="0"/>
        <v>3484786.1415930372</v>
      </c>
      <c r="G5" s="413">
        <f t="shared" si="0"/>
        <v>26912402.681625485</v>
      </c>
      <c r="H5" s="413">
        <f t="shared" si="0"/>
        <v>12976940.779318314</v>
      </c>
      <c r="I5" s="413">
        <f t="shared" si="0"/>
        <v>3482176.3456559898</v>
      </c>
      <c r="J5" s="413">
        <f t="shared" si="0"/>
        <v>94974.521064003857</v>
      </c>
      <c r="K5" s="413">
        <f t="shared" si="0"/>
        <v>27981.162013190937</v>
      </c>
      <c r="L5" s="413">
        <f t="shared" si="0"/>
        <v>1015044.1506739436</v>
      </c>
      <c r="M5" s="413">
        <f t="shared" si="0"/>
        <v>9551.2620333488285</v>
      </c>
      <c r="N5" s="413">
        <f t="shared" si="0"/>
        <v>7161835.1956130099</v>
      </c>
      <c r="O5" s="413">
        <f t="shared" si="0"/>
        <v>3162519.0827807738</v>
      </c>
      <c r="P5" s="413">
        <f t="shared" si="0"/>
        <v>55020.650304784103</v>
      </c>
      <c r="Q5" s="413">
        <f t="shared" si="0"/>
        <v>4922077.3247931981</v>
      </c>
      <c r="R5" s="413">
        <f t="shared" si="0"/>
        <v>2380174.686951152</v>
      </c>
      <c r="S5" s="413">
        <f t="shared" si="0"/>
        <v>38877.672220250868</v>
      </c>
      <c r="T5" s="413">
        <f t="shared" ref="T5:T26" si="1">SUM(C5:S5)</f>
        <v>269453657.6103918</v>
      </c>
      <c r="X5" s="495"/>
    </row>
    <row r="6" spans="1:24" ht="20.100000000000001" customHeight="1">
      <c r="A6" s="401" t="s">
        <v>129</v>
      </c>
      <c r="B6" s="408" t="s">
        <v>35</v>
      </c>
      <c r="C6" s="410">
        <f t="shared" si="0"/>
        <v>96097.77872560409</v>
      </c>
      <c r="D6" s="410">
        <f t="shared" si="0"/>
        <v>9308241.3130135238</v>
      </c>
      <c r="E6" s="410">
        <f t="shared" si="0"/>
        <v>337468.74620437465</v>
      </c>
      <c r="F6" s="410">
        <f t="shared" si="0"/>
        <v>39334.153607919987</v>
      </c>
      <c r="G6" s="410">
        <f t="shared" si="0"/>
        <v>581774.26077841315</v>
      </c>
      <c r="H6" s="410">
        <f t="shared" si="0"/>
        <v>14831.123053750147</v>
      </c>
      <c r="I6" s="410">
        <f t="shared" si="0"/>
        <v>230207.32311555362</v>
      </c>
      <c r="J6" s="410">
        <f t="shared" si="0"/>
        <v>9746.7078030130615</v>
      </c>
      <c r="K6" s="410">
        <f t="shared" si="0"/>
        <v>79778.223453080471</v>
      </c>
      <c r="L6" s="410">
        <f t="shared" si="0"/>
        <v>4435.3924453043655</v>
      </c>
      <c r="M6" s="410">
        <f t="shared" si="0"/>
        <v>29.662246107500295</v>
      </c>
      <c r="N6" s="410">
        <f t="shared" si="0"/>
        <v>1980362.2308521091</v>
      </c>
      <c r="O6" s="410">
        <f t="shared" si="0"/>
        <v>3056.9846535386728</v>
      </c>
      <c r="P6" s="410">
        <f t="shared" si="0"/>
        <v>314960.17935727187</v>
      </c>
      <c r="Q6" s="410">
        <f t="shared" si="0"/>
        <v>29753.006150288937</v>
      </c>
      <c r="R6" s="410">
        <f t="shared" si="0"/>
        <v>148.31123053750147</v>
      </c>
      <c r="S6" s="410">
        <f t="shared" si="0"/>
        <v>1081588.1889528707</v>
      </c>
      <c r="T6" s="410">
        <f t="shared" si="1"/>
        <v>14111813.585643258</v>
      </c>
      <c r="W6" s="497"/>
      <c r="X6" s="495"/>
    </row>
    <row r="7" spans="1:24" ht="20.100000000000001" customHeight="1">
      <c r="A7" s="401" t="s">
        <v>140</v>
      </c>
      <c r="B7" s="414" t="s">
        <v>36</v>
      </c>
      <c r="C7" s="415">
        <f t="shared" si="0"/>
        <v>0</v>
      </c>
      <c r="D7" s="415">
        <f t="shared" si="0"/>
        <v>10962.148986631069</v>
      </c>
      <c r="E7" s="415">
        <f t="shared" si="0"/>
        <v>0</v>
      </c>
      <c r="F7" s="415">
        <f t="shared" si="0"/>
        <v>1309.6372683143313</v>
      </c>
      <c r="G7" s="415">
        <f t="shared" si="0"/>
        <v>48.505084011641905</v>
      </c>
      <c r="H7" s="415">
        <f t="shared" si="0"/>
        <v>0</v>
      </c>
      <c r="I7" s="415">
        <f t="shared" si="0"/>
        <v>194.02033604656762</v>
      </c>
      <c r="J7" s="415">
        <f t="shared" si="0"/>
        <v>291.03050406985142</v>
      </c>
      <c r="K7" s="415">
        <f t="shared" si="0"/>
        <v>194.02033604656762</v>
      </c>
      <c r="L7" s="415">
        <f t="shared" si="0"/>
        <v>262024.72183665558</v>
      </c>
      <c r="M7" s="415">
        <f t="shared" si="0"/>
        <v>0</v>
      </c>
      <c r="N7" s="415">
        <f t="shared" si="0"/>
        <v>873018.49657777091</v>
      </c>
      <c r="O7" s="415">
        <f t="shared" si="0"/>
        <v>0</v>
      </c>
      <c r="P7" s="415">
        <f t="shared" si="0"/>
        <v>194.02033604656762</v>
      </c>
      <c r="Q7" s="415">
        <f t="shared" si="0"/>
        <v>2764.7897886635888</v>
      </c>
      <c r="R7" s="415">
        <f t="shared" si="0"/>
        <v>0</v>
      </c>
      <c r="S7" s="415">
        <f t="shared" si="0"/>
        <v>145.51525203492571</v>
      </c>
      <c r="T7" s="415">
        <f t="shared" si="1"/>
        <v>1151146.9063062917</v>
      </c>
    </row>
    <row r="8" spans="1:24" ht="20.100000000000001" customHeight="1">
      <c r="A8" s="401" t="s">
        <v>130</v>
      </c>
      <c r="B8" s="408" t="s">
        <v>37</v>
      </c>
      <c r="C8" s="410">
        <f t="shared" si="0"/>
        <v>10647.063173975961</v>
      </c>
      <c r="D8" s="410">
        <f t="shared" si="0"/>
        <v>147632.80140780128</v>
      </c>
      <c r="E8" s="410">
        <f t="shared" si="0"/>
        <v>20527.850187937649</v>
      </c>
      <c r="F8" s="410">
        <f t="shared" si="0"/>
        <v>16703.930811587539</v>
      </c>
      <c r="G8" s="410">
        <f t="shared" si="0"/>
        <v>7149931.3034957424</v>
      </c>
      <c r="H8" s="410">
        <f t="shared" si="0"/>
        <v>16984.772370504015</v>
      </c>
      <c r="I8" s="410">
        <f t="shared" si="0"/>
        <v>2872.9026516319377</v>
      </c>
      <c r="J8" s="410">
        <f t="shared" si="0"/>
        <v>22833.885572759733</v>
      </c>
      <c r="K8" s="410">
        <f t="shared" si="0"/>
        <v>718.22566290798443</v>
      </c>
      <c r="L8" s="410">
        <f t="shared" si="0"/>
        <v>987.5602864984786</v>
      </c>
      <c r="M8" s="410">
        <f t="shared" si="0"/>
        <v>0</v>
      </c>
      <c r="N8" s="410">
        <f t="shared" si="0"/>
        <v>119227.79759827188</v>
      </c>
      <c r="O8" s="410">
        <f t="shared" si="0"/>
        <v>434852.12276484101</v>
      </c>
      <c r="P8" s="410">
        <f t="shared" si="0"/>
        <v>538.66924718098835</v>
      </c>
      <c r="Q8" s="410">
        <f t="shared" si="0"/>
        <v>110850.79556602376</v>
      </c>
      <c r="R8" s="410">
        <f t="shared" si="0"/>
        <v>0</v>
      </c>
      <c r="S8" s="410">
        <f t="shared" si="0"/>
        <v>64904.774936076283</v>
      </c>
      <c r="T8" s="410">
        <f t="shared" si="1"/>
        <v>8120214.4557337398</v>
      </c>
    </row>
    <row r="9" spans="1:24" ht="20.100000000000001" customHeight="1">
      <c r="A9" s="416" t="s">
        <v>131</v>
      </c>
      <c r="B9" s="414" t="s">
        <v>141</v>
      </c>
      <c r="C9" s="415">
        <f t="shared" si="0"/>
        <v>621.41028296119146</v>
      </c>
      <c r="D9" s="415">
        <f t="shared" si="0"/>
        <v>94459.11308364202</v>
      </c>
      <c r="E9" s="415">
        <f t="shared" si="0"/>
        <v>1154.0476683564984</v>
      </c>
      <c r="F9" s="415">
        <f t="shared" si="0"/>
        <v>665.79673174413369</v>
      </c>
      <c r="G9" s="415">
        <f t="shared" si="0"/>
        <v>4704.9635709918784</v>
      </c>
      <c r="H9" s="415">
        <f t="shared" si="0"/>
        <v>3515401.9935354851</v>
      </c>
      <c r="I9" s="415">
        <f t="shared" si="0"/>
        <v>0</v>
      </c>
      <c r="J9" s="415">
        <f t="shared" si="0"/>
        <v>1109.6612195735563</v>
      </c>
      <c r="K9" s="415">
        <f t="shared" si="0"/>
        <v>6746.7402150072221</v>
      </c>
      <c r="L9" s="415">
        <f t="shared" si="0"/>
        <v>0</v>
      </c>
      <c r="M9" s="415">
        <f t="shared" si="0"/>
        <v>0</v>
      </c>
      <c r="N9" s="415">
        <f t="shared" si="0"/>
        <v>1375.9799122712097</v>
      </c>
      <c r="O9" s="415">
        <f t="shared" si="0"/>
        <v>0</v>
      </c>
      <c r="P9" s="415">
        <f t="shared" si="0"/>
        <v>0</v>
      </c>
      <c r="Q9" s="415">
        <f t="shared" si="0"/>
        <v>1553.5257074029787</v>
      </c>
      <c r="R9" s="415">
        <f t="shared" si="0"/>
        <v>133.15934634882674</v>
      </c>
      <c r="S9" s="415">
        <f t="shared" si="0"/>
        <v>1775.4579513176898</v>
      </c>
      <c r="T9" s="415">
        <f t="shared" si="1"/>
        <v>3629701.8492251025</v>
      </c>
    </row>
    <row r="10" spans="1:24" ht="20.100000000000001" customHeight="1">
      <c r="A10" s="401" t="s">
        <v>132</v>
      </c>
      <c r="B10" s="408" t="s">
        <v>206</v>
      </c>
      <c r="C10" s="410">
        <f t="shared" si="0"/>
        <v>0</v>
      </c>
      <c r="D10" s="410">
        <f t="shared" si="0"/>
        <v>33654.068944505518</v>
      </c>
      <c r="E10" s="410">
        <f t="shared" si="0"/>
        <v>176.06284995061242</v>
      </c>
      <c r="F10" s="410">
        <f t="shared" si="0"/>
        <v>4328919.2585567441</v>
      </c>
      <c r="G10" s="410">
        <f t="shared" si="0"/>
        <v>308.10998741357173</v>
      </c>
      <c r="H10" s="410">
        <f t="shared" si="0"/>
        <v>3785.3512739381672</v>
      </c>
      <c r="I10" s="410">
        <f t="shared" si="0"/>
        <v>748.26711229010277</v>
      </c>
      <c r="J10" s="410">
        <f t="shared" si="0"/>
        <v>0</v>
      </c>
      <c r="K10" s="410">
        <f t="shared" si="0"/>
        <v>5810.0740483702102</v>
      </c>
      <c r="L10" s="410">
        <f t="shared" si="0"/>
        <v>2684.9584617468395</v>
      </c>
      <c r="M10" s="410">
        <f t="shared" si="0"/>
        <v>0</v>
      </c>
      <c r="N10" s="410">
        <f t="shared" si="0"/>
        <v>1188.4242371666339</v>
      </c>
      <c r="O10" s="410">
        <f t="shared" si="0"/>
        <v>440.15712487653104</v>
      </c>
      <c r="P10" s="410">
        <f t="shared" si="0"/>
        <v>0</v>
      </c>
      <c r="Q10" s="410">
        <f t="shared" si="0"/>
        <v>1584.565649555512</v>
      </c>
      <c r="R10" s="410">
        <f t="shared" si="0"/>
        <v>0</v>
      </c>
      <c r="S10" s="410">
        <f t="shared" si="0"/>
        <v>1364.4870871172463</v>
      </c>
      <c r="T10" s="410">
        <f t="shared" si="1"/>
        <v>4380663.7853336753</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c r="A12" s="401" t="s">
        <v>135</v>
      </c>
      <c r="B12" s="408" t="s">
        <v>70</v>
      </c>
      <c r="C12" s="410">
        <f t="shared" si="0"/>
        <v>116.18254149691327</v>
      </c>
      <c r="D12" s="410">
        <f t="shared" si="0"/>
        <v>5983.4008870910338</v>
      </c>
      <c r="E12" s="410">
        <f t="shared" si="0"/>
        <v>0</v>
      </c>
      <c r="F12" s="410">
        <f t="shared" si="0"/>
        <v>9643.3637327813431</v>
      </c>
      <c r="G12" s="410">
        <f t="shared" si="0"/>
        <v>0</v>
      </c>
      <c r="H12" s="410">
        <f t="shared" si="0"/>
        <v>174.27381224536992</v>
      </c>
      <c r="I12" s="410">
        <f t="shared" si="0"/>
        <v>0</v>
      </c>
      <c r="J12" s="410">
        <f t="shared" si="0"/>
        <v>0</v>
      </c>
      <c r="K12" s="410">
        <f t="shared" si="0"/>
        <v>1858.9206639506124</v>
      </c>
      <c r="L12" s="410">
        <f t="shared" si="0"/>
        <v>2855376.8995343302</v>
      </c>
      <c r="M12" s="410">
        <f t="shared" si="0"/>
        <v>0</v>
      </c>
      <c r="N12" s="410">
        <f t="shared" si="0"/>
        <v>18608.854114472331</v>
      </c>
      <c r="O12" s="410">
        <f t="shared" si="0"/>
        <v>116.18254149691327</v>
      </c>
      <c r="P12" s="410">
        <f t="shared" si="0"/>
        <v>0</v>
      </c>
      <c r="Q12" s="410">
        <f t="shared" si="0"/>
        <v>84021.11449699731</v>
      </c>
      <c r="R12" s="410">
        <f t="shared" si="0"/>
        <v>0</v>
      </c>
      <c r="S12" s="410">
        <f t="shared" si="0"/>
        <v>17543.989343108988</v>
      </c>
      <c r="T12" s="410">
        <f t="shared" si="1"/>
        <v>2993443.181667971</v>
      </c>
    </row>
    <row r="13" spans="1:24" ht="20.100000000000001" customHeight="1">
      <c r="A13" s="416" t="s">
        <v>136</v>
      </c>
      <c r="B13" s="414" t="s">
        <v>144</v>
      </c>
      <c r="C13" s="415">
        <f t="shared" si="0"/>
        <v>139.82999405137377</v>
      </c>
      <c r="D13" s="415">
        <f t="shared" si="0"/>
        <v>25216.008927264404</v>
      </c>
      <c r="E13" s="415">
        <f t="shared" si="0"/>
        <v>279.65998810274755</v>
      </c>
      <c r="F13" s="415">
        <f t="shared" si="0"/>
        <v>279.65998810274755</v>
      </c>
      <c r="G13" s="415">
        <f t="shared" si="0"/>
        <v>2190.6699068048561</v>
      </c>
      <c r="H13" s="415">
        <f t="shared" si="0"/>
        <v>1351.6899424966132</v>
      </c>
      <c r="I13" s="415">
        <f t="shared" si="0"/>
        <v>186.43999206849838</v>
      </c>
      <c r="J13" s="415">
        <f t="shared" si="0"/>
        <v>233.04999008562297</v>
      </c>
      <c r="K13" s="415">
        <f t="shared" si="0"/>
        <v>1491.5199365479871</v>
      </c>
      <c r="L13" s="415">
        <f t="shared" si="0"/>
        <v>419.48998215412132</v>
      </c>
      <c r="M13" s="415">
        <f t="shared" si="0"/>
        <v>93.219996034249192</v>
      </c>
      <c r="N13" s="415">
        <f t="shared" si="0"/>
        <v>30692.992369760101</v>
      </c>
      <c r="O13" s="415">
        <f t="shared" si="0"/>
        <v>186.43999206849838</v>
      </c>
      <c r="P13" s="415">
        <f t="shared" si="0"/>
        <v>2516.9398929247282</v>
      </c>
      <c r="Q13" s="415">
        <f t="shared" si="0"/>
        <v>2215442.8120754738</v>
      </c>
      <c r="R13" s="415">
        <f t="shared" si="0"/>
        <v>0</v>
      </c>
      <c r="S13" s="415">
        <f t="shared" si="0"/>
        <v>838.97996430824264</v>
      </c>
      <c r="T13" s="415">
        <f t="shared" si="1"/>
        <v>2281559.4029382486</v>
      </c>
    </row>
    <row r="14" spans="1:24" ht="20.100000000000001" customHeight="1">
      <c r="A14" s="401" t="s">
        <v>137</v>
      </c>
      <c r="B14" s="408" t="s">
        <v>49</v>
      </c>
      <c r="C14" s="410">
        <f t="shared" si="0"/>
        <v>2724.6370619282534</v>
      </c>
      <c r="D14" s="410">
        <f t="shared" si="0"/>
        <v>37343.378645836012</v>
      </c>
      <c r="E14" s="410">
        <f t="shared" si="0"/>
        <v>0</v>
      </c>
      <c r="F14" s="410">
        <f t="shared" si="0"/>
        <v>118.98395053090717</v>
      </c>
      <c r="G14" s="410">
        <f t="shared" si="0"/>
        <v>6309.8292941338814</v>
      </c>
      <c r="H14" s="410">
        <f t="shared" si="0"/>
        <v>396.61316843635723</v>
      </c>
      <c r="I14" s="410">
        <f t="shared" si="0"/>
        <v>0</v>
      </c>
      <c r="J14" s="410">
        <f t="shared" si="0"/>
        <v>753.56502002907871</v>
      </c>
      <c r="K14" s="410">
        <f t="shared" si="0"/>
        <v>1348.4847726836147</v>
      </c>
      <c r="L14" s="410">
        <f t="shared" si="0"/>
        <v>18255.245496059837</v>
      </c>
      <c r="M14" s="410">
        <f t="shared" si="0"/>
        <v>2050.3946755864458</v>
      </c>
      <c r="N14" s="410">
        <f t="shared" si="0"/>
        <v>280094.69347604434</v>
      </c>
      <c r="O14" s="410">
        <f t="shared" si="0"/>
        <v>2090.0559924300815</v>
      </c>
      <c r="P14" s="410">
        <f t="shared" si="0"/>
        <v>912.21028740362158</v>
      </c>
      <c r="Q14" s="410">
        <f t="shared" si="0"/>
        <v>879145.28812905215</v>
      </c>
      <c r="R14" s="410">
        <f t="shared" si="0"/>
        <v>0</v>
      </c>
      <c r="S14" s="410">
        <f t="shared" si="0"/>
        <v>436.27448527999297</v>
      </c>
      <c r="T14" s="410">
        <f t="shared" si="1"/>
        <v>1231979.6544554345</v>
      </c>
    </row>
    <row r="15" spans="1:24" ht="20.100000000000001" customHeight="1">
      <c r="A15" s="401">
        <v>25</v>
      </c>
      <c r="B15" s="414" t="s">
        <v>207</v>
      </c>
      <c r="C15" s="415">
        <f t="shared" si="0"/>
        <v>4409615.161208109</v>
      </c>
      <c r="D15" s="415">
        <f t="shared" si="0"/>
        <v>15569.258033833785</v>
      </c>
      <c r="E15" s="415">
        <f t="shared" si="0"/>
        <v>4517.8650544606962</v>
      </c>
      <c r="F15" s="415">
        <f t="shared" si="0"/>
        <v>0</v>
      </c>
      <c r="G15" s="415">
        <f t="shared" si="0"/>
        <v>14695.333817139443</v>
      </c>
      <c r="H15" s="415">
        <f t="shared" si="0"/>
        <v>11329.415444262977</v>
      </c>
      <c r="I15" s="415">
        <f t="shared" si="0"/>
        <v>139.01123244494451</v>
      </c>
      <c r="J15" s="415">
        <f t="shared" si="0"/>
        <v>417.03369733483351</v>
      </c>
      <c r="K15" s="415">
        <f t="shared" si="0"/>
        <v>11746.44914159781</v>
      </c>
      <c r="L15" s="415">
        <f t="shared" si="0"/>
        <v>0</v>
      </c>
      <c r="M15" s="415">
        <f t="shared" si="0"/>
        <v>0</v>
      </c>
      <c r="N15" s="415">
        <f t="shared" si="0"/>
        <v>486.53931355730577</v>
      </c>
      <c r="O15" s="415">
        <f t="shared" si="0"/>
        <v>0</v>
      </c>
      <c r="P15" s="415">
        <f t="shared" si="0"/>
        <v>0</v>
      </c>
      <c r="Q15" s="415">
        <f t="shared" si="0"/>
        <v>2780.2246488988899</v>
      </c>
      <c r="R15" s="415">
        <f t="shared" si="0"/>
        <v>0</v>
      </c>
      <c r="S15" s="415">
        <f t="shared" si="0"/>
        <v>0</v>
      </c>
      <c r="T15" s="415">
        <f t="shared" si="1"/>
        <v>4471296.2915916387</v>
      </c>
    </row>
    <row r="16" spans="1:24" ht="20.100000000000001" customHeight="1">
      <c r="A16" s="401" t="s">
        <v>147</v>
      </c>
      <c r="B16" s="408" t="s">
        <v>208</v>
      </c>
      <c r="C16" s="410">
        <f t="shared" si="0"/>
        <v>0</v>
      </c>
      <c r="D16" s="410">
        <f t="shared" si="0"/>
        <v>819.14711375791421</v>
      </c>
      <c r="E16" s="410">
        <f t="shared" si="0"/>
        <v>204.78677843947855</v>
      </c>
      <c r="F16" s="410">
        <f t="shared" si="0"/>
        <v>0</v>
      </c>
      <c r="G16" s="410">
        <f t="shared" si="0"/>
        <v>1142506.9942277553</v>
      </c>
      <c r="H16" s="410">
        <f t="shared" si="0"/>
        <v>12080.862614024751</v>
      </c>
      <c r="I16" s="410">
        <f t="shared" si="0"/>
        <v>1023.9338921973928</v>
      </c>
      <c r="J16" s="410">
        <f t="shared" si="0"/>
        <v>0</v>
      </c>
      <c r="K16" s="410">
        <f t="shared" si="0"/>
        <v>0</v>
      </c>
      <c r="L16" s="410">
        <f t="shared" si="0"/>
        <v>0</v>
      </c>
      <c r="M16" s="410">
        <f t="shared" si="0"/>
        <v>0</v>
      </c>
      <c r="N16" s="410">
        <f t="shared" si="0"/>
        <v>8601.0446944580981</v>
      </c>
      <c r="O16" s="410">
        <f t="shared" si="0"/>
        <v>0</v>
      </c>
      <c r="P16" s="410">
        <f t="shared" si="0"/>
        <v>0</v>
      </c>
      <c r="Q16" s="410">
        <f t="shared" si="0"/>
        <v>307.18016765921783</v>
      </c>
      <c r="R16" s="410">
        <f t="shared" si="0"/>
        <v>0</v>
      </c>
      <c r="S16" s="410">
        <f t="shared" si="0"/>
        <v>1228.7206706368713</v>
      </c>
      <c r="T16" s="410">
        <f t="shared" si="1"/>
        <v>1166772.6701589292</v>
      </c>
    </row>
    <row r="17" spans="1:91" ht="20.100000000000001" customHeight="1">
      <c r="A17" s="416" t="s">
        <v>148</v>
      </c>
      <c r="B17" s="414" t="s">
        <v>39</v>
      </c>
      <c r="C17" s="415">
        <f t="shared" si="0"/>
        <v>60584.918382441851</v>
      </c>
      <c r="D17" s="415">
        <f t="shared" si="0"/>
        <v>166497.46323413373</v>
      </c>
      <c r="E17" s="415">
        <f t="shared" si="0"/>
        <v>13277.33512281625</v>
      </c>
      <c r="F17" s="415">
        <f t="shared" si="0"/>
        <v>3512.522519263558</v>
      </c>
      <c r="G17" s="415">
        <f t="shared" si="0"/>
        <v>1686.010809246508</v>
      </c>
      <c r="H17" s="415">
        <f t="shared" si="0"/>
        <v>105768.90215975919</v>
      </c>
      <c r="I17" s="415">
        <f t="shared" si="0"/>
        <v>10534.425766628543</v>
      </c>
      <c r="J17" s="415">
        <f t="shared" si="0"/>
        <v>13344.44378203939</v>
      </c>
      <c r="K17" s="415">
        <f t="shared" si="0"/>
        <v>3858280.4068055782</v>
      </c>
      <c r="L17" s="415">
        <f t="shared" si="0"/>
        <v>24884.74540713611</v>
      </c>
      <c r="M17" s="415">
        <f t="shared" si="0"/>
        <v>0</v>
      </c>
      <c r="N17" s="415">
        <f t="shared" si="0"/>
        <v>4777.0306261984388</v>
      </c>
      <c r="O17" s="415">
        <f t="shared" si="0"/>
        <v>0</v>
      </c>
      <c r="P17" s="415">
        <f t="shared" si="0"/>
        <v>0</v>
      </c>
      <c r="Q17" s="415">
        <f t="shared" si="0"/>
        <v>87602.688645372604</v>
      </c>
      <c r="R17" s="415">
        <f t="shared" si="0"/>
        <v>0</v>
      </c>
      <c r="S17" s="415">
        <f t="shared" si="0"/>
        <v>210.7513511558135</v>
      </c>
      <c r="T17" s="415">
        <f t="shared" si="1"/>
        <v>4350961.6446117703</v>
      </c>
    </row>
    <row r="18" spans="1:91" ht="20.100000000000001" customHeight="1">
      <c r="A18" s="401" t="s">
        <v>149</v>
      </c>
      <c r="B18" s="408" t="s">
        <v>38</v>
      </c>
      <c r="C18" s="410">
        <f t="shared" si="0"/>
        <v>2555.1392110311122</v>
      </c>
      <c r="D18" s="410">
        <f t="shared" si="0"/>
        <v>29341.358587869461</v>
      </c>
      <c r="E18" s="410">
        <f t="shared" si="0"/>
        <v>4560533.6728137266</v>
      </c>
      <c r="F18" s="410">
        <f t="shared" si="0"/>
        <v>0</v>
      </c>
      <c r="G18" s="410">
        <f t="shared" si="0"/>
        <v>13879.563418593234</v>
      </c>
      <c r="H18" s="410">
        <f t="shared" si="0"/>
        <v>0</v>
      </c>
      <c r="I18" s="410">
        <f t="shared" si="0"/>
        <v>2307.867674479714</v>
      </c>
      <c r="J18" s="410">
        <f t="shared" si="0"/>
        <v>10747.457288942192</v>
      </c>
      <c r="K18" s="410">
        <f t="shared" si="0"/>
        <v>4286.0399668908976</v>
      </c>
      <c r="L18" s="410">
        <f t="shared" si="0"/>
        <v>0</v>
      </c>
      <c r="M18" s="410">
        <f t="shared" si="0"/>
        <v>0</v>
      </c>
      <c r="N18" s="410">
        <f t="shared" si="0"/>
        <v>11242.00036204499</v>
      </c>
      <c r="O18" s="410">
        <f t="shared" si="0"/>
        <v>0</v>
      </c>
      <c r="P18" s="410">
        <f t="shared" si="0"/>
        <v>9923.2188337708667</v>
      </c>
      <c r="Q18" s="410">
        <f t="shared" si="0"/>
        <v>31500.55725717239</v>
      </c>
      <c r="R18" s="410">
        <f t="shared" si="0"/>
        <v>0</v>
      </c>
      <c r="S18" s="410">
        <f t="shared" si="0"/>
        <v>0</v>
      </c>
      <c r="T18" s="410">
        <f t="shared" si="1"/>
        <v>4676316.8754145205</v>
      </c>
    </row>
    <row r="19" spans="1:91" ht="20.100000000000001" customHeight="1">
      <c r="A19" s="401" t="s">
        <v>150</v>
      </c>
      <c r="B19" s="414" t="s">
        <v>31</v>
      </c>
      <c r="C19" s="415">
        <f t="shared" si="0"/>
        <v>1449.9799142440463</v>
      </c>
      <c r="D19" s="415">
        <f t="shared" si="0"/>
        <v>44469.706438405883</v>
      </c>
      <c r="E19" s="415">
        <f t="shared" si="0"/>
        <v>26142.352832847479</v>
      </c>
      <c r="F19" s="415">
        <f t="shared" si="0"/>
        <v>28463.936915287592</v>
      </c>
      <c r="G19" s="415">
        <f t="shared" si="0"/>
        <v>16027.126711345618</v>
      </c>
      <c r="H19" s="415">
        <f t="shared" si="0"/>
        <v>15936.502966705364</v>
      </c>
      <c r="I19" s="415">
        <f t="shared" si="0"/>
        <v>22914.531304004839</v>
      </c>
      <c r="J19" s="415">
        <f t="shared" si="0"/>
        <v>10054927.85248049</v>
      </c>
      <c r="K19" s="415">
        <f t="shared" si="0"/>
        <v>16027.126711345618</v>
      </c>
      <c r="L19" s="415">
        <f t="shared" si="0"/>
        <v>271.87123392075864</v>
      </c>
      <c r="M19" s="415">
        <f t="shared" si="0"/>
        <v>0</v>
      </c>
      <c r="N19" s="415">
        <f t="shared" si="0"/>
        <v>90.623744640252895</v>
      </c>
      <c r="O19" s="415">
        <f t="shared" si="0"/>
        <v>0</v>
      </c>
      <c r="P19" s="415">
        <f t="shared" si="0"/>
        <v>271.87123392075864</v>
      </c>
      <c r="Q19" s="415">
        <f t="shared" si="0"/>
        <v>19561.452752315479</v>
      </c>
      <c r="R19" s="415">
        <f t="shared" si="0"/>
        <v>0</v>
      </c>
      <c r="S19" s="415">
        <f t="shared" si="0"/>
        <v>724.98995712202316</v>
      </c>
      <c r="T19" s="415">
        <f t="shared" si="1"/>
        <v>10247279.925196599</v>
      </c>
    </row>
    <row r="20" spans="1:91" ht="20.100000000000001" customHeight="1">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c r="A21" s="416" t="s">
        <v>153</v>
      </c>
      <c r="B21" s="414" t="s">
        <v>210</v>
      </c>
      <c r="C21" s="415">
        <f t="shared" si="2"/>
        <v>593.46540674688242</v>
      </c>
      <c r="D21" s="415">
        <f t="shared" si="2"/>
        <v>890.19811012032369</v>
      </c>
      <c r="E21" s="415">
        <f t="shared" si="2"/>
        <v>1582.5744179916862</v>
      </c>
      <c r="F21" s="415">
        <f t="shared" si="2"/>
        <v>0</v>
      </c>
      <c r="G21" s="415">
        <f t="shared" si="2"/>
        <v>0</v>
      </c>
      <c r="H21" s="415">
        <f t="shared" si="2"/>
        <v>0</v>
      </c>
      <c r="I21" s="415">
        <f t="shared" si="2"/>
        <v>296.73270337344121</v>
      </c>
      <c r="J21" s="415">
        <f t="shared" si="2"/>
        <v>0</v>
      </c>
      <c r="K21" s="415">
        <f t="shared" si="2"/>
        <v>1978.2180224896078</v>
      </c>
      <c r="L21" s="415">
        <f t="shared" si="2"/>
        <v>593.46540674688242</v>
      </c>
      <c r="M21" s="415">
        <f t="shared" si="2"/>
        <v>0</v>
      </c>
      <c r="N21" s="415">
        <f t="shared" si="2"/>
        <v>3956.4360449792157</v>
      </c>
      <c r="O21" s="415">
        <f t="shared" si="2"/>
        <v>1090789.4176007698</v>
      </c>
      <c r="P21" s="415">
        <f t="shared" si="2"/>
        <v>5539.0104629709022</v>
      </c>
      <c r="Q21" s="415">
        <f t="shared" si="2"/>
        <v>4945.5450562240194</v>
      </c>
      <c r="R21" s="415">
        <f t="shared" si="2"/>
        <v>0</v>
      </c>
      <c r="S21" s="415">
        <f t="shared" si="2"/>
        <v>98.91090112448039</v>
      </c>
      <c r="T21" s="415">
        <f t="shared" si="1"/>
        <v>1111263.9741335374</v>
      </c>
    </row>
    <row r="22" spans="1:91" ht="20.100000000000001" customHeight="1">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c r="A23" s="401" t="s">
        <v>162</v>
      </c>
      <c r="B23" s="414" t="s">
        <v>76</v>
      </c>
      <c r="C23" s="415">
        <f t="shared" si="2"/>
        <v>0</v>
      </c>
      <c r="D23" s="415">
        <f t="shared" si="2"/>
        <v>788.92770290626402</v>
      </c>
      <c r="E23" s="415">
        <f t="shared" si="2"/>
        <v>0</v>
      </c>
      <c r="F23" s="415">
        <f t="shared" si="2"/>
        <v>0</v>
      </c>
      <c r="G23" s="415">
        <f t="shared" si="2"/>
        <v>28757.196209846639</v>
      </c>
      <c r="H23" s="415">
        <f t="shared" si="2"/>
        <v>197.231925726566</v>
      </c>
      <c r="I23" s="415">
        <f t="shared" si="2"/>
        <v>0</v>
      </c>
      <c r="J23" s="415">
        <f t="shared" si="2"/>
        <v>0</v>
      </c>
      <c r="K23" s="415">
        <f t="shared" si="2"/>
        <v>0</v>
      </c>
      <c r="L23" s="415">
        <f t="shared" si="2"/>
        <v>0</v>
      </c>
      <c r="M23" s="415">
        <f t="shared" si="2"/>
        <v>0</v>
      </c>
      <c r="N23" s="415">
        <f t="shared" si="2"/>
        <v>13737222.240296103</v>
      </c>
      <c r="O23" s="415">
        <f t="shared" si="2"/>
        <v>0</v>
      </c>
      <c r="P23" s="415">
        <f t="shared" si="2"/>
        <v>0</v>
      </c>
      <c r="Q23" s="415">
        <f t="shared" si="2"/>
        <v>177566.14720740193</v>
      </c>
      <c r="R23" s="415">
        <f t="shared" si="2"/>
        <v>0</v>
      </c>
      <c r="S23" s="415">
        <f t="shared" si="2"/>
        <v>74056.097549903498</v>
      </c>
      <c r="T23" s="415">
        <f t="shared" si="1"/>
        <v>14018587.840891888</v>
      </c>
    </row>
    <row r="24" spans="1:91" ht="20.100000000000001" customHeight="1">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c r="A26" s="402"/>
      <c r="B26" s="421" t="s">
        <v>17</v>
      </c>
      <c r="C26" s="569">
        <f t="shared" ref="C26:S26" si="3">SUM(C5:C25)</f>
        <v>9543974.1006383616</v>
      </c>
      <c r="D26" s="569">
        <f t="shared" si="3"/>
        <v>187208745.86181772</v>
      </c>
      <c r="E26" s="569">
        <f t="shared" si="3"/>
        <v>26463839.854262024</v>
      </c>
      <c r="F26" s="569">
        <f t="shared" si="3"/>
        <v>7913737.385675313</v>
      </c>
      <c r="G26" s="569">
        <f t="shared" si="3"/>
        <v>35875222.548936918</v>
      </c>
      <c r="H26" s="569">
        <f t="shared" si="3"/>
        <v>16675461.974750988</v>
      </c>
      <c r="I26" s="569">
        <f t="shared" si="3"/>
        <v>3758787.7762416457</v>
      </c>
      <c r="J26" s="569">
        <f t="shared" si="3"/>
        <v>11357686.12991743</v>
      </c>
      <c r="K26" s="569">
        <f t="shared" si="3"/>
        <v>4020317.0082955137</v>
      </c>
      <c r="L26" s="569">
        <f t="shared" si="3"/>
        <v>4184978.5007644966</v>
      </c>
      <c r="M26" s="569">
        <f t="shared" si="3"/>
        <v>6468365.8377007917</v>
      </c>
      <c r="N26" s="569">
        <f t="shared" si="3"/>
        <v>24523152.17054129</v>
      </c>
      <c r="O26" s="569">
        <f t="shared" si="3"/>
        <v>4696670.1110020876</v>
      </c>
      <c r="P26" s="569">
        <f t="shared" si="3"/>
        <v>6857977.5577489696</v>
      </c>
      <c r="Q26" s="569">
        <f t="shared" si="3"/>
        <v>8585080.1960021406</v>
      </c>
      <c r="R26" s="570">
        <f t="shared" si="3"/>
        <v>2380456.1575280381</v>
      </c>
      <c r="S26" s="570">
        <f t="shared" si="3"/>
        <v>1284171.4281760945</v>
      </c>
      <c r="T26" s="569">
        <f t="shared" si="1"/>
        <v>361798624.59999985</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+UGpcntSCH*(VLOOKUP($A29,FY15Revenue!$A$4:$H$24,8,FALSE))*VLOOKUP($A29,FY15SCH!$A$3:$S$23,MATCH(C$28,FY15SCH!$A$2:$S$2,0),FALSE)</f>
        <v>3566656.4829602465</v>
      </c>
      <c r="D29" s="438">
        <f>+UGpcntSCH*(VLOOKUP($A29,FY15Revenue!$A$4:$H$24,8,FALSE))*VLOOKUP($A29,FY15SCH!$A$3:$S$23,MATCH(D$28,FY15SCH!$A$2:$S$2,0),FALSE)</f>
        <v>106857770.80648088</v>
      </c>
      <c r="E29" s="438">
        <f>+UGpcntSCH*(VLOOKUP($A29,FY15Revenue!$A$4:$H$24,8,FALSE))*VLOOKUP($A29,FY15SCH!$A$3:$S$23,MATCH(E$28,FY15SCH!$A$2:$S$2,0),FALSE)</f>
        <v>10433341.260851199</v>
      </c>
      <c r="F29" s="438">
        <f>+UGpcntSCH*(VLOOKUP($A29,FY15Revenue!$A$4:$H$24,8,FALSE))*VLOOKUP($A29,FY15SCH!$A$3:$S$23,MATCH(F$28,FY15SCH!$A$2:$S$2,0),FALSE)</f>
        <v>2229345.2734740395</v>
      </c>
      <c r="G29" s="438">
        <f>+UGpcntSCH*(VLOOKUP($A29,FY15Revenue!$A$4:$H$24,8,FALSE))*VLOOKUP($A29,FY15SCH!$A$3:$S$23,MATCH(G$28,FY15SCH!$A$2:$S$2,0),FALSE)</f>
        <v>15377262.824056873</v>
      </c>
      <c r="H29" s="438">
        <f>+UGpcntSCH*(VLOOKUP($A29,FY15Revenue!$A$4:$H$24,8,FALSE))*VLOOKUP($A29,FY15SCH!$A$3:$S$23,MATCH(H$28,FY15SCH!$A$2:$S$2,0),FALSE)</f>
        <v>9310059.0358024295</v>
      </c>
      <c r="I29" s="438">
        <f>+UGpcntSCH*(VLOOKUP($A29,FY15Revenue!$A$4:$H$24,8,FALSE))*VLOOKUP($A29,FY15SCH!$A$3:$S$23,MATCH(I$28,FY15SCH!$A$2:$S$2,0),FALSE)</f>
        <v>2239165.5851421305</v>
      </c>
      <c r="J29" s="438">
        <f>+UGpcntSCH*(VLOOKUP($A29,FY15Revenue!$A$4:$H$24,8,FALSE))*VLOOKUP($A29,FY15SCH!$A$3:$S$23,MATCH(J$28,FY15SCH!$A$2:$S$2,0),FALSE)</f>
        <v>94974.521064003857</v>
      </c>
      <c r="K29" s="438">
        <f>+UGpcntSCH*(VLOOKUP($A29,FY15Revenue!$A$4:$H$24,8,FALSE))*VLOOKUP($A29,FY15SCH!$A$3:$S$23,MATCH(K$28,FY15SCH!$A$2:$S$2,0),FALSE)</f>
        <v>27981.162013190937</v>
      </c>
      <c r="L29" s="438">
        <f>+UGpcntSCH*(VLOOKUP($A29,FY15Revenue!$A$4:$H$24,8,FALSE))*VLOOKUP($A29,FY15SCH!$A$3:$S$23,MATCH(L$28,FY15SCH!$A$2:$S$2,0),FALSE)</f>
        <v>505409.7388632613</v>
      </c>
      <c r="M29" s="438">
        <f>+UGpcntSCH*(VLOOKUP($A29,FY15Revenue!$A$4:$H$24,8,FALSE))*VLOOKUP($A29,FY15SCH!$A$3:$S$23,MATCH(M$28,FY15SCH!$A$2:$S$2,0),FALSE)</f>
        <v>9551.2620333488285</v>
      </c>
      <c r="N29" s="438">
        <f>+UGpcntSCH*(VLOOKUP($A29,FY15Revenue!$A$4:$H$24,8,FALSE))*VLOOKUP($A29,FY15SCH!$A$3:$S$23,MATCH(N$28,FY15SCH!$A$2:$S$2,0),FALSE)</f>
        <v>4613663.1365595981</v>
      </c>
      <c r="O29" s="438">
        <f>+UGpcntSCH*(VLOOKUP($A29,FY15Revenue!$A$4:$H$24,8,FALSE))*VLOOKUP($A29,FY15SCH!$A$3:$S$23,MATCH(O$28,FY15SCH!$A$2:$S$2,0),FALSE)</f>
        <v>1397443.8028510935</v>
      </c>
      <c r="P29" s="438">
        <f>+UGpcntSCH*(VLOOKUP($A29,FY15Revenue!$A$4:$H$24,8,FALSE))*VLOOKUP($A29,FY15SCH!$A$3:$S$23,MATCH(P$28,FY15SCH!$A$2:$S$2,0),FALSE)</f>
        <v>55020.650304784103</v>
      </c>
      <c r="Q29" s="438">
        <f>+UGpcntSCH*(VLOOKUP($A29,FY15Revenue!$A$4:$H$24,8,FALSE))*VLOOKUP($A29,FY15SCH!$A$3:$S$23,MATCH(Q$28,FY15SCH!$A$2:$S$2,0),FALSE)</f>
        <v>2697088.0634733899</v>
      </c>
      <c r="R29" s="438">
        <f>+UGpcntSCH*(VLOOKUP($A29,FY15Revenue!$A$4:$H$24,8,FALSE))*VLOOKUP($A29,FY15SCH!$A$3:$S$23,MATCH(R$28,FY15SCH!$A$2:$S$2,0),FALSE)</f>
        <v>2218583.2880843505</v>
      </c>
      <c r="S29" s="438">
        <f>+UGpcntSCH*(VLOOKUP($A29,FY15Revenue!$A$4:$H$24,8,FALSE))*VLOOKUP($A29,FY15SCH!$A$3:$S$23,MATCH(S$28,FY15SCH!$A$2:$S$2,0),FALSE)</f>
        <v>38877.672220250868</v>
      </c>
      <c r="T29" s="439">
        <f t="shared" ref="T29:T49" si="4">SUM(C29:Q29)+R29+S29</f>
        <v>161672194.56623513</v>
      </c>
    </row>
    <row r="30" spans="1:91" s="18" customFormat="1" ht="20.100000000000001" customHeight="1">
      <c r="A30" s="404" t="s">
        <v>129</v>
      </c>
      <c r="B30" s="440" t="s">
        <v>35</v>
      </c>
      <c r="C30" s="410">
        <f>+GPpcntSCH*(VLOOKUP($A30,FY15Revenue!$A$4:$H$24,8,FALSE))*VLOOKUP($A30,FY15SCH!$A$3:$S$23,MATCH(C$28,FY15SCH!$A$2:$S$2,0),FALSE)</f>
        <v>22928.91624109773</v>
      </c>
      <c r="D30" s="410">
        <f>+GPpcntSCH*(VLOOKUP($A30,FY15Revenue!$A$4:$H$24,8,FALSE))*VLOOKUP($A30,FY15SCH!$A$3:$S$23,MATCH(D$28,FY15SCH!$A$2:$S$2,0),FALSE)</f>
        <v>1892955.5598423462</v>
      </c>
      <c r="E30" s="410">
        <f>+GPpcntSCH*(VLOOKUP($A30,FY15Revenue!$A$4:$H$24,8,FALSE))*VLOOKUP($A30,FY15SCH!$A$3:$S$23,MATCH(E$28,FY15SCH!$A$2:$S$2,0),FALSE)</f>
        <v>61193.213719773106</v>
      </c>
      <c r="F30" s="410">
        <f>+GPpcntSCH*(VLOOKUP($A30,FY15Revenue!$A$4:$H$24,8,FALSE))*VLOOKUP($A30,FY15SCH!$A$3:$S$23,MATCH(F$28,FY15SCH!$A$2:$S$2,0),FALSE)</f>
        <v>15365.043483685153</v>
      </c>
      <c r="G30" s="410">
        <f>+GPpcntSCH*(VLOOKUP($A30,FY15Revenue!$A$4:$H$24,8,FALSE))*VLOOKUP($A30,FY15SCH!$A$3:$S$23,MATCH(G$28,FY15SCH!$A$2:$S$2,0),FALSE)</f>
        <v>126361.16841795125</v>
      </c>
      <c r="H30" s="410">
        <f>+GPpcntSCH*(VLOOKUP($A30,FY15Revenue!$A$4:$H$24,8,FALSE))*VLOOKUP($A30,FY15SCH!$A$3:$S$23,MATCH(H$28,FY15SCH!$A$2:$S$2,0),FALSE)</f>
        <v>14831.123053750147</v>
      </c>
      <c r="I30" s="410">
        <f>+GPpcntSCH*(VLOOKUP($A30,FY15Revenue!$A$4:$H$24,8,FALSE))*VLOOKUP($A30,FY15SCH!$A$3:$S$23,MATCH(I$28,FY15SCH!$A$2:$S$2,0),FALSE)</f>
        <v>42239.038457080424</v>
      </c>
      <c r="J30" s="410">
        <f>+GPpcntSCH*(VLOOKUP($A30,FY15Revenue!$A$4:$H$24,8,FALSE))*VLOOKUP($A30,FY15SCH!$A$3:$S$23,MATCH(J$28,FY15SCH!$A$2:$S$2,0),FALSE)</f>
        <v>5962.1114676075595</v>
      </c>
      <c r="K30" s="410">
        <f>+GPpcntSCH*(VLOOKUP($A30,FY15Revenue!$A$4:$H$24,8,FALSE))*VLOOKUP($A30,FY15SCH!$A$3:$S$23,MATCH(K$28,FY15SCH!$A$2:$S$2,0),FALSE)</f>
        <v>14178.553639385142</v>
      </c>
      <c r="L30" s="410">
        <f>+GPpcntSCH*(VLOOKUP($A30,FY15Revenue!$A$4:$H$24,8,FALSE))*VLOOKUP($A30,FY15SCH!$A$3:$S$23,MATCH(L$28,FY15SCH!$A$2:$S$2,0),FALSE)</f>
        <v>3173.8603335025314</v>
      </c>
      <c r="M30" s="410">
        <f>+GPpcntSCH*(VLOOKUP($A30,FY15Revenue!$A$4:$H$24,8,FALSE))*VLOOKUP($A30,FY15SCH!$A$3:$S$23,MATCH(M$28,FY15SCH!$A$2:$S$2,0),FALSE)</f>
        <v>29.662246107500295</v>
      </c>
      <c r="N30" s="410">
        <f>+GPpcntSCH*(VLOOKUP($A30,FY15Revenue!$A$4:$H$24,8,FALSE))*VLOOKUP($A30,FY15SCH!$A$3:$S$23,MATCH(N$28,FY15SCH!$A$2:$S$2,0),FALSE)</f>
        <v>366862.65985756367</v>
      </c>
      <c r="O30" s="410">
        <f>+GPpcntSCH*(VLOOKUP($A30,FY15Revenue!$A$4:$H$24,8,FALSE))*VLOOKUP($A30,FY15SCH!$A$3:$S$23,MATCH(O$28,FY15SCH!$A$2:$S$2,0),FALSE)</f>
        <v>533.92042993500525</v>
      </c>
      <c r="P30" s="410">
        <f>+GPpcntSCH*(VLOOKUP($A30,FY15Revenue!$A$4:$H$24,8,FALSE))*VLOOKUP($A30,FY15SCH!$A$3:$S$23,MATCH(P$28,FY15SCH!$A$2:$S$2,0),FALSE)</f>
        <v>52561.500102490521</v>
      </c>
      <c r="Q30" s="410">
        <f>+GPpcntSCH*(VLOOKUP($A30,FY15Revenue!$A$4:$H$24,8,FALSE))*VLOOKUP($A30,FY15SCH!$A$3:$S$23,MATCH(Q$28,FY15SCH!$A$2:$S$2,0),FALSE)</f>
        <v>27229.941926685271</v>
      </c>
      <c r="R30" s="410">
        <f>+GPpcntSCH*(VLOOKUP($A30,FY15Revenue!$A$4:$H$24,8,FALSE))*VLOOKUP($A30,FY15SCH!$A$3:$S$23,MATCH(R$28,FY15SCH!$A$2:$S$2,0),FALSE)</f>
        <v>148.31123053750147</v>
      </c>
      <c r="S30" s="410">
        <f>+GPpcntSCH*(VLOOKUP($A30,FY15Revenue!$A$4:$H$24,8,FALSE))*VLOOKUP($A30,FY15SCH!$A$3:$S$23,MATCH(S$28,FY15SCH!$A$2:$S$2,0),FALSE)</f>
        <v>175808.13267915425</v>
      </c>
      <c r="T30" s="441">
        <f t="shared" si="4"/>
        <v>2822362.7171286531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+GPpcntSCH*(VLOOKUP($A31,FY15Revenue!$A$4:$H$24,8,FALSE))*VLOOKUP($A31,FY15SCH!$A$3:$S$23,MATCH(C$28,FY15SCH!$A$2:$S$2,0),FALSE)</f>
        <v>0</v>
      </c>
      <c r="D31" s="443">
        <f>+GPpcntSCH*(VLOOKUP($A31,FY15Revenue!$A$4:$H$24,8,FALSE))*VLOOKUP($A31,FY15SCH!$A$3:$S$23,MATCH(D$28,FY15SCH!$A$2:$S$2,0),FALSE)</f>
        <v>10962.148986631069</v>
      </c>
      <c r="E31" s="443">
        <f>+GPpcntSCH*(VLOOKUP($A31,FY15Revenue!$A$4:$H$24,8,FALSE))*VLOOKUP($A31,FY15SCH!$A$3:$S$23,MATCH(E$28,FY15SCH!$A$2:$S$2,0),FALSE)</f>
        <v>0</v>
      </c>
      <c r="F31" s="443">
        <f>+GPpcntSCH*(VLOOKUP($A31,FY15Revenue!$A$4:$H$24,8,FALSE))*VLOOKUP($A31,FY15SCH!$A$3:$S$23,MATCH(F$28,FY15SCH!$A$2:$S$2,0),FALSE)</f>
        <v>1309.6372683143313</v>
      </c>
      <c r="G31" s="443">
        <f>+GPpcntSCH*(VLOOKUP($A31,FY15Revenue!$A$4:$H$24,8,FALSE))*VLOOKUP($A31,FY15SCH!$A$3:$S$23,MATCH(G$28,FY15SCH!$A$2:$S$2,0),FALSE)</f>
        <v>48.505084011641905</v>
      </c>
      <c r="H31" s="443">
        <f>+GPpcntSCH*(VLOOKUP($A31,FY15Revenue!$A$4:$H$24,8,FALSE))*VLOOKUP($A31,FY15SCH!$A$3:$S$23,MATCH(H$28,FY15SCH!$A$2:$S$2,0),FALSE)</f>
        <v>0</v>
      </c>
      <c r="I31" s="443">
        <f>+GPpcntSCH*(VLOOKUP($A31,FY15Revenue!$A$4:$H$24,8,FALSE))*VLOOKUP($A31,FY15SCH!$A$3:$S$23,MATCH(I$28,FY15SCH!$A$2:$S$2,0),FALSE)</f>
        <v>194.02033604656762</v>
      </c>
      <c r="J31" s="443">
        <f>+GPpcntSCH*(VLOOKUP($A31,FY15Revenue!$A$4:$H$24,8,FALSE))*VLOOKUP($A31,FY15SCH!$A$3:$S$23,MATCH(J$28,FY15SCH!$A$2:$S$2,0),FALSE)</f>
        <v>291.03050406985142</v>
      </c>
      <c r="K31" s="443">
        <f>+GPpcntSCH*(VLOOKUP($A31,FY15Revenue!$A$4:$H$24,8,FALSE))*VLOOKUP($A31,FY15SCH!$A$3:$S$23,MATCH(K$28,FY15SCH!$A$2:$S$2,0),FALSE)</f>
        <v>194.02033604656762</v>
      </c>
      <c r="L31" s="443">
        <f>+GPpcntSCH*(VLOOKUP($A31,FY15Revenue!$A$4:$H$24,8,FALSE))*VLOOKUP($A31,FY15SCH!$A$3:$S$23,MATCH(L$28,FY15SCH!$A$2:$S$2,0),FALSE)</f>
        <v>34244.589312219185</v>
      </c>
      <c r="M31" s="443">
        <f>+GPpcntSCH*(VLOOKUP($A31,FY15Revenue!$A$4:$H$24,8,FALSE))*VLOOKUP($A31,FY15SCH!$A$3:$S$23,MATCH(M$28,FY15SCH!$A$2:$S$2,0),FALSE)</f>
        <v>0</v>
      </c>
      <c r="N31" s="443">
        <f>+GPpcntSCH*(VLOOKUP($A31,FY15Revenue!$A$4:$H$24,8,FALSE))*VLOOKUP($A31,FY15SCH!$A$3:$S$23,MATCH(N$28,FY15SCH!$A$2:$S$2,0),FALSE)</f>
        <v>179881.104057174</v>
      </c>
      <c r="O31" s="443">
        <f>+GPpcntSCH*(VLOOKUP($A31,FY15Revenue!$A$4:$H$24,8,FALSE))*VLOOKUP($A31,FY15SCH!$A$3:$S$23,MATCH(O$28,FY15SCH!$A$2:$S$2,0),FALSE)</f>
        <v>0</v>
      </c>
      <c r="P31" s="443">
        <f>+GPpcntSCH*(VLOOKUP($A31,FY15Revenue!$A$4:$H$24,8,FALSE))*VLOOKUP($A31,FY15SCH!$A$3:$S$23,MATCH(P$28,FY15SCH!$A$2:$S$2,0),FALSE)</f>
        <v>194.02033604656762</v>
      </c>
      <c r="Q31" s="443">
        <f>+GPpcntSCH*(VLOOKUP($A31,FY15Revenue!$A$4:$H$24,8,FALSE))*VLOOKUP($A31,FY15SCH!$A$3:$S$23,MATCH(Q$28,FY15SCH!$A$2:$S$2,0),FALSE)</f>
        <v>2764.7897886635888</v>
      </c>
      <c r="R31" s="443">
        <f>+GPpcntSCH*(VLOOKUP($A31,FY15Revenue!$A$4:$H$24,8,FALSE))*VLOOKUP($A31,FY15SCH!$A$3:$S$23,MATCH(R$28,FY15SCH!$A$2:$S$2,0),FALSE)</f>
        <v>0</v>
      </c>
      <c r="S31" s="443">
        <f>+GPpcntSCH*(VLOOKUP($A31,FY15Revenue!$A$4:$H$24,8,FALSE))*VLOOKUP($A31,FY15SCH!$A$3:$S$23,MATCH(S$28,FY15SCH!$A$2:$S$2,0),FALSE)</f>
        <v>145.51525203492571</v>
      </c>
      <c r="T31" s="444">
        <f t="shared" si="4"/>
        <v>230229.38126125833</v>
      </c>
    </row>
    <row r="32" spans="1:91" s="18" customFormat="1" ht="20.100000000000001" customHeight="1">
      <c r="A32" s="404" t="s">
        <v>130</v>
      </c>
      <c r="B32" s="440" t="s">
        <v>37</v>
      </c>
      <c r="C32" s="410">
        <f>+GPpcntSCH*(VLOOKUP($A32,FY15Revenue!$A$4:$H$24,8,FALSE))*VLOOKUP($A32,FY15SCH!$A$3:$S$23,MATCH(C$28,FY15SCH!$A$2:$S$2,0),FALSE)</f>
        <v>8708.4861627593109</v>
      </c>
      <c r="D32" s="410">
        <f>+GPpcntSCH*(VLOOKUP($A32,FY15Revenue!$A$4:$H$24,8,FALSE))*VLOOKUP($A32,FY15SCH!$A$3:$S$23,MATCH(D$28,FY15SCH!$A$2:$S$2,0),FALSE)</f>
        <v>97229.799116168389</v>
      </c>
      <c r="E32" s="410">
        <f>+GPpcntSCH*(VLOOKUP($A32,FY15Revenue!$A$4:$H$24,8,FALSE))*VLOOKUP($A32,FY15SCH!$A$3:$S$23,MATCH(E$28,FY15SCH!$A$2:$S$2,0),FALSE)</f>
        <v>6957.8111094210999</v>
      </c>
      <c r="F32" s="410">
        <f>+GPpcntSCH*(VLOOKUP($A32,FY15Revenue!$A$4:$H$24,8,FALSE))*VLOOKUP($A32,FY15SCH!$A$3:$S$23,MATCH(F$28,FY15SCH!$A$2:$S$2,0),FALSE)</f>
        <v>5072.4687442876402</v>
      </c>
      <c r="G32" s="410">
        <f>+GPpcntSCH*(VLOOKUP($A32,FY15Revenue!$A$4:$H$24,8,FALSE))*VLOOKUP($A32,FY15SCH!$A$3:$S$23,MATCH(G$28,FY15SCH!$A$2:$S$2,0),FALSE)</f>
        <v>1353586.0399579601</v>
      </c>
      <c r="H32" s="410">
        <f>+GPpcntSCH*(VLOOKUP($A32,FY15Revenue!$A$4:$H$24,8,FALSE))*VLOOKUP($A32,FY15SCH!$A$3:$S$23,MATCH(H$28,FY15SCH!$A$2:$S$2,0),FALSE)</f>
        <v>13107.618348070715</v>
      </c>
      <c r="I32" s="410">
        <f>+GPpcntSCH*(VLOOKUP($A32,FY15Revenue!$A$4:$H$24,8,FALSE))*VLOOKUP($A32,FY15SCH!$A$3:$S$23,MATCH(I$28,FY15SCH!$A$2:$S$2,0),FALSE)</f>
        <v>2872.9026516319377</v>
      </c>
      <c r="J32" s="410">
        <f>+GPpcntSCH*(VLOOKUP($A32,FY15Revenue!$A$4:$H$24,8,FALSE))*VLOOKUP($A32,FY15SCH!$A$3:$S$23,MATCH(J$28,FY15SCH!$A$2:$S$2,0),FALSE)</f>
        <v>5386.6924718098835</v>
      </c>
      <c r="K32" s="410">
        <f>+GPpcntSCH*(VLOOKUP($A32,FY15Revenue!$A$4:$H$24,8,FALSE))*VLOOKUP($A32,FY15SCH!$A$3:$S$23,MATCH(K$28,FY15SCH!$A$2:$S$2,0),FALSE)</f>
        <v>718.22566290798443</v>
      </c>
      <c r="L32" s="410">
        <f>+GPpcntSCH*(VLOOKUP($A32,FY15Revenue!$A$4:$H$24,8,FALSE))*VLOOKUP($A32,FY15SCH!$A$3:$S$23,MATCH(L$28,FY15SCH!$A$2:$S$2,0),FALSE)</f>
        <v>987.5602864984786</v>
      </c>
      <c r="M32" s="410">
        <f>+GPpcntSCH*(VLOOKUP($A32,FY15Revenue!$A$4:$H$24,8,FALSE))*VLOOKUP($A32,FY15SCH!$A$3:$S$23,MATCH(M$28,FY15SCH!$A$2:$S$2,0),FALSE)</f>
        <v>0</v>
      </c>
      <c r="N32" s="410">
        <f>+GPpcntSCH*(VLOOKUP($A32,FY15Revenue!$A$4:$H$24,8,FALSE))*VLOOKUP($A32,FY15SCH!$A$3:$S$23,MATCH(N$28,FY15SCH!$A$2:$S$2,0),FALSE)</f>
        <v>30053.255082305972</v>
      </c>
      <c r="O32" s="410">
        <f>+GPpcntSCH*(VLOOKUP($A32,FY15Revenue!$A$4:$H$24,8,FALSE))*VLOOKUP($A32,FY15SCH!$A$3:$S$23,MATCH(O$28,FY15SCH!$A$2:$S$2,0),FALSE)</f>
        <v>56829.605577594273</v>
      </c>
      <c r="P32" s="410">
        <f>+GPpcntSCH*(VLOOKUP($A32,FY15Revenue!$A$4:$H$24,8,FALSE))*VLOOKUP($A32,FY15SCH!$A$3:$S$23,MATCH(P$28,FY15SCH!$A$2:$S$2,0),FALSE)</f>
        <v>538.66924718098835</v>
      </c>
      <c r="Q32" s="410">
        <f>+GPpcntSCH*(VLOOKUP($A32,FY15Revenue!$A$4:$H$24,8,FALSE))*VLOOKUP($A32,FY15SCH!$A$3:$S$23,MATCH(Q$28,FY15SCH!$A$2:$S$2,0),FALSE)</f>
        <v>33307.71511735778</v>
      </c>
      <c r="R32" s="410">
        <f>+GPpcntSCH*(VLOOKUP($A32,FY15Revenue!$A$4:$H$24,8,FALSE))*VLOOKUP($A32,FY15SCH!$A$3:$S$23,MATCH(R$28,FY15SCH!$A$2:$S$2,0),FALSE)</f>
        <v>0</v>
      </c>
      <c r="S32" s="410">
        <f>+GPpcntSCH*(VLOOKUP($A32,FY15Revenue!$A$4:$H$24,8,FALSE))*VLOOKUP($A32,FY15SCH!$A$3:$S$23,MATCH(S$28,FY15SCH!$A$2:$S$2,0),FALSE)</f>
        <v>8686.0416107934361</v>
      </c>
      <c r="T32" s="441">
        <f t="shared" si="4"/>
        <v>1624042.8911467479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+GPpcntSCH*(VLOOKUP($A33,FY15Revenue!$A$4:$H$24,8,FALSE))*VLOOKUP($A33,FY15SCH!$A$3:$S$23,MATCH(C$28,FY15SCH!$A$2:$S$2,0),FALSE)</f>
        <v>621.41028296119146</v>
      </c>
      <c r="D33" s="443">
        <f>+GPpcntSCH*(VLOOKUP($A33,FY15Revenue!$A$4:$H$24,8,FALSE))*VLOOKUP($A33,FY15SCH!$A$3:$S$23,MATCH(D$28,FY15SCH!$A$2:$S$2,0),FALSE)</f>
        <v>43010.468870671037</v>
      </c>
      <c r="E33" s="443">
        <f>+GPpcntSCH*(VLOOKUP($A33,FY15Revenue!$A$4:$H$24,8,FALSE))*VLOOKUP($A33,FY15SCH!$A$3:$S$23,MATCH(E$28,FY15SCH!$A$2:$S$2,0),FALSE)</f>
        <v>1154.0476683564984</v>
      </c>
      <c r="F33" s="443">
        <f>+GPpcntSCH*(VLOOKUP($A33,FY15Revenue!$A$4:$H$24,8,FALSE))*VLOOKUP($A33,FY15SCH!$A$3:$S$23,MATCH(F$28,FY15SCH!$A$2:$S$2,0),FALSE)</f>
        <v>665.79673174413369</v>
      </c>
      <c r="G33" s="443">
        <f>+GPpcntSCH*(VLOOKUP($A33,FY15Revenue!$A$4:$H$24,8,FALSE))*VLOOKUP($A33,FY15SCH!$A$3:$S$23,MATCH(G$28,FY15SCH!$A$2:$S$2,0),FALSE)</f>
        <v>4704.9635709918784</v>
      </c>
      <c r="H33" s="443">
        <f>+GPpcntSCH*(VLOOKUP($A33,FY15Revenue!$A$4:$H$24,8,FALSE))*VLOOKUP($A33,FY15SCH!$A$3:$S$23,MATCH(H$28,FY15SCH!$A$2:$S$2,0),FALSE)</f>
        <v>663089.15836837434</v>
      </c>
      <c r="I33" s="443">
        <f>+GPpcntSCH*(VLOOKUP($A33,FY15Revenue!$A$4:$H$24,8,FALSE))*VLOOKUP($A33,FY15SCH!$A$3:$S$23,MATCH(I$28,FY15SCH!$A$2:$S$2,0),FALSE)</f>
        <v>0</v>
      </c>
      <c r="J33" s="443">
        <f>+GPpcntSCH*(VLOOKUP($A33,FY15Revenue!$A$4:$H$24,8,FALSE))*VLOOKUP($A33,FY15SCH!$A$3:$S$23,MATCH(J$28,FY15SCH!$A$2:$S$2,0),FALSE)</f>
        <v>1109.6612195735563</v>
      </c>
      <c r="K33" s="443">
        <f>+GPpcntSCH*(VLOOKUP($A33,FY15Revenue!$A$4:$H$24,8,FALSE))*VLOOKUP($A33,FY15SCH!$A$3:$S$23,MATCH(K$28,FY15SCH!$A$2:$S$2,0),FALSE)</f>
        <v>6746.7402150072221</v>
      </c>
      <c r="L33" s="443">
        <f>+GPpcntSCH*(VLOOKUP($A33,FY15Revenue!$A$4:$H$24,8,FALSE))*VLOOKUP($A33,FY15SCH!$A$3:$S$23,MATCH(L$28,FY15SCH!$A$2:$S$2,0),FALSE)</f>
        <v>0</v>
      </c>
      <c r="M33" s="443">
        <f>+GPpcntSCH*(VLOOKUP($A33,FY15Revenue!$A$4:$H$24,8,FALSE))*VLOOKUP($A33,FY15SCH!$A$3:$S$23,MATCH(M$28,FY15SCH!$A$2:$S$2,0),FALSE)</f>
        <v>0</v>
      </c>
      <c r="N33" s="443">
        <f>+GPpcntSCH*(VLOOKUP($A33,FY15Revenue!$A$4:$H$24,8,FALSE))*VLOOKUP($A33,FY15SCH!$A$3:$S$23,MATCH(N$28,FY15SCH!$A$2:$S$2,0),FALSE)</f>
        <v>1375.9799122712097</v>
      </c>
      <c r="O33" s="443">
        <f>+GPpcntSCH*(VLOOKUP($A33,FY15Revenue!$A$4:$H$24,8,FALSE))*VLOOKUP($A33,FY15SCH!$A$3:$S$23,MATCH(O$28,FY15SCH!$A$2:$S$2,0),FALSE)</f>
        <v>0</v>
      </c>
      <c r="P33" s="443">
        <f>+GPpcntSCH*(VLOOKUP($A33,FY15Revenue!$A$4:$H$24,8,FALSE))*VLOOKUP($A33,FY15SCH!$A$3:$S$23,MATCH(P$28,FY15SCH!$A$2:$S$2,0),FALSE)</f>
        <v>0</v>
      </c>
      <c r="Q33" s="443">
        <f>+GPpcntSCH*(VLOOKUP($A33,FY15Revenue!$A$4:$H$24,8,FALSE))*VLOOKUP($A33,FY15SCH!$A$3:$S$23,MATCH(Q$28,FY15SCH!$A$2:$S$2,0),FALSE)</f>
        <v>1553.5257074029787</v>
      </c>
      <c r="R33" s="443">
        <f>+GPpcntSCH*(VLOOKUP($A33,FY15Revenue!$A$4:$H$24,8,FALSE))*VLOOKUP($A33,FY15SCH!$A$3:$S$23,MATCH(R$28,FY15SCH!$A$2:$S$2,0),FALSE)</f>
        <v>133.15934634882674</v>
      </c>
      <c r="S33" s="443">
        <f>+GPpcntSCH*(VLOOKUP($A33,FY15Revenue!$A$4:$H$24,8,FALSE))*VLOOKUP($A33,FY15SCH!$A$3:$S$23,MATCH(S$28,FY15SCH!$A$2:$S$2,0),FALSE)</f>
        <v>1775.4579513176898</v>
      </c>
      <c r="T33" s="444">
        <f t="shared" si="4"/>
        <v>725940.36984502058</v>
      </c>
    </row>
    <row r="34" spans="1:91" s="18" customFormat="1" ht="20.100000000000001" customHeight="1">
      <c r="A34" s="404" t="s">
        <v>132</v>
      </c>
      <c r="B34" s="440" t="s">
        <v>206</v>
      </c>
      <c r="C34" s="410">
        <f>+GPpcntSCH*(VLOOKUP($A34,FY15Revenue!$A$4:$H$24,8,FALSE))*VLOOKUP($A34,FY15SCH!$A$3:$S$23,MATCH(C$28,FY15SCH!$A$2:$S$2,0),FALSE)</f>
        <v>0</v>
      </c>
      <c r="D34" s="410">
        <f>+GPpcntSCH*(VLOOKUP($A34,FY15Revenue!$A$4:$H$24,8,FALSE))*VLOOKUP($A34,FY15SCH!$A$3:$S$23,MATCH(D$28,FY15SCH!$A$2:$S$2,0),FALSE)</f>
        <v>27597.851729758499</v>
      </c>
      <c r="E34" s="410">
        <f>+GPpcntSCH*(VLOOKUP($A34,FY15Revenue!$A$4:$H$24,8,FALSE))*VLOOKUP($A34,FY15SCH!$A$3:$S$23,MATCH(E$28,FY15SCH!$A$2:$S$2,0),FALSE)</f>
        <v>176.06284995061242</v>
      </c>
      <c r="F34" s="410">
        <f>+GPpcntSCH*(VLOOKUP($A34,FY15Revenue!$A$4:$H$24,8,FALSE))*VLOOKUP($A34,FY15SCH!$A$3:$S$23,MATCH(F$28,FY15SCH!$A$2:$S$2,0),FALSE)</f>
        <v>830444.44750455115</v>
      </c>
      <c r="G34" s="410">
        <f>+GPpcntSCH*(VLOOKUP($A34,FY15Revenue!$A$4:$H$24,8,FALSE))*VLOOKUP($A34,FY15SCH!$A$3:$S$23,MATCH(G$28,FY15SCH!$A$2:$S$2,0),FALSE)</f>
        <v>308.10998741357173</v>
      </c>
      <c r="H34" s="410">
        <f>+GPpcntSCH*(VLOOKUP($A34,FY15Revenue!$A$4:$H$24,8,FALSE))*VLOOKUP($A34,FY15SCH!$A$3:$S$23,MATCH(H$28,FY15SCH!$A$2:$S$2,0),FALSE)</f>
        <v>3785.3512739381672</v>
      </c>
      <c r="I34" s="410">
        <f>+GPpcntSCH*(VLOOKUP($A34,FY15Revenue!$A$4:$H$24,8,FALSE))*VLOOKUP($A34,FY15SCH!$A$3:$S$23,MATCH(I$28,FY15SCH!$A$2:$S$2,0),FALSE)</f>
        <v>748.26711229010277</v>
      </c>
      <c r="J34" s="410">
        <f>+GPpcntSCH*(VLOOKUP($A34,FY15Revenue!$A$4:$H$24,8,FALSE))*VLOOKUP($A34,FY15SCH!$A$3:$S$23,MATCH(J$28,FY15SCH!$A$2:$S$2,0),FALSE)</f>
        <v>0</v>
      </c>
      <c r="K34" s="410">
        <f>+GPpcntSCH*(VLOOKUP($A34,FY15Revenue!$A$4:$H$24,8,FALSE))*VLOOKUP($A34,FY15SCH!$A$3:$S$23,MATCH(K$28,FY15SCH!$A$2:$S$2,0),FALSE)</f>
        <v>5810.0740483702102</v>
      </c>
      <c r="L34" s="410">
        <f>+GPpcntSCH*(VLOOKUP($A34,FY15Revenue!$A$4:$H$24,8,FALSE))*VLOOKUP($A34,FY15SCH!$A$3:$S$23,MATCH(L$28,FY15SCH!$A$2:$S$2,0),FALSE)</f>
        <v>2684.9584617468395</v>
      </c>
      <c r="M34" s="410">
        <f>+GPpcntSCH*(VLOOKUP($A34,FY15Revenue!$A$4:$H$24,8,FALSE))*VLOOKUP($A34,FY15SCH!$A$3:$S$23,MATCH(M$28,FY15SCH!$A$2:$S$2,0),FALSE)</f>
        <v>0</v>
      </c>
      <c r="N34" s="410">
        <f>+GPpcntSCH*(VLOOKUP($A34,FY15Revenue!$A$4:$H$24,8,FALSE))*VLOOKUP($A34,FY15SCH!$A$3:$S$23,MATCH(N$28,FY15SCH!$A$2:$S$2,0),FALSE)</f>
        <v>1188.4242371666339</v>
      </c>
      <c r="O34" s="410">
        <f>+GPpcntSCH*(VLOOKUP($A34,FY15Revenue!$A$4:$H$24,8,FALSE))*VLOOKUP($A34,FY15SCH!$A$3:$S$23,MATCH(O$28,FY15SCH!$A$2:$S$2,0),FALSE)</f>
        <v>440.15712487653104</v>
      </c>
      <c r="P34" s="410">
        <f>+GPpcntSCH*(VLOOKUP($A34,FY15Revenue!$A$4:$H$24,8,FALSE))*VLOOKUP($A34,FY15SCH!$A$3:$S$23,MATCH(P$28,FY15SCH!$A$2:$S$2,0),FALSE)</f>
        <v>0</v>
      </c>
      <c r="Q34" s="410">
        <f>+GPpcntSCH*(VLOOKUP($A34,FY15Revenue!$A$4:$H$24,8,FALSE))*VLOOKUP($A34,FY15SCH!$A$3:$S$23,MATCH(Q$28,FY15SCH!$A$2:$S$2,0),FALSE)</f>
        <v>1584.565649555512</v>
      </c>
      <c r="R34" s="410">
        <f>+GPpcntSCH*(VLOOKUP($A34,FY15Revenue!$A$4:$H$24,8,FALSE))*VLOOKUP($A34,FY15SCH!$A$3:$S$23,MATCH(R$28,FY15SCH!$A$2:$S$2,0),FALSE)</f>
        <v>0</v>
      </c>
      <c r="S34" s="410">
        <f>+GPpcntSCH*(VLOOKUP($A34,FY15Revenue!$A$4:$H$24,8,FALSE))*VLOOKUP($A34,FY15SCH!$A$3:$S$23,MATCH(S$28,FY15SCH!$A$2:$S$2,0),FALSE)</f>
        <v>1364.4870871172463</v>
      </c>
      <c r="T34" s="441">
        <f t="shared" si="4"/>
        <v>876132.75706673518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+GPpcntSCH*(VLOOKUP($A35,FY15Revenue!$A$4:$H$24,8,FALSE))*VLOOKUP($A35,FY15SCH!$A$3:$S$23,MATCH(C$28,FY15SCH!$A$2:$S$2,0),FALSE)</f>
        <v>0</v>
      </c>
      <c r="D35" s="443">
        <f>+GPpcntSCH*(VLOOKUP($A35,FY15Revenue!$A$4:$H$24,8,FALSE))*VLOOKUP($A35,FY15SCH!$A$3:$S$23,MATCH(D$28,FY15SCH!$A$2:$S$2,0),FALSE)</f>
        <v>0</v>
      </c>
      <c r="E35" s="443">
        <f>+GPpcntSCH*(VLOOKUP($A35,FY15Revenue!$A$4:$H$24,8,FALSE))*VLOOKUP($A35,FY15SCH!$A$3:$S$23,MATCH(E$28,FY15SCH!$A$2:$S$2,0),FALSE)</f>
        <v>0</v>
      </c>
      <c r="F35" s="443">
        <f>+GPpcntSCH*(VLOOKUP($A35,FY15Revenue!$A$4:$H$24,8,FALSE))*VLOOKUP($A35,FY15SCH!$A$3:$S$23,MATCH(F$28,FY15SCH!$A$2:$S$2,0),FALSE)</f>
        <v>0</v>
      </c>
      <c r="G35" s="443">
        <f>+GPpcntSCH*(VLOOKUP($A35,FY15Revenue!$A$4:$H$24,8,FALSE))*VLOOKUP($A35,FY15SCH!$A$3:$S$23,MATCH(G$28,FY15SCH!$A$2:$S$2,0),FALSE)</f>
        <v>0</v>
      </c>
      <c r="H35" s="443">
        <f>+GPpcntSCH*(VLOOKUP($A35,FY15Revenue!$A$4:$H$24,8,FALSE))*VLOOKUP($A35,FY15SCH!$A$3:$S$23,MATCH(H$28,FY15SCH!$A$2:$S$2,0),FALSE)</f>
        <v>0</v>
      </c>
      <c r="I35" s="443">
        <f>+GPpcntSCH*(VLOOKUP($A35,FY15Revenue!$A$4:$H$24,8,FALSE))*VLOOKUP($A35,FY15SCH!$A$3:$S$23,MATCH(I$28,FY15SCH!$A$2:$S$2,0),FALSE)</f>
        <v>1037.1949609873313</v>
      </c>
      <c r="J35" s="443">
        <f>+GPpcntSCH*(VLOOKUP($A35,FY15Revenue!$A$4:$H$24,8,FALSE))*VLOOKUP($A35,FY15SCH!$A$3:$S$23,MATCH(J$28,FY15SCH!$A$2:$S$2,0),FALSE)</f>
        <v>0</v>
      </c>
      <c r="K35" s="443">
        <f>+GPpcntSCH*(VLOOKUP($A35,FY15Revenue!$A$4:$H$24,8,FALSE))*VLOOKUP($A35,FY15SCH!$A$3:$S$23,MATCH(K$28,FY15SCH!$A$2:$S$2,0),FALSE)</f>
        <v>0</v>
      </c>
      <c r="L35" s="443">
        <f>+GPpcntSCH*(VLOOKUP($A35,FY15Revenue!$A$4:$H$24,8,FALSE))*VLOOKUP($A35,FY15SCH!$A$3:$S$23,MATCH(L$28,FY15SCH!$A$2:$S$2,0),FALSE)</f>
        <v>0</v>
      </c>
      <c r="M35" s="443">
        <f>+GPpcntSCH*(VLOOKUP($A35,FY15Revenue!$A$4:$H$24,8,FALSE))*VLOOKUP($A35,FY15SCH!$A$3:$S$23,MATCH(M$28,FY15SCH!$A$2:$S$2,0),FALSE)</f>
        <v>0</v>
      </c>
      <c r="N35" s="443">
        <f>+GPpcntSCH*(VLOOKUP($A35,FY15Revenue!$A$4:$H$24,8,FALSE))*VLOOKUP($A35,FY15SCH!$A$3:$S$23,MATCH(N$28,FY15SCH!$A$2:$S$2,0),FALSE)</f>
        <v>0</v>
      </c>
      <c r="O35" s="443">
        <f>+GPpcntSCH*(VLOOKUP($A35,FY15Revenue!$A$4:$H$24,8,FALSE))*VLOOKUP($A35,FY15SCH!$A$3:$S$23,MATCH(O$28,FY15SCH!$A$2:$S$2,0),FALSE)</f>
        <v>0</v>
      </c>
      <c r="P35" s="443">
        <f>+GPpcntSCH*(VLOOKUP($A35,FY15Revenue!$A$4:$H$24,8,FALSE))*VLOOKUP($A35,FY15SCH!$A$3:$S$23,MATCH(P$28,FY15SCH!$A$2:$S$2,0),FALSE)</f>
        <v>0</v>
      </c>
      <c r="Q35" s="443">
        <f>+GPpcntSCH*(VLOOKUP($A35,FY15Revenue!$A$4:$H$24,8,FALSE))*VLOOKUP($A35,FY15SCH!$A$3:$S$23,MATCH(Q$28,FY15SCH!$A$2:$S$2,0),FALSE)</f>
        <v>0</v>
      </c>
      <c r="R35" s="443">
        <f>+GPpcntSCH*(VLOOKUP($A35,FY15Revenue!$A$4:$H$24,8,FALSE))*VLOOKUP($A35,FY15SCH!$A$3:$S$23,MATCH(R$28,FY15SCH!$A$2:$S$2,0),FALSE)</f>
        <v>0</v>
      </c>
      <c r="S35" s="443">
        <f>+GPpcntSCH*(VLOOKUP($A35,FY15Revenue!$A$4:$H$24,8,FALSE))*VLOOKUP($A35,FY15SCH!$A$3:$S$23,MATCH(S$28,FY15SCH!$A$2:$S$2,0),FALSE)</f>
        <v>0</v>
      </c>
      <c r="T35" s="444">
        <f t="shared" si="4"/>
        <v>1037.1949609873313</v>
      </c>
    </row>
    <row r="36" spans="1:91" s="18" customFormat="1" ht="20.100000000000001" customHeight="1">
      <c r="A36" s="404" t="s">
        <v>135</v>
      </c>
      <c r="B36" s="440" t="s">
        <v>70</v>
      </c>
      <c r="C36" s="410">
        <f>+GPpcntSCH*(VLOOKUP($A36,FY15Revenue!$A$4:$H$24,8,FALSE))*VLOOKUP($A36,FY15SCH!$A$3:$S$23,MATCH(C$28,FY15SCH!$A$2:$S$2,0),FALSE)</f>
        <v>116.18254149691327</v>
      </c>
      <c r="D36" s="410">
        <f>+GPpcntSCH*(VLOOKUP($A36,FY15Revenue!$A$4:$H$24,8,FALSE))*VLOOKUP($A36,FY15SCH!$A$3:$S$23,MATCH(D$28,FY15SCH!$A$2:$S$2,0),FALSE)</f>
        <v>5983.4008870910338</v>
      </c>
      <c r="E36" s="410">
        <f>+GPpcntSCH*(VLOOKUP($A36,FY15Revenue!$A$4:$H$24,8,FALSE))*VLOOKUP($A36,FY15SCH!$A$3:$S$23,MATCH(E$28,FY15SCH!$A$2:$S$2,0),FALSE)</f>
        <v>0</v>
      </c>
      <c r="F36" s="410">
        <f>+GPpcntSCH*(VLOOKUP($A36,FY15Revenue!$A$4:$H$24,8,FALSE))*VLOOKUP($A36,FY15SCH!$A$3:$S$23,MATCH(F$28,FY15SCH!$A$2:$S$2,0),FALSE)</f>
        <v>871.36906122684957</v>
      </c>
      <c r="G36" s="410">
        <f>+GPpcntSCH*(VLOOKUP($A36,FY15Revenue!$A$4:$H$24,8,FALSE))*VLOOKUP($A36,FY15SCH!$A$3:$S$23,MATCH(G$28,FY15SCH!$A$2:$S$2,0),FALSE)</f>
        <v>0</v>
      </c>
      <c r="H36" s="410">
        <f>+GPpcntSCH*(VLOOKUP($A36,FY15Revenue!$A$4:$H$24,8,FALSE))*VLOOKUP($A36,FY15SCH!$A$3:$S$23,MATCH(H$28,FY15SCH!$A$2:$S$2,0),FALSE)</f>
        <v>174.27381224536992</v>
      </c>
      <c r="I36" s="410">
        <f>+GPpcntSCH*(VLOOKUP($A36,FY15Revenue!$A$4:$H$24,8,FALSE))*VLOOKUP($A36,FY15SCH!$A$3:$S$23,MATCH(I$28,FY15SCH!$A$2:$S$2,0),FALSE)</f>
        <v>0</v>
      </c>
      <c r="J36" s="410">
        <f>+GPpcntSCH*(VLOOKUP($A36,FY15Revenue!$A$4:$H$24,8,FALSE))*VLOOKUP($A36,FY15SCH!$A$3:$S$23,MATCH(J$28,FY15SCH!$A$2:$S$2,0),FALSE)</f>
        <v>0</v>
      </c>
      <c r="K36" s="410">
        <f>+GPpcntSCH*(VLOOKUP($A36,FY15Revenue!$A$4:$H$24,8,FALSE))*VLOOKUP($A36,FY15SCH!$A$3:$S$23,MATCH(K$28,FY15SCH!$A$2:$S$2,0),FALSE)</f>
        <v>1858.9206639506124</v>
      </c>
      <c r="L36" s="410">
        <f>+GPpcntSCH*(VLOOKUP($A36,FY15Revenue!$A$4:$H$24,8,FALSE))*VLOOKUP($A36,FY15SCH!$A$3:$S$23,MATCH(L$28,FY15SCH!$A$2:$S$2,0),FALSE)</f>
        <v>571734.28670631023</v>
      </c>
      <c r="M36" s="410">
        <f>+GPpcntSCH*(VLOOKUP($A36,FY15Revenue!$A$4:$H$24,8,FALSE))*VLOOKUP($A36,FY15SCH!$A$3:$S$23,MATCH(M$28,FY15SCH!$A$2:$S$2,0),FALSE)</f>
        <v>0</v>
      </c>
      <c r="N36" s="410">
        <f>+GPpcntSCH*(VLOOKUP($A36,FY15Revenue!$A$4:$H$24,8,FALSE))*VLOOKUP($A36,FY15SCH!$A$3:$S$23,MATCH(N$28,FY15SCH!$A$2:$S$2,0),FALSE)</f>
        <v>6912.8612190663398</v>
      </c>
      <c r="O36" s="410">
        <f>+GPpcntSCH*(VLOOKUP($A36,FY15Revenue!$A$4:$H$24,8,FALSE))*VLOOKUP($A36,FY15SCH!$A$3:$S$23,MATCH(O$28,FY15SCH!$A$2:$S$2,0),FALSE)</f>
        <v>116.18254149691327</v>
      </c>
      <c r="P36" s="410">
        <f>+GPpcntSCH*(VLOOKUP($A36,FY15Revenue!$A$4:$H$24,8,FALSE))*VLOOKUP($A36,FY15SCH!$A$3:$S$23,MATCH(P$28,FY15SCH!$A$2:$S$2,0),FALSE)</f>
        <v>0</v>
      </c>
      <c r="Q36" s="410">
        <f>+GPpcntSCH*(VLOOKUP($A36,FY15Revenue!$A$4:$H$24,8,FALSE))*VLOOKUP($A36,FY15SCH!$A$3:$S$23,MATCH(Q$28,FY15SCH!$A$2:$S$2,0),FALSE)</f>
        <v>10921.158900709848</v>
      </c>
      <c r="R36" s="410">
        <f>+GPpcntSCH*(VLOOKUP($A36,FY15Revenue!$A$4:$H$24,8,FALSE))*VLOOKUP($A36,FY15SCH!$A$3:$S$23,MATCH(R$28,FY15SCH!$A$2:$S$2,0),FALSE)</f>
        <v>0</v>
      </c>
      <c r="S36" s="410">
        <f>+GPpcntSCH*(VLOOKUP($A36,FY15Revenue!$A$4:$H$24,8,FALSE))*VLOOKUP($A36,FY15SCH!$A$3:$S$23,MATCH(S$28,FY15SCH!$A$2:$S$2,0),FALSE)</f>
        <v>0</v>
      </c>
      <c r="T36" s="441">
        <f t="shared" si="4"/>
        <v>598688.6363335941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+GPpcntSCH*(VLOOKUP($A37,FY15Revenue!$A$4:$H$24,8,FALSE))*VLOOKUP($A37,FY15SCH!$A$3:$S$23,MATCH(C$28,FY15SCH!$A$2:$S$2,0),FALSE)</f>
        <v>139.82999405137377</v>
      </c>
      <c r="D37" s="443">
        <f>+GPpcntSCH*(VLOOKUP($A37,FY15Revenue!$A$4:$H$24,8,FALSE))*VLOOKUP($A37,FY15SCH!$A$3:$S$23,MATCH(D$28,FY15SCH!$A$2:$S$2,0),FALSE)</f>
        <v>25216.008927264404</v>
      </c>
      <c r="E37" s="443">
        <f>+GPpcntSCH*(VLOOKUP($A37,FY15Revenue!$A$4:$H$24,8,FALSE))*VLOOKUP($A37,FY15SCH!$A$3:$S$23,MATCH(E$28,FY15SCH!$A$2:$S$2,0),FALSE)</f>
        <v>279.65998810274755</v>
      </c>
      <c r="F37" s="443">
        <f>+GPpcntSCH*(VLOOKUP($A37,FY15Revenue!$A$4:$H$24,8,FALSE))*VLOOKUP($A37,FY15SCH!$A$3:$S$23,MATCH(F$28,FY15SCH!$A$2:$S$2,0),FALSE)</f>
        <v>279.65998810274755</v>
      </c>
      <c r="G37" s="443">
        <f>+GPpcntSCH*(VLOOKUP($A37,FY15Revenue!$A$4:$H$24,8,FALSE))*VLOOKUP($A37,FY15SCH!$A$3:$S$23,MATCH(G$28,FY15SCH!$A$2:$S$2,0),FALSE)</f>
        <v>2190.6699068048561</v>
      </c>
      <c r="H37" s="443">
        <f>+GPpcntSCH*(VLOOKUP($A37,FY15Revenue!$A$4:$H$24,8,FALSE))*VLOOKUP($A37,FY15SCH!$A$3:$S$23,MATCH(H$28,FY15SCH!$A$2:$S$2,0),FALSE)</f>
        <v>1351.6899424966132</v>
      </c>
      <c r="I37" s="443">
        <f>+GPpcntSCH*(VLOOKUP($A37,FY15Revenue!$A$4:$H$24,8,FALSE))*VLOOKUP($A37,FY15SCH!$A$3:$S$23,MATCH(I$28,FY15SCH!$A$2:$S$2,0),FALSE)</f>
        <v>186.43999206849838</v>
      </c>
      <c r="J37" s="443">
        <f>+GPpcntSCH*(VLOOKUP($A37,FY15Revenue!$A$4:$H$24,8,FALSE))*VLOOKUP($A37,FY15SCH!$A$3:$S$23,MATCH(J$28,FY15SCH!$A$2:$S$2,0),FALSE)</f>
        <v>233.04999008562297</v>
      </c>
      <c r="K37" s="443">
        <f>+GPpcntSCH*(VLOOKUP($A37,FY15Revenue!$A$4:$H$24,8,FALSE))*VLOOKUP($A37,FY15SCH!$A$3:$S$23,MATCH(K$28,FY15SCH!$A$2:$S$2,0),FALSE)</f>
        <v>1491.5199365479871</v>
      </c>
      <c r="L37" s="443">
        <f>+GPpcntSCH*(VLOOKUP($A37,FY15Revenue!$A$4:$H$24,8,FALSE))*VLOOKUP($A37,FY15SCH!$A$3:$S$23,MATCH(L$28,FY15SCH!$A$2:$S$2,0),FALSE)</f>
        <v>419.48998215412132</v>
      </c>
      <c r="M37" s="443">
        <f>+GPpcntSCH*(VLOOKUP($A37,FY15Revenue!$A$4:$H$24,8,FALSE))*VLOOKUP($A37,FY15SCH!$A$3:$S$23,MATCH(M$28,FY15SCH!$A$2:$S$2,0),FALSE)</f>
        <v>93.219996034249192</v>
      </c>
      <c r="N37" s="443">
        <f>+GPpcntSCH*(VLOOKUP($A37,FY15Revenue!$A$4:$H$24,8,FALSE))*VLOOKUP($A37,FY15SCH!$A$3:$S$23,MATCH(N$28,FY15SCH!$A$2:$S$2,0),FALSE)</f>
        <v>12561.394465615078</v>
      </c>
      <c r="O37" s="443">
        <f>+GPpcntSCH*(VLOOKUP($A37,FY15Revenue!$A$4:$H$24,8,FALSE))*VLOOKUP($A37,FY15SCH!$A$3:$S$23,MATCH(O$28,FY15SCH!$A$2:$S$2,0),FALSE)</f>
        <v>186.43999206849838</v>
      </c>
      <c r="P37" s="443">
        <f>+GPpcntSCH*(VLOOKUP($A37,FY15Revenue!$A$4:$H$24,8,FALSE))*VLOOKUP($A37,FY15SCH!$A$3:$S$23,MATCH(P$28,FY15SCH!$A$2:$S$2,0),FALSE)</f>
        <v>2516.9398929247282</v>
      </c>
      <c r="Q37" s="443">
        <f>+GPpcntSCH*(VLOOKUP($A37,FY15Revenue!$A$4:$H$24,8,FALSE))*VLOOKUP($A37,FY15SCH!$A$3:$S$23,MATCH(Q$28,FY15SCH!$A$2:$S$2,0),FALSE)</f>
        <v>408326.88762901997</v>
      </c>
      <c r="R37" s="443">
        <f>+GPpcntSCH*(VLOOKUP($A37,FY15Revenue!$A$4:$H$24,8,FALSE))*VLOOKUP($A37,FY15SCH!$A$3:$S$23,MATCH(R$28,FY15SCH!$A$2:$S$2,0),FALSE)</f>
        <v>0</v>
      </c>
      <c r="S37" s="443">
        <f>+GPpcntSCH*(VLOOKUP($A37,FY15Revenue!$A$4:$H$24,8,FALSE))*VLOOKUP($A37,FY15SCH!$A$3:$S$23,MATCH(S$28,FY15SCH!$A$2:$S$2,0),FALSE)</f>
        <v>838.97996430824264</v>
      </c>
      <c r="T37" s="444">
        <f t="shared" si="4"/>
        <v>456311.88058764976</v>
      </c>
    </row>
    <row r="38" spans="1:91" s="18" customFormat="1" ht="20.100000000000001" customHeight="1">
      <c r="A38" s="404" t="s">
        <v>137</v>
      </c>
      <c r="B38" s="440" t="s">
        <v>49</v>
      </c>
      <c r="C38" s="410">
        <f>+GPpcntSCH*(VLOOKUP($A38,FY15Revenue!$A$4:$H$24,8,FALSE))*VLOOKUP($A38,FY15SCH!$A$3:$S$23,MATCH(C$28,FY15SCH!$A$2:$S$2,0),FALSE)</f>
        <v>1031.1942379345287</v>
      </c>
      <c r="D38" s="410">
        <f>+GPpcntSCH*(VLOOKUP($A38,FY15Revenue!$A$4:$H$24,8,FALSE))*VLOOKUP($A38,FY15SCH!$A$3:$S$23,MATCH(D$28,FY15SCH!$A$2:$S$2,0),FALSE)</f>
        <v>6861.4078139489793</v>
      </c>
      <c r="E38" s="410">
        <f>+GPpcntSCH*(VLOOKUP($A38,FY15Revenue!$A$4:$H$24,8,FALSE))*VLOOKUP($A38,FY15SCH!$A$3:$S$23,MATCH(E$28,FY15SCH!$A$2:$S$2,0),FALSE)</f>
        <v>0</v>
      </c>
      <c r="F38" s="410">
        <f>+GPpcntSCH*(VLOOKUP($A38,FY15Revenue!$A$4:$H$24,8,FALSE))*VLOOKUP($A38,FY15SCH!$A$3:$S$23,MATCH(F$28,FY15SCH!$A$2:$S$2,0),FALSE)</f>
        <v>118.98395053090717</v>
      </c>
      <c r="G38" s="410">
        <f>+GPpcntSCH*(VLOOKUP($A38,FY15Revenue!$A$4:$H$24,8,FALSE))*VLOOKUP($A38,FY15SCH!$A$3:$S$23,MATCH(G$28,FY15SCH!$A$2:$S$2,0),FALSE)</f>
        <v>1229.5008221527075</v>
      </c>
      <c r="H38" s="410">
        <f>+GPpcntSCH*(VLOOKUP($A38,FY15Revenue!$A$4:$H$24,8,FALSE))*VLOOKUP($A38,FY15SCH!$A$3:$S$23,MATCH(H$28,FY15SCH!$A$2:$S$2,0),FALSE)</f>
        <v>396.61316843635723</v>
      </c>
      <c r="I38" s="410">
        <f>+GPpcntSCH*(VLOOKUP($A38,FY15Revenue!$A$4:$H$24,8,FALSE))*VLOOKUP($A38,FY15SCH!$A$3:$S$23,MATCH(I$28,FY15SCH!$A$2:$S$2,0),FALSE)</f>
        <v>0</v>
      </c>
      <c r="J38" s="410">
        <f>+GPpcntSCH*(VLOOKUP($A38,FY15Revenue!$A$4:$H$24,8,FALSE))*VLOOKUP($A38,FY15SCH!$A$3:$S$23,MATCH(J$28,FY15SCH!$A$2:$S$2,0),FALSE)</f>
        <v>753.56502002907871</v>
      </c>
      <c r="K38" s="410">
        <f>+GPpcntSCH*(VLOOKUP($A38,FY15Revenue!$A$4:$H$24,8,FALSE))*VLOOKUP($A38,FY15SCH!$A$3:$S$23,MATCH(K$28,FY15SCH!$A$2:$S$2,0),FALSE)</f>
        <v>1348.4847726836147</v>
      </c>
      <c r="L38" s="410">
        <f>+GPpcntSCH*(VLOOKUP($A38,FY15Revenue!$A$4:$H$24,8,FALSE))*VLOOKUP($A38,FY15SCH!$A$3:$S$23,MATCH(L$28,FY15SCH!$A$2:$S$2,0),FALSE)</f>
        <v>3014.2600801163148</v>
      </c>
      <c r="M38" s="410">
        <f>+GPpcntSCH*(VLOOKUP($A38,FY15Revenue!$A$4:$H$24,8,FALSE))*VLOOKUP($A38,FY15SCH!$A$3:$S$23,MATCH(M$28,FY15SCH!$A$2:$S$2,0),FALSE)</f>
        <v>356.95185159272148</v>
      </c>
      <c r="N38" s="410">
        <f>+GPpcntSCH*(VLOOKUP($A38,FY15Revenue!$A$4:$H$24,8,FALSE))*VLOOKUP($A38,FY15SCH!$A$3:$S$23,MATCH(N$28,FY15SCH!$A$2:$S$2,0),FALSE)</f>
        <v>43012.69811692294</v>
      </c>
      <c r="O38" s="410">
        <f>+GPpcntSCH*(VLOOKUP($A38,FY15Revenue!$A$4:$H$24,8,FALSE))*VLOOKUP($A38,FY15SCH!$A$3:$S$23,MATCH(O$28,FY15SCH!$A$2:$S$2,0),FALSE)</f>
        <v>396.61316843635723</v>
      </c>
      <c r="P38" s="410">
        <f>+GPpcntSCH*(VLOOKUP($A38,FY15Revenue!$A$4:$H$24,8,FALSE))*VLOOKUP($A38,FY15SCH!$A$3:$S$23,MATCH(P$28,FY15SCH!$A$2:$S$2,0),FALSE)</f>
        <v>912.21028740362158</v>
      </c>
      <c r="Q38" s="410">
        <f>+GPpcntSCH*(VLOOKUP($A38,FY15Revenue!$A$4:$H$24,8,FALSE))*VLOOKUP($A38,FY15SCH!$A$3:$S$23,MATCH(Q$28,FY15SCH!$A$2:$S$2,0),FALSE)</f>
        <v>186527.17311561879</v>
      </c>
      <c r="R38" s="410">
        <f>+GPpcntSCH*(VLOOKUP($A38,FY15Revenue!$A$4:$H$24,8,FALSE))*VLOOKUP($A38,FY15SCH!$A$3:$S$23,MATCH(R$28,FY15SCH!$A$2:$S$2,0),FALSE)</f>
        <v>0</v>
      </c>
      <c r="S38" s="410">
        <f>+GPpcntSCH*(VLOOKUP($A38,FY15Revenue!$A$4:$H$24,8,FALSE))*VLOOKUP($A38,FY15SCH!$A$3:$S$23,MATCH(S$28,FY15SCH!$A$2:$S$2,0),FALSE)</f>
        <v>436.27448527999297</v>
      </c>
      <c r="T38" s="441">
        <f t="shared" si="4"/>
        <v>246395.9308910869</v>
      </c>
    </row>
    <row r="39" spans="1:91" ht="20.100000000000001" customHeight="1">
      <c r="A39" s="553" t="s">
        <v>145</v>
      </c>
      <c r="B39" s="442" t="s">
        <v>207</v>
      </c>
      <c r="C39" s="443">
        <f>+GPpcntSCH*(VLOOKUP($A39,FY15Revenue!$A$4:$H$24,8,FALSE))*VLOOKUP($A39,FY15SCH!$A$3:$S$23,MATCH(C$28,FY15SCH!$A$2:$S$2,0),FALSE)</f>
        <v>842616.58546503109</v>
      </c>
      <c r="D39" s="443">
        <f>+GPpcntSCH*(VLOOKUP($A39,FY15Revenue!$A$4:$H$24,8,FALSE))*VLOOKUP($A39,FY15SCH!$A$3:$S$23,MATCH(D$28,FY15SCH!$A$2:$S$2,0),FALSE)</f>
        <v>15569.258033833785</v>
      </c>
      <c r="E39" s="443">
        <f>+GPpcntSCH*(VLOOKUP($A39,FY15Revenue!$A$4:$H$24,8,FALSE))*VLOOKUP($A39,FY15SCH!$A$3:$S$23,MATCH(E$28,FY15SCH!$A$2:$S$2,0),FALSE)</f>
        <v>4517.8650544606962</v>
      </c>
      <c r="F39" s="443">
        <f>+GPpcntSCH*(VLOOKUP($A39,FY15Revenue!$A$4:$H$24,8,FALSE))*VLOOKUP($A39,FY15SCH!$A$3:$S$23,MATCH(F$28,FY15SCH!$A$2:$S$2,0),FALSE)</f>
        <v>0</v>
      </c>
      <c r="G39" s="443">
        <f>+GPpcntSCH*(VLOOKUP($A39,FY15Revenue!$A$4:$H$24,8,FALSE))*VLOOKUP($A39,FY15SCH!$A$3:$S$23,MATCH(G$28,FY15SCH!$A$2:$S$2,0),FALSE)</f>
        <v>4656.87628690564</v>
      </c>
      <c r="H39" s="443">
        <f>+GPpcntSCH*(VLOOKUP($A39,FY15Revenue!$A$4:$H$24,8,FALSE))*VLOOKUP($A39,FY15SCH!$A$3:$S$23,MATCH(H$28,FY15SCH!$A$2:$S$2,0),FALSE)</f>
        <v>11329.415444262977</v>
      </c>
      <c r="I39" s="443">
        <f>+GPpcntSCH*(VLOOKUP($A39,FY15Revenue!$A$4:$H$24,8,FALSE))*VLOOKUP($A39,FY15SCH!$A$3:$S$23,MATCH(I$28,FY15SCH!$A$2:$S$2,0),FALSE)</f>
        <v>139.01123244494451</v>
      </c>
      <c r="J39" s="443">
        <f>+GPpcntSCH*(VLOOKUP($A39,FY15Revenue!$A$4:$H$24,8,FALSE))*VLOOKUP($A39,FY15SCH!$A$3:$S$23,MATCH(J$28,FY15SCH!$A$2:$S$2,0),FALSE)</f>
        <v>417.03369733483351</v>
      </c>
      <c r="K39" s="443">
        <f>+GPpcntSCH*(VLOOKUP($A39,FY15Revenue!$A$4:$H$24,8,FALSE))*VLOOKUP($A39,FY15SCH!$A$3:$S$23,MATCH(K$28,FY15SCH!$A$2:$S$2,0),FALSE)</f>
        <v>11746.44914159781</v>
      </c>
      <c r="L39" s="443">
        <f>+GPpcntSCH*(VLOOKUP($A39,FY15Revenue!$A$4:$H$24,8,FALSE))*VLOOKUP($A39,FY15SCH!$A$3:$S$23,MATCH(L$28,FY15SCH!$A$2:$S$2,0),FALSE)</f>
        <v>0</v>
      </c>
      <c r="M39" s="443">
        <f>+GPpcntSCH*(VLOOKUP($A39,FY15Revenue!$A$4:$H$24,8,FALSE))*VLOOKUP($A39,FY15SCH!$A$3:$S$23,MATCH(M$28,FY15SCH!$A$2:$S$2,0),FALSE)</f>
        <v>0</v>
      </c>
      <c r="N39" s="443">
        <f>+GPpcntSCH*(VLOOKUP($A39,FY15Revenue!$A$4:$H$24,8,FALSE))*VLOOKUP($A39,FY15SCH!$A$3:$S$23,MATCH(N$28,FY15SCH!$A$2:$S$2,0),FALSE)</f>
        <v>486.53931355730577</v>
      </c>
      <c r="O39" s="443">
        <f>+GPpcntSCH*(VLOOKUP($A39,FY15Revenue!$A$4:$H$24,8,FALSE))*VLOOKUP($A39,FY15SCH!$A$3:$S$23,MATCH(O$28,FY15SCH!$A$2:$S$2,0),FALSE)</f>
        <v>0</v>
      </c>
      <c r="P39" s="443">
        <f>+GPpcntSCH*(VLOOKUP($A39,FY15Revenue!$A$4:$H$24,8,FALSE))*VLOOKUP($A39,FY15SCH!$A$3:$S$23,MATCH(P$28,FY15SCH!$A$2:$S$2,0),FALSE)</f>
        <v>0</v>
      </c>
      <c r="Q39" s="443">
        <f>+GPpcntSCH*(VLOOKUP($A39,FY15Revenue!$A$4:$H$24,8,FALSE))*VLOOKUP($A39,FY15SCH!$A$3:$S$23,MATCH(Q$28,FY15SCH!$A$2:$S$2,0),FALSE)</f>
        <v>2780.2246488988899</v>
      </c>
      <c r="R39" s="443">
        <f>+GPpcntSCH*(VLOOKUP($A39,FY15Revenue!$A$4:$H$24,8,FALSE))*VLOOKUP($A39,FY15SCH!$A$3:$S$23,MATCH(R$28,FY15SCH!$A$2:$S$2,0),FALSE)</f>
        <v>0</v>
      </c>
      <c r="S39" s="443">
        <f>+GPpcntSCH*(VLOOKUP($A39,FY15Revenue!$A$4:$H$24,8,FALSE))*VLOOKUP($A39,FY15SCH!$A$3:$S$23,MATCH(S$28,FY15SCH!$A$2:$S$2,0),FALSE)</f>
        <v>0</v>
      </c>
      <c r="T39" s="444">
        <f t="shared" si="4"/>
        <v>894259.25831832807</v>
      </c>
    </row>
    <row r="40" spans="1:91" s="18" customFormat="1" ht="20.100000000000001" customHeight="1">
      <c r="A40" s="404" t="s">
        <v>147</v>
      </c>
      <c r="B40" s="440" t="s">
        <v>208</v>
      </c>
      <c r="C40" s="410">
        <f>+GPpcntSCH*(VLOOKUP($A40,FY15Revenue!$A$4:$H$24,8,FALSE))*VLOOKUP($A40,FY15SCH!$A$3:$S$23,MATCH(C$28,FY15SCH!$A$2:$S$2,0),FALSE)</f>
        <v>0</v>
      </c>
      <c r="D40" s="410">
        <f>+GPpcntSCH*(VLOOKUP($A40,FY15Revenue!$A$4:$H$24,8,FALSE))*VLOOKUP($A40,FY15SCH!$A$3:$S$23,MATCH(D$28,FY15SCH!$A$2:$S$2,0),FALSE)</f>
        <v>819.14711375791421</v>
      </c>
      <c r="E40" s="410">
        <f>+GPpcntSCH*(VLOOKUP($A40,FY15Revenue!$A$4:$H$24,8,FALSE))*VLOOKUP($A40,FY15SCH!$A$3:$S$23,MATCH(E$28,FY15SCH!$A$2:$S$2,0),FALSE)</f>
        <v>204.78677843947855</v>
      </c>
      <c r="F40" s="410">
        <f>+GPpcntSCH*(VLOOKUP($A40,FY15Revenue!$A$4:$H$24,8,FALSE))*VLOOKUP($A40,FY15SCH!$A$3:$S$23,MATCH(F$28,FY15SCH!$A$2:$S$2,0),FALSE)</f>
        <v>0</v>
      </c>
      <c r="G40" s="410">
        <f>+GPpcntSCH*(VLOOKUP($A40,FY15Revenue!$A$4:$H$24,8,FALSE))*VLOOKUP($A40,FY15SCH!$A$3:$S$23,MATCH(G$28,FY15SCH!$A$2:$S$2,0),FALSE)</f>
        <v>219736.21326556048</v>
      </c>
      <c r="H40" s="410">
        <f>+GPpcntSCH*(VLOOKUP($A40,FY15Revenue!$A$4:$H$24,8,FALSE))*VLOOKUP($A40,FY15SCH!$A$3:$S$23,MATCH(H$28,FY15SCH!$A$2:$S$2,0),FALSE)</f>
        <v>1433.5074490763498</v>
      </c>
      <c r="I40" s="410">
        <f>+GPpcntSCH*(VLOOKUP($A40,FY15Revenue!$A$4:$H$24,8,FALSE))*VLOOKUP($A40,FY15SCH!$A$3:$S$23,MATCH(I$28,FY15SCH!$A$2:$S$2,0),FALSE)</f>
        <v>1023.9338921973928</v>
      </c>
      <c r="J40" s="410">
        <f>+GPpcntSCH*(VLOOKUP($A40,FY15Revenue!$A$4:$H$24,8,FALSE))*VLOOKUP($A40,FY15SCH!$A$3:$S$23,MATCH(J$28,FY15SCH!$A$2:$S$2,0),FALSE)</f>
        <v>0</v>
      </c>
      <c r="K40" s="410">
        <f>+GPpcntSCH*(VLOOKUP($A40,FY15Revenue!$A$4:$H$24,8,FALSE))*VLOOKUP($A40,FY15SCH!$A$3:$S$23,MATCH(K$28,FY15SCH!$A$2:$S$2,0),FALSE)</f>
        <v>0</v>
      </c>
      <c r="L40" s="410">
        <f>+GPpcntSCH*(VLOOKUP($A40,FY15Revenue!$A$4:$H$24,8,FALSE))*VLOOKUP($A40,FY15SCH!$A$3:$S$23,MATCH(L$28,FY15SCH!$A$2:$S$2,0),FALSE)</f>
        <v>0</v>
      </c>
      <c r="M40" s="410">
        <f>+GPpcntSCH*(VLOOKUP($A40,FY15Revenue!$A$4:$H$24,8,FALSE))*VLOOKUP($A40,FY15SCH!$A$3:$S$23,MATCH(M$28,FY15SCH!$A$2:$S$2,0),FALSE)</f>
        <v>0</v>
      </c>
      <c r="N40" s="410">
        <f>+GPpcntSCH*(VLOOKUP($A40,FY15Revenue!$A$4:$H$24,8,FALSE))*VLOOKUP($A40,FY15SCH!$A$3:$S$23,MATCH(N$28,FY15SCH!$A$2:$S$2,0),FALSE)</f>
        <v>8601.0446944580981</v>
      </c>
      <c r="O40" s="410">
        <f>+GPpcntSCH*(VLOOKUP($A40,FY15Revenue!$A$4:$H$24,8,FALSE))*VLOOKUP($A40,FY15SCH!$A$3:$S$23,MATCH(O$28,FY15SCH!$A$2:$S$2,0),FALSE)</f>
        <v>0</v>
      </c>
      <c r="P40" s="410">
        <f>+GPpcntSCH*(VLOOKUP($A40,FY15Revenue!$A$4:$H$24,8,FALSE))*VLOOKUP($A40,FY15SCH!$A$3:$S$23,MATCH(P$28,FY15SCH!$A$2:$S$2,0),FALSE)</f>
        <v>0</v>
      </c>
      <c r="Q40" s="410">
        <f>+GPpcntSCH*(VLOOKUP($A40,FY15Revenue!$A$4:$H$24,8,FALSE))*VLOOKUP($A40,FY15SCH!$A$3:$S$23,MATCH(Q$28,FY15SCH!$A$2:$S$2,0),FALSE)</f>
        <v>307.18016765921783</v>
      </c>
      <c r="R40" s="410">
        <f>+GPpcntSCH*(VLOOKUP($A40,FY15Revenue!$A$4:$H$24,8,FALSE))*VLOOKUP($A40,FY15SCH!$A$3:$S$23,MATCH(R$28,FY15SCH!$A$2:$S$2,0),FALSE)</f>
        <v>0</v>
      </c>
      <c r="S40" s="410">
        <f>+GPpcntSCH*(VLOOKUP($A40,FY15Revenue!$A$4:$H$24,8,FALSE))*VLOOKUP($A40,FY15SCH!$A$3:$S$23,MATCH(S$28,FY15SCH!$A$2:$S$2,0),FALSE)</f>
        <v>1228.7206706368713</v>
      </c>
      <c r="T40" s="441">
        <f t="shared" si="4"/>
        <v>233354.53403178576</v>
      </c>
    </row>
    <row r="41" spans="1:91" ht="20.100000000000001" customHeight="1">
      <c r="A41" s="404" t="s">
        <v>148</v>
      </c>
      <c r="B41" s="442" t="s">
        <v>39</v>
      </c>
      <c r="C41" s="443">
        <f>+GPpcntSCH*(VLOOKUP($A41,FY15Revenue!$A$4:$H$24,8,FALSE))*VLOOKUP($A41,FY15SCH!$A$3:$S$23,MATCH(C$28,FY15SCH!$A$2:$S$2,0),FALSE)</f>
        <v>7657.2990919945569</v>
      </c>
      <c r="D41" s="443">
        <f>+GPpcntSCH*(VLOOKUP($A41,FY15Revenue!$A$4:$H$24,8,FALSE))*VLOOKUP($A41,FY15SCH!$A$3:$S$23,MATCH(D$28,FY15SCH!$A$2:$S$2,0),FALSE)</f>
        <v>38848.499063054951</v>
      </c>
      <c r="E41" s="443">
        <f>+GPpcntSCH*(VLOOKUP($A41,FY15Revenue!$A$4:$H$24,8,FALSE))*VLOOKUP($A41,FY15SCH!$A$3:$S$23,MATCH(E$28,FY15SCH!$A$2:$S$2,0),FALSE)</f>
        <v>13277.33512281625</v>
      </c>
      <c r="F41" s="443">
        <f>+GPpcntSCH*(VLOOKUP($A41,FY15Revenue!$A$4:$H$24,8,FALSE))*VLOOKUP($A41,FY15SCH!$A$3:$S$23,MATCH(F$28,FY15SCH!$A$2:$S$2,0),FALSE)</f>
        <v>3512.522519263558</v>
      </c>
      <c r="G41" s="443">
        <f>+GPpcntSCH*(VLOOKUP($A41,FY15Revenue!$A$4:$H$24,8,FALSE))*VLOOKUP($A41,FY15SCH!$A$3:$S$23,MATCH(G$28,FY15SCH!$A$2:$S$2,0),FALSE)</f>
        <v>1686.010809246508</v>
      </c>
      <c r="H41" s="443">
        <f>+GPpcntSCH*(VLOOKUP($A41,FY15Revenue!$A$4:$H$24,8,FALSE))*VLOOKUP($A41,FY15SCH!$A$3:$S$23,MATCH(H$28,FY15SCH!$A$2:$S$2,0),FALSE)</f>
        <v>21707.389169048791</v>
      </c>
      <c r="I41" s="443">
        <f>+GPpcntSCH*(VLOOKUP($A41,FY15Revenue!$A$4:$H$24,8,FALSE))*VLOOKUP($A41,FY15SCH!$A$3:$S$23,MATCH(I$28,FY15SCH!$A$2:$S$2,0),FALSE)</f>
        <v>1194.2576565496097</v>
      </c>
      <c r="J41" s="443">
        <f>+GPpcntSCH*(VLOOKUP($A41,FY15Revenue!$A$4:$H$24,8,FALSE))*VLOOKUP($A41,FY15SCH!$A$3:$S$23,MATCH(J$28,FY15SCH!$A$2:$S$2,0),FALSE)</f>
        <v>4004.2756719604567</v>
      </c>
      <c r="K41" s="443">
        <f>+GPpcntSCH*(VLOOKUP($A41,FY15Revenue!$A$4:$H$24,8,FALSE))*VLOOKUP($A41,FY15SCH!$A$3:$S$23,MATCH(K$28,FY15SCH!$A$2:$S$2,0),FALSE)</f>
        <v>751117.81551931927</v>
      </c>
      <c r="L41" s="443">
        <f>+GPpcntSCH*(VLOOKUP($A41,FY15Revenue!$A$4:$H$24,8,FALSE))*VLOOKUP($A41,FY15SCH!$A$3:$S$23,MATCH(L$28,FY15SCH!$A$2:$S$2,0),FALSE)</f>
        <v>3091.0198169519313</v>
      </c>
      <c r="M41" s="443">
        <f>+GPpcntSCH*(VLOOKUP($A41,FY15Revenue!$A$4:$H$24,8,FALSE))*VLOOKUP($A41,FY15SCH!$A$3:$S$23,MATCH(M$28,FY15SCH!$A$2:$S$2,0),FALSE)</f>
        <v>0</v>
      </c>
      <c r="N41" s="443">
        <f>+GPpcntSCH*(VLOOKUP($A41,FY15Revenue!$A$4:$H$24,8,FALSE))*VLOOKUP($A41,FY15SCH!$A$3:$S$23,MATCH(N$28,FY15SCH!$A$2:$S$2,0),FALSE)</f>
        <v>4777.0306261984388</v>
      </c>
      <c r="O41" s="443">
        <f>+GPpcntSCH*(VLOOKUP($A41,FY15Revenue!$A$4:$H$24,8,FALSE))*VLOOKUP($A41,FY15SCH!$A$3:$S$23,MATCH(O$28,FY15SCH!$A$2:$S$2,0),FALSE)</f>
        <v>0</v>
      </c>
      <c r="P41" s="443">
        <f>+GPpcntSCH*(VLOOKUP($A41,FY15Revenue!$A$4:$H$24,8,FALSE))*VLOOKUP($A41,FY15SCH!$A$3:$S$23,MATCH(P$28,FY15SCH!$A$2:$S$2,0),FALSE)</f>
        <v>0</v>
      </c>
      <c r="Q41" s="443">
        <f>+GPpcntSCH*(VLOOKUP($A41,FY15Revenue!$A$4:$H$24,8,FALSE))*VLOOKUP($A41,FY15SCH!$A$3:$S$23,MATCH(Q$28,FY15SCH!$A$2:$S$2,0),FALSE)</f>
        <v>19108.122504793755</v>
      </c>
      <c r="R41" s="443">
        <f>+GPpcntSCH*(VLOOKUP($A41,FY15Revenue!$A$4:$H$24,8,FALSE))*VLOOKUP($A41,FY15SCH!$A$3:$S$23,MATCH(R$28,FY15SCH!$A$2:$S$2,0),FALSE)</f>
        <v>0</v>
      </c>
      <c r="S41" s="443">
        <f>+GPpcntSCH*(VLOOKUP($A41,FY15Revenue!$A$4:$H$24,8,FALSE))*VLOOKUP($A41,FY15SCH!$A$3:$S$23,MATCH(S$28,FY15SCH!$A$2:$S$2,0),FALSE)</f>
        <v>210.7513511558135</v>
      </c>
      <c r="T41" s="444">
        <f t="shared" si="4"/>
        <v>870192.32892235392</v>
      </c>
    </row>
    <row r="42" spans="1:91" s="18" customFormat="1" ht="20.100000000000001" customHeight="1">
      <c r="A42" s="404" t="s">
        <v>149</v>
      </c>
      <c r="B42" s="440" t="s">
        <v>38</v>
      </c>
      <c r="C42" s="410">
        <f>+GPpcntSCH*(VLOOKUP($A42,FY15Revenue!$A$4:$H$24,8,FALSE))*VLOOKUP($A42,FY15SCH!$A$3:$S$23,MATCH(C$28,FY15SCH!$A$2:$S$2,0),FALSE)</f>
        <v>2555.1392110311122</v>
      </c>
      <c r="D42" s="410">
        <f>+GPpcntSCH*(VLOOKUP($A42,FY15Revenue!$A$4:$H$24,8,FALSE))*VLOOKUP($A42,FY15SCH!$A$3:$S$23,MATCH(D$28,FY15SCH!$A$2:$S$2,0),FALSE)</f>
        <v>4533.3115034422954</v>
      </c>
      <c r="E42" s="410">
        <f>+GPpcntSCH*(VLOOKUP($A42,FY15Revenue!$A$4:$H$24,8,FALSE))*VLOOKUP($A42,FY15SCH!$A$3:$S$23,MATCH(E$28,FY15SCH!$A$2:$S$2,0),FALSE)</f>
        <v>913750.75140293245</v>
      </c>
      <c r="F42" s="410">
        <f>+GPpcntSCH*(VLOOKUP($A42,FY15Revenue!$A$4:$H$24,8,FALSE))*VLOOKUP($A42,FY15SCH!$A$3:$S$23,MATCH(F$28,FY15SCH!$A$2:$S$2,0),FALSE)</f>
        <v>0</v>
      </c>
      <c r="G42" s="410">
        <f>+GPpcntSCH*(VLOOKUP($A42,FY15Revenue!$A$4:$H$24,8,FALSE))*VLOOKUP($A42,FY15SCH!$A$3:$S$23,MATCH(G$28,FY15SCH!$A$2:$S$2,0),FALSE)</f>
        <v>3956.3445848223669</v>
      </c>
      <c r="H42" s="410">
        <f>+GPpcntSCH*(VLOOKUP($A42,FY15Revenue!$A$4:$H$24,8,FALSE))*VLOOKUP($A42,FY15SCH!$A$3:$S$23,MATCH(H$28,FY15SCH!$A$2:$S$2,0),FALSE)</f>
        <v>0</v>
      </c>
      <c r="I42" s="410">
        <f>+GPpcntSCH*(VLOOKUP($A42,FY15Revenue!$A$4:$H$24,8,FALSE))*VLOOKUP($A42,FY15SCH!$A$3:$S$23,MATCH(I$28,FY15SCH!$A$2:$S$2,0),FALSE)</f>
        <v>2307.867674479714</v>
      </c>
      <c r="J42" s="410">
        <f>+GPpcntSCH*(VLOOKUP($A42,FY15Revenue!$A$4:$H$24,8,FALSE))*VLOOKUP($A42,FY15SCH!$A$3:$S$23,MATCH(J$28,FY15SCH!$A$2:$S$2,0),FALSE)</f>
        <v>824.23845517132645</v>
      </c>
      <c r="K42" s="410">
        <f>+GPpcntSCH*(VLOOKUP($A42,FY15Revenue!$A$4:$H$24,8,FALSE))*VLOOKUP($A42,FY15SCH!$A$3:$S$23,MATCH(K$28,FY15SCH!$A$2:$S$2,0),FALSE)</f>
        <v>4286.0399668908976</v>
      </c>
      <c r="L42" s="410">
        <f>+GPpcntSCH*(VLOOKUP($A42,FY15Revenue!$A$4:$H$24,8,FALSE))*VLOOKUP($A42,FY15SCH!$A$3:$S$23,MATCH(L$28,FY15SCH!$A$2:$S$2,0),FALSE)</f>
        <v>0</v>
      </c>
      <c r="M42" s="410">
        <f>+GPpcntSCH*(VLOOKUP($A42,FY15Revenue!$A$4:$H$24,8,FALSE))*VLOOKUP($A42,FY15SCH!$A$3:$S$23,MATCH(M$28,FY15SCH!$A$2:$S$2,0),FALSE)</f>
        <v>0</v>
      </c>
      <c r="N42" s="410">
        <f>+GPpcntSCH*(VLOOKUP($A42,FY15Revenue!$A$4:$H$24,8,FALSE))*VLOOKUP($A42,FY15SCH!$A$3:$S$23,MATCH(N$28,FY15SCH!$A$2:$S$2,0),FALSE)</f>
        <v>1318.7815282741221</v>
      </c>
      <c r="O42" s="410">
        <f>+GPpcntSCH*(VLOOKUP($A42,FY15Revenue!$A$4:$H$24,8,FALSE))*VLOOKUP($A42,FY15SCH!$A$3:$S$23,MATCH(O$28,FY15SCH!$A$2:$S$2,0),FALSE)</f>
        <v>0</v>
      </c>
      <c r="P42" s="410">
        <f>+GPpcntSCH*(VLOOKUP($A42,FY15Revenue!$A$4:$H$24,8,FALSE))*VLOOKUP($A42,FY15SCH!$A$3:$S$23,MATCH(P$28,FY15SCH!$A$2:$S$2,0),FALSE)</f>
        <v>0</v>
      </c>
      <c r="Q42" s="410">
        <f>+GPpcntSCH*(VLOOKUP($A42,FY15Revenue!$A$4:$H$24,8,FALSE))*VLOOKUP($A42,FY15SCH!$A$3:$S$23,MATCH(Q$28,FY15SCH!$A$2:$S$2,0),FALSE)</f>
        <v>1730.9007558597855</v>
      </c>
      <c r="R42" s="410">
        <f>+GPpcntSCH*(VLOOKUP($A42,FY15Revenue!$A$4:$H$24,8,FALSE))*VLOOKUP($A42,FY15SCH!$A$3:$S$23,MATCH(R$28,FY15SCH!$A$2:$S$2,0),FALSE)</f>
        <v>0</v>
      </c>
      <c r="S42" s="410">
        <f>+GPpcntSCH*(VLOOKUP($A42,FY15Revenue!$A$4:$H$24,8,FALSE))*VLOOKUP($A42,FY15SCH!$A$3:$S$23,MATCH(S$28,FY15SCH!$A$2:$S$2,0),FALSE)</f>
        <v>0</v>
      </c>
      <c r="T42" s="441">
        <f t="shared" si="4"/>
        <v>935263.37508290424</v>
      </c>
    </row>
    <row r="43" spans="1:91" ht="20.100000000000001" customHeight="1">
      <c r="A43" s="404" t="s">
        <v>150</v>
      </c>
      <c r="B43" s="442" t="s">
        <v>31</v>
      </c>
      <c r="C43" s="443">
        <f>+GPpcntSCH*(VLOOKUP($A43,FY15Revenue!$A$4:$H$24,8,FALSE))*VLOOKUP($A43,FY15SCH!$A$3:$S$23,MATCH(C$28,FY15SCH!$A$2:$S$2,0),FALSE)</f>
        <v>1449.9799142440463</v>
      </c>
      <c r="D43" s="443">
        <f>+GPpcntSCH*(VLOOKUP($A43,FY15Revenue!$A$4:$H$24,8,FALSE))*VLOOKUP($A43,FY15SCH!$A$3:$S$23,MATCH(D$28,FY15SCH!$A$2:$S$2,0),FALSE)</f>
        <v>13140.442972836669</v>
      </c>
      <c r="E43" s="443">
        <f>+GPpcntSCH*(VLOOKUP($A43,FY15Revenue!$A$4:$H$24,8,FALSE))*VLOOKUP($A43,FY15SCH!$A$3:$S$23,MATCH(E$28,FY15SCH!$A$2:$S$2,0),FALSE)</f>
        <v>5256.177189134668</v>
      </c>
      <c r="F43" s="443">
        <f>+GPpcntSCH*(VLOOKUP($A43,FY15Revenue!$A$4:$H$24,8,FALSE))*VLOOKUP($A43,FY15SCH!$A$3:$S$23,MATCH(F$28,FY15SCH!$A$2:$S$2,0),FALSE)</f>
        <v>2356.2173606465753</v>
      </c>
      <c r="G43" s="443">
        <f>+GPpcntSCH*(VLOOKUP($A43,FY15Revenue!$A$4:$H$24,8,FALSE))*VLOOKUP($A43,FY15SCH!$A$3:$S$23,MATCH(G$28,FY15SCH!$A$2:$S$2,0),FALSE)</f>
        <v>362.49497856101158</v>
      </c>
      <c r="H43" s="443">
        <f>+GPpcntSCH*(VLOOKUP($A43,FY15Revenue!$A$4:$H$24,8,FALSE))*VLOOKUP($A43,FY15SCH!$A$3:$S$23,MATCH(H$28,FY15SCH!$A$2:$S$2,0),FALSE)</f>
        <v>271.87123392075864</v>
      </c>
      <c r="I43" s="443">
        <f>+GPpcntSCH*(VLOOKUP($A43,FY15Revenue!$A$4:$H$24,8,FALSE))*VLOOKUP($A43,FY15SCH!$A$3:$S$23,MATCH(I$28,FY15SCH!$A$2:$S$2,0),FALSE)</f>
        <v>7249.8995712202313</v>
      </c>
      <c r="J43" s="443">
        <f>+GPpcntSCH*(VLOOKUP($A43,FY15Revenue!$A$4:$H$24,8,FALSE))*VLOOKUP($A43,FY15SCH!$A$3:$S$23,MATCH(J$28,FY15SCH!$A$2:$S$2,0),FALSE)</f>
        <v>2013750.2296510595</v>
      </c>
      <c r="K43" s="443">
        <f>+GPpcntSCH*(VLOOKUP($A43,FY15Revenue!$A$4:$H$24,8,FALSE))*VLOOKUP($A43,FY15SCH!$A$3:$S$23,MATCH(K$28,FY15SCH!$A$2:$S$2,0),FALSE)</f>
        <v>362.49497856101158</v>
      </c>
      <c r="L43" s="443">
        <f>+GPpcntSCH*(VLOOKUP($A43,FY15Revenue!$A$4:$H$24,8,FALSE))*VLOOKUP($A43,FY15SCH!$A$3:$S$23,MATCH(L$28,FY15SCH!$A$2:$S$2,0),FALSE)</f>
        <v>271.87123392075864</v>
      </c>
      <c r="M43" s="443">
        <f>+GPpcntSCH*(VLOOKUP($A43,FY15Revenue!$A$4:$H$24,8,FALSE))*VLOOKUP($A43,FY15SCH!$A$3:$S$23,MATCH(M$28,FY15SCH!$A$2:$S$2,0),FALSE)</f>
        <v>0</v>
      </c>
      <c r="N43" s="443">
        <f>+GPpcntSCH*(VLOOKUP($A43,FY15Revenue!$A$4:$H$24,8,FALSE))*VLOOKUP($A43,FY15SCH!$A$3:$S$23,MATCH(N$28,FY15SCH!$A$2:$S$2,0),FALSE)</f>
        <v>90.623744640252895</v>
      </c>
      <c r="O43" s="443">
        <f>+GPpcntSCH*(VLOOKUP($A43,FY15Revenue!$A$4:$H$24,8,FALSE))*VLOOKUP($A43,FY15SCH!$A$3:$S$23,MATCH(O$28,FY15SCH!$A$2:$S$2,0),FALSE)</f>
        <v>0</v>
      </c>
      <c r="P43" s="443">
        <f>+GPpcntSCH*(VLOOKUP($A43,FY15Revenue!$A$4:$H$24,8,FALSE))*VLOOKUP($A43,FY15SCH!$A$3:$S$23,MATCH(P$28,FY15SCH!$A$2:$S$2,0),FALSE)</f>
        <v>271.87123392075864</v>
      </c>
      <c r="Q43" s="443">
        <f>+GPpcntSCH*(VLOOKUP($A43,FY15Revenue!$A$4:$H$24,8,FALSE))*VLOOKUP($A43,FY15SCH!$A$3:$S$23,MATCH(Q$28,FY15SCH!$A$2:$S$2,0),FALSE)</f>
        <v>3896.8210195308743</v>
      </c>
      <c r="R43" s="443">
        <f>+GPpcntSCH*(VLOOKUP($A43,FY15Revenue!$A$4:$H$24,8,FALSE))*VLOOKUP($A43,FY15SCH!$A$3:$S$23,MATCH(R$28,FY15SCH!$A$2:$S$2,0),FALSE)</f>
        <v>0</v>
      </c>
      <c r="S43" s="443">
        <f>+GPpcntSCH*(VLOOKUP($A43,FY15Revenue!$A$4:$H$24,8,FALSE))*VLOOKUP($A43,FY15SCH!$A$3:$S$23,MATCH(S$28,FY15SCH!$A$2:$S$2,0),FALSE)</f>
        <v>724.98995712202316</v>
      </c>
      <c r="T43" s="444">
        <f t="shared" si="4"/>
        <v>2049455.9850393194</v>
      </c>
    </row>
    <row r="44" spans="1:91" s="18" customFormat="1" ht="20.100000000000001" customHeight="1">
      <c r="A44" s="404" t="s">
        <v>151</v>
      </c>
      <c r="B44" s="440" t="s">
        <v>209</v>
      </c>
      <c r="C44" s="410">
        <f>+GPpcntSCH*(VLOOKUP($A44,FY15Revenue!$A$4:$H$24,8,FALSE))*VLOOKUP($A44,FY15SCH!$A$3:$S$23,MATCH(C$28,FY15SCH!$A$2:$S$2,0),FALSE)</f>
        <v>0</v>
      </c>
      <c r="D44" s="410">
        <f>+GPpcntSCH*(VLOOKUP($A44,FY15Revenue!$A$4:$H$24,8,FALSE))*VLOOKUP($A44,FY15SCH!$A$3:$S$23,MATCH(D$28,FY15SCH!$A$2:$S$2,0),FALSE)</f>
        <v>10356.982729129202</v>
      </c>
      <c r="E44" s="410">
        <f>+GPpcntSCH*(VLOOKUP($A44,FY15Revenue!$A$4:$H$24,8,FALSE))*VLOOKUP($A44,FY15SCH!$A$3:$S$23,MATCH(E$28,FY15SCH!$A$2:$S$2,0),FALSE)</f>
        <v>1129.8526613595493</v>
      </c>
      <c r="F44" s="410">
        <f>+GPpcntSCH*(VLOOKUP($A44,FY15Revenue!$A$4:$H$24,8,FALSE))*VLOOKUP($A44,FY15SCH!$A$3:$S$23,MATCH(F$28,FY15SCH!$A$2:$S$2,0),FALSE)</f>
        <v>0</v>
      </c>
      <c r="G44" s="410">
        <f>+GPpcntSCH*(VLOOKUP($A44,FY15Revenue!$A$4:$H$24,8,FALSE))*VLOOKUP($A44,FY15SCH!$A$3:$S$23,MATCH(G$28,FY15SCH!$A$2:$S$2,0),FALSE)</f>
        <v>0</v>
      </c>
      <c r="H44" s="410">
        <f>+GPpcntSCH*(VLOOKUP($A44,FY15Revenue!$A$4:$H$24,8,FALSE))*VLOOKUP($A44,FY15SCH!$A$3:$S$23,MATCH(H$28,FY15SCH!$A$2:$S$2,0),FALSE)</f>
        <v>282.46316533988733</v>
      </c>
      <c r="I44" s="410">
        <f>+GPpcntSCH*(VLOOKUP($A44,FY15Revenue!$A$4:$H$24,8,FALSE))*VLOOKUP($A44,FY15SCH!$A$3:$S$23,MATCH(I$28,FY15SCH!$A$2:$S$2,0),FALSE)</f>
        <v>0</v>
      </c>
      <c r="J44" s="410">
        <f>+GPpcntSCH*(VLOOKUP($A44,FY15Revenue!$A$4:$H$24,8,FALSE))*VLOOKUP($A44,FY15SCH!$A$3:$S$23,MATCH(J$28,FY15SCH!$A$2:$S$2,0),FALSE)</f>
        <v>217684.94608860649</v>
      </c>
      <c r="K44" s="410">
        <f>+GPpcntSCH*(VLOOKUP($A44,FY15Revenue!$A$4:$H$24,8,FALSE))*VLOOKUP($A44,FY15SCH!$A$3:$S$23,MATCH(K$28,FY15SCH!$A$2:$S$2,0),FALSE)</f>
        <v>2071.3965458258403</v>
      </c>
      <c r="L44" s="410">
        <f>+GPpcntSCH*(VLOOKUP($A44,FY15Revenue!$A$4:$H$24,8,FALSE))*VLOOKUP($A44,FY15SCH!$A$3:$S$23,MATCH(L$28,FY15SCH!$A$2:$S$2,0),FALSE)</f>
        <v>0</v>
      </c>
      <c r="M44" s="410">
        <f>+GPpcntSCH*(VLOOKUP($A44,FY15Revenue!$A$4:$H$24,8,FALSE))*VLOOKUP($A44,FY15SCH!$A$3:$S$23,MATCH(M$28,FY15SCH!$A$2:$S$2,0),FALSE)</f>
        <v>0</v>
      </c>
      <c r="N44" s="410">
        <f>+GPpcntSCH*(VLOOKUP($A44,FY15Revenue!$A$4:$H$24,8,FALSE))*VLOOKUP($A44,FY15SCH!$A$3:$S$23,MATCH(N$28,FY15SCH!$A$2:$S$2,0),FALSE)</f>
        <v>282.46316533988733</v>
      </c>
      <c r="O44" s="410">
        <f>+GPpcntSCH*(VLOOKUP($A44,FY15Revenue!$A$4:$H$24,8,FALSE))*VLOOKUP($A44,FY15SCH!$A$3:$S$23,MATCH(O$28,FY15SCH!$A$2:$S$2,0),FALSE)</f>
        <v>0</v>
      </c>
      <c r="P44" s="410">
        <f>+GPpcntSCH*(VLOOKUP($A44,FY15Revenue!$A$4:$H$24,8,FALSE))*VLOOKUP($A44,FY15SCH!$A$3:$S$23,MATCH(P$28,FY15SCH!$A$2:$S$2,0),FALSE)</f>
        <v>0</v>
      </c>
      <c r="Q44" s="410">
        <f>+GPpcntSCH*(VLOOKUP($A44,FY15Revenue!$A$4:$H$24,8,FALSE))*VLOOKUP($A44,FY15SCH!$A$3:$S$23,MATCH(Q$28,FY15SCH!$A$2:$S$2,0),FALSE)</f>
        <v>470.77194223314552</v>
      </c>
      <c r="R44" s="410">
        <f>+GPpcntSCH*(VLOOKUP($A44,FY15Revenue!$A$4:$H$24,8,FALSE))*VLOOKUP($A44,FY15SCH!$A$3:$S$23,MATCH(R$28,FY15SCH!$A$2:$S$2,0),FALSE)</f>
        <v>0</v>
      </c>
      <c r="S44" s="410">
        <f>+GPpcntSCH*(VLOOKUP($A44,FY15Revenue!$A$4:$H$24,8,FALSE))*VLOOKUP($A44,FY15SCH!$A$3:$S$23,MATCH(S$28,FY15SCH!$A$2:$S$2,0),FALSE)</f>
        <v>376.61755378651645</v>
      </c>
      <c r="T44" s="441">
        <f t="shared" si="4"/>
        <v>232655.49385162053</v>
      </c>
    </row>
    <row r="45" spans="1:91" ht="20.100000000000001" customHeight="1">
      <c r="A45" s="404" t="s">
        <v>153</v>
      </c>
      <c r="B45" s="442" t="s">
        <v>100</v>
      </c>
      <c r="C45" s="443">
        <f>+GPpcntSCH*(VLOOKUP($A45,FY15Revenue!$A$4:$H$24,8,FALSE))*VLOOKUP($A45,FY15SCH!$A$3:$S$23,MATCH(C$28,FY15SCH!$A$2:$S$2,0),FALSE)</f>
        <v>593.46540674688242</v>
      </c>
      <c r="D45" s="443">
        <f>+GPpcntSCH*(VLOOKUP($A45,FY15Revenue!$A$4:$H$24,8,FALSE))*VLOOKUP($A45,FY15SCH!$A$3:$S$23,MATCH(D$28,FY15SCH!$A$2:$S$2,0),FALSE)</f>
        <v>890.19811012032369</v>
      </c>
      <c r="E45" s="443">
        <f>+GPpcntSCH*(VLOOKUP($A45,FY15Revenue!$A$4:$H$24,8,FALSE))*VLOOKUP($A45,FY15SCH!$A$3:$S$23,MATCH(E$28,FY15SCH!$A$2:$S$2,0),FALSE)</f>
        <v>1582.5744179916862</v>
      </c>
      <c r="F45" s="443">
        <f>+GPpcntSCH*(VLOOKUP($A45,FY15Revenue!$A$4:$H$24,8,FALSE))*VLOOKUP($A45,FY15SCH!$A$3:$S$23,MATCH(F$28,FY15SCH!$A$2:$S$2,0),FALSE)</f>
        <v>0</v>
      </c>
      <c r="G45" s="443">
        <f>+GPpcntSCH*(VLOOKUP($A45,FY15Revenue!$A$4:$H$24,8,FALSE))*VLOOKUP($A45,FY15SCH!$A$3:$S$23,MATCH(G$28,FY15SCH!$A$2:$S$2,0),FALSE)</f>
        <v>0</v>
      </c>
      <c r="H45" s="443">
        <f>+GPpcntSCH*(VLOOKUP($A45,FY15Revenue!$A$4:$H$24,8,FALSE))*VLOOKUP($A45,FY15SCH!$A$3:$S$23,MATCH(H$28,FY15SCH!$A$2:$S$2,0),FALSE)</f>
        <v>0</v>
      </c>
      <c r="I45" s="443">
        <f>+GPpcntSCH*(VLOOKUP($A45,FY15Revenue!$A$4:$H$24,8,FALSE))*VLOOKUP($A45,FY15SCH!$A$3:$S$23,MATCH(I$28,FY15SCH!$A$2:$S$2,0),FALSE)</f>
        <v>296.73270337344121</v>
      </c>
      <c r="J45" s="443">
        <f>+GPpcntSCH*(VLOOKUP($A45,FY15Revenue!$A$4:$H$24,8,FALSE))*VLOOKUP($A45,FY15SCH!$A$3:$S$23,MATCH(J$28,FY15SCH!$A$2:$S$2,0),FALSE)</f>
        <v>0</v>
      </c>
      <c r="K45" s="443">
        <f>+GPpcntSCH*(VLOOKUP($A45,FY15Revenue!$A$4:$H$24,8,FALSE))*VLOOKUP($A45,FY15SCH!$A$3:$S$23,MATCH(K$28,FY15SCH!$A$2:$S$2,0),FALSE)</f>
        <v>1978.2180224896078</v>
      </c>
      <c r="L45" s="443">
        <f>+GPpcntSCH*(VLOOKUP($A45,FY15Revenue!$A$4:$H$24,8,FALSE))*VLOOKUP($A45,FY15SCH!$A$3:$S$23,MATCH(L$28,FY15SCH!$A$2:$S$2,0),FALSE)</f>
        <v>593.46540674688242</v>
      </c>
      <c r="M45" s="443">
        <f>+GPpcntSCH*(VLOOKUP($A45,FY15Revenue!$A$4:$H$24,8,FALSE))*VLOOKUP($A45,FY15SCH!$A$3:$S$23,MATCH(M$28,FY15SCH!$A$2:$S$2,0),FALSE)</f>
        <v>0</v>
      </c>
      <c r="N45" s="443">
        <f>+GPpcntSCH*(VLOOKUP($A45,FY15Revenue!$A$4:$H$24,8,FALSE))*VLOOKUP($A45,FY15SCH!$A$3:$S$23,MATCH(N$28,FY15SCH!$A$2:$S$2,0),FALSE)</f>
        <v>3956.4360449792157</v>
      </c>
      <c r="O45" s="443">
        <f>+GPpcntSCH*(VLOOKUP($A45,FY15Revenue!$A$4:$H$24,8,FALSE))*VLOOKUP($A45,FY15SCH!$A$3:$S$23,MATCH(O$28,FY15SCH!$A$2:$S$2,0),FALSE)</f>
        <v>201778.23829394003</v>
      </c>
      <c r="P45" s="443">
        <f>+GPpcntSCH*(VLOOKUP($A45,FY15Revenue!$A$4:$H$24,8,FALSE))*VLOOKUP($A45,FY15SCH!$A$3:$S$23,MATCH(P$28,FY15SCH!$A$2:$S$2,0),FALSE)</f>
        <v>5539.0104629709022</v>
      </c>
      <c r="Q45" s="443">
        <f>+GPpcntSCH*(VLOOKUP($A45,FY15Revenue!$A$4:$H$24,8,FALSE))*VLOOKUP($A45,FY15SCH!$A$3:$S$23,MATCH(Q$28,FY15SCH!$A$2:$S$2,0),FALSE)</f>
        <v>4945.5450562240194</v>
      </c>
      <c r="R45" s="443">
        <f>+GPpcntSCH*(VLOOKUP($A45,FY15Revenue!$A$4:$H$24,8,FALSE))*VLOOKUP($A45,FY15SCH!$A$3:$S$23,MATCH(R$28,FY15SCH!$A$2:$S$2,0),FALSE)</f>
        <v>0</v>
      </c>
      <c r="S45" s="443">
        <f>+GPpcntSCH*(VLOOKUP($A45,FY15Revenue!$A$4:$H$24,8,FALSE))*VLOOKUP($A45,FY15SCH!$A$3:$S$23,MATCH(S$28,FY15SCH!$A$2:$S$2,0),FALSE)</f>
        <v>98.91090112448039</v>
      </c>
      <c r="T45" s="444">
        <f t="shared" si="4"/>
        <v>222252.79482670745</v>
      </c>
    </row>
    <row r="46" spans="1:91" s="18" customFormat="1" ht="20.100000000000001" customHeight="1">
      <c r="A46" s="404" t="s">
        <v>155</v>
      </c>
      <c r="B46" s="440" t="s">
        <v>42</v>
      </c>
      <c r="C46" s="410">
        <f>+GPpcntSCH*(VLOOKUP($A46,FY15Revenue!$A$4:$H$24,8,FALSE))*VLOOKUP($A46,FY15SCH!$A$3:$S$23,MATCH(C$28,FY15SCH!$A$2:$S$2,0),FALSE)</f>
        <v>0</v>
      </c>
      <c r="D46" s="410">
        <f>+GPpcntSCH*(VLOOKUP($A46,FY15Revenue!$A$4:$H$24,8,FALSE))*VLOOKUP($A46,FY15SCH!$A$3:$S$23,MATCH(D$28,FY15SCH!$A$2:$S$2,0),FALSE)</f>
        <v>1770.0456427652277</v>
      </c>
      <c r="E46" s="410">
        <f>+GPpcntSCH*(VLOOKUP($A46,FY15Revenue!$A$4:$H$24,8,FALSE))*VLOOKUP($A46,FY15SCH!$A$3:$S$23,MATCH(E$28,FY15SCH!$A$2:$S$2,0),FALSE)</f>
        <v>708.01825710609126</v>
      </c>
      <c r="F46" s="410">
        <f>+GPpcntSCH*(VLOOKUP($A46,FY15Revenue!$A$4:$H$24,8,FALSE))*VLOOKUP($A46,FY15SCH!$A$3:$S$23,MATCH(F$28,FY15SCH!$A$2:$S$2,0),FALSE)</f>
        <v>0</v>
      </c>
      <c r="G46" s="410">
        <f>+GPpcntSCH*(VLOOKUP($A46,FY15Revenue!$A$4:$H$24,8,FALSE))*VLOOKUP($A46,FY15SCH!$A$3:$S$23,MATCH(G$28,FY15SCH!$A$2:$S$2,0),FALSE)</f>
        <v>0</v>
      </c>
      <c r="H46" s="410">
        <f>+GPpcntSCH*(VLOOKUP($A46,FY15Revenue!$A$4:$H$24,8,FALSE))*VLOOKUP($A46,FY15SCH!$A$3:$S$23,MATCH(H$28,FY15SCH!$A$2:$S$2,0),FALSE)</f>
        <v>0</v>
      </c>
      <c r="I46" s="410">
        <f>+GPpcntSCH*(VLOOKUP($A46,FY15Revenue!$A$4:$H$24,8,FALSE))*VLOOKUP($A46,FY15SCH!$A$3:$S$23,MATCH(I$28,FY15SCH!$A$2:$S$2,0),FALSE)</f>
        <v>0</v>
      </c>
      <c r="J46" s="410">
        <f>+GPpcntSCH*(VLOOKUP($A46,FY15Revenue!$A$4:$H$24,8,FALSE))*VLOOKUP($A46,FY15SCH!$A$3:$S$23,MATCH(J$28,FY15SCH!$A$2:$S$2,0),FALSE)</f>
        <v>0</v>
      </c>
      <c r="K46" s="410">
        <f>+GPpcntSCH*(VLOOKUP($A46,FY15Revenue!$A$4:$H$24,8,FALSE))*VLOOKUP($A46,FY15SCH!$A$3:$S$23,MATCH(K$28,FY15SCH!$A$2:$S$2,0),FALSE)</f>
        <v>0</v>
      </c>
      <c r="L46" s="410">
        <f>+GPpcntSCH*(VLOOKUP($A46,FY15Revenue!$A$4:$H$24,8,FALSE))*VLOOKUP($A46,FY15SCH!$A$3:$S$23,MATCH(L$28,FY15SCH!$A$2:$S$2,0),FALSE)</f>
        <v>0</v>
      </c>
      <c r="M46" s="410">
        <f>+GPpcntSCH*(VLOOKUP($A46,FY15Revenue!$A$4:$H$24,8,FALSE))*VLOOKUP($A46,FY15SCH!$A$3:$S$23,MATCH(M$28,FY15SCH!$A$2:$S$2,0),FALSE)</f>
        <v>141.60365142121825</v>
      </c>
      <c r="N46" s="410">
        <f>+GPpcntSCH*(VLOOKUP($A46,FY15Revenue!$A$4:$H$24,8,FALSE))*VLOOKUP($A46,FY15SCH!$A$3:$S$23,MATCH(N$28,FY15SCH!$A$2:$S$2,0),FALSE)</f>
        <v>139621.20030132117</v>
      </c>
      <c r="O46" s="410">
        <f>+GPpcntSCH*(VLOOKUP($A46,FY15Revenue!$A$4:$H$24,8,FALSE))*VLOOKUP($A46,FY15SCH!$A$3:$S$23,MATCH(O$28,FY15SCH!$A$2:$S$2,0),FALSE)</f>
        <v>2619.6675512925372</v>
      </c>
      <c r="P46" s="410">
        <f>+GPpcntSCH*(VLOOKUP($A46,FY15Revenue!$A$4:$H$24,8,FALSE))*VLOOKUP($A46,FY15SCH!$A$3:$S$23,MATCH(P$28,FY15SCH!$A$2:$S$2,0),FALSE)</f>
        <v>1167876.1150964973</v>
      </c>
      <c r="Q46" s="410">
        <f>+GPpcntSCH*(VLOOKUP($A46,FY15Revenue!$A$4:$H$24,8,FALSE))*VLOOKUP($A46,FY15SCH!$A$3:$S$23,MATCH(Q$28,FY15SCH!$A$2:$S$2,0),FALSE)</f>
        <v>12319.517673645987</v>
      </c>
      <c r="R46" s="410">
        <f>+GPpcntSCH*(VLOOKUP($A46,FY15Revenue!$A$4:$H$24,8,FALSE))*VLOOKUP($A46,FY15SCH!$A$3:$S$23,MATCH(R$28,FY15SCH!$A$2:$S$2,0),FALSE)</f>
        <v>0</v>
      </c>
      <c r="S46" s="410">
        <f>+GPpcntSCH*(VLOOKUP($A46,FY15Revenue!$A$4:$H$24,8,FALSE))*VLOOKUP($A46,FY15SCH!$A$3:$S$23,MATCH(S$28,FY15SCH!$A$2:$S$2,0),FALSE)</f>
        <v>0</v>
      </c>
      <c r="T46" s="441">
        <f t="shared" si="4"/>
        <v>1325056.1681740498</v>
      </c>
    </row>
    <row r="47" spans="1:91" ht="20.100000000000001" customHeight="1">
      <c r="A47" s="404" t="s">
        <v>162</v>
      </c>
      <c r="B47" s="442" t="s">
        <v>76</v>
      </c>
      <c r="C47" s="443">
        <f>+GPpcntSCH*(VLOOKUP($A47,FY15Revenue!$A$4:$H$24,8,FALSE))*VLOOKUP($A47,FY15SCH!$A$3:$S$23,MATCH(C$28,FY15SCH!$A$2:$S$2,0),FALSE)</f>
        <v>0</v>
      </c>
      <c r="D47" s="443">
        <f>+GPpcntSCH*(VLOOKUP($A47,FY15Revenue!$A$4:$H$24,8,FALSE))*VLOOKUP($A47,FY15SCH!$A$3:$S$23,MATCH(D$28,FY15SCH!$A$2:$S$2,0),FALSE)</f>
        <v>788.92770290626402</v>
      </c>
      <c r="E47" s="443">
        <f>+GPpcntSCH*(VLOOKUP($A47,FY15Revenue!$A$4:$H$24,8,FALSE))*VLOOKUP($A47,FY15SCH!$A$3:$S$23,MATCH(E$28,FY15SCH!$A$2:$S$2,0),FALSE)</f>
        <v>0</v>
      </c>
      <c r="F47" s="443">
        <f>+GPpcntSCH*(VLOOKUP($A47,FY15Revenue!$A$4:$H$24,8,FALSE))*VLOOKUP($A47,FY15SCH!$A$3:$S$23,MATCH(F$28,FY15SCH!$A$2:$S$2,0),FALSE)</f>
        <v>0</v>
      </c>
      <c r="G47" s="443">
        <f>+GPpcntSCH*(VLOOKUP($A47,FY15Revenue!$A$4:$H$24,8,FALSE))*VLOOKUP($A47,FY15SCH!$A$3:$S$23,MATCH(G$28,FY15SCH!$A$2:$S$2,0),FALSE)</f>
        <v>986.15962863282982</v>
      </c>
      <c r="H47" s="443">
        <f>+GPpcntSCH*(VLOOKUP($A47,FY15Revenue!$A$4:$H$24,8,FALSE))*VLOOKUP($A47,FY15SCH!$A$3:$S$23,MATCH(H$28,FY15SCH!$A$2:$S$2,0),FALSE)</f>
        <v>197.231925726566</v>
      </c>
      <c r="I47" s="443">
        <f>+GPpcntSCH*(VLOOKUP($A47,FY15Revenue!$A$4:$H$24,8,FALSE))*VLOOKUP($A47,FY15SCH!$A$3:$S$23,MATCH(I$28,FY15SCH!$A$2:$S$2,0),FALSE)</f>
        <v>0</v>
      </c>
      <c r="J47" s="443">
        <f>+GPpcntSCH*(VLOOKUP($A47,FY15Revenue!$A$4:$H$24,8,FALSE))*VLOOKUP($A47,FY15SCH!$A$3:$S$23,MATCH(J$28,FY15SCH!$A$2:$S$2,0),FALSE)</f>
        <v>0</v>
      </c>
      <c r="K47" s="443">
        <f>+GPpcntSCH*(VLOOKUP($A47,FY15Revenue!$A$4:$H$24,8,FALSE))*VLOOKUP($A47,FY15SCH!$A$3:$S$23,MATCH(K$28,FY15SCH!$A$2:$S$2,0),FALSE)</f>
        <v>0</v>
      </c>
      <c r="L47" s="443">
        <f>+GPpcntSCH*(VLOOKUP($A47,FY15Revenue!$A$4:$H$24,8,FALSE))*VLOOKUP($A47,FY15SCH!$A$3:$S$23,MATCH(L$28,FY15SCH!$A$2:$S$2,0),FALSE)</f>
        <v>0</v>
      </c>
      <c r="M47" s="443">
        <f>+GPpcntSCH*(VLOOKUP($A47,FY15Revenue!$A$4:$H$24,8,FALSE))*VLOOKUP($A47,FY15SCH!$A$3:$S$23,MATCH(M$28,FY15SCH!$A$2:$S$2,0),FALSE)</f>
        <v>0</v>
      </c>
      <c r="N47" s="443">
        <f>+GPpcntSCH*(VLOOKUP($A47,FY15Revenue!$A$4:$H$24,8,FALSE))*VLOOKUP($A47,FY15SCH!$A$3:$S$23,MATCH(N$28,FY15SCH!$A$2:$S$2,0),FALSE)</f>
        <v>2795433.8272978617</v>
      </c>
      <c r="O47" s="443">
        <f>+GPpcntSCH*(VLOOKUP($A47,FY15Revenue!$A$4:$H$24,8,FALSE))*VLOOKUP($A47,FY15SCH!$A$3:$S$23,MATCH(O$28,FY15SCH!$A$2:$S$2,0),FALSE)</f>
        <v>0</v>
      </c>
      <c r="P47" s="443">
        <f>+GPpcntSCH*(VLOOKUP($A47,FY15Revenue!$A$4:$H$24,8,FALSE))*VLOOKUP($A47,FY15SCH!$A$3:$S$23,MATCH(P$28,FY15SCH!$A$2:$S$2,0),FALSE)</f>
        <v>0</v>
      </c>
      <c r="Q47" s="443">
        <f>+GPpcntSCH*(VLOOKUP($A47,FY15Revenue!$A$4:$H$24,8,FALSE))*VLOOKUP($A47,FY15SCH!$A$3:$S$23,MATCH(Q$28,FY15SCH!$A$2:$S$2,0),FALSE)</f>
        <v>6311.4216232501121</v>
      </c>
      <c r="R47" s="443">
        <f>+GPpcntSCH*(VLOOKUP($A47,FY15Revenue!$A$4:$H$24,8,FALSE))*VLOOKUP($A47,FY15SCH!$A$3:$S$23,MATCH(R$28,FY15SCH!$A$2:$S$2,0),FALSE)</f>
        <v>0</v>
      </c>
      <c r="S47" s="443">
        <f>+GPpcntSCH*(VLOOKUP($A47,FY15Revenue!$A$4:$H$24,8,FALSE))*VLOOKUP($A47,FY15SCH!$A$3:$S$23,MATCH(S$28,FY15SCH!$A$2:$S$2,0),FALSE)</f>
        <v>0</v>
      </c>
      <c r="T47" s="444">
        <f t="shared" si="4"/>
        <v>2803717.5681783776</v>
      </c>
    </row>
    <row r="48" spans="1:91" s="18" customFormat="1" ht="20.100000000000001" customHeight="1">
      <c r="A48" s="404" t="s">
        <v>156</v>
      </c>
      <c r="B48" s="440" t="s">
        <v>77</v>
      </c>
      <c r="C48" s="410">
        <f>+GPpcntSCH*(VLOOKUP($A48,FY15Revenue!$A$4:$H$24,8,FALSE))*VLOOKUP($A48,FY15SCH!$A$3:$S$23,MATCH(C$28,FY15SCH!$A$2:$S$2,0),FALSE)</f>
        <v>0</v>
      </c>
      <c r="D48" s="410">
        <f>+GPpcntSCH*(VLOOKUP($A48,FY15Revenue!$A$4:$H$24,8,FALSE))*VLOOKUP($A48,FY15SCH!$A$3:$S$23,MATCH(D$28,FY15SCH!$A$2:$S$2,0),FALSE)</f>
        <v>420.15073745705581</v>
      </c>
      <c r="E48" s="410">
        <f>+GPpcntSCH*(VLOOKUP($A48,FY15Revenue!$A$4:$H$24,8,FALSE))*VLOOKUP($A48,FY15SCH!$A$3:$S$23,MATCH(E$28,FY15SCH!$A$2:$S$2,0),FALSE)</f>
        <v>0</v>
      </c>
      <c r="F48" s="410">
        <f>+GPpcntSCH*(VLOOKUP($A48,FY15Revenue!$A$4:$H$24,8,FALSE))*VLOOKUP($A48,FY15SCH!$A$3:$S$23,MATCH(F$28,FY15SCH!$A$2:$S$2,0),FALSE)</f>
        <v>0</v>
      </c>
      <c r="G48" s="410">
        <f>+GPpcntSCH*(VLOOKUP($A48,FY15Revenue!$A$4:$H$24,8,FALSE))*VLOOKUP($A48,FY15SCH!$A$3:$S$23,MATCH(G$28,FY15SCH!$A$2:$S$2,0),FALSE)</f>
        <v>0</v>
      </c>
      <c r="H48" s="410">
        <f>+GPpcntSCH*(VLOOKUP($A48,FY15Revenue!$A$4:$H$24,8,FALSE))*VLOOKUP($A48,FY15SCH!$A$3:$S$23,MATCH(H$28,FY15SCH!$A$2:$S$2,0),FALSE)</f>
        <v>0</v>
      </c>
      <c r="I48" s="410">
        <f>+GPpcntSCH*(VLOOKUP($A48,FY15Revenue!$A$4:$H$24,8,FALSE))*VLOOKUP($A48,FY15SCH!$A$3:$S$23,MATCH(I$28,FY15SCH!$A$2:$S$2,0),FALSE)</f>
        <v>0</v>
      </c>
      <c r="J48" s="410">
        <f>+GPpcntSCH*(VLOOKUP($A48,FY15Revenue!$A$4:$H$24,8,FALSE))*VLOOKUP($A48,FY15SCH!$A$3:$S$23,MATCH(J$28,FY15SCH!$A$2:$S$2,0),FALSE)</f>
        <v>0</v>
      </c>
      <c r="K48" s="410">
        <f>+GPpcntSCH*(VLOOKUP($A48,FY15Revenue!$A$4:$H$24,8,FALSE))*VLOOKUP($A48,FY15SCH!$A$3:$S$23,MATCH(K$28,FY15SCH!$A$2:$S$2,0),FALSE)</f>
        <v>0</v>
      </c>
      <c r="L48" s="410">
        <f>+GPpcntSCH*(VLOOKUP($A48,FY15Revenue!$A$4:$H$24,8,FALSE))*VLOOKUP($A48,FY15SCH!$A$3:$S$23,MATCH(L$28,FY15SCH!$A$2:$S$2,0),FALSE)</f>
        <v>0</v>
      </c>
      <c r="M48" s="410">
        <f>+GPpcntSCH*(VLOOKUP($A48,FY15Revenue!$A$4:$H$24,8,FALSE))*VLOOKUP($A48,FY15SCH!$A$3:$S$23,MATCH(M$28,FY15SCH!$A$2:$S$2,0),FALSE)</f>
        <v>998348.17732087418</v>
      </c>
      <c r="N48" s="410">
        <f>+GPpcntSCH*(VLOOKUP($A48,FY15Revenue!$A$4:$H$24,8,FALSE))*VLOOKUP($A48,FY15SCH!$A$3:$S$23,MATCH(N$28,FY15SCH!$A$2:$S$2,0),FALSE)</f>
        <v>148663.33593688824</v>
      </c>
      <c r="O48" s="410">
        <f>+GPpcntSCH*(VLOOKUP($A48,FY15Revenue!$A$4:$H$24,8,FALSE))*VLOOKUP($A48,FY15SCH!$A$3:$S$23,MATCH(O$28,FY15SCH!$A$2:$S$2,0),FALSE)</f>
        <v>0</v>
      </c>
      <c r="P48" s="410">
        <f>+GPpcntSCH*(VLOOKUP($A48,FY15Revenue!$A$4:$H$24,8,FALSE))*VLOOKUP($A48,FY15SCH!$A$3:$S$23,MATCH(P$28,FY15SCH!$A$2:$S$2,0),FALSE)</f>
        <v>0</v>
      </c>
      <c r="Q48" s="410">
        <f>+GPpcntSCH*(VLOOKUP($A48,FY15Revenue!$A$4:$H$24,8,FALSE))*VLOOKUP($A48,FY15SCH!$A$3:$S$23,MATCH(Q$28,FY15SCH!$A$2:$S$2,0),FALSE)</f>
        <v>0</v>
      </c>
      <c r="R48" s="410">
        <f>+GPpcntSCH*(VLOOKUP($A48,FY15Revenue!$A$4:$H$24,8,FALSE))*VLOOKUP($A48,FY15SCH!$A$3:$S$23,MATCH(R$28,FY15SCH!$A$2:$S$2,0),FALSE)</f>
        <v>0</v>
      </c>
      <c r="S48" s="410">
        <f>+GPpcntSCH*(VLOOKUP($A48,FY15Revenue!$A$4:$H$24,8,FALSE))*VLOOKUP($A48,FY15SCH!$A$3:$S$23,MATCH(S$28,FY15SCH!$A$2:$S$2,0),FALSE)</f>
        <v>0</v>
      </c>
      <c r="T48" s="441">
        <f t="shared" si="4"/>
        <v>1147431.6639952194</v>
      </c>
    </row>
    <row r="49" spans="1:20" ht="20.100000000000001" customHeight="1">
      <c r="A49" s="404" t="s">
        <v>163</v>
      </c>
      <c r="B49" s="445" t="s">
        <v>164</v>
      </c>
      <c r="C49" s="443">
        <f>+GPpcntSCH*(VLOOKUP($A49,FY15Revenue!$A$4:$H$24,8,FALSE))*VLOOKUP($A49,FY15SCH!$A$3:$S$23,MATCH(C$28,FY15SCH!$A$2:$S$2,0),FALSE)</f>
        <v>0</v>
      </c>
      <c r="D49" s="443">
        <f>+GPpcntSCH*(VLOOKUP($A49,FY15Revenue!$A$4:$H$24,8,FALSE))*VLOOKUP($A49,FY15SCH!$A$3:$S$23,MATCH(D$28,FY15SCH!$A$2:$S$2,0),FALSE)</f>
        <v>0</v>
      </c>
      <c r="E49" s="443">
        <f>+GPpcntSCH*(VLOOKUP($A49,FY15Revenue!$A$4:$H$24,8,FALSE))*VLOOKUP($A49,FY15SCH!$A$3:$S$23,MATCH(E$28,FY15SCH!$A$2:$S$2,0),FALSE)</f>
        <v>0</v>
      </c>
      <c r="F49" s="443">
        <f>+GPpcntSCH*(VLOOKUP($A49,FY15Revenue!$A$4:$H$24,8,FALSE))*VLOOKUP($A49,FY15SCH!$A$3:$S$23,MATCH(F$28,FY15SCH!$A$2:$S$2,0),FALSE)</f>
        <v>0</v>
      </c>
      <c r="G49" s="443">
        <f>+GPpcntSCH*(VLOOKUP($A49,FY15Revenue!$A$4:$H$24,8,FALSE))*VLOOKUP($A49,FY15SCH!$A$3:$S$23,MATCH(G$28,FY15SCH!$A$2:$S$2,0),FALSE)</f>
        <v>0</v>
      </c>
      <c r="H49" s="443">
        <f>+GPpcntSCH*(VLOOKUP($A49,FY15Revenue!$A$4:$H$24,8,FALSE))*VLOOKUP($A49,FY15SCH!$A$3:$S$23,MATCH(H$28,FY15SCH!$A$2:$S$2,0),FALSE)</f>
        <v>0</v>
      </c>
      <c r="I49" s="443">
        <f>+GPpcntSCH*(VLOOKUP($A49,FY15Revenue!$A$4:$H$24,8,FALSE))*VLOOKUP($A49,FY15SCH!$A$3:$S$23,MATCH(I$28,FY15SCH!$A$2:$S$2,0),FALSE)</f>
        <v>0</v>
      </c>
      <c r="J49" s="443">
        <f>+GPpcntSCH*(VLOOKUP($A49,FY15Revenue!$A$4:$H$24,8,FALSE))*VLOOKUP($A49,FY15SCH!$A$3:$S$23,MATCH(J$28,FY15SCH!$A$2:$S$2,0),FALSE)</f>
        <v>0</v>
      </c>
      <c r="K49" s="443">
        <f>+GPpcntSCH*(VLOOKUP($A49,FY15Revenue!$A$4:$H$24,8,FALSE))*VLOOKUP($A49,FY15SCH!$A$3:$S$23,MATCH(K$28,FY15SCH!$A$2:$S$2,0),FALSE)</f>
        <v>0</v>
      </c>
      <c r="L49" s="443">
        <f>+GPpcntSCH*(VLOOKUP($A49,FY15Revenue!$A$4:$H$24,8,FALSE))*VLOOKUP($A49,FY15SCH!$A$3:$S$23,MATCH(L$28,FY15SCH!$A$2:$S$2,0),FALSE)</f>
        <v>0</v>
      </c>
      <c r="M49" s="443">
        <f>+GPpcntSCH*(VLOOKUP($A49,FY15Revenue!$A$4:$H$24,8,FALSE))*VLOOKUP($A49,FY15SCH!$A$3:$S$23,MATCH(M$28,FY15SCH!$A$2:$S$2,0),FALSE)</f>
        <v>171574.9886797514</v>
      </c>
      <c r="N49" s="443">
        <f>+GPpcntSCH*(VLOOKUP($A49,FY15Revenue!$A$4:$H$24,8,FALSE))*VLOOKUP($A49,FY15SCH!$A$3:$S$23,MATCH(N$28,FY15SCH!$A$2:$S$2,0),FALSE)</f>
        <v>1804.5913048841167</v>
      </c>
      <c r="O49" s="443">
        <f>+GPpcntSCH*(VLOOKUP($A49,FY15Revenue!$A$4:$H$24,8,FALSE))*VLOOKUP($A49,FY15SCH!$A$3:$S$23,MATCH(O$28,FY15SCH!$A$2:$S$2,0),FALSE)</f>
        <v>0</v>
      </c>
      <c r="P49" s="443">
        <f>+GPpcntSCH*(VLOOKUP($A49,FY15Revenue!$A$4:$H$24,8,FALSE))*VLOOKUP($A49,FY15SCH!$A$3:$S$23,MATCH(P$28,FY15SCH!$A$2:$S$2,0),FALSE)</f>
        <v>0</v>
      </c>
      <c r="Q49" s="443">
        <f>+GPpcntSCH*(VLOOKUP($A49,FY15Revenue!$A$4:$H$24,8,FALSE))*VLOOKUP($A49,FY15SCH!$A$3:$S$23,MATCH(Q$28,FY15SCH!$A$2:$S$2,0),FALSE)</f>
        <v>832.8882945618999</v>
      </c>
      <c r="R49" s="443">
        <f>+GPpcntSCH*(VLOOKUP($A49,FY15Revenue!$A$4:$H$24,8,FALSE))*VLOOKUP($A49,FY15SCH!$A$3:$S$23,MATCH(R$28,FY15SCH!$A$2:$S$2,0),FALSE)</f>
        <v>0</v>
      </c>
      <c r="S49" s="443">
        <f>+GPpcntSCH*(VLOOKUP($A49,FY15Revenue!$A$4:$H$24,8,FALSE))*VLOOKUP($A49,FY15SCH!$A$3:$S$23,MATCH(S$28,FY15SCH!$A$2:$S$2,0),FALSE)</f>
        <v>0</v>
      </c>
      <c r="T49" s="446">
        <f t="shared" si="4"/>
        <v>174212.46827919743</v>
      </c>
    </row>
    <row r="50" spans="1:20" ht="20.100000000000001" customHeight="1">
      <c r="A50" s="405"/>
      <c r="B50" s="447" t="s">
        <v>17</v>
      </c>
      <c r="C50" s="448">
        <f t="shared" ref="C50:S50" si="5">SUM(C29:C49)</f>
        <v>4455074.9715095945</v>
      </c>
      <c r="D50" s="448">
        <f t="shared" si="5"/>
        <v>109054724.41626407</v>
      </c>
      <c r="E50" s="448">
        <f t="shared" si="5"/>
        <v>11443529.417071043</v>
      </c>
      <c r="F50" s="448">
        <f t="shared" si="5"/>
        <v>3089341.4200863927</v>
      </c>
      <c r="G50" s="448">
        <f t="shared" si="5"/>
        <v>17097075.881357893</v>
      </c>
      <c r="H50" s="448">
        <f t="shared" si="5"/>
        <v>10042016.742157117</v>
      </c>
      <c r="I50" s="448">
        <f t="shared" si="5"/>
        <v>2298655.1513824998</v>
      </c>
      <c r="J50" s="448">
        <f t="shared" si="5"/>
        <v>2345391.3553013122</v>
      </c>
      <c r="K50" s="448">
        <f t="shared" si="5"/>
        <v>831890.11546277476</v>
      </c>
      <c r="L50" s="448">
        <f t="shared" si="5"/>
        <v>1125625.1004834287</v>
      </c>
      <c r="M50" s="448">
        <f t="shared" si="5"/>
        <v>1180095.8657791303</v>
      </c>
      <c r="N50" s="448">
        <f t="shared" si="5"/>
        <v>8360547.3874660861</v>
      </c>
      <c r="O50" s="448">
        <f t="shared" si="5"/>
        <v>1660344.6275307336</v>
      </c>
      <c r="P50" s="448">
        <f t="shared" si="5"/>
        <v>1285430.9869642195</v>
      </c>
      <c r="Q50" s="448">
        <f t="shared" si="5"/>
        <v>3422007.214995061</v>
      </c>
      <c r="R50" s="448">
        <f t="shared" si="5"/>
        <v>2218864.7586612366</v>
      </c>
      <c r="S50" s="448">
        <f t="shared" si="5"/>
        <v>230572.55168408231</v>
      </c>
      <c r="T50" s="448">
        <f>SUM(C50:S50)</f>
        <v>180141187.96415669</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+UGpcntDeg*(VLOOKUP($A53,FY15Revenue!$A$4:$H$24,8,FALSE))*VLOOKUP($A53,FY15Majors!$A$3:$S$23,MATCH(C$28,FY15Majors!$A$2:$S$2,0),FALSE)</f>
        <v>1392172.0517755223</v>
      </c>
      <c r="D53" s="455">
        <f>+UGpcntDeg*(VLOOKUP($A53,FY15Revenue!$A$4:$H$24,8,FALSE))*VLOOKUP($A53,FY15Majors!$A$3:$S$23,MATCH(D$28,FY15Majors!$A$2:$S$2,0),FALSE)</f>
        <v>70416559.583110124</v>
      </c>
      <c r="E53" s="455">
        <f>+UGpcntDeg*(VLOOKUP($A53,FY15Revenue!$A$4:$H$24,8,FALSE))*VLOOKUP($A53,FY15Majors!$A$3:$S$23,MATCH(E$28,FY15Majors!$A$2:$S$2,0),FALSE)</f>
        <v>11062795.768573347</v>
      </c>
      <c r="F53" s="455">
        <f>+UGpcntDeg*(VLOOKUP($A53,FY15Revenue!$A$4:$H$24,8,FALSE))*VLOOKUP($A53,FY15Majors!$A$3:$S$23,MATCH(F$28,FY15Majors!$A$2:$S$2,0),FALSE)</f>
        <v>1255440.8681189979</v>
      </c>
      <c r="G53" s="455">
        <f>+UGpcntDeg*(VLOOKUP($A53,FY15Revenue!$A$4:$H$24,8,FALSE))*VLOOKUP($A53,FY15Majors!$A$3:$S$23,MATCH(G$28,FY15Majors!$A$2:$S$2,0),FALSE)</f>
        <v>11535139.857568612</v>
      </c>
      <c r="H53" s="455">
        <f>+UGpcntDeg*(VLOOKUP($A53,FY15Revenue!$A$4:$H$24,8,FALSE))*VLOOKUP($A53,FY15Majors!$A$3:$S$23,MATCH(H$28,FY15Majors!$A$2:$S$2,0),FALSE)</f>
        <v>3666881.743515885</v>
      </c>
      <c r="I53" s="455">
        <f>+UGpcntDeg*(VLOOKUP($A53,FY15Revenue!$A$4:$H$24,8,FALSE))*VLOOKUP($A53,FY15Majors!$A$3:$S$23,MATCH(I$28,FY15Majors!$A$2:$S$2,0),FALSE)</f>
        <v>1243010.7605138591</v>
      </c>
      <c r="J53" s="455">
        <f>+UGpcntDeg*(VLOOKUP($A53,FY15Revenue!$A$4:$H$24,8,FALSE))*VLOOKUP($A53,FY15Majors!$A$3:$S$23,MATCH(J$28,FY15Majors!$A$2:$S$2,0),FALSE)</f>
        <v>0</v>
      </c>
      <c r="K53" s="455">
        <f>+UGpcntDeg*(VLOOKUP($A53,FY15Revenue!$A$4:$H$24,8,FALSE))*VLOOKUP($A53,FY15Majors!$A$3:$S$23,MATCH(K$28,FY15Majors!$A$2:$S$2,0),FALSE)</f>
        <v>0</v>
      </c>
      <c r="L53" s="455">
        <f>+UGpcntDeg*(VLOOKUP($A53,FY15Revenue!$A$4:$H$24,8,FALSE))*VLOOKUP($A53,FY15Majors!$A$3:$S$23,MATCH(L$28,FY15Majors!$A$2:$S$2,0),FALSE)</f>
        <v>509634.41181068221</v>
      </c>
      <c r="M53" s="455">
        <f>+UGpcntDeg*(VLOOKUP($A53,FY15Revenue!$A$4:$H$24,8,FALSE))*VLOOKUP($A53,FY15Majors!$A$3:$S$23,MATCH(M$28,FY15Majors!$A$2:$S$2,0),FALSE)</f>
        <v>0</v>
      </c>
      <c r="N53" s="455">
        <f>+UGpcntDeg*(VLOOKUP($A53,FY15Revenue!$A$4:$H$24,8,FALSE))*VLOOKUP($A53,FY15Majors!$A$3:$S$23,MATCH(N$28,FY15Majors!$A$2:$S$2,0),FALSE)</f>
        <v>2548172.0590534112</v>
      </c>
      <c r="O53" s="455">
        <f>+UGpcntDeg*(VLOOKUP($A53,FY15Revenue!$A$4:$H$24,8,FALSE))*VLOOKUP($A53,FY15Majors!$A$3:$S$23,MATCH(O$28,FY15Majors!$A$2:$S$2,0),FALSE)</f>
        <v>1765075.2799296801</v>
      </c>
      <c r="P53" s="455">
        <f>+UGpcntDeg*(VLOOKUP($A53,FY15Revenue!$A$4:$H$24,8,FALSE))*VLOOKUP($A53,FY15Majors!$A$3:$S$23,MATCH(P$28,FY15Majors!$A$2:$S$2,0),FALSE)</f>
        <v>0</v>
      </c>
      <c r="Q53" s="455">
        <f>+UGpcntDeg*(VLOOKUP($A53,FY15Revenue!$A$4:$H$24,8,FALSE))*VLOOKUP($A53,FY15Majors!$A$3:$S$23,MATCH(Q$28,FY15Majors!$A$2:$S$2,0),FALSE)</f>
        <v>2224989.2613198082</v>
      </c>
      <c r="R53" s="455">
        <f>+UGpcntDeg*(VLOOKUP($A53,FY15Revenue!$A$4:$H$24,8,FALSE))*VLOOKUP($A53,FY15Majors!$A$3:$S$23,MATCH(R$28,FY15Majors!$A$2:$S$2,0),FALSE)</f>
        <v>161591.3988668017</v>
      </c>
      <c r="S53" s="455">
        <f>+UGpcntDeg*(VLOOKUP($A53,FY15Revenue!$A$4:$H$24,8,FALSE))*VLOOKUP($A53,FY15Majors!$A$3:$S$23,MATCH(S$28,FY15Majors!$A$2:$S$2,0),FALSE)</f>
        <v>0</v>
      </c>
      <c r="T53" s="455">
        <f t="shared" ref="T53:T74" si="6">SUM(C53:Q53)+R53+S53</f>
        <v>107781463.0441567</v>
      </c>
    </row>
    <row r="54" spans="1:20" s="18" customFormat="1" ht="20.100000000000001" customHeight="1">
      <c r="A54" s="404" t="s">
        <v>129</v>
      </c>
      <c r="B54" s="440" t="s">
        <v>35</v>
      </c>
      <c r="C54" s="410">
        <f>+GPpcntMjr*(VLOOKUP($A54,FY15Revenue!$A$4:$H$24,8,FALSE))*VLOOKUP($A54,FY15Majors!$A$3:$S$23,MATCH(C$28,FY15Majors!$A$2:$S$2,0),FALSE)</f>
        <v>73168.86248450636</v>
      </c>
      <c r="D54" s="410">
        <f>+GPpcntMjr*(VLOOKUP($A54,FY15Revenue!$A$4:$H$24,8,FALSE))*VLOOKUP($A54,FY15Majors!$A$3:$S$23,MATCH(D$28,FY15Majors!$A$2:$S$2,0),FALSE)</f>
        <v>7415285.7531711785</v>
      </c>
      <c r="E54" s="410">
        <f>+GPpcntMjr*(VLOOKUP($A54,FY15Revenue!$A$4:$H$24,8,FALSE))*VLOOKUP($A54,FY15Majors!$A$3:$S$23,MATCH(E$28,FY15Majors!$A$2:$S$2,0),FALSE)</f>
        <v>276275.53248460154</v>
      </c>
      <c r="F54" s="410">
        <f>+GPpcntMjr*(VLOOKUP($A54,FY15Revenue!$A$4:$H$24,8,FALSE))*VLOOKUP($A54,FY15Majors!$A$3:$S$23,MATCH(F$28,FY15Majors!$A$2:$S$2,0),FALSE)</f>
        <v>23969.110124234834</v>
      </c>
      <c r="G54" s="410">
        <f>+GPpcntMjr*(VLOOKUP($A54,FY15Revenue!$A$4:$H$24,8,FALSE))*VLOOKUP($A54,FY15Majors!$A$3:$S$23,MATCH(G$28,FY15Majors!$A$2:$S$2,0),FALSE)</f>
        <v>455413.09236046195</v>
      </c>
      <c r="H54" s="410">
        <f>+GPpcntMjr*(VLOOKUP($A54,FY15Revenue!$A$4:$H$24,8,FALSE))*VLOOKUP($A54,FY15Majors!$A$3:$S$23,MATCH(H$28,FY15Majors!$A$2:$S$2,0),FALSE)</f>
        <v>0</v>
      </c>
      <c r="I54" s="410">
        <f>+GPpcntMjr*(VLOOKUP($A54,FY15Revenue!$A$4:$H$24,8,FALSE))*VLOOKUP($A54,FY15Majors!$A$3:$S$23,MATCH(I$28,FY15Majors!$A$2:$S$2,0),FALSE)</f>
        <v>187968.28465847319</v>
      </c>
      <c r="J54" s="410">
        <f>+GPpcntMjr*(VLOOKUP($A54,FY15Revenue!$A$4:$H$24,8,FALSE))*VLOOKUP($A54,FY15Majors!$A$3:$S$23,MATCH(J$28,FY15Majors!$A$2:$S$2,0),FALSE)</f>
        <v>3784.5963354055011</v>
      </c>
      <c r="K54" s="410">
        <f>+GPpcntMjr*(VLOOKUP($A54,FY15Revenue!$A$4:$H$24,8,FALSE))*VLOOKUP($A54,FY15Majors!$A$3:$S$23,MATCH(K$28,FY15Majors!$A$2:$S$2,0),FALSE)</f>
        <v>65599.669813695335</v>
      </c>
      <c r="L54" s="410">
        <f>+GPpcntMjr*(VLOOKUP($A54,FY15Revenue!$A$4:$H$24,8,FALSE))*VLOOKUP($A54,FY15Majors!$A$3:$S$23,MATCH(L$28,FY15Majors!$A$2:$S$2,0),FALSE)</f>
        <v>1261.5321118018337</v>
      </c>
      <c r="M54" s="410">
        <f>+GPpcntMjr*(VLOOKUP($A54,FY15Revenue!$A$4:$H$24,8,FALSE))*VLOOKUP($A54,FY15Majors!$A$3:$S$23,MATCH(M$28,FY15Majors!$A$2:$S$2,0),FALSE)</f>
        <v>0</v>
      </c>
      <c r="N54" s="410">
        <f>+GPpcntMjr*(VLOOKUP($A54,FY15Revenue!$A$4:$H$24,8,FALSE))*VLOOKUP($A54,FY15Majors!$A$3:$S$23,MATCH(N$28,FY15Majors!$A$2:$S$2,0),FALSE)</f>
        <v>1613499.5709945455</v>
      </c>
      <c r="O54" s="410">
        <f>+GPpcntMjr*(VLOOKUP($A54,FY15Revenue!$A$4:$H$24,8,FALSE))*VLOOKUP($A54,FY15Majors!$A$3:$S$23,MATCH(O$28,FY15Majors!$A$2:$S$2,0),FALSE)</f>
        <v>2523.0642236036674</v>
      </c>
      <c r="P54" s="410">
        <f>+GPpcntMjr*(VLOOKUP($A54,FY15Revenue!$A$4:$H$24,8,FALSE))*VLOOKUP($A54,FY15Majors!$A$3:$S$23,MATCH(P$28,FY15Majors!$A$2:$S$2,0),FALSE)</f>
        <v>262398.67925478134</v>
      </c>
      <c r="Q54" s="410">
        <f>+GPpcntMjr*(VLOOKUP($A54,FY15Revenue!$A$4:$H$24,8,FALSE))*VLOOKUP($A54,FY15Majors!$A$3:$S$23,MATCH(Q$28,FY15Majors!$A$2:$S$2,0),FALSE)</f>
        <v>2523.0642236036674</v>
      </c>
      <c r="R54" s="410">
        <f>+GPpcntMjr*(VLOOKUP($A54,FY15Revenue!$A$4:$H$24,8,FALSE))*VLOOKUP($A54,FY15Majors!$A$3:$S$23,MATCH(R$28,FY15Majors!$A$2:$S$2,0),FALSE)</f>
        <v>0</v>
      </c>
      <c r="S54" s="410">
        <f>+GPpcntMjr*(VLOOKUP($A54,FY15Revenue!$A$4:$H$24,8,FALSE))*VLOOKUP($A54,FY15Majors!$A$3:$S$23,MATCH(S$28,FY15Majors!$A$2:$S$2,0),FALSE)</f>
        <v>905780.05627371639</v>
      </c>
      <c r="T54" s="410">
        <f t="shared" si="6"/>
        <v>11289450.868514609</v>
      </c>
    </row>
    <row r="55" spans="1:20" ht="20.100000000000001" customHeight="1">
      <c r="A55" s="404" t="s">
        <v>140</v>
      </c>
      <c r="B55" s="456" t="s">
        <v>36</v>
      </c>
      <c r="C55" s="457">
        <f>+GPpcntMjr*(VLOOKUP($A55,FY15Revenue!$A$4:$H$24,8,FALSE))*VLOOKUP($A55,FY15Majors!$A$3:$S$23,MATCH(C$28,FY15Majors!$A$2:$S$2,0),FALSE)</f>
        <v>0</v>
      </c>
      <c r="D55" s="457">
        <f>+GPpcntMjr*(VLOOKUP($A55,FY15Revenue!$A$4:$H$24,8,FALSE))*VLOOKUP($A55,FY15Majors!$A$3:$S$23,MATCH(D$28,FY15Majors!$A$2:$S$2,0),FALSE)</f>
        <v>0</v>
      </c>
      <c r="E55" s="457">
        <f>+GPpcntMjr*(VLOOKUP($A55,FY15Revenue!$A$4:$H$24,8,FALSE))*VLOOKUP($A55,FY15Majors!$A$3:$S$23,MATCH(E$28,FY15Majors!$A$2:$S$2,0),FALSE)</f>
        <v>0</v>
      </c>
      <c r="F55" s="457">
        <f>+GPpcntMjr*(VLOOKUP($A55,FY15Revenue!$A$4:$H$24,8,FALSE))*VLOOKUP($A55,FY15Majors!$A$3:$S$23,MATCH(F$28,FY15Majors!$A$2:$S$2,0),FALSE)</f>
        <v>0</v>
      </c>
      <c r="G55" s="457">
        <f>+GPpcntMjr*(VLOOKUP($A55,FY15Revenue!$A$4:$H$24,8,FALSE))*VLOOKUP($A55,FY15Majors!$A$3:$S$23,MATCH(G$28,FY15Majors!$A$2:$S$2,0),FALSE)</f>
        <v>0</v>
      </c>
      <c r="H55" s="457">
        <f>+GPpcntMjr*(VLOOKUP($A55,FY15Revenue!$A$4:$H$24,8,FALSE))*VLOOKUP($A55,FY15Majors!$A$3:$S$23,MATCH(H$28,FY15Majors!$A$2:$S$2,0),FALSE)</f>
        <v>0</v>
      </c>
      <c r="I55" s="457">
        <f>+GPpcntMjr*(VLOOKUP($A55,FY15Revenue!$A$4:$H$24,8,FALSE))*VLOOKUP($A55,FY15Majors!$A$3:$S$23,MATCH(I$28,FY15Majors!$A$2:$S$2,0),FALSE)</f>
        <v>0</v>
      </c>
      <c r="J55" s="457">
        <f>+GPpcntMjr*(VLOOKUP($A55,FY15Revenue!$A$4:$H$24,8,FALSE))*VLOOKUP($A55,FY15Majors!$A$3:$S$23,MATCH(J$28,FY15Majors!$A$2:$S$2,0),FALSE)</f>
        <v>0</v>
      </c>
      <c r="K55" s="457">
        <f>+GPpcntMjr*(VLOOKUP($A55,FY15Revenue!$A$4:$H$24,8,FALSE))*VLOOKUP($A55,FY15Majors!$A$3:$S$23,MATCH(K$28,FY15Majors!$A$2:$S$2,0),FALSE)</f>
        <v>0</v>
      </c>
      <c r="L55" s="457">
        <f>+GPpcntMjr*(VLOOKUP($A55,FY15Revenue!$A$4:$H$24,8,FALSE))*VLOOKUP($A55,FY15Majors!$A$3:$S$23,MATCH(L$28,FY15Majors!$A$2:$S$2,0),FALSE)</f>
        <v>227780.1325244364</v>
      </c>
      <c r="M55" s="457">
        <f>+GPpcntMjr*(VLOOKUP($A55,FY15Revenue!$A$4:$H$24,8,FALSE))*VLOOKUP($A55,FY15Majors!$A$3:$S$23,MATCH(M$28,FY15Majors!$A$2:$S$2,0),FALSE)</f>
        <v>0</v>
      </c>
      <c r="N55" s="457">
        <f>+GPpcntMjr*(VLOOKUP($A55,FY15Revenue!$A$4:$H$24,8,FALSE))*VLOOKUP($A55,FY15Majors!$A$3:$S$23,MATCH(N$28,FY15Majors!$A$2:$S$2,0),FALSE)</f>
        <v>693137.39252059686</v>
      </c>
      <c r="O55" s="457">
        <f>+GPpcntMjr*(VLOOKUP($A55,FY15Revenue!$A$4:$H$24,8,FALSE))*VLOOKUP($A55,FY15Majors!$A$3:$S$23,MATCH(O$28,FY15Majors!$A$2:$S$2,0),FALSE)</f>
        <v>0</v>
      </c>
      <c r="P55" s="457">
        <f>+GPpcntMjr*(VLOOKUP($A55,FY15Revenue!$A$4:$H$24,8,FALSE))*VLOOKUP($A55,FY15Majors!$A$3:$S$23,MATCH(P$28,FY15Majors!$A$2:$S$2,0),FALSE)</f>
        <v>0</v>
      </c>
      <c r="Q55" s="457">
        <f>+GPpcntMjr*(VLOOKUP($A55,FY15Revenue!$A$4:$H$24,8,FALSE))*VLOOKUP($A55,FY15Majors!$A$3:$S$23,MATCH(Q$28,FY15Majors!$A$2:$S$2,0),FALSE)</f>
        <v>0</v>
      </c>
      <c r="R55" s="457">
        <f>+GPpcntMjr*(VLOOKUP($A55,FY15Revenue!$A$4:$H$24,8,FALSE))*VLOOKUP($A55,FY15Majors!$A$3:$S$23,MATCH(R$28,FY15Majors!$A$2:$S$2,0),FALSE)</f>
        <v>0</v>
      </c>
      <c r="S55" s="457">
        <f>+GPpcntMjr*(VLOOKUP($A55,FY15Revenue!$A$4:$H$24,8,FALSE))*VLOOKUP($A55,FY15Majors!$A$3:$S$23,MATCH(S$28,FY15Majors!$A$2:$S$2,0),FALSE)</f>
        <v>0</v>
      </c>
      <c r="T55" s="457">
        <f t="shared" si="6"/>
        <v>920917.52504503331</v>
      </c>
    </row>
    <row r="56" spans="1:20" s="18" customFormat="1" ht="20.100000000000001" customHeight="1">
      <c r="A56" s="404" t="s">
        <v>130</v>
      </c>
      <c r="B56" s="440" t="s">
        <v>37</v>
      </c>
      <c r="C56" s="410">
        <f>+GPpcntMjr*(VLOOKUP($A56,FY15Revenue!$A$4:$H$24,8,FALSE))*VLOOKUP($A56,FY15Majors!$A$3:$S$23,MATCH(C$28,FY15Majors!$A$2:$S$2,0),FALSE)</f>
        <v>1938.5770112166499</v>
      </c>
      <c r="D56" s="410">
        <f>+GPpcntMjr*(VLOOKUP($A56,FY15Revenue!$A$4:$H$24,8,FALSE))*VLOOKUP($A56,FY15Majors!$A$3:$S$23,MATCH(D$28,FY15Majors!$A$2:$S$2,0),FALSE)</f>
        <v>50403.002291632889</v>
      </c>
      <c r="E56" s="410">
        <f>+GPpcntMjr*(VLOOKUP($A56,FY15Revenue!$A$4:$H$24,8,FALSE))*VLOOKUP($A56,FY15Majors!$A$3:$S$23,MATCH(E$28,FY15Majors!$A$2:$S$2,0),FALSE)</f>
        <v>13570.039078516549</v>
      </c>
      <c r="F56" s="410">
        <f>+GPpcntMjr*(VLOOKUP($A56,FY15Revenue!$A$4:$H$24,8,FALSE))*VLOOKUP($A56,FY15Majors!$A$3:$S$23,MATCH(F$28,FY15Majors!$A$2:$S$2,0),FALSE)</f>
        <v>11631.462067299899</v>
      </c>
      <c r="G56" s="410">
        <f>+GPpcntMjr*(VLOOKUP($A56,FY15Revenue!$A$4:$H$24,8,FALSE))*VLOOKUP($A56,FY15Majors!$A$3:$S$23,MATCH(G$28,FY15Majors!$A$2:$S$2,0),FALSE)</f>
        <v>5796345.2635377822</v>
      </c>
      <c r="H56" s="410">
        <f>+GPpcntMjr*(VLOOKUP($A56,FY15Revenue!$A$4:$H$24,8,FALSE))*VLOOKUP($A56,FY15Majors!$A$3:$S$23,MATCH(H$28,FY15Majors!$A$2:$S$2,0),FALSE)</f>
        <v>3877.1540224332998</v>
      </c>
      <c r="I56" s="410">
        <f>+GPpcntMjr*(VLOOKUP($A56,FY15Revenue!$A$4:$H$24,8,FALSE))*VLOOKUP($A56,FY15Majors!$A$3:$S$23,MATCH(I$28,FY15Majors!$A$2:$S$2,0),FALSE)</f>
        <v>0</v>
      </c>
      <c r="J56" s="410">
        <f>+GPpcntMjr*(VLOOKUP($A56,FY15Revenue!$A$4:$H$24,8,FALSE))*VLOOKUP($A56,FY15Majors!$A$3:$S$23,MATCH(J$28,FY15Majors!$A$2:$S$2,0),FALSE)</f>
        <v>17447.193100949848</v>
      </c>
      <c r="K56" s="410">
        <f>+GPpcntMjr*(VLOOKUP($A56,FY15Revenue!$A$4:$H$24,8,FALSE))*VLOOKUP($A56,FY15Majors!$A$3:$S$23,MATCH(K$28,FY15Majors!$A$2:$S$2,0),FALSE)</f>
        <v>0</v>
      </c>
      <c r="L56" s="410">
        <f>+GPpcntMjr*(VLOOKUP($A56,FY15Revenue!$A$4:$H$24,8,FALSE))*VLOOKUP($A56,FY15Majors!$A$3:$S$23,MATCH(L$28,FY15Majors!$A$2:$S$2,0),FALSE)</f>
        <v>0</v>
      </c>
      <c r="M56" s="410">
        <f>+GPpcntMjr*(VLOOKUP($A56,FY15Revenue!$A$4:$H$24,8,FALSE))*VLOOKUP($A56,FY15Majors!$A$3:$S$23,MATCH(M$28,FY15Majors!$A$2:$S$2,0),FALSE)</f>
        <v>0</v>
      </c>
      <c r="N56" s="410">
        <f>+GPpcntMjr*(VLOOKUP($A56,FY15Revenue!$A$4:$H$24,8,FALSE))*VLOOKUP($A56,FY15Majors!$A$3:$S$23,MATCH(N$28,FY15Majors!$A$2:$S$2,0),FALSE)</f>
        <v>89174.542515965906</v>
      </c>
      <c r="O56" s="410">
        <f>+GPpcntMjr*(VLOOKUP($A56,FY15Revenue!$A$4:$H$24,8,FALSE))*VLOOKUP($A56,FY15Majors!$A$3:$S$23,MATCH(O$28,FY15Majors!$A$2:$S$2,0),FALSE)</f>
        <v>378022.51718724676</v>
      </c>
      <c r="P56" s="410">
        <f>+GPpcntMjr*(VLOOKUP($A56,FY15Revenue!$A$4:$H$24,8,FALSE))*VLOOKUP($A56,FY15Majors!$A$3:$S$23,MATCH(P$28,FY15Majors!$A$2:$S$2,0),FALSE)</f>
        <v>0</v>
      </c>
      <c r="Q56" s="410">
        <f>+GPpcntMjr*(VLOOKUP($A56,FY15Revenue!$A$4:$H$24,8,FALSE))*VLOOKUP($A56,FY15Majors!$A$3:$S$23,MATCH(Q$28,FY15Majors!$A$2:$S$2,0),FALSE)</f>
        <v>77543.080448665991</v>
      </c>
      <c r="R56" s="410">
        <f>+GPpcntMjr*(VLOOKUP($A56,FY15Revenue!$A$4:$H$24,8,FALSE))*VLOOKUP($A56,FY15Majors!$A$3:$S$23,MATCH(R$28,FY15Majors!$A$2:$S$2,0),FALSE)</f>
        <v>0</v>
      </c>
      <c r="S56" s="410">
        <f>+GPpcntMjr*(VLOOKUP($A56,FY15Revenue!$A$4:$H$24,8,FALSE))*VLOOKUP($A56,FY15Majors!$A$3:$S$23,MATCH(S$28,FY15Majors!$A$2:$S$2,0),FALSE)</f>
        <v>56218.733325282847</v>
      </c>
      <c r="T56" s="410">
        <f t="shared" si="6"/>
        <v>6496171.5645869924</v>
      </c>
    </row>
    <row r="57" spans="1:20" ht="20.100000000000001" customHeight="1">
      <c r="A57" s="404" t="s">
        <v>131</v>
      </c>
      <c r="B57" s="456" t="s">
        <v>141</v>
      </c>
      <c r="C57" s="457">
        <f>+GPpcntMjr*(VLOOKUP($A57,FY15Revenue!$A$4:$H$24,8,FALSE))*VLOOKUP($A57,FY15Majors!$A$3:$S$23,MATCH(C$28,FY15Majors!$A$2:$S$2,0),FALSE)</f>
        <v>0</v>
      </c>
      <c r="D57" s="457">
        <f>+GPpcntMjr*(VLOOKUP($A57,FY15Revenue!$A$4:$H$24,8,FALSE))*VLOOKUP($A57,FY15Majors!$A$3:$S$23,MATCH(D$28,FY15Majors!$A$2:$S$2,0),FALSE)</f>
        <v>51448.644212970983</v>
      </c>
      <c r="E57" s="457">
        <f>+GPpcntMjr*(VLOOKUP($A57,FY15Revenue!$A$4:$H$24,8,FALSE))*VLOOKUP($A57,FY15Majors!$A$3:$S$23,MATCH(E$28,FY15Majors!$A$2:$S$2,0),FALSE)</f>
        <v>0</v>
      </c>
      <c r="F57" s="457">
        <f>+GPpcntMjr*(VLOOKUP($A57,FY15Revenue!$A$4:$H$24,8,FALSE))*VLOOKUP($A57,FY15Majors!$A$3:$S$23,MATCH(F$28,FY15Majors!$A$2:$S$2,0),FALSE)</f>
        <v>0</v>
      </c>
      <c r="G57" s="457">
        <f>+GPpcntMjr*(VLOOKUP($A57,FY15Revenue!$A$4:$H$24,8,FALSE))*VLOOKUP($A57,FY15Majors!$A$3:$S$23,MATCH(G$28,FY15Majors!$A$2:$S$2,0),FALSE)</f>
        <v>0</v>
      </c>
      <c r="H57" s="457">
        <f>+GPpcntMjr*(VLOOKUP($A57,FY15Revenue!$A$4:$H$24,8,FALSE))*VLOOKUP($A57,FY15Majors!$A$3:$S$23,MATCH(H$28,FY15Majors!$A$2:$S$2,0),FALSE)</f>
        <v>2852312.8351671109</v>
      </c>
      <c r="I57" s="457">
        <f>+GPpcntMjr*(VLOOKUP($A57,FY15Revenue!$A$4:$H$24,8,FALSE))*VLOOKUP($A57,FY15Majors!$A$3:$S$23,MATCH(I$28,FY15Majors!$A$2:$S$2,0),FALSE)</f>
        <v>0</v>
      </c>
      <c r="J57" s="457">
        <f>+GPpcntMjr*(VLOOKUP($A57,FY15Revenue!$A$4:$H$24,8,FALSE))*VLOOKUP($A57,FY15Majors!$A$3:$S$23,MATCH(J$28,FY15Majors!$A$2:$S$2,0),FALSE)</f>
        <v>0</v>
      </c>
      <c r="K57" s="457">
        <f>+GPpcntMjr*(VLOOKUP($A57,FY15Revenue!$A$4:$H$24,8,FALSE))*VLOOKUP($A57,FY15Majors!$A$3:$S$23,MATCH(K$28,FY15Majors!$A$2:$S$2,0),FALSE)</f>
        <v>0</v>
      </c>
      <c r="L57" s="457">
        <f>+GPpcntMjr*(VLOOKUP($A57,FY15Revenue!$A$4:$H$24,8,FALSE))*VLOOKUP($A57,FY15Majors!$A$3:$S$23,MATCH(L$28,FY15Majors!$A$2:$S$2,0),FALSE)</f>
        <v>0</v>
      </c>
      <c r="M57" s="457">
        <f>+GPpcntMjr*(VLOOKUP($A57,FY15Revenue!$A$4:$H$24,8,FALSE))*VLOOKUP($A57,FY15Majors!$A$3:$S$23,MATCH(M$28,FY15Majors!$A$2:$S$2,0),FALSE)</f>
        <v>0</v>
      </c>
      <c r="N57" s="457">
        <f>+GPpcntMjr*(VLOOKUP($A57,FY15Revenue!$A$4:$H$24,8,FALSE))*VLOOKUP($A57,FY15Majors!$A$3:$S$23,MATCH(N$28,FY15Majors!$A$2:$S$2,0),FALSE)</f>
        <v>0</v>
      </c>
      <c r="O57" s="457">
        <f>+GPpcntMjr*(VLOOKUP($A57,FY15Revenue!$A$4:$H$24,8,FALSE))*VLOOKUP($A57,FY15Majors!$A$3:$S$23,MATCH(O$28,FY15Majors!$A$2:$S$2,0),FALSE)</f>
        <v>0</v>
      </c>
      <c r="P57" s="457">
        <f>+GPpcntMjr*(VLOOKUP($A57,FY15Revenue!$A$4:$H$24,8,FALSE))*VLOOKUP($A57,FY15Majors!$A$3:$S$23,MATCH(P$28,FY15Majors!$A$2:$S$2,0),FALSE)</f>
        <v>0</v>
      </c>
      <c r="Q57" s="457">
        <f>+GPpcntMjr*(VLOOKUP($A57,FY15Revenue!$A$4:$H$24,8,FALSE))*VLOOKUP($A57,FY15Majors!$A$3:$S$23,MATCH(Q$28,FY15Majors!$A$2:$S$2,0),FALSE)</f>
        <v>0</v>
      </c>
      <c r="R57" s="457">
        <f>+GPpcntMjr*(VLOOKUP($A57,FY15Revenue!$A$4:$H$24,8,FALSE))*VLOOKUP($A57,FY15Majors!$A$3:$S$23,MATCH(R$28,FY15Majors!$A$2:$S$2,0),FALSE)</f>
        <v>0</v>
      </c>
      <c r="S57" s="457">
        <f>+GPpcntMjr*(VLOOKUP($A57,FY15Revenue!$A$4:$H$24,8,FALSE))*VLOOKUP($A57,FY15Majors!$A$3:$S$23,MATCH(S$28,FY15Majors!$A$2:$S$2,0),FALSE)</f>
        <v>0</v>
      </c>
      <c r="T57" s="457">
        <f t="shared" si="6"/>
        <v>2903761.4793800819</v>
      </c>
    </row>
    <row r="58" spans="1:20" s="18" customFormat="1" ht="20.100000000000001" customHeight="1">
      <c r="A58" s="404" t="s">
        <v>132</v>
      </c>
      <c r="B58" s="440" t="s">
        <v>206</v>
      </c>
      <c r="C58" s="410">
        <f>+GPpcntMjr*(VLOOKUP($A58,FY15Revenue!$A$4:$H$24,8,FALSE))*VLOOKUP($A58,FY15Majors!$A$3:$S$23,MATCH(C$28,FY15Majors!$A$2:$S$2,0),FALSE)</f>
        <v>0</v>
      </c>
      <c r="D58" s="410">
        <f>+GPpcntMjr*(VLOOKUP($A58,FY15Revenue!$A$4:$H$24,8,FALSE))*VLOOKUP($A58,FY15Majors!$A$3:$S$23,MATCH(D$28,FY15Majors!$A$2:$S$2,0),FALSE)</f>
        <v>6056.2172147470174</v>
      </c>
      <c r="E58" s="410">
        <f>+GPpcntMjr*(VLOOKUP($A58,FY15Revenue!$A$4:$H$24,8,FALSE))*VLOOKUP($A58,FY15Majors!$A$3:$S$23,MATCH(E$28,FY15Majors!$A$2:$S$2,0),FALSE)</f>
        <v>0</v>
      </c>
      <c r="F58" s="410">
        <f>+GPpcntMjr*(VLOOKUP($A58,FY15Revenue!$A$4:$H$24,8,FALSE))*VLOOKUP($A58,FY15Majors!$A$3:$S$23,MATCH(F$28,FY15Majors!$A$2:$S$2,0),FALSE)</f>
        <v>3498474.8110521934</v>
      </c>
      <c r="G58" s="410">
        <f>+GPpcntMjr*(VLOOKUP($A58,FY15Revenue!$A$4:$H$24,8,FALSE))*VLOOKUP($A58,FY15Majors!$A$3:$S$23,MATCH(G$28,FY15Majors!$A$2:$S$2,0),FALSE)</f>
        <v>0</v>
      </c>
      <c r="H58" s="410">
        <f>+GPpcntMjr*(VLOOKUP($A58,FY15Revenue!$A$4:$H$24,8,FALSE))*VLOOKUP($A58,FY15Majors!$A$3:$S$23,MATCH(H$28,FY15Majors!$A$2:$S$2,0),FALSE)</f>
        <v>0</v>
      </c>
      <c r="I58" s="410">
        <f>+GPpcntMjr*(VLOOKUP($A58,FY15Revenue!$A$4:$H$24,8,FALSE))*VLOOKUP($A58,FY15Majors!$A$3:$S$23,MATCH(I$28,FY15Majors!$A$2:$S$2,0),FALSE)</f>
        <v>0</v>
      </c>
      <c r="J58" s="410">
        <f>+GPpcntMjr*(VLOOKUP($A58,FY15Revenue!$A$4:$H$24,8,FALSE))*VLOOKUP($A58,FY15Majors!$A$3:$S$23,MATCH(J$28,FY15Majors!$A$2:$S$2,0),FALSE)</f>
        <v>0</v>
      </c>
      <c r="K58" s="410">
        <f>+GPpcntMjr*(VLOOKUP($A58,FY15Revenue!$A$4:$H$24,8,FALSE))*VLOOKUP($A58,FY15Majors!$A$3:$S$23,MATCH(K$28,FY15Majors!$A$2:$S$2,0),FALSE)</f>
        <v>0</v>
      </c>
      <c r="L58" s="410">
        <f>+GPpcntMjr*(VLOOKUP($A58,FY15Revenue!$A$4:$H$24,8,FALSE))*VLOOKUP($A58,FY15Majors!$A$3:$S$23,MATCH(L$28,FY15Majors!$A$2:$S$2,0),FALSE)</f>
        <v>0</v>
      </c>
      <c r="M58" s="410">
        <f>+GPpcntMjr*(VLOOKUP($A58,FY15Revenue!$A$4:$H$24,8,FALSE))*VLOOKUP($A58,FY15Majors!$A$3:$S$23,MATCH(M$28,FY15Majors!$A$2:$S$2,0),FALSE)</f>
        <v>0</v>
      </c>
      <c r="N58" s="410">
        <f>+GPpcntMjr*(VLOOKUP($A58,FY15Revenue!$A$4:$H$24,8,FALSE))*VLOOKUP($A58,FY15Majors!$A$3:$S$23,MATCH(N$28,FY15Majors!$A$2:$S$2,0),FALSE)</f>
        <v>0</v>
      </c>
      <c r="O58" s="410">
        <f>+GPpcntMjr*(VLOOKUP($A58,FY15Revenue!$A$4:$H$24,8,FALSE))*VLOOKUP($A58,FY15Majors!$A$3:$S$23,MATCH(O$28,FY15Majors!$A$2:$S$2,0),FALSE)</f>
        <v>0</v>
      </c>
      <c r="P58" s="410">
        <f>+GPpcntMjr*(VLOOKUP($A58,FY15Revenue!$A$4:$H$24,8,FALSE))*VLOOKUP($A58,FY15Majors!$A$3:$S$23,MATCH(P$28,FY15Majors!$A$2:$S$2,0),FALSE)</f>
        <v>0</v>
      </c>
      <c r="Q58" s="410">
        <f>+GPpcntMjr*(VLOOKUP($A58,FY15Revenue!$A$4:$H$24,8,FALSE))*VLOOKUP($A58,FY15Majors!$A$3:$S$23,MATCH(Q$28,FY15Majors!$A$2:$S$2,0),FALSE)</f>
        <v>0</v>
      </c>
      <c r="R58" s="410">
        <f>+GPpcntMjr*(VLOOKUP($A58,FY15Revenue!$A$4:$H$24,8,FALSE))*VLOOKUP($A58,FY15Majors!$A$3:$S$23,MATCH(R$28,FY15Majors!$A$2:$S$2,0),FALSE)</f>
        <v>0</v>
      </c>
      <c r="S58" s="410">
        <f>+GPpcntMjr*(VLOOKUP($A58,FY15Revenue!$A$4:$H$24,8,FALSE))*VLOOKUP($A58,FY15Majors!$A$3:$S$23,MATCH(S$28,FY15Majors!$A$2:$S$2,0),FALSE)</f>
        <v>0</v>
      </c>
      <c r="T58" s="410">
        <f t="shared" si="6"/>
        <v>3504531.0282669403</v>
      </c>
    </row>
    <row r="59" spans="1:20" ht="20.100000000000001" customHeight="1">
      <c r="A59" s="404" t="s">
        <v>134</v>
      </c>
      <c r="B59" s="456" t="s">
        <v>40</v>
      </c>
      <c r="C59" s="457">
        <f>+GPpcntMjr*(VLOOKUP($A59,FY15Revenue!$A$4:$H$24,8,FALSE))*VLOOKUP($A59,FY15Majors!$A$3:$S$23,MATCH(C$28,FY15Majors!$A$2:$S$2,0),FALSE)</f>
        <v>0</v>
      </c>
      <c r="D59" s="457">
        <f>+GPpcntMjr*(VLOOKUP($A59,FY15Revenue!$A$4:$H$24,8,FALSE))*VLOOKUP($A59,FY15Majors!$A$3:$S$23,MATCH(D$28,FY15Majors!$A$2:$S$2,0),FALSE)</f>
        <v>0</v>
      </c>
      <c r="E59" s="457">
        <f>+GPpcntMjr*(VLOOKUP($A59,FY15Revenue!$A$4:$H$24,8,FALSE))*VLOOKUP($A59,FY15Majors!$A$3:$S$23,MATCH(E$28,FY15Majors!$A$2:$S$2,0),FALSE)</f>
        <v>0</v>
      </c>
      <c r="F59" s="457">
        <f>+GPpcntMjr*(VLOOKUP($A59,FY15Revenue!$A$4:$H$24,8,FALSE))*VLOOKUP($A59,FY15Majors!$A$3:$S$23,MATCH(F$28,FY15Majors!$A$2:$S$2,0),FALSE)</f>
        <v>0</v>
      </c>
      <c r="G59" s="457">
        <f>+GPpcntMjr*(VLOOKUP($A59,FY15Revenue!$A$4:$H$24,8,FALSE))*VLOOKUP($A59,FY15Majors!$A$3:$S$23,MATCH(G$28,FY15Majors!$A$2:$S$2,0),FALSE)</f>
        <v>0</v>
      </c>
      <c r="H59" s="457">
        <f>+GPpcntMjr*(VLOOKUP($A59,FY15Revenue!$A$4:$H$24,8,FALSE))*VLOOKUP($A59,FY15Majors!$A$3:$S$23,MATCH(H$28,FY15Majors!$A$2:$S$2,0),FALSE)</f>
        <v>0</v>
      </c>
      <c r="I59" s="457">
        <f>+GPpcntMjr*(VLOOKUP($A59,FY15Revenue!$A$4:$H$24,8,FALSE))*VLOOKUP($A59,FY15Majors!$A$3:$S$23,MATCH(I$28,FY15Majors!$A$2:$S$2,0),FALSE)</f>
        <v>4148.7798439493254</v>
      </c>
      <c r="J59" s="457">
        <f>+GPpcntMjr*(VLOOKUP($A59,FY15Revenue!$A$4:$H$24,8,FALSE))*VLOOKUP($A59,FY15Majors!$A$3:$S$23,MATCH(J$28,FY15Majors!$A$2:$S$2,0),FALSE)</f>
        <v>0</v>
      </c>
      <c r="K59" s="457">
        <f>+GPpcntMjr*(VLOOKUP($A59,FY15Revenue!$A$4:$H$24,8,FALSE))*VLOOKUP($A59,FY15Majors!$A$3:$S$23,MATCH(K$28,FY15Majors!$A$2:$S$2,0),FALSE)</f>
        <v>0</v>
      </c>
      <c r="L59" s="457">
        <f>+GPpcntMjr*(VLOOKUP($A59,FY15Revenue!$A$4:$H$24,8,FALSE))*VLOOKUP($A59,FY15Majors!$A$3:$S$23,MATCH(L$28,FY15Majors!$A$2:$S$2,0),FALSE)</f>
        <v>0</v>
      </c>
      <c r="M59" s="457">
        <f>+GPpcntMjr*(VLOOKUP($A59,FY15Revenue!$A$4:$H$24,8,FALSE))*VLOOKUP($A59,FY15Majors!$A$3:$S$23,MATCH(M$28,FY15Majors!$A$2:$S$2,0),FALSE)</f>
        <v>0</v>
      </c>
      <c r="N59" s="457">
        <f>+GPpcntMjr*(VLOOKUP($A59,FY15Revenue!$A$4:$H$24,8,FALSE))*VLOOKUP($A59,FY15Majors!$A$3:$S$23,MATCH(N$28,FY15Majors!$A$2:$S$2,0),FALSE)</f>
        <v>0</v>
      </c>
      <c r="O59" s="457">
        <f>+GPpcntMjr*(VLOOKUP($A59,FY15Revenue!$A$4:$H$24,8,FALSE))*VLOOKUP($A59,FY15Majors!$A$3:$S$23,MATCH(O$28,FY15Majors!$A$2:$S$2,0),FALSE)</f>
        <v>0</v>
      </c>
      <c r="P59" s="457">
        <f>+GPpcntMjr*(VLOOKUP($A59,FY15Revenue!$A$4:$H$24,8,FALSE))*VLOOKUP($A59,FY15Majors!$A$3:$S$23,MATCH(P$28,FY15Majors!$A$2:$S$2,0),FALSE)</f>
        <v>0</v>
      </c>
      <c r="Q59" s="457">
        <f>+GPpcntMjr*(VLOOKUP($A59,FY15Revenue!$A$4:$H$24,8,FALSE))*VLOOKUP($A59,FY15Majors!$A$3:$S$23,MATCH(Q$28,FY15Majors!$A$2:$S$2,0),FALSE)</f>
        <v>0</v>
      </c>
      <c r="R59" s="457">
        <f>+GPpcntMjr*(VLOOKUP($A59,FY15Revenue!$A$4:$H$24,8,FALSE))*VLOOKUP($A59,FY15Majors!$A$3:$S$23,MATCH(R$28,FY15Majors!$A$2:$S$2,0),FALSE)</f>
        <v>0</v>
      </c>
      <c r="S59" s="457">
        <f>+GPpcntMjr*(VLOOKUP($A59,FY15Revenue!$A$4:$H$24,8,FALSE))*VLOOKUP($A59,FY15Majors!$A$3:$S$23,MATCH(S$28,FY15Majors!$A$2:$S$2,0),FALSE)</f>
        <v>0</v>
      </c>
      <c r="T59" s="457">
        <f t="shared" si="6"/>
        <v>4148.7798439493254</v>
      </c>
    </row>
    <row r="60" spans="1:20" s="18" customFormat="1" ht="20.100000000000001" customHeight="1">
      <c r="A60" s="404" t="s">
        <v>135</v>
      </c>
      <c r="B60" s="440" t="s">
        <v>70</v>
      </c>
      <c r="C60" s="410">
        <f>+GPpcntMjr*(VLOOKUP($A60,FY15Revenue!$A$4:$H$24,8,FALSE))*VLOOKUP($A60,FY15Majors!$A$3:$S$23,MATCH(C$28,FY15Majors!$A$2:$S$2,0),FALSE)</f>
        <v>0</v>
      </c>
      <c r="D60" s="410">
        <f>+GPpcntMjr*(VLOOKUP($A60,FY15Revenue!$A$4:$H$24,8,FALSE))*VLOOKUP($A60,FY15Majors!$A$3:$S$23,MATCH(D$28,FY15Majors!$A$2:$S$2,0),FALSE)</f>
        <v>0</v>
      </c>
      <c r="E60" s="410">
        <f>+GPpcntMjr*(VLOOKUP($A60,FY15Revenue!$A$4:$H$24,8,FALSE))*VLOOKUP($A60,FY15Majors!$A$3:$S$23,MATCH(E$28,FY15Majors!$A$2:$S$2,0),FALSE)</f>
        <v>0</v>
      </c>
      <c r="F60" s="410">
        <f>+GPpcntMjr*(VLOOKUP($A60,FY15Revenue!$A$4:$H$24,8,FALSE))*VLOOKUP($A60,FY15Majors!$A$3:$S$23,MATCH(F$28,FY15Majors!$A$2:$S$2,0),FALSE)</f>
        <v>8771.9946715544938</v>
      </c>
      <c r="G60" s="410">
        <f>+GPpcntMjr*(VLOOKUP($A60,FY15Revenue!$A$4:$H$24,8,FALSE))*VLOOKUP($A60,FY15Majors!$A$3:$S$23,MATCH(G$28,FY15Majors!$A$2:$S$2,0),FALSE)</f>
        <v>0</v>
      </c>
      <c r="H60" s="410">
        <f>+GPpcntMjr*(VLOOKUP($A60,FY15Revenue!$A$4:$H$24,8,FALSE))*VLOOKUP($A60,FY15Majors!$A$3:$S$23,MATCH(H$28,FY15Majors!$A$2:$S$2,0),FALSE)</f>
        <v>0</v>
      </c>
      <c r="I60" s="410">
        <f>+GPpcntMjr*(VLOOKUP($A60,FY15Revenue!$A$4:$H$24,8,FALSE))*VLOOKUP($A60,FY15Majors!$A$3:$S$23,MATCH(I$28,FY15Majors!$A$2:$S$2,0),FALSE)</f>
        <v>0</v>
      </c>
      <c r="J60" s="410">
        <f>+GPpcntMjr*(VLOOKUP($A60,FY15Revenue!$A$4:$H$24,8,FALSE))*VLOOKUP($A60,FY15Majors!$A$3:$S$23,MATCH(J$28,FY15Majors!$A$2:$S$2,0),FALSE)</f>
        <v>0</v>
      </c>
      <c r="K60" s="410">
        <f>+GPpcntMjr*(VLOOKUP($A60,FY15Revenue!$A$4:$H$24,8,FALSE))*VLOOKUP($A60,FY15Majors!$A$3:$S$23,MATCH(K$28,FY15Majors!$A$2:$S$2,0),FALSE)</f>
        <v>0</v>
      </c>
      <c r="L60" s="410">
        <f>+GPpcntMjr*(VLOOKUP($A60,FY15Revenue!$A$4:$H$24,8,FALSE))*VLOOKUP($A60,FY15Majors!$A$3:$S$23,MATCH(L$28,FY15Majors!$A$2:$S$2,0),FALSE)</f>
        <v>2283642.61282802</v>
      </c>
      <c r="M60" s="410">
        <f>+GPpcntMjr*(VLOOKUP($A60,FY15Revenue!$A$4:$H$24,8,FALSE))*VLOOKUP($A60,FY15Majors!$A$3:$S$23,MATCH(M$28,FY15Majors!$A$2:$S$2,0),FALSE)</f>
        <v>0</v>
      </c>
      <c r="N60" s="410">
        <f>+GPpcntMjr*(VLOOKUP($A60,FY15Revenue!$A$4:$H$24,8,FALSE))*VLOOKUP($A60,FY15Majors!$A$3:$S$23,MATCH(N$28,FY15Majors!$A$2:$S$2,0),FALSE)</f>
        <v>11695.992895405992</v>
      </c>
      <c r="O60" s="410">
        <f>+GPpcntMjr*(VLOOKUP($A60,FY15Revenue!$A$4:$H$24,8,FALSE))*VLOOKUP($A60,FY15Majors!$A$3:$S$23,MATCH(O$28,FY15Majors!$A$2:$S$2,0),FALSE)</f>
        <v>0</v>
      </c>
      <c r="P60" s="410">
        <f>+GPpcntMjr*(VLOOKUP($A60,FY15Revenue!$A$4:$H$24,8,FALSE))*VLOOKUP($A60,FY15Majors!$A$3:$S$23,MATCH(P$28,FY15Majors!$A$2:$S$2,0),FALSE)</f>
        <v>0</v>
      </c>
      <c r="Q60" s="410">
        <f>+GPpcntMjr*(VLOOKUP($A60,FY15Revenue!$A$4:$H$24,8,FALSE))*VLOOKUP($A60,FY15Majors!$A$3:$S$23,MATCH(Q$28,FY15Majors!$A$2:$S$2,0),FALSE)</f>
        <v>73099.955596287458</v>
      </c>
      <c r="R60" s="410">
        <f>+GPpcntMjr*(VLOOKUP($A60,FY15Revenue!$A$4:$H$24,8,FALSE))*VLOOKUP($A60,FY15Majors!$A$3:$S$23,MATCH(R$28,FY15Majors!$A$2:$S$2,0),FALSE)</f>
        <v>0</v>
      </c>
      <c r="S60" s="410">
        <f>+GPpcntMjr*(VLOOKUP($A60,FY15Revenue!$A$4:$H$24,8,FALSE))*VLOOKUP($A60,FY15Majors!$A$3:$S$23,MATCH(S$28,FY15Majors!$A$2:$S$2,0),FALSE)</f>
        <v>17543.989343108988</v>
      </c>
      <c r="T60" s="410">
        <f t="shared" si="6"/>
        <v>2394754.5453343769</v>
      </c>
    </row>
    <row r="61" spans="1:20" ht="20.100000000000001" customHeight="1">
      <c r="A61" s="404" t="s">
        <v>136</v>
      </c>
      <c r="B61" s="456" t="s">
        <v>144</v>
      </c>
      <c r="C61" s="457">
        <f>+GPpcntMjr*(VLOOKUP($A61,FY15Revenue!$A$4:$H$24,8,FALSE))*VLOOKUP($A61,FY15Majors!$A$3:$S$23,MATCH(C$28,FY15Majors!$A$2:$S$2,0),FALSE)</f>
        <v>0</v>
      </c>
      <c r="D61" s="457">
        <f>+GPpcntMjr*(VLOOKUP($A61,FY15Revenue!$A$4:$H$24,8,FALSE))*VLOOKUP($A61,FY15Majors!$A$3:$S$23,MATCH(D$28,FY15Majors!$A$2:$S$2,0),FALSE)</f>
        <v>0</v>
      </c>
      <c r="E61" s="457">
        <f>+GPpcntMjr*(VLOOKUP($A61,FY15Revenue!$A$4:$H$24,8,FALSE))*VLOOKUP($A61,FY15Majors!$A$3:$S$23,MATCH(E$28,FY15Majors!$A$2:$S$2,0),FALSE)</f>
        <v>0</v>
      </c>
      <c r="F61" s="457">
        <f>+GPpcntMjr*(VLOOKUP($A61,FY15Revenue!$A$4:$H$24,8,FALSE))*VLOOKUP($A61,FY15Majors!$A$3:$S$23,MATCH(F$28,FY15Majors!$A$2:$S$2,0),FALSE)</f>
        <v>0</v>
      </c>
      <c r="G61" s="457">
        <f>+GPpcntMjr*(VLOOKUP($A61,FY15Revenue!$A$4:$H$24,8,FALSE))*VLOOKUP($A61,FY15Majors!$A$3:$S$23,MATCH(G$28,FY15Majors!$A$2:$S$2,0),FALSE)</f>
        <v>0</v>
      </c>
      <c r="H61" s="457">
        <f>+GPpcntMjr*(VLOOKUP($A61,FY15Revenue!$A$4:$H$24,8,FALSE))*VLOOKUP($A61,FY15Majors!$A$3:$S$23,MATCH(H$28,FY15Majors!$A$2:$S$2,0),FALSE)</f>
        <v>0</v>
      </c>
      <c r="I61" s="457">
        <f>+GPpcntMjr*(VLOOKUP($A61,FY15Revenue!$A$4:$H$24,8,FALSE))*VLOOKUP($A61,FY15Majors!$A$3:$S$23,MATCH(I$28,FY15Majors!$A$2:$S$2,0),FALSE)</f>
        <v>0</v>
      </c>
      <c r="J61" s="457">
        <f>+GPpcntMjr*(VLOOKUP($A61,FY15Revenue!$A$4:$H$24,8,FALSE))*VLOOKUP($A61,FY15Majors!$A$3:$S$23,MATCH(J$28,FY15Majors!$A$2:$S$2,0),FALSE)</f>
        <v>0</v>
      </c>
      <c r="K61" s="457">
        <f>+GPpcntMjr*(VLOOKUP($A61,FY15Revenue!$A$4:$H$24,8,FALSE))*VLOOKUP($A61,FY15Majors!$A$3:$S$23,MATCH(K$28,FY15Majors!$A$2:$S$2,0),FALSE)</f>
        <v>0</v>
      </c>
      <c r="L61" s="457">
        <f>+GPpcntMjr*(VLOOKUP($A61,FY15Revenue!$A$4:$H$24,8,FALSE))*VLOOKUP($A61,FY15Majors!$A$3:$S$23,MATCH(L$28,FY15Majors!$A$2:$S$2,0),FALSE)</f>
        <v>0</v>
      </c>
      <c r="M61" s="457">
        <f>+GPpcntMjr*(VLOOKUP($A61,FY15Revenue!$A$4:$H$24,8,FALSE))*VLOOKUP($A61,FY15Majors!$A$3:$S$23,MATCH(M$28,FY15Majors!$A$2:$S$2,0),FALSE)</f>
        <v>0</v>
      </c>
      <c r="N61" s="457">
        <f>+GPpcntMjr*(VLOOKUP($A61,FY15Revenue!$A$4:$H$24,8,FALSE))*VLOOKUP($A61,FY15Majors!$A$3:$S$23,MATCH(N$28,FY15Majors!$A$2:$S$2,0),FALSE)</f>
        <v>18131.597904145023</v>
      </c>
      <c r="O61" s="457">
        <f>+GPpcntMjr*(VLOOKUP($A61,FY15Revenue!$A$4:$H$24,8,FALSE))*VLOOKUP($A61,FY15Majors!$A$3:$S$23,MATCH(O$28,FY15Majors!$A$2:$S$2,0),FALSE)</f>
        <v>0</v>
      </c>
      <c r="P61" s="457">
        <f>+GPpcntMjr*(VLOOKUP($A61,FY15Revenue!$A$4:$H$24,8,FALSE))*VLOOKUP($A61,FY15Majors!$A$3:$S$23,MATCH(P$28,FY15Majors!$A$2:$S$2,0),FALSE)</f>
        <v>0</v>
      </c>
      <c r="Q61" s="457">
        <f>+GPpcntMjr*(VLOOKUP($A61,FY15Revenue!$A$4:$H$24,8,FALSE))*VLOOKUP($A61,FY15Majors!$A$3:$S$23,MATCH(Q$28,FY15Majors!$A$2:$S$2,0),FALSE)</f>
        <v>1807115.924446454</v>
      </c>
      <c r="R61" s="457">
        <f>+GPpcntMjr*(VLOOKUP($A61,FY15Revenue!$A$4:$H$24,8,FALSE))*VLOOKUP($A61,FY15Majors!$A$3:$S$23,MATCH(R$28,FY15Majors!$A$2:$S$2,0),FALSE)</f>
        <v>0</v>
      </c>
      <c r="S61" s="457">
        <f>+GPpcntMjr*(VLOOKUP($A61,FY15Revenue!$A$4:$H$24,8,FALSE))*VLOOKUP($A61,FY15Majors!$A$3:$S$23,MATCH(S$28,FY15Majors!$A$2:$S$2,0),FALSE)</f>
        <v>0</v>
      </c>
      <c r="T61" s="457">
        <f t="shared" si="6"/>
        <v>1825247.5223505991</v>
      </c>
    </row>
    <row r="62" spans="1:20" s="18" customFormat="1" ht="20.100000000000001" customHeight="1">
      <c r="A62" s="404" t="s">
        <v>137</v>
      </c>
      <c r="B62" s="440" t="s">
        <v>49</v>
      </c>
      <c r="C62" s="410">
        <f>+GPpcntMjr*(VLOOKUP($A62,FY15Revenue!$A$4:$H$24,8,FALSE))*VLOOKUP($A62,FY15Majors!$A$3:$S$23,MATCH(C$28,FY15Majors!$A$2:$S$2,0),FALSE)</f>
        <v>1693.4428239937245</v>
      </c>
      <c r="D62" s="410">
        <f>+GPpcntMjr*(VLOOKUP($A62,FY15Revenue!$A$4:$H$24,8,FALSE))*VLOOKUP($A62,FY15Majors!$A$3:$S$23,MATCH(D$28,FY15Majors!$A$2:$S$2,0),FALSE)</f>
        <v>30481.970831887036</v>
      </c>
      <c r="E62" s="410">
        <f>+GPpcntMjr*(VLOOKUP($A62,FY15Revenue!$A$4:$H$24,8,FALSE))*VLOOKUP($A62,FY15Majors!$A$3:$S$23,MATCH(E$28,FY15Majors!$A$2:$S$2,0),FALSE)</f>
        <v>0</v>
      </c>
      <c r="F62" s="410">
        <f>+GPpcntMjr*(VLOOKUP($A62,FY15Revenue!$A$4:$H$24,8,FALSE))*VLOOKUP($A62,FY15Majors!$A$3:$S$23,MATCH(F$28,FY15Majors!$A$2:$S$2,0),FALSE)</f>
        <v>0</v>
      </c>
      <c r="G62" s="410">
        <f>+GPpcntMjr*(VLOOKUP($A62,FY15Revenue!$A$4:$H$24,8,FALSE))*VLOOKUP($A62,FY15Majors!$A$3:$S$23,MATCH(G$28,FY15Majors!$A$2:$S$2,0),FALSE)</f>
        <v>5080.3284719811736</v>
      </c>
      <c r="H62" s="410">
        <f>+GPpcntMjr*(VLOOKUP($A62,FY15Revenue!$A$4:$H$24,8,FALSE))*VLOOKUP($A62,FY15Majors!$A$3:$S$23,MATCH(H$28,FY15Majors!$A$2:$S$2,0),FALSE)</f>
        <v>0</v>
      </c>
      <c r="I62" s="410">
        <f>+GPpcntMjr*(VLOOKUP($A62,FY15Revenue!$A$4:$H$24,8,FALSE))*VLOOKUP($A62,FY15Majors!$A$3:$S$23,MATCH(I$28,FY15Majors!$A$2:$S$2,0),FALSE)</f>
        <v>0</v>
      </c>
      <c r="J62" s="410">
        <f>+GPpcntMjr*(VLOOKUP($A62,FY15Revenue!$A$4:$H$24,8,FALSE))*VLOOKUP($A62,FY15Majors!$A$3:$S$23,MATCH(J$28,FY15Majors!$A$2:$S$2,0),FALSE)</f>
        <v>0</v>
      </c>
      <c r="K62" s="410">
        <f>+GPpcntMjr*(VLOOKUP($A62,FY15Revenue!$A$4:$H$24,8,FALSE))*VLOOKUP($A62,FY15Majors!$A$3:$S$23,MATCH(K$28,FY15Majors!$A$2:$S$2,0),FALSE)</f>
        <v>0</v>
      </c>
      <c r="L62" s="410">
        <f>+GPpcntMjr*(VLOOKUP($A62,FY15Revenue!$A$4:$H$24,8,FALSE))*VLOOKUP($A62,FY15Majors!$A$3:$S$23,MATCH(L$28,FY15Majors!$A$2:$S$2,0),FALSE)</f>
        <v>15240.985415943522</v>
      </c>
      <c r="M62" s="410">
        <f>+GPpcntMjr*(VLOOKUP($A62,FY15Revenue!$A$4:$H$24,8,FALSE))*VLOOKUP($A62,FY15Majors!$A$3:$S$23,MATCH(M$28,FY15Majors!$A$2:$S$2,0),FALSE)</f>
        <v>1693.4428239937245</v>
      </c>
      <c r="N62" s="410">
        <f>+GPpcntMjr*(VLOOKUP($A62,FY15Revenue!$A$4:$H$24,8,FALSE))*VLOOKUP($A62,FY15Majors!$A$3:$S$23,MATCH(N$28,FY15Majors!$A$2:$S$2,0),FALSE)</f>
        <v>237081.99535912141</v>
      </c>
      <c r="O62" s="410">
        <f>+GPpcntMjr*(VLOOKUP($A62,FY15Revenue!$A$4:$H$24,8,FALSE))*VLOOKUP($A62,FY15Majors!$A$3:$S$23,MATCH(O$28,FY15Majors!$A$2:$S$2,0),FALSE)</f>
        <v>1693.4428239937245</v>
      </c>
      <c r="P62" s="410">
        <f>+GPpcntMjr*(VLOOKUP($A62,FY15Revenue!$A$4:$H$24,8,FALSE))*VLOOKUP($A62,FY15Majors!$A$3:$S$23,MATCH(P$28,FY15Majors!$A$2:$S$2,0),FALSE)</f>
        <v>0</v>
      </c>
      <c r="Q62" s="410">
        <f>+GPpcntMjr*(VLOOKUP($A62,FY15Revenue!$A$4:$H$24,8,FALSE))*VLOOKUP($A62,FY15Majors!$A$3:$S$23,MATCH(Q$28,FY15Majors!$A$2:$S$2,0),FALSE)</f>
        <v>692618.11501343339</v>
      </c>
      <c r="R62" s="410">
        <f>+GPpcntMjr*(VLOOKUP($A62,FY15Revenue!$A$4:$H$24,8,FALSE))*VLOOKUP($A62,FY15Majors!$A$3:$S$23,MATCH(R$28,FY15Majors!$A$2:$S$2,0),FALSE)</f>
        <v>0</v>
      </c>
      <c r="S62" s="410">
        <f>+GPpcntMjr*(VLOOKUP($A62,FY15Revenue!$A$4:$H$24,8,FALSE))*VLOOKUP($A62,FY15Majors!$A$3:$S$23,MATCH(S$28,FY15Majors!$A$2:$S$2,0),FALSE)</f>
        <v>0</v>
      </c>
      <c r="T62" s="410">
        <f t="shared" si="6"/>
        <v>985583.72356434772</v>
      </c>
    </row>
    <row r="63" spans="1:20" ht="20.100000000000001" customHeight="1">
      <c r="A63" s="553" t="s">
        <v>145</v>
      </c>
      <c r="B63" s="456" t="s">
        <v>207</v>
      </c>
      <c r="C63" s="457">
        <f>+GPpcntMjr*(VLOOKUP($A63,FY15Revenue!$A$4:$H$24,8,FALSE))*VLOOKUP($A63,FY15Majors!$A$3:$S$23,MATCH(C$28,FY15Majors!$A$2:$S$2,0),FALSE)</f>
        <v>3566998.5757430778</v>
      </c>
      <c r="D63" s="457">
        <f>+GPpcntMjr*(VLOOKUP($A63,FY15Revenue!$A$4:$H$24,8,FALSE))*VLOOKUP($A63,FY15Majors!$A$3:$S$23,MATCH(D$28,FY15Majors!$A$2:$S$2,0),FALSE)</f>
        <v>0</v>
      </c>
      <c r="E63" s="457">
        <f>+GPpcntMjr*(VLOOKUP($A63,FY15Revenue!$A$4:$H$24,8,FALSE))*VLOOKUP($A63,FY15Majors!$A$3:$S$23,MATCH(E$28,FY15Majors!$A$2:$S$2,0),FALSE)</f>
        <v>0</v>
      </c>
      <c r="F63" s="457">
        <f>+GPpcntMjr*(VLOOKUP($A63,FY15Revenue!$A$4:$H$24,8,FALSE))*VLOOKUP($A63,FY15Majors!$A$3:$S$23,MATCH(F$28,FY15Majors!$A$2:$S$2,0),FALSE)</f>
        <v>0</v>
      </c>
      <c r="G63" s="457">
        <f>+GPpcntMjr*(VLOOKUP($A63,FY15Revenue!$A$4:$H$24,8,FALSE))*VLOOKUP($A63,FY15Majors!$A$3:$S$23,MATCH(G$28,FY15Majors!$A$2:$S$2,0),FALSE)</f>
        <v>10038.457530233803</v>
      </c>
      <c r="H63" s="457">
        <f>+GPpcntMjr*(VLOOKUP($A63,FY15Revenue!$A$4:$H$24,8,FALSE))*VLOOKUP($A63,FY15Majors!$A$3:$S$23,MATCH(H$28,FY15Majors!$A$2:$S$2,0),FALSE)</f>
        <v>0</v>
      </c>
      <c r="I63" s="457">
        <f>+GPpcntMjr*(VLOOKUP($A63,FY15Revenue!$A$4:$H$24,8,FALSE))*VLOOKUP($A63,FY15Majors!$A$3:$S$23,MATCH(I$28,FY15Majors!$A$2:$S$2,0),FALSE)</f>
        <v>0</v>
      </c>
      <c r="J63" s="457">
        <f>+GPpcntMjr*(VLOOKUP($A63,FY15Revenue!$A$4:$H$24,8,FALSE))*VLOOKUP($A63,FY15Majors!$A$3:$S$23,MATCH(J$28,FY15Majors!$A$2:$S$2,0),FALSE)</f>
        <v>0</v>
      </c>
      <c r="K63" s="457">
        <f>+GPpcntMjr*(VLOOKUP($A63,FY15Revenue!$A$4:$H$24,8,FALSE))*VLOOKUP($A63,FY15Majors!$A$3:$S$23,MATCH(K$28,FY15Majors!$A$2:$S$2,0),FALSE)</f>
        <v>0</v>
      </c>
      <c r="L63" s="457">
        <f>+GPpcntMjr*(VLOOKUP($A63,FY15Revenue!$A$4:$H$24,8,FALSE))*VLOOKUP($A63,FY15Majors!$A$3:$S$23,MATCH(L$28,FY15Majors!$A$2:$S$2,0),FALSE)</f>
        <v>0</v>
      </c>
      <c r="M63" s="457">
        <f>+GPpcntMjr*(VLOOKUP($A63,FY15Revenue!$A$4:$H$24,8,FALSE))*VLOOKUP($A63,FY15Majors!$A$3:$S$23,MATCH(M$28,FY15Majors!$A$2:$S$2,0),FALSE)</f>
        <v>0</v>
      </c>
      <c r="N63" s="457">
        <f>+GPpcntMjr*(VLOOKUP($A63,FY15Revenue!$A$4:$H$24,8,FALSE))*VLOOKUP($A63,FY15Majors!$A$3:$S$23,MATCH(N$28,FY15Majors!$A$2:$S$2,0),FALSE)</f>
        <v>0</v>
      </c>
      <c r="O63" s="457">
        <f>+GPpcntMjr*(VLOOKUP($A63,FY15Revenue!$A$4:$H$24,8,FALSE))*VLOOKUP($A63,FY15Majors!$A$3:$S$23,MATCH(O$28,FY15Majors!$A$2:$S$2,0),FALSE)</f>
        <v>0</v>
      </c>
      <c r="P63" s="457">
        <f>+GPpcntMjr*(VLOOKUP($A63,FY15Revenue!$A$4:$H$24,8,FALSE))*VLOOKUP($A63,FY15Majors!$A$3:$S$23,MATCH(P$28,FY15Majors!$A$2:$S$2,0),FALSE)</f>
        <v>0</v>
      </c>
      <c r="Q63" s="457">
        <f>+GPpcntMjr*(VLOOKUP($A63,FY15Revenue!$A$4:$H$24,8,FALSE))*VLOOKUP($A63,FY15Majors!$A$3:$S$23,MATCH(Q$28,FY15Majors!$A$2:$S$2,0),FALSE)</f>
        <v>0</v>
      </c>
      <c r="R63" s="457">
        <f>+GPpcntMjr*(VLOOKUP($A63,FY15Revenue!$A$4:$H$24,8,FALSE))*VLOOKUP($A63,FY15Majors!$A$3:$S$23,MATCH(R$28,FY15Majors!$A$2:$S$2,0),FALSE)</f>
        <v>0</v>
      </c>
      <c r="S63" s="457">
        <f>+GPpcntMjr*(VLOOKUP($A63,FY15Revenue!$A$4:$H$24,8,FALSE))*VLOOKUP($A63,FY15Majors!$A$3:$S$23,MATCH(S$28,FY15Majors!$A$2:$S$2,0),FALSE)</f>
        <v>0</v>
      </c>
      <c r="T63" s="457">
        <f t="shared" si="6"/>
        <v>3577037.0332733118</v>
      </c>
    </row>
    <row r="64" spans="1:20" s="18" customFormat="1" ht="20.100000000000001" customHeight="1">
      <c r="A64" s="404" t="s">
        <v>147</v>
      </c>
      <c r="B64" s="440" t="s">
        <v>208</v>
      </c>
      <c r="C64" s="410">
        <f>+GPpcntMjr*(VLOOKUP($A64,FY15Revenue!$A$4:$H$24,8,FALSE))*VLOOKUP($A64,FY15Majors!$A$3:$S$23,MATCH(C$28,FY15Majors!$A$2:$S$2,0),FALSE)</f>
        <v>0</v>
      </c>
      <c r="D64" s="410">
        <f>+GPpcntMjr*(VLOOKUP($A64,FY15Revenue!$A$4:$H$24,8,FALSE))*VLOOKUP($A64,FY15Majors!$A$3:$S$23,MATCH(D$28,FY15Majors!$A$2:$S$2,0),FALSE)</f>
        <v>0</v>
      </c>
      <c r="E64" s="410">
        <f>+GPpcntMjr*(VLOOKUP($A64,FY15Revenue!$A$4:$H$24,8,FALSE))*VLOOKUP($A64,FY15Majors!$A$3:$S$23,MATCH(E$28,FY15Majors!$A$2:$S$2,0),FALSE)</f>
        <v>0</v>
      </c>
      <c r="F64" s="410">
        <f>+GPpcntMjr*(VLOOKUP($A64,FY15Revenue!$A$4:$H$24,8,FALSE))*VLOOKUP($A64,FY15Majors!$A$3:$S$23,MATCH(F$28,FY15Majors!$A$2:$S$2,0),FALSE)</f>
        <v>0</v>
      </c>
      <c r="G64" s="410">
        <f>+GPpcntMjr*(VLOOKUP($A64,FY15Revenue!$A$4:$H$24,8,FALSE))*VLOOKUP($A64,FY15Majors!$A$3:$S$23,MATCH(G$28,FY15Majors!$A$2:$S$2,0),FALSE)</f>
        <v>922770.78096219478</v>
      </c>
      <c r="H64" s="410">
        <f>+GPpcntMjr*(VLOOKUP($A64,FY15Revenue!$A$4:$H$24,8,FALSE))*VLOOKUP($A64,FY15Majors!$A$3:$S$23,MATCH(H$28,FY15Majors!$A$2:$S$2,0),FALSE)</f>
        <v>10647.355164948402</v>
      </c>
      <c r="I64" s="410">
        <f>+GPpcntMjr*(VLOOKUP($A64,FY15Revenue!$A$4:$H$24,8,FALSE))*VLOOKUP($A64,FY15Majors!$A$3:$S$23,MATCH(I$28,FY15Majors!$A$2:$S$2,0),FALSE)</f>
        <v>0</v>
      </c>
      <c r="J64" s="410">
        <f>+GPpcntMjr*(VLOOKUP($A64,FY15Revenue!$A$4:$H$24,8,FALSE))*VLOOKUP($A64,FY15Majors!$A$3:$S$23,MATCH(J$28,FY15Majors!$A$2:$S$2,0),FALSE)</f>
        <v>0</v>
      </c>
      <c r="K64" s="410">
        <f>+GPpcntMjr*(VLOOKUP($A64,FY15Revenue!$A$4:$H$24,8,FALSE))*VLOOKUP($A64,FY15Majors!$A$3:$S$23,MATCH(K$28,FY15Majors!$A$2:$S$2,0),FALSE)</f>
        <v>0</v>
      </c>
      <c r="L64" s="410">
        <f>+GPpcntMjr*(VLOOKUP($A64,FY15Revenue!$A$4:$H$24,8,FALSE))*VLOOKUP($A64,FY15Majors!$A$3:$S$23,MATCH(L$28,FY15Majors!$A$2:$S$2,0),FALSE)</f>
        <v>0</v>
      </c>
      <c r="M64" s="410">
        <f>+GPpcntMjr*(VLOOKUP($A64,FY15Revenue!$A$4:$H$24,8,FALSE))*VLOOKUP($A64,FY15Majors!$A$3:$S$23,MATCH(M$28,FY15Majors!$A$2:$S$2,0),FALSE)</f>
        <v>0</v>
      </c>
      <c r="N64" s="410">
        <f>+GPpcntMjr*(VLOOKUP($A64,FY15Revenue!$A$4:$H$24,8,FALSE))*VLOOKUP($A64,FY15Majors!$A$3:$S$23,MATCH(N$28,FY15Majors!$A$2:$S$2,0),FALSE)</f>
        <v>0</v>
      </c>
      <c r="O64" s="410">
        <f>+GPpcntMjr*(VLOOKUP($A64,FY15Revenue!$A$4:$H$24,8,FALSE))*VLOOKUP($A64,FY15Majors!$A$3:$S$23,MATCH(O$28,FY15Majors!$A$2:$S$2,0),FALSE)</f>
        <v>0</v>
      </c>
      <c r="P64" s="410">
        <f>+GPpcntMjr*(VLOOKUP($A64,FY15Revenue!$A$4:$H$24,8,FALSE))*VLOOKUP($A64,FY15Majors!$A$3:$S$23,MATCH(P$28,FY15Majors!$A$2:$S$2,0),FALSE)</f>
        <v>0</v>
      </c>
      <c r="Q64" s="410">
        <f>+GPpcntMjr*(VLOOKUP($A64,FY15Revenue!$A$4:$H$24,8,FALSE))*VLOOKUP($A64,FY15Majors!$A$3:$S$23,MATCH(Q$28,FY15Majors!$A$2:$S$2,0),FALSE)</f>
        <v>0</v>
      </c>
      <c r="R64" s="410">
        <f>+GPpcntMjr*(VLOOKUP($A64,FY15Revenue!$A$4:$H$24,8,FALSE))*VLOOKUP($A64,FY15Majors!$A$3:$S$23,MATCH(R$28,FY15Majors!$A$2:$S$2,0),FALSE)</f>
        <v>0</v>
      </c>
      <c r="S64" s="410">
        <f>+GPpcntMjr*(VLOOKUP($A64,FY15Revenue!$A$4:$H$24,8,FALSE))*VLOOKUP($A64,FY15Majors!$A$3:$S$23,MATCH(S$28,FY15Majors!$A$2:$S$2,0),FALSE)</f>
        <v>0</v>
      </c>
      <c r="T64" s="410">
        <f t="shared" si="6"/>
        <v>933418.13612714317</v>
      </c>
    </row>
    <row r="65" spans="1:20" ht="20.100000000000001" customHeight="1">
      <c r="A65" s="404" t="s">
        <v>148</v>
      </c>
      <c r="B65" s="456" t="s">
        <v>39</v>
      </c>
      <c r="C65" s="457">
        <f>+GPpcntMjr*(VLOOKUP($A65,FY15Revenue!$A$4:$H$24,8,FALSE))*VLOOKUP($A65,FY15Majors!$A$3:$S$23,MATCH(C$28,FY15Majors!$A$2:$S$2,0),FALSE)</f>
        <v>52927.619290447292</v>
      </c>
      <c r="D65" s="457">
        <f>+GPpcntMjr*(VLOOKUP($A65,FY15Revenue!$A$4:$H$24,8,FALSE))*VLOOKUP($A65,FY15Majors!$A$3:$S$23,MATCH(D$28,FY15Majors!$A$2:$S$2,0),FALSE)</f>
        <v>127648.96417107877</v>
      </c>
      <c r="E65" s="457">
        <f>+GPpcntMjr*(VLOOKUP($A65,FY15Revenue!$A$4:$H$24,8,FALSE))*VLOOKUP($A65,FY15Majors!$A$3:$S$23,MATCH(E$28,FY15Majors!$A$2:$S$2,0),FALSE)</f>
        <v>0</v>
      </c>
      <c r="F65" s="457">
        <f>+GPpcntMjr*(VLOOKUP($A65,FY15Revenue!$A$4:$H$24,8,FALSE))*VLOOKUP($A65,FY15Majors!$A$3:$S$23,MATCH(F$28,FY15Majors!$A$2:$S$2,0),FALSE)</f>
        <v>0</v>
      </c>
      <c r="G65" s="457">
        <f>+GPpcntMjr*(VLOOKUP($A65,FY15Revenue!$A$4:$H$24,8,FALSE))*VLOOKUP($A65,FY15Majors!$A$3:$S$23,MATCH(G$28,FY15Majors!$A$2:$S$2,0),FALSE)</f>
        <v>0</v>
      </c>
      <c r="H65" s="457">
        <f>+GPpcntMjr*(VLOOKUP($A65,FY15Revenue!$A$4:$H$24,8,FALSE))*VLOOKUP($A65,FY15Majors!$A$3:$S$23,MATCH(H$28,FY15Majors!$A$2:$S$2,0),FALSE)</f>
        <v>84061.512990710398</v>
      </c>
      <c r="I65" s="457">
        <f>+GPpcntMjr*(VLOOKUP($A65,FY15Revenue!$A$4:$H$24,8,FALSE))*VLOOKUP($A65,FY15Majors!$A$3:$S$23,MATCH(I$28,FY15Majors!$A$2:$S$2,0),FALSE)</f>
        <v>9340.1681100789338</v>
      </c>
      <c r="J65" s="457">
        <f>+GPpcntMjr*(VLOOKUP($A65,FY15Revenue!$A$4:$H$24,8,FALSE))*VLOOKUP($A65,FY15Majors!$A$3:$S$23,MATCH(J$28,FY15Majors!$A$2:$S$2,0),FALSE)</f>
        <v>9340.1681100789338</v>
      </c>
      <c r="K65" s="457">
        <f>+GPpcntMjr*(VLOOKUP($A65,FY15Revenue!$A$4:$H$24,8,FALSE))*VLOOKUP($A65,FY15Majors!$A$3:$S$23,MATCH(K$28,FY15Majors!$A$2:$S$2,0),FALSE)</f>
        <v>3107162.5912862588</v>
      </c>
      <c r="L65" s="457">
        <f>+GPpcntMjr*(VLOOKUP($A65,FY15Revenue!$A$4:$H$24,8,FALSE))*VLOOKUP($A65,FY15Majors!$A$3:$S$23,MATCH(L$28,FY15Majors!$A$2:$S$2,0),FALSE)</f>
        <v>21793.725590184178</v>
      </c>
      <c r="M65" s="457">
        <f>+GPpcntMjr*(VLOOKUP($A65,FY15Revenue!$A$4:$H$24,8,FALSE))*VLOOKUP($A65,FY15Majors!$A$3:$S$23,MATCH(M$28,FY15Majors!$A$2:$S$2,0),FALSE)</f>
        <v>0</v>
      </c>
      <c r="N65" s="457">
        <f>+GPpcntMjr*(VLOOKUP($A65,FY15Revenue!$A$4:$H$24,8,FALSE))*VLOOKUP($A65,FY15Majors!$A$3:$S$23,MATCH(N$28,FY15Majors!$A$2:$S$2,0),FALSE)</f>
        <v>0</v>
      </c>
      <c r="O65" s="457">
        <f>+GPpcntMjr*(VLOOKUP($A65,FY15Revenue!$A$4:$H$24,8,FALSE))*VLOOKUP($A65,FY15Majors!$A$3:$S$23,MATCH(O$28,FY15Majors!$A$2:$S$2,0),FALSE)</f>
        <v>0</v>
      </c>
      <c r="P65" s="457">
        <f>+GPpcntMjr*(VLOOKUP($A65,FY15Revenue!$A$4:$H$24,8,FALSE))*VLOOKUP($A65,FY15Majors!$A$3:$S$23,MATCH(P$28,FY15Majors!$A$2:$S$2,0),FALSE)</f>
        <v>0</v>
      </c>
      <c r="Q65" s="457">
        <f>+GPpcntMjr*(VLOOKUP($A65,FY15Revenue!$A$4:$H$24,8,FALSE))*VLOOKUP($A65,FY15Majors!$A$3:$S$23,MATCH(Q$28,FY15Majors!$A$2:$S$2,0),FALSE)</f>
        <v>68494.566140578856</v>
      </c>
      <c r="R65" s="457">
        <f>+GPpcntMjr*(VLOOKUP($A65,FY15Revenue!$A$4:$H$24,8,FALSE))*VLOOKUP($A65,FY15Majors!$A$3:$S$23,MATCH(R$28,FY15Majors!$A$2:$S$2,0),FALSE)</f>
        <v>0</v>
      </c>
      <c r="S65" s="457">
        <f>+GPpcntMjr*(VLOOKUP($A65,FY15Revenue!$A$4:$H$24,8,FALSE))*VLOOKUP($A65,FY15Majors!$A$3:$S$23,MATCH(S$28,FY15Majors!$A$2:$S$2,0),FALSE)</f>
        <v>0</v>
      </c>
      <c r="T65" s="457">
        <f t="shared" si="6"/>
        <v>3480769.3156894166</v>
      </c>
    </row>
    <row r="66" spans="1:20" s="18" customFormat="1" ht="20.100000000000001" customHeight="1">
      <c r="A66" s="404" t="s">
        <v>149</v>
      </c>
      <c r="B66" s="440" t="s">
        <v>38</v>
      </c>
      <c r="C66" s="410">
        <f>+GPpcntMjr*(VLOOKUP($A66,FY15Revenue!$A$4:$H$24,8,FALSE))*VLOOKUP($A66,FY15Majors!$A$3:$S$23,MATCH(C$28,FY15Majors!$A$2:$S$2,0),FALSE)</f>
        <v>0</v>
      </c>
      <c r="D66" s="410">
        <f>+GPpcntMjr*(VLOOKUP($A66,FY15Revenue!$A$4:$H$24,8,FALSE))*VLOOKUP($A66,FY15Majors!$A$3:$S$23,MATCH(D$28,FY15Majors!$A$2:$S$2,0),FALSE)</f>
        <v>24808.047084427166</v>
      </c>
      <c r="E66" s="410">
        <f>+GPpcntMjr*(VLOOKUP($A66,FY15Revenue!$A$4:$H$24,8,FALSE))*VLOOKUP($A66,FY15Majors!$A$3:$S$23,MATCH(E$28,FY15Majors!$A$2:$S$2,0),FALSE)</f>
        <v>3646782.9214107939</v>
      </c>
      <c r="F66" s="410">
        <f>+GPpcntMjr*(VLOOKUP($A66,FY15Revenue!$A$4:$H$24,8,FALSE))*VLOOKUP($A66,FY15Majors!$A$3:$S$23,MATCH(F$28,FY15Majors!$A$2:$S$2,0),FALSE)</f>
        <v>0</v>
      </c>
      <c r="G66" s="410">
        <f>+GPpcntMjr*(VLOOKUP($A66,FY15Revenue!$A$4:$H$24,8,FALSE))*VLOOKUP($A66,FY15Majors!$A$3:$S$23,MATCH(G$28,FY15Majors!$A$2:$S$2,0),FALSE)</f>
        <v>9923.2188337708667</v>
      </c>
      <c r="H66" s="410">
        <f>+GPpcntMjr*(VLOOKUP($A66,FY15Revenue!$A$4:$H$24,8,FALSE))*VLOOKUP($A66,FY15Majors!$A$3:$S$23,MATCH(H$28,FY15Majors!$A$2:$S$2,0),FALSE)</f>
        <v>0</v>
      </c>
      <c r="I66" s="410">
        <f>+GPpcntMjr*(VLOOKUP($A66,FY15Revenue!$A$4:$H$24,8,FALSE))*VLOOKUP($A66,FY15Majors!$A$3:$S$23,MATCH(I$28,FY15Majors!$A$2:$S$2,0),FALSE)</f>
        <v>0</v>
      </c>
      <c r="J66" s="410">
        <f>+GPpcntMjr*(VLOOKUP($A66,FY15Revenue!$A$4:$H$24,8,FALSE))*VLOOKUP($A66,FY15Majors!$A$3:$S$23,MATCH(J$28,FY15Majors!$A$2:$S$2,0),FALSE)</f>
        <v>9923.2188337708667</v>
      </c>
      <c r="K66" s="410">
        <f>+GPpcntMjr*(VLOOKUP($A66,FY15Revenue!$A$4:$H$24,8,FALSE))*VLOOKUP($A66,FY15Majors!$A$3:$S$23,MATCH(K$28,FY15Majors!$A$2:$S$2,0),FALSE)</f>
        <v>0</v>
      </c>
      <c r="L66" s="410">
        <f>+GPpcntMjr*(VLOOKUP($A66,FY15Revenue!$A$4:$H$24,8,FALSE))*VLOOKUP($A66,FY15Majors!$A$3:$S$23,MATCH(L$28,FY15Majors!$A$2:$S$2,0),FALSE)</f>
        <v>0</v>
      </c>
      <c r="M66" s="410">
        <f>+GPpcntMjr*(VLOOKUP($A66,FY15Revenue!$A$4:$H$24,8,FALSE))*VLOOKUP($A66,FY15Majors!$A$3:$S$23,MATCH(M$28,FY15Majors!$A$2:$S$2,0),FALSE)</f>
        <v>0</v>
      </c>
      <c r="N66" s="410">
        <f>+GPpcntMjr*(VLOOKUP($A66,FY15Revenue!$A$4:$H$24,8,FALSE))*VLOOKUP($A66,FY15Majors!$A$3:$S$23,MATCH(N$28,FY15Majors!$A$2:$S$2,0),FALSE)</f>
        <v>9923.2188337708667</v>
      </c>
      <c r="O66" s="410">
        <f>+GPpcntMjr*(VLOOKUP($A66,FY15Revenue!$A$4:$H$24,8,FALSE))*VLOOKUP($A66,FY15Majors!$A$3:$S$23,MATCH(O$28,FY15Majors!$A$2:$S$2,0),FALSE)</f>
        <v>0</v>
      </c>
      <c r="P66" s="410">
        <f>+GPpcntMjr*(VLOOKUP($A66,FY15Revenue!$A$4:$H$24,8,FALSE))*VLOOKUP($A66,FY15Majors!$A$3:$S$23,MATCH(P$28,FY15Majors!$A$2:$S$2,0),FALSE)</f>
        <v>9923.2188337708667</v>
      </c>
      <c r="Q66" s="410">
        <f>+GPpcntMjr*(VLOOKUP($A66,FY15Revenue!$A$4:$H$24,8,FALSE))*VLOOKUP($A66,FY15Majors!$A$3:$S$23,MATCH(Q$28,FY15Majors!$A$2:$S$2,0),FALSE)</f>
        <v>29769.656501312606</v>
      </c>
      <c r="R66" s="410">
        <f>+GPpcntMjr*(VLOOKUP($A66,FY15Revenue!$A$4:$H$24,8,FALSE))*VLOOKUP($A66,FY15Majors!$A$3:$S$23,MATCH(R$28,FY15Majors!$A$2:$S$2,0),FALSE)</f>
        <v>0</v>
      </c>
      <c r="S66" s="410">
        <f>+GPpcntMjr*(VLOOKUP($A66,FY15Revenue!$A$4:$H$24,8,FALSE))*VLOOKUP($A66,FY15Majors!$A$3:$S$23,MATCH(S$28,FY15Majors!$A$2:$S$2,0),FALSE)</f>
        <v>0</v>
      </c>
      <c r="T66" s="410">
        <f t="shared" si="6"/>
        <v>3741053.5003316179</v>
      </c>
    </row>
    <row r="67" spans="1:20" ht="20.100000000000001" customHeight="1">
      <c r="A67" s="404" t="s">
        <v>150</v>
      </c>
      <c r="B67" s="456" t="s">
        <v>31</v>
      </c>
      <c r="C67" s="457">
        <f>+GPpcntMjr*(VLOOKUP($A67,FY15Revenue!$A$4:$H$24,8,FALSE))*VLOOKUP($A67,FY15Majors!$A$3:$S$23,MATCH(C$28,FY15Majors!$A$2:$S$2,0),FALSE)</f>
        <v>0</v>
      </c>
      <c r="D67" s="457">
        <f>+GPpcntMjr*(VLOOKUP($A67,FY15Revenue!$A$4:$H$24,8,FALSE))*VLOOKUP($A67,FY15Majors!$A$3:$S$23,MATCH(D$28,FY15Majors!$A$2:$S$2,0),FALSE)</f>
        <v>31329.263465569213</v>
      </c>
      <c r="E67" s="457">
        <f>+GPpcntMjr*(VLOOKUP($A67,FY15Revenue!$A$4:$H$24,8,FALSE))*VLOOKUP($A67,FY15Majors!$A$3:$S$23,MATCH(E$28,FY15Majors!$A$2:$S$2,0),FALSE)</f>
        <v>20886.17564371281</v>
      </c>
      <c r="F67" s="457">
        <f>+GPpcntMjr*(VLOOKUP($A67,FY15Revenue!$A$4:$H$24,8,FALSE))*VLOOKUP($A67,FY15Majors!$A$3:$S$23,MATCH(F$28,FY15Majors!$A$2:$S$2,0),FALSE)</f>
        <v>26107.719554641015</v>
      </c>
      <c r="G67" s="457">
        <f>+GPpcntMjr*(VLOOKUP($A67,FY15Revenue!$A$4:$H$24,8,FALSE))*VLOOKUP($A67,FY15Majors!$A$3:$S$23,MATCH(G$28,FY15Majors!$A$2:$S$2,0),FALSE)</f>
        <v>15664.631732784606</v>
      </c>
      <c r="H67" s="457">
        <f>+GPpcntMjr*(VLOOKUP($A67,FY15Revenue!$A$4:$H$24,8,FALSE))*VLOOKUP($A67,FY15Majors!$A$3:$S$23,MATCH(H$28,FY15Majors!$A$2:$S$2,0),FALSE)</f>
        <v>15664.631732784606</v>
      </c>
      <c r="I67" s="457">
        <f>+GPpcntMjr*(VLOOKUP($A67,FY15Revenue!$A$4:$H$24,8,FALSE))*VLOOKUP($A67,FY15Majors!$A$3:$S$23,MATCH(I$28,FY15Majors!$A$2:$S$2,0),FALSE)</f>
        <v>15664.631732784606</v>
      </c>
      <c r="J67" s="457">
        <f>+GPpcntMjr*(VLOOKUP($A67,FY15Revenue!$A$4:$H$24,8,FALSE))*VLOOKUP($A67,FY15Majors!$A$3:$S$23,MATCH(J$28,FY15Majors!$A$2:$S$2,0),FALSE)</f>
        <v>8041177.6228294307</v>
      </c>
      <c r="K67" s="457">
        <f>+GPpcntMjr*(VLOOKUP($A67,FY15Revenue!$A$4:$H$24,8,FALSE))*VLOOKUP($A67,FY15Majors!$A$3:$S$23,MATCH(K$28,FY15Majors!$A$2:$S$2,0),FALSE)</f>
        <v>15664.631732784606</v>
      </c>
      <c r="L67" s="457">
        <f>+GPpcntMjr*(VLOOKUP($A67,FY15Revenue!$A$4:$H$24,8,FALSE))*VLOOKUP($A67,FY15Majors!$A$3:$S$23,MATCH(L$28,FY15Majors!$A$2:$S$2,0),FALSE)</f>
        <v>0</v>
      </c>
      <c r="M67" s="457">
        <f>+GPpcntMjr*(VLOOKUP($A67,FY15Revenue!$A$4:$H$24,8,FALSE))*VLOOKUP($A67,FY15Majors!$A$3:$S$23,MATCH(M$28,FY15Majors!$A$2:$S$2,0),FALSE)</f>
        <v>0</v>
      </c>
      <c r="N67" s="457">
        <f>+GPpcntMjr*(VLOOKUP($A67,FY15Revenue!$A$4:$H$24,8,FALSE))*VLOOKUP($A67,FY15Majors!$A$3:$S$23,MATCH(N$28,FY15Majors!$A$2:$S$2,0),FALSE)</f>
        <v>0</v>
      </c>
      <c r="O67" s="457">
        <f>+GPpcntMjr*(VLOOKUP($A67,FY15Revenue!$A$4:$H$24,8,FALSE))*VLOOKUP($A67,FY15Majors!$A$3:$S$23,MATCH(O$28,FY15Majors!$A$2:$S$2,0),FALSE)</f>
        <v>0</v>
      </c>
      <c r="P67" s="457">
        <f>+GPpcntMjr*(VLOOKUP($A67,FY15Revenue!$A$4:$H$24,8,FALSE))*VLOOKUP($A67,FY15Majors!$A$3:$S$23,MATCH(P$28,FY15Majors!$A$2:$S$2,0),FALSE)</f>
        <v>0</v>
      </c>
      <c r="Q67" s="457">
        <f>+GPpcntMjr*(VLOOKUP($A67,FY15Revenue!$A$4:$H$24,8,FALSE))*VLOOKUP($A67,FY15Majors!$A$3:$S$23,MATCH(Q$28,FY15Majors!$A$2:$S$2,0),FALSE)</f>
        <v>15664.631732784606</v>
      </c>
      <c r="R67" s="457">
        <f>+GPpcntMjr*(VLOOKUP($A67,FY15Revenue!$A$4:$H$24,8,FALSE))*VLOOKUP($A67,FY15Majors!$A$3:$S$23,MATCH(R$28,FY15Majors!$A$2:$S$2,0),FALSE)</f>
        <v>0</v>
      </c>
      <c r="S67" s="457">
        <f>+GPpcntMjr*(VLOOKUP($A67,FY15Revenue!$A$4:$H$24,8,FALSE))*VLOOKUP($A67,FY15Majors!$A$3:$S$23,MATCH(S$28,FY15Majors!$A$2:$S$2,0),FALSE)</f>
        <v>0</v>
      </c>
      <c r="T67" s="457">
        <f t="shared" si="6"/>
        <v>8197823.9401572756</v>
      </c>
    </row>
    <row r="68" spans="1:20" s="18" customFormat="1" ht="20.100000000000001" customHeight="1">
      <c r="A68" s="404" t="s">
        <v>151</v>
      </c>
      <c r="B68" s="440" t="s">
        <v>209</v>
      </c>
      <c r="C68" s="410">
        <f>+GPpcntMjr*(VLOOKUP($A68,FY15Revenue!$A$4:$H$24,8,FALSE))*VLOOKUP($A68,FY15Majors!$A$3:$S$23,MATCH(C$28,FY15Majors!$A$2:$S$2,0),FALSE)</f>
        <v>0</v>
      </c>
      <c r="D68" s="410">
        <f>+GPpcntMjr*(VLOOKUP($A68,FY15Revenue!$A$4:$H$24,8,FALSE))*VLOOKUP($A68,FY15Majors!$A$3:$S$23,MATCH(D$28,FY15Majors!$A$2:$S$2,0),FALSE)</f>
        <v>0</v>
      </c>
      <c r="E68" s="410">
        <f>+GPpcntMjr*(VLOOKUP($A68,FY15Revenue!$A$4:$H$24,8,FALSE))*VLOOKUP($A68,FY15Majors!$A$3:$S$23,MATCH(E$28,FY15Majors!$A$2:$S$2,0),FALSE)</f>
        <v>0</v>
      </c>
      <c r="F68" s="410">
        <f>+GPpcntMjr*(VLOOKUP($A68,FY15Revenue!$A$4:$H$24,8,FALSE))*VLOOKUP($A68,FY15Majors!$A$3:$S$23,MATCH(F$28,FY15Majors!$A$2:$S$2,0),FALSE)</f>
        <v>0</v>
      </c>
      <c r="G68" s="410">
        <f>+GPpcntMjr*(VLOOKUP($A68,FY15Revenue!$A$4:$H$24,8,FALSE))*VLOOKUP($A68,FY15Majors!$A$3:$S$23,MATCH(G$28,FY15Majors!$A$2:$S$2,0),FALSE)</f>
        <v>0</v>
      </c>
      <c r="H68" s="410">
        <f>+GPpcntMjr*(VLOOKUP($A68,FY15Revenue!$A$4:$H$24,8,FALSE))*VLOOKUP($A68,FY15Majors!$A$3:$S$23,MATCH(H$28,FY15Majors!$A$2:$S$2,0),FALSE)</f>
        <v>0</v>
      </c>
      <c r="I68" s="410">
        <f>+GPpcntMjr*(VLOOKUP($A68,FY15Revenue!$A$4:$H$24,8,FALSE))*VLOOKUP($A68,FY15Majors!$A$3:$S$23,MATCH(I$28,FY15Majors!$A$2:$S$2,0),FALSE)</f>
        <v>0</v>
      </c>
      <c r="J68" s="410">
        <f>+GPpcntMjr*(VLOOKUP($A68,FY15Revenue!$A$4:$H$24,8,FALSE))*VLOOKUP($A68,FY15Majors!$A$3:$S$23,MATCH(J$28,FY15Majors!$A$2:$S$2,0),FALSE)</f>
        <v>930621.97540648212</v>
      </c>
      <c r="K68" s="410">
        <f>+GPpcntMjr*(VLOOKUP($A68,FY15Revenue!$A$4:$H$24,8,FALSE))*VLOOKUP($A68,FY15Majors!$A$3:$S$23,MATCH(K$28,FY15Majors!$A$2:$S$2,0),FALSE)</f>
        <v>0</v>
      </c>
      <c r="L68" s="410">
        <f>+GPpcntMjr*(VLOOKUP($A68,FY15Revenue!$A$4:$H$24,8,FALSE))*VLOOKUP($A68,FY15Majors!$A$3:$S$23,MATCH(L$28,FY15Majors!$A$2:$S$2,0),FALSE)</f>
        <v>0</v>
      </c>
      <c r="M68" s="410">
        <f>+GPpcntMjr*(VLOOKUP($A68,FY15Revenue!$A$4:$H$24,8,FALSE))*VLOOKUP($A68,FY15Majors!$A$3:$S$23,MATCH(M$28,FY15Majors!$A$2:$S$2,0),FALSE)</f>
        <v>0</v>
      </c>
      <c r="N68" s="410">
        <f>+GPpcntMjr*(VLOOKUP($A68,FY15Revenue!$A$4:$H$24,8,FALSE))*VLOOKUP($A68,FY15Majors!$A$3:$S$23,MATCH(N$28,FY15Majors!$A$2:$S$2,0),FALSE)</f>
        <v>0</v>
      </c>
      <c r="O68" s="410">
        <f>+GPpcntMjr*(VLOOKUP($A68,FY15Revenue!$A$4:$H$24,8,FALSE))*VLOOKUP($A68,FY15Majors!$A$3:$S$23,MATCH(O$28,FY15Majors!$A$2:$S$2,0),FALSE)</f>
        <v>0</v>
      </c>
      <c r="P68" s="410">
        <f>+GPpcntMjr*(VLOOKUP($A68,FY15Revenue!$A$4:$H$24,8,FALSE))*VLOOKUP($A68,FY15Majors!$A$3:$S$23,MATCH(P$28,FY15Majors!$A$2:$S$2,0),FALSE)</f>
        <v>0</v>
      </c>
      <c r="Q68" s="410">
        <f>+GPpcntMjr*(VLOOKUP($A68,FY15Revenue!$A$4:$H$24,8,FALSE))*VLOOKUP($A68,FY15Majors!$A$3:$S$23,MATCH(Q$28,FY15Majors!$A$2:$S$2,0),FALSE)</f>
        <v>0</v>
      </c>
      <c r="R68" s="410">
        <f>+GPpcntMjr*(VLOOKUP($A68,FY15Revenue!$A$4:$H$24,8,FALSE))*VLOOKUP($A68,FY15Majors!$A$3:$S$23,MATCH(R$28,FY15Majors!$A$2:$S$2,0),FALSE)</f>
        <v>0</v>
      </c>
      <c r="S68" s="410">
        <f>+GPpcntMjr*(VLOOKUP($A68,FY15Revenue!$A$4:$H$24,8,FALSE))*VLOOKUP($A68,FY15Majors!$A$3:$S$23,MATCH(S$28,FY15Majors!$A$2:$S$2,0),FALSE)</f>
        <v>0</v>
      </c>
      <c r="T68" s="410">
        <f t="shared" si="6"/>
        <v>930621.97540648212</v>
      </c>
    </row>
    <row r="69" spans="1:20" ht="20.100000000000001" customHeight="1">
      <c r="A69" s="404" t="s">
        <v>153</v>
      </c>
      <c r="B69" s="456" t="s">
        <v>100</v>
      </c>
      <c r="C69" s="457">
        <f>+GPpcntMjr*(VLOOKUP($A69,FY15Revenue!$A$4:$H$24,8,FALSE))*VLOOKUP($A69,FY15Majors!$A$3:$S$23,MATCH(C$28,FY15Majors!$A$2:$S$2,0),FALSE)</f>
        <v>0</v>
      </c>
      <c r="D69" s="457">
        <f>+GPpcntMjr*(VLOOKUP($A69,FY15Revenue!$A$4:$H$24,8,FALSE))*VLOOKUP($A69,FY15Majors!$A$3:$S$23,MATCH(D$28,FY15Majors!$A$2:$S$2,0),FALSE)</f>
        <v>0</v>
      </c>
      <c r="E69" s="457">
        <f>+GPpcntMjr*(VLOOKUP($A69,FY15Revenue!$A$4:$H$24,8,FALSE))*VLOOKUP($A69,FY15Majors!$A$3:$S$23,MATCH(E$28,FY15Majors!$A$2:$S$2,0),FALSE)</f>
        <v>0</v>
      </c>
      <c r="F69" s="457">
        <f>+GPpcntMjr*(VLOOKUP($A69,FY15Revenue!$A$4:$H$24,8,FALSE))*VLOOKUP($A69,FY15Majors!$A$3:$S$23,MATCH(F$28,FY15Majors!$A$2:$S$2,0),FALSE)</f>
        <v>0</v>
      </c>
      <c r="G69" s="457">
        <f>+GPpcntMjr*(VLOOKUP($A69,FY15Revenue!$A$4:$H$24,8,FALSE))*VLOOKUP($A69,FY15Majors!$A$3:$S$23,MATCH(G$28,FY15Majors!$A$2:$S$2,0),FALSE)</f>
        <v>0</v>
      </c>
      <c r="H69" s="457">
        <f>+GPpcntMjr*(VLOOKUP($A69,FY15Revenue!$A$4:$H$24,8,FALSE))*VLOOKUP($A69,FY15Majors!$A$3:$S$23,MATCH(H$28,FY15Majors!$A$2:$S$2,0),FALSE)</f>
        <v>0</v>
      </c>
      <c r="I69" s="457">
        <f>+GPpcntMjr*(VLOOKUP($A69,FY15Revenue!$A$4:$H$24,8,FALSE))*VLOOKUP($A69,FY15Majors!$A$3:$S$23,MATCH(I$28,FY15Majors!$A$2:$S$2,0),FALSE)</f>
        <v>0</v>
      </c>
      <c r="J69" s="457">
        <f>+GPpcntMjr*(VLOOKUP($A69,FY15Revenue!$A$4:$H$24,8,FALSE))*VLOOKUP($A69,FY15Majors!$A$3:$S$23,MATCH(J$28,FY15Majors!$A$2:$S$2,0),FALSE)</f>
        <v>0</v>
      </c>
      <c r="K69" s="457">
        <f>+GPpcntMjr*(VLOOKUP($A69,FY15Revenue!$A$4:$H$24,8,FALSE))*VLOOKUP($A69,FY15Majors!$A$3:$S$23,MATCH(K$28,FY15Majors!$A$2:$S$2,0),FALSE)</f>
        <v>0</v>
      </c>
      <c r="L69" s="457">
        <f>+GPpcntMjr*(VLOOKUP($A69,FY15Revenue!$A$4:$H$24,8,FALSE))*VLOOKUP($A69,FY15Majors!$A$3:$S$23,MATCH(L$28,FY15Majors!$A$2:$S$2,0),FALSE)</f>
        <v>0</v>
      </c>
      <c r="M69" s="457">
        <f>+GPpcntMjr*(VLOOKUP($A69,FY15Revenue!$A$4:$H$24,8,FALSE))*VLOOKUP($A69,FY15Majors!$A$3:$S$23,MATCH(M$28,FY15Majors!$A$2:$S$2,0),FALSE)</f>
        <v>0</v>
      </c>
      <c r="N69" s="457">
        <f>+GPpcntMjr*(VLOOKUP($A69,FY15Revenue!$A$4:$H$24,8,FALSE))*VLOOKUP($A69,FY15Majors!$A$3:$S$23,MATCH(N$28,FY15Majors!$A$2:$S$2,0),FALSE)</f>
        <v>0</v>
      </c>
      <c r="O69" s="457">
        <f>+GPpcntMjr*(VLOOKUP($A69,FY15Revenue!$A$4:$H$24,8,FALSE))*VLOOKUP($A69,FY15Majors!$A$3:$S$23,MATCH(O$28,FY15Majors!$A$2:$S$2,0),FALSE)</f>
        <v>889011.17930682981</v>
      </c>
      <c r="P69" s="457">
        <f>+GPpcntMjr*(VLOOKUP($A69,FY15Revenue!$A$4:$H$24,8,FALSE))*VLOOKUP($A69,FY15Majors!$A$3:$S$23,MATCH(P$28,FY15Majors!$A$2:$S$2,0),FALSE)</f>
        <v>0</v>
      </c>
      <c r="Q69" s="457">
        <f>+GPpcntMjr*(VLOOKUP($A69,FY15Revenue!$A$4:$H$24,8,FALSE))*VLOOKUP($A69,FY15Majors!$A$3:$S$23,MATCH(Q$28,FY15Majors!$A$2:$S$2,0),FALSE)</f>
        <v>0</v>
      </c>
      <c r="R69" s="457">
        <f>+GPpcntMjr*(VLOOKUP($A69,FY15Revenue!$A$4:$H$24,8,FALSE))*VLOOKUP($A69,FY15Majors!$A$3:$S$23,MATCH(R$28,FY15Majors!$A$2:$S$2,0),FALSE)</f>
        <v>0</v>
      </c>
      <c r="S69" s="457">
        <f>+GPpcntMjr*(VLOOKUP($A69,FY15Revenue!$A$4:$H$24,8,FALSE))*VLOOKUP($A69,FY15Majors!$A$3:$S$23,MATCH(S$28,FY15Majors!$A$2:$S$2,0),FALSE)</f>
        <v>0</v>
      </c>
      <c r="T69" s="457">
        <f t="shared" si="6"/>
        <v>889011.17930682981</v>
      </c>
    </row>
    <row r="70" spans="1:20" s="18" customFormat="1" ht="20.100000000000001" customHeight="1">
      <c r="A70" s="404" t="s">
        <v>155</v>
      </c>
      <c r="B70" s="440" t="s">
        <v>42</v>
      </c>
      <c r="C70" s="410">
        <f>+GPpcntMjr*(VLOOKUP($A70,FY15Revenue!$A$4:$H$24,8,FALSE))*VLOOKUP($A70,FY15Majors!$A$3:$S$23,MATCH(C$28,FY15Majors!$A$2:$S$2,0),FALSE)</f>
        <v>0</v>
      </c>
      <c r="D70" s="410">
        <f>+GPpcntMjr*(VLOOKUP($A70,FY15Revenue!$A$4:$H$24,8,FALSE))*VLOOKUP($A70,FY15Majors!$A$3:$S$23,MATCH(D$28,FY15Majors!$A$2:$S$2,0),FALSE)</f>
        <v>0</v>
      </c>
      <c r="E70" s="410">
        <f>+GPpcntMjr*(VLOOKUP($A70,FY15Revenue!$A$4:$H$24,8,FALSE))*VLOOKUP($A70,FY15Majors!$A$3:$S$23,MATCH(E$28,FY15Majors!$A$2:$S$2,0),FALSE)</f>
        <v>0</v>
      </c>
      <c r="F70" s="410">
        <f>+GPpcntMjr*(VLOOKUP($A70,FY15Revenue!$A$4:$H$24,8,FALSE))*VLOOKUP($A70,FY15Majors!$A$3:$S$23,MATCH(F$28,FY15Majors!$A$2:$S$2,0),FALSE)</f>
        <v>0</v>
      </c>
      <c r="G70" s="410">
        <f>+GPpcntMjr*(VLOOKUP($A70,FY15Revenue!$A$4:$H$24,8,FALSE))*VLOOKUP($A70,FY15Majors!$A$3:$S$23,MATCH(G$28,FY15Majors!$A$2:$S$2,0),FALSE)</f>
        <v>0</v>
      </c>
      <c r="H70" s="410">
        <f>+GPpcntMjr*(VLOOKUP($A70,FY15Revenue!$A$4:$H$24,8,FALSE))*VLOOKUP($A70,FY15Majors!$A$3:$S$23,MATCH(H$28,FY15Majors!$A$2:$S$2,0),FALSE)</f>
        <v>0</v>
      </c>
      <c r="I70" s="410">
        <f>+GPpcntMjr*(VLOOKUP($A70,FY15Revenue!$A$4:$H$24,8,FALSE))*VLOOKUP($A70,FY15Majors!$A$3:$S$23,MATCH(I$28,FY15Majors!$A$2:$S$2,0),FALSE)</f>
        <v>0</v>
      </c>
      <c r="J70" s="410">
        <f>+GPpcntMjr*(VLOOKUP($A70,FY15Revenue!$A$4:$H$24,8,FALSE))*VLOOKUP($A70,FY15Majors!$A$3:$S$23,MATCH(J$28,FY15Majors!$A$2:$S$2,0),FALSE)</f>
        <v>0</v>
      </c>
      <c r="K70" s="410">
        <f>+GPpcntMjr*(VLOOKUP($A70,FY15Revenue!$A$4:$H$24,8,FALSE))*VLOOKUP($A70,FY15Majors!$A$3:$S$23,MATCH(K$28,FY15Majors!$A$2:$S$2,0),FALSE)</f>
        <v>0</v>
      </c>
      <c r="L70" s="410">
        <f>+GPpcntMjr*(VLOOKUP($A70,FY15Revenue!$A$4:$H$24,8,FALSE))*VLOOKUP($A70,FY15Majors!$A$3:$S$23,MATCH(L$28,FY15Majors!$A$2:$S$2,0),FALSE)</f>
        <v>0</v>
      </c>
      <c r="M70" s="410">
        <f>+GPpcntMjr*(VLOOKUP($A70,FY15Revenue!$A$4:$H$24,8,FALSE))*VLOOKUP($A70,FY15Majors!$A$3:$S$23,MATCH(M$28,FY15Majors!$A$2:$S$2,0),FALSE)</f>
        <v>0</v>
      </c>
      <c r="N70" s="410">
        <f>+GPpcntMjr*(VLOOKUP($A70,FY15Revenue!$A$4:$H$24,8,FALSE))*VLOOKUP($A70,FY15Majors!$A$3:$S$23,MATCH(N$28,FY15Majors!$A$2:$S$2,0),FALSE)</f>
        <v>0</v>
      </c>
      <c r="O70" s="410">
        <f>+GPpcntMjr*(VLOOKUP($A70,FY15Revenue!$A$4:$H$24,8,FALSE))*VLOOKUP($A70,FY15Majors!$A$3:$S$23,MATCH(O$28,FY15Majors!$A$2:$S$2,0),FALSE)</f>
        <v>0</v>
      </c>
      <c r="P70" s="410">
        <f>+GPpcntMjr*(VLOOKUP($A70,FY15Revenue!$A$4:$H$24,8,FALSE))*VLOOKUP($A70,FY15Majors!$A$3:$S$23,MATCH(P$28,FY15Majors!$A$2:$S$2,0),FALSE)</f>
        <v>5300224.6726961983</v>
      </c>
      <c r="Q70" s="410">
        <f>+GPpcntMjr*(VLOOKUP($A70,FY15Revenue!$A$4:$H$24,8,FALSE))*VLOOKUP($A70,FY15Majors!$A$3:$S$23,MATCH(Q$28,FY15Majors!$A$2:$S$2,0),FALSE)</f>
        <v>0</v>
      </c>
      <c r="R70" s="410">
        <f>+GPpcntMjr*(VLOOKUP($A70,FY15Revenue!$A$4:$H$24,8,FALSE))*VLOOKUP($A70,FY15Majors!$A$3:$S$23,MATCH(R$28,FY15Majors!$A$2:$S$2,0),FALSE)</f>
        <v>0</v>
      </c>
      <c r="S70" s="410">
        <f>+GPpcntMjr*(VLOOKUP($A70,FY15Revenue!$A$4:$H$24,8,FALSE))*VLOOKUP($A70,FY15Majors!$A$3:$S$23,MATCH(S$28,FY15Majors!$A$2:$S$2,0),FALSE)</f>
        <v>0</v>
      </c>
      <c r="T70" s="410">
        <f t="shared" si="6"/>
        <v>5300224.6726961983</v>
      </c>
    </row>
    <row r="71" spans="1:20" ht="20.100000000000001" customHeight="1">
      <c r="A71" s="404" t="s">
        <v>162</v>
      </c>
      <c r="B71" s="456" t="s">
        <v>76</v>
      </c>
      <c r="C71" s="457">
        <f>+GPpcntMjr*(VLOOKUP($A71,FY15Revenue!$A$4:$H$24,8,FALSE))*VLOOKUP($A71,FY15Majors!$A$3:$S$23,MATCH(C$28,FY15Majors!$A$2:$S$2,0),FALSE)</f>
        <v>0</v>
      </c>
      <c r="D71" s="457">
        <f>+GPpcntMjr*(VLOOKUP($A71,FY15Revenue!$A$4:$H$24,8,FALSE))*VLOOKUP($A71,FY15Majors!$A$3:$S$23,MATCH(D$28,FY15Majors!$A$2:$S$2,0),FALSE)</f>
        <v>0</v>
      </c>
      <c r="E71" s="457">
        <f>+GPpcntMjr*(VLOOKUP($A71,FY15Revenue!$A$4:$H$24,8,FALSE))*VLOOKUP($A71,FY15Majors!$A$3:$S$23,MATCH(E$28,FY15Majors!$A$2:$S$2,0),FALSE)</f>
        <v>0</v>
      </c>
      <c r="F71" s="457">
        <f>+GPpcntMjr*(VLOOKUP($A71,FY15Revenue!$A$4:$H$24,8,FALSE))*VLOOKUP($A71,FY15Majors!$A$3:$S$23,MATCH(F$28,FY15Majors!$A$2:$S$2,0),FALSE)</f>
        <v>0</v>
      </c>
      <c r="G71" s="457">
        <f>+GPpcntMjr*(VLOOKUP($A71,FY15Revenue!$A$4:$H$24,8,FALSE))*VLOOKUP($A71,FY15Majors!$A$3:$S$23,MATCH(G$28,FY15Majors!$A$2:$S$2,0),FALSE)</f>
        <v>27771.036581213808</v>
      </c>
      <c r="H71" s="457">
        <f>+GPpcntMjr*(VLOOKUP($A71,FY15Revenue!$A$4:$H$24,8,FALSE))*VLOOKUP($A71,FY15Majors!$A$3:$S$23,MATCH(H$28,FY15Majors!$A$2:$S$2,0),FALSE)</f>
        <v>0</v>
      </c>
      <c r="I71" s="457">
        <f>+GPpcntMjr*(VLOOKUP($A71,FY15Revenue!$A$4:$H$24,8,FALSE))*VLOOKUP($A71,FY15Majors!$A$3:$S$23,MATCH(I$28,FY15Majors!$A$2:$S$2,0),FALSE)</f>
        <v>0</v>
      </c>
      <c r="J71" s="457">
        <f>+GPpcntMjr*(VLOOKUP($A71,FY15Revenue!$A$4:$H$24,8,FALSE))*VLOOKUP($A71,FY15Majors!$A$3:$S$23,MATCH(J$28,FY15Majors!$A$2:$S$2,0),FALSE)</f>
        <v>0</v>
      </c>
      <c r="K71" s="457">
        <f>+GPpcntMjr*(VLOOKUP($A71,FY15Revenue!$A$4:$H$24,8,FALSE))*VLOOKUP($A71,FY15Majors!$A$3:$S$23,MATCH(K$28,FY15Majors!$A$2:$S$2,0),FALSE)</f>
        <v>0</v>
      </c>
      <c r="L71" s="457">
        <f>+GPpcntMjr*(VLOOKUP($A71,FY15Revenue!$A$4:$H$24,8,FALSE))*VLOOKUP($A71,FY15Majors!$A$3:$S$23,MATCH(L$28,FY15Majors!$A$2:$S$2,0),FALSE)</f>
        <v>0</v>
      </c>
      <c r="M71" s="457">
        <f>+GPpcntMjr*(VLOOKUP($A71,FY15Revenue!$A$4:$H$24,8,FALSE))*VLOOKUP($A71,FY15Majors!$A$3:$S$23,MATCH(M$28,FY15Majors!$A$2:$S$2,0),FALSE)</f>
        <v>0</v>
      </c>
      <c r="N71" s="457">
        <f>+GPpcntMjr*(VLOOKUP($A71,FY15Revenue!$A$4:$H$24,8,FALSE))*VLOOKUP($A71,FY15Majors!$A$3:$S$23,MATCH(N$28,FY15Majors!$A$2:$S$2,0),FALSE)</f>
        <v>10941788.41299824</v>
      </c>
      <c r="O71" s="457">
        <f>+GPpcntMjr*(VLOOKUP($A71,FY15Revenue!$A$4:$H$24,8,FALSE))*VLOOKUP($A71,FY15Majors!$A$3:$S$23,MATCH(O$28,FY15Majors!$A$2:$S$2,0),FALSE)</f>
        <v>0</v>
      </c>
      <c r="P71" s="457">
        <f>+GPpcntMjr*(VLOOKUP($A71,FY15Revenue!$A$4:$H$24,8,FALSE))*VLOOKUP($A71,FY15Majors!$A$3:$S$23,MATCH(P$28,FY15Majors!$A$2:$S$2,0),FALSE)</f>
        <v>0</v>
      </c>
      <c r="Q71" s="457">
        <f>+GPpcntMjr*(VLOOKUP($A71,FY15Revenue!$A$4:$H$24,8,FALSE))*VLOOKUP($A71,FY15Majors!$A$3:$S$23,MATCH(Q$28,FY15Majors!$A$2:$S$2,0),FALSE)</f>
        <v>171254.72558415181</v>
      </c>
      <c r="R71" s="457">
        <f>+GPpcntMjr*(VLOOKUP($A71,FY15Revenue!$A$4:$H$24,8,FALSE))*VLOOKUP($A71,FY15Majors!$A$3:$S$23,MATCH(R$28,FY15Majors!$A$2:$S$2,0),FALSE)</f>
        <v>0</v>
      </c>
      <c r="S71" s="457">
        <f>+GPpcntMjr*(VLOOKUP($A71,FY15Revenue!$A$4:$H$24,8,FALSE))*VLOOKUP($A71,FY15Majors!$A$3:$S$23,MATCH(S$28,FY15Majors!$A$2:$S$2,0),FALSE)</f>
        <v>74056.097549903498</v>
      </c>
      <c r="T71" s="457">
        <f t="shared" si="6"/>
        <v>11214870.27271351</v>
      </c>
    </row>
    <row r="72" spans="1:20" s="18" customFormat="1" ht="20.100000000000001" customHeight="1">
      <c r="A72" s="404" t="s">
        <v>156</v>
      </c>
      <c r="B72" s="440" t="s">
        <v>77</v>
      </c>
      <c r="C72" s="410">
        <f>+GPpcntMjr*(VLOOKUP($A72,FY15Revenue!$A$4:$H$24,8,FALSE))*VLOOKUP($A72,FY15Majors!$A$3:$S$23,MATCH(C$28,FY15Majors!$A$2:$S$2,0),FALSE)</f>
        <v>0</v>
      </c>
      <c r="D72" s="410">
        <f>+GPpcntMjr*(VLOOKUP($A72,FY15Revenue!$A$4:$H$24,8,FALSE))*VLOOKUP($A72,FY15Majors!$A$3:$S$23,MATCH(D$28,FY15Majors!$A$2:$S$2,0),FALSE)</f>
        <v>0</v>
      </c>
      <c r="E72" s="410">
        <f>+GPpcntMjr*(VLOOKUP($A72,FY15Revenue!$A$4:$H$24,8,FALSE))*VLOOKUP($A72,FY15Majors!$A$3:$S$23,MATCH(E$28,FY15Majors!$A$2:$S$2,0),FALSE)</f>
        <v>0</v>
      </c>
      <c r="F72" s="410">
        <f>+GPpcntMjr*(VLOOKUP($A72,FY15Revenue!$A$4:$H$24,8,FALSE))*VLOOKUP($A72,FY15Majors!$A$3:$S$23,MATCH(F$28,FY15Majors!$A$2:$S$2,0),FALSE)</f>
        <v>0</v>
      </c>
      <c r="G72" s="410">
        <f>+GPpcntMjr*(VLOOKUP($A72,FY15Revenue!$A$4:$H$24,8,FALSE))*VLOOKUP($A72,FY15Majors!$A$3:$S$23,MATCH(G$28,FY15Majors!$A$2:$S$2,0),FALSE)</f>
        <v>0</v>
      </c>
      <c r="H72" s="410">
        <f>+GPpcntMjr*(VLOOKUP($A72,FY15Revenue!$A$4:$H$24,8,FALSE))*VLOOKUP($A72,FY15Majors!$A$3:$S$23,MATCH(H$28,FY15Majors!$A$2:$S$2,0),FALSE)</f>
        <v>0</v>
      </c>
      <c r="I72" s="410">
        <f>+GPpcntMjr*(VLOOKUP($A72,FY15Revenue!$A$4:$H$24,8,FALSE))*VLOOKUP($A72,FY15Majors!$A$3:$S$23,MATCH(I$28,FY15Majors!$A$2:$S$2,0),FALSE)</f>
        <v>0</v>
      </c>
      <c r="J72" s="410">
        <f>+GPpcntMjr*(VLOOKUP($A72,FY15Revenue!$A$4:$H$24,8,FALSE))*VLOOKUP($A72,FY15Majors!$A$3:$S$23,MATCH(J$28,FY15Majors!$A$2:$S$2,0),FALSE)</f>
        <v>0</v>
      </c>
      <c r="K72" s="410">
        <f>+GPpcntMjr*(VLOOKUP($A72,FY15Revenue!$A$4:$H$24,8,FALSE))*VLOOKUP($A72,FY15Majors!$A$3:$S$23,MATCH(K$28,FY15Majors!$A$2:$S$2,0),FALSE)</f>
        <v>0</v>
      </c>
      <c r="L72" s="410">
        <f>+GPpcntMjr*(VLOOKUP($A72,FY15Revenue!$A$4:$H$24,8,FALSE))*VLOOKUP($A72,FY15Majors!$A$3:$S$23,MATCH(L$28,FY15Majors!$A$2:$S$2,0),FALSE)</f>
        <v>0</v>
      </c>
      <c r="M72" s="410">
        <f>+GPpcntMjr*(VLOOKUP($A72,FY15Revenue!$A$4:$H$24,8,FALSE))*VLOOKUP($A72,FY15Majors!$A$3:$S$23,MATCH(M$28,FY15Majors!$A$2:$S$2,0),FALSE)</f>
        <v>4589726.6559808776</v>
      </c>
      <c r="N72" s="410">
        <f>+GPpcntMjr*(VLOOKUP($A72,FY15Revenue!$A$4:$H$24,8,FALSE))*VLOOKUP($A72,FY15Majors!$A$3:$S$23,MATCH(N$28,FY15Majors!$A$2:$S$2,0),FALSE)</f>
        <v>0</v>
      </c>
      <c r="O72" s="410">
        <f>+GPpcntMjr*(VLOOKUP($A72,FY15Revenue!$A$4:$H$24,8,FALSE))*VLOOKUP($A72,FY15Majors!$A$3:$S$23,MATCH(O$28,FY15Majors!$A$2:$S$2,0),FALSE)</f>
        <v>0</v>
      </c>
      <c r="P72" s="410">
        <f>+GPpcntMjr*(VLOOKUP($A72,FY15Revenue!$A$4:$H$24,8,FALSE))*VLOOKUP($A72,FY15Majors!$A$3:$S$23,MATCH(P$28,FY15Majors!$A$2:$S$2,0),FALSE)</f>
        <v>0</v>
      </c>
      <c r="Q72" s="410">
        <f>+GPpcntMjr*(VLOOKUP($A72,FY15Revenue!$A$4:$H$24,8,FALSE))*VLOOKUP($A72,FY15Majors!$A$3:$S$23,MATCH(Q$28,FY15Majors!$A$2:$S$2,0),FALSE)</f>
        <v>0</v>
      </c>
      <c r="R72" s="410">
        <f>+GPpcntMjr*(VLOOKUP($A72,FY15Revenue!$A$4:$H$24,8,FALSE))*VLOOKUP($A72,FY15Majors!$A$3:$S$23,MATCH(R$28,FY15Majors!$A$2:$S$2,0),FALSE)</f>
        <v>0</v>
      </c>
      <c r="S72" s="410">
        <f>+GPpcntMjr*(VLOOKUP($A72,FY15Revenue!$A$4:$H$24,8,FALSE))*VLOOKUP($A72,FY15Majors!$A$3:$S$23,MATCH(S$28,FY15Majors!$A$2:$S$2,0),FALSE)</f>
        <v>0</v>
      </c>
      <c r="T72" s="410">
        <f t="shared" si="6"/>
        <v>4589726.6559808776</v>
      </c>
    </row>
    <row r="73" spans="1:20" ht="20.100000000000001" customHeight="1">
      <c r="A73" s="406" t="s">
        <v>163</v>
      </c>
      <c r="B73" s="458" t="s">
        <v>164</v>
      </c>
      <c r="C73" s="457">
        <f>+GPpcntMjr*(VLOOKUP($A73,FY15Revenue!$A$4:$H$24,8,FALSE))*VLOOKUP($A73,FY15Majors!$A$3:$S$23,MATCH(C$28,FY15Majors!$A$2:$S$2,0),FALSE)</f>
        <v>0</v>
      </c>
      <c r="D73" s="457">
        <f>+GPpcntMjr*(VLOOKUP($A73,FY15Revenue!$A$4:$H$24,8,FALSE))*VLOOKUP($A73,FY15Majors!$A$3:$S$23,MATCH(D$28,FY15Majors!$A$2:$S$2,0),FALSE)</f>
        <v>0</v>
      </c>
      <c r="E73" s="457">
        <f>+GPpcntMjr*(VLOOKUP($A73,FY15Revenue!$A$4:$H$24,8,FALSE))*VLOOKUP($A73,FY15Majors!$A$3:$S$23,MATCH(E$28,FY15Majors!$A$2:$S$2,0),FALSE)</f>
        <v>0</v>
      </c>
      <c r="F73" s="457">
        <f>+GPpcntMjr*(VLOOKUP($A73,FY15Revenue!$A$4:$H$24,8,FALSE))*VLOOKUP($A73,FY15Majors!$A$3:$S$23,MATCH(F$28,FY15Majors!$A$2:$S$2,0),FALSE)</f>
        <v>0</v>
      </c>
      <c r="G73" s="457">
        <f>+GPpcntMjr*(VLOOKUP($A73,FY15Revenue!$A$4:$H$24,8,FALSE))*VLOOKUP($A73,FY15Majors!$A$3:$S$23,MATCH(G$28,FY15Majors!$A$2:$S$2,0),FALSE)</f>
        <v>0</v>
      </c>
      <c r="H73" s="457">
        <f>+GPpcntMjr*(VLOOKUP($A73,FY15Revenue!$A$4:$H$24,8,FALSE))*VLOOKUP($A73,FY15Majors!$A$3:$S$23,MATCH(H$28,FY15Majors!$A$2:$S$2,0),FALSE)</f>
        <v>0</v>
      </c>
      <c r="I73" s="457">
        <f>+GPpcntMjr*(VLOOKUP($A73,FY15Revenue!$A$4:$H$24,8,FALSE))*VLOOKUP($A73,FY15Majors!$A$3:$S$23,MATCH(I$28,FY15Majors!$A$2:$S$2,0),FALSE)</f>
        <v>0</v>
      </c>
      <c r="J73" s="457">
        <f>+GPpcntMjr*(VLOOKUP($A73,FY15Revenue!$A$4:$H$24,8,FALSE))*VLOOKUP($A73,FY15Majors!$A$3:$S$23,MATCH(J$28,FY15Majors!$A$2:$S$2,0),FALSE)</f>
        <v>0</v>
      </c>
      <c r="K73" s="457">
        <f>+GPpcntMjr*(VLOOKUP($A73,FY15Revenue!$A$4:$H$24,8,FALSE))*VLOOKUP($A73,FY15Majors!$A$3:$S$23,MATCH(K$28,FY15Majors!$A$2:$S$2,0),FALSE)</f>
        <v>0</v>
      </c>
      <c r="L73" s="457">
        <f>+GPpcntMjr*(VLOOKUP($A73,FY15Revenue!$A$4:$H$24,8,FALSE))*VLOOKUP($A73,FY15Majors!$A$3:$S$23,MATCH(L$28,FY15Majors!$A$2:$S$2,0),FALSE)</f>
        <v>0</v>
      </c>
      <c r="M73" s="457">
        <f>+GPpcntMjr*(VLOOKUP($A73,FY15Revenue!$A$4:$H$24,8,FALSE))*VLOOKUP($A73,FY15Majors!$A$3:$S$23,MATCH(M$28,FY15Majors!$A$2:$S$2,0),FALSE)</f>
        <v>696849.87311678962</v>
      </c>
      <c r="N73" s="457">
        <f>+GPpcntMjr*(VLOOKUP($A73,FY15Revenue!$A$4:$H$24,8,FALSE))*VLOOKUP($A73,FY15Majors!$A$3:$S$23,MATCH(N$28,FY15Majors!$A$2:$S$2,0),FALSE)</f>
        <v>0</v>
      </c>
      <c r="O73" s="457">
        <f>+GPpcntMjr*(VLOOKUP($A73,FY15Revenue!$A$4:$H$24,8,FALSE))*VLOOKUP($A73,FY15Majors!$A$3:$S$23,MATCH(O$28,FY15Majors!$A$2:$S$2,0),FALSE)</f>
        <v>0</v>
      </c>
      <c r="P73" s="457">
        <f>+GPpcntMjr*(VLOOKUP($A73,FY15Revenue!$A$4:$H$24,8,FALSE))*VLOOKUP($A73,FY15Majors!$A$3:$S$23,MATCH(P$28,FY15Majors!$A$2:$S$2,0),FALSE)</f>
        <v>0</v>
      </c>
      <c r="Q73" s="457">
        <f>+GPpcntMjr*(VLOOKUP($A73,FY15Revenue!$A$4:$H$24,8,FALSE))*VLOOKUP($A73,FY15Majors!$A$3:$S$23,MATCH(Q$28,FY15Majors!$A$2:$S$2,0),FALSE)</f>
        <v>0</v>
      </c>
      <c r="R73" s="457">
        <f>+GPpcntMjr*(VLOOKUP($A73,FY15Revenue!$A$4:$H$24,8,FALSE))*VLOOKUP($A73,FY15Majors!$A$3:$S$23,MATCH(R$28,FY15Majors!$A$2:$S$2,0),FALSE)</f>
        <v>0</v>
      </c>
      <c r="S73" s="457">
        <f>+GPpcntMjr*(VLOOKUP($A73,FY15Revenue!$A$4:$H$24,8,FALSE))*VLOOKUP($A73,FY15Majors!$A$3:$S$23,MATCH(S$28,FY15Majors!$A$2:$S$2,0),FALSE)</f>
        <v>0</v>
      </c>
      <c r="T73" s="457">
        <f t="shared" si="6"/>
        <v>696849.87311678962</v>
      </c>
    </row>
    <row r="74" spans="1:20" ht="20.100000000000001" customHeight="1">
      <c r="B74" s="459" t="s">
        <v>17</v>
      </c>
      <c r="C74" s="460">
        <f t="shared" ref="C74:S74" si="7">SUM(C53:C73)</f>
        <v>5088899.1291287635</v>
      </c>
      <c r="D74" s="460">
        <f t="shared" si="7"/>
        <v>78154021.445553616</v>
      </c>
      <c r="E74" s="460">
        <f t="shared" si="7"/>
        <v>15020310.437190972</v>
      </c>
      <c r="F74" s="460">
        <f t="shared" si="7"/>
        <v>4824395.9655889217</v>
      </c>
      <c r="G74" s="460">
        <f t="shared" si="7"/>
        <v>18778146.667579036</v>
      </c>
      <c r="H74" s="460">
        <f t="shared" si="7"/>
        <v>6633445.2325938726</v>
      </c>
      <c r="I74" s="460">
        <f t="shared" si="7"/>
        <v>1460132.6248591451</v>
      </c>
      <c r="J74" s="460">
        <f t="shared" si="7"/>
        <v>9012294.7746161185</v>
      </c>
      <c r="K74" s="460">
        <f t="shared" si="7"/>
        <v>3188426.8928327388</v>
      </c>
      <c r="L74" s="460">
        <f t="shared" si="7"/>
        <v>3059353.4002810684</v>
      </c>
      <c r="M74" s="460">
        <f t="shared" si="7"/>
        <v>5288269.9719216609</v>
      </c>
      <c r="N74" s="460">
        <f t="shared" si="7"/>
        <v>16162604.783075202</v>
      </c>
      <c r="O74" s="460">
        <f t="shared" si="7"/>
        <v>3036325.4834713535</v>
      </c>
      <c r="P74" s="460">
        <f t="shared" si="7"/>
        <v>5572546.5707847504</v>
      </c>
      <c r="Q74" s="460">
        <f t="shared" si="7"/>
        <v>5163072.9810070815</v>
      </c>
      <c r="R74" s="460">
        <f t="shared" si="7"/>
        <v>161591.3988668017</v>
      </c>
      <c r="S74" s="460">
        <f t="shared" si="7"/>
        <v>1053598.8764920116</v>
      </c>
      <c r="T74" s="460">
        <f t="shared" si="6"/>
        <v>181657436.63584313</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3"/>
  <sheetViews>
    <sheetView topLeftCell="B1" workbookViewId="0">
      <selection activeCell="B1" sqref="B1:H1"/>
    </sheetView>
  </sheetViews>
  <sheetFormatPr defaultColWidth="8.85546875" defaultRowHeight="15"/>
  <cols>
    <col min="1" max="1" width="0" style="32" hidden="1" customWidth="1"/>
    <col min="2" max="2" width="47.7109375" style="32" customWidth="1"/>
    <col min="3" max="3" width="15.85546875" style="32" customWidth="1"/>
    <col min="4" max="4" width="22" style="32" customWidth="1"/>
    <col min="5" max="5" width="17.7109375" style="32" bestFit="1" customWidth="1"/>
    <col min="6" max="6" width="14.7109375" style="32" customWidth="1"/>
    <col min="7" max="7" width="29.7109375" style="32" bestFit="1" customWidth="1"/>
    <col min="8" max="8" width="18.7109375" style="32" customWidth="1"/>
    <col min="9" max="9" width="25.7109375" style="32" customWidth="1"/>
    <col min="10" max="10" width="18.42578125" style="32" customWidth="1"/>
    <col min="11" max="12" width="19.28515625" style="32" customWidth="1"/>
    <col min="13" max="13" width="24.28515625" style="32" customWidth="1"/>
    <col min="14" max="21" width="24.28515625" style="25" customWidth="1"/>
    <col min="22" max="24" width="24.28515625" style="32" customWidth="1"/>
    <col min="25" max="16384" width="8.85546875" style="32"/>
  </cols>
  <sheetData>
    <row r="1" spans="1:10" ht="28.5" customHeight="1">
      <c r="B1" s="635" t="s">
        <v>275</v>
      </c>
      <c r="C1" s="635"/>
      <c r="D1" s="636"/>
      <c r="E1" s="635"/>
      <c r="F1" s="635"/>
      <c r="G1" s="635"/>
      <c r="H1" s="635"/>
    </row>
    <row r="2" spans="1:10" s="2" customFormat="1">
      <c r="B2" s="215" t="s">
        <v>103</v>
      </c>
      <c r="C2" s="215" t="s">
        <v>124</v>
      </c>
      <c r="D2" s="216" t="s">
        <v>199</v>
      </c>
      <c r="E2" s="217" t="s">
        <v>170</v>
      </c>
      <c r="F2" s="217" t="s">
        <v>176</v>
      </c>
      <c r="G2" s="217" t="s">
        <v>171</v>
      </c>
      <c r="H2" s="218" t="s">
        <v>81</v>
      </c>
    </row>
    <row r="3" spans="1:10" s="2" customFormat="1" ht="15" customHeight="1">
      <c r="B3" s="248"/>
      <c r="C3" s="249"/>
      <c r="D3" s="250"/>
      <c r="E3" s="251"/>
      <c r="F3" s="251"/>
      <c r="G3" s="251"/>
      <c r="H3" s="252"/>
    </row>
    <row r="4" spans="1:10" ht="15.95" customHeight="1">
      <c r="A4" s="32" t="s">
        <v>128</v>
      </c>
      <c r="B4" s="220" t="s">
        <v>21</v>
      </c>
      <c r="C4" s="227">
        <v>26598.211111029072</v>
      </c>
      <c r="D4" s="228">
        <f>406326796.586274-1930000</f>
        <v>404396796.58627403</v>
      </c>
      <c r="E4" s="473">
        <f>+FY13Revenue!D3+951000</f>
        <v>13463000</v>
      </c>
      <c r="F4" s="473">
        <v>6000000</v>
      </c>
      <c r="G4" s="473">
        <f>+D4-E4-F4</f>
        <v>384933796.58627403</v>
      </c>
      <c r="H4" s="230">
        <f t="shared" ref="H4:H24" si="0">+G4*0.7</f>
        <v>269453657.6103918</v>
      </c>
    </row>
    <row r="5" spans="1:10" ht="15.95" customHeight="1">
      <c r="A5" s="32" t="s">
        <v>129</v>
      </c>
      <c r="B5" s="222" t="s">
        <v>35</v>
      </c>
      <c r="C5" s="231">
        <v>2987.2444444276312</v>
      </c>
      <c r="D5" s="232">
        <v>20159733.693776093</v>
      </c>
      <c r="E5" s="474"/>
      <c r="F5" s="474"/>
      <c r="G5" s="474">
        <f t="shared" ref="G5:G24" si="1">+D5-E5-F5</f>
        <v>20159733.693776093</v>
      </c>
      <c r="H5" s="234">
        <f t="shared" si="0"/>
        <v>14111813.585643265</v>
      </c>
      <c r="J5" s="197"/>
    </row>
    <row r="6" spans="1:10" ht="15.95" customHeight="1">
      <c r="A6" s="32" t="s">
        <v>140</v>
      </c>
      <c r="B6" s="222" t="s">
        <v>36</v>
      </c>
      <c r="C6" s="231">
        <v>157.23888888812039</v>
      </c>
      <c r="D6" s="232">
        <v>1644495.5804375594</v>
      </c>
      <c r="E6" s="474"/>
      <c r="F6" s="474"/>
      <c r="G6" s="474">
        <f t="shared" si="1"/>
        <v>1644495.5804375594</v>
      </c>
      <c r="H6" s="234">
        <f t="shared" si="0"/>
        <v>1151146.9063062915</v>
      </c>
    </row>
    <row r="7" spans="1:10" ht="15.95" customHeight="1">
      <c r="A7" s="32" t="s">
        <v>130</v>
      </c>
      <c r="B7" s="222" t="s">
        <v>37</v>
      </c>
      <c r="C7" s="231">
        <v>1165.6444444296299</v>
      </c>
      <c r="D7" s="232">
        <v>11600306.365333915</v>
      </c>
      <c r="E7" s="474"/>
      <c r="F7" s="474"/>
      <c r="G7" s="474">
        <f t="shared" si="1"/>
        <v>11600306.365333915</v>
      </c>
      <c r="H7" s="234">
        <f t="shared" si="0"/>
        <v>8120214.4557337398</v>
      </c>
    </row>
    <row r="8" spans="1:10" ht="15.95" customHeight="1">
      <c r="A8" s="32" t="s">
        <v>131</v>
      </c>
      <c r="B8" s="222" t="s">
        <v>141</v>
      </c>
      <c r="C8" s="231">
        <v>523.9999999957389</v>
      </c>
      <c r="D8" s="232">
        <v>5185288.3560358603</v>
      </c>
      <c r="E8" s="474"/>
      <c r="F8" s="474"/>
      <c r="G8" s="474">
        <f t="shared" si="1"/>
        <v>5185288.3560358603</v>
      </c>
      <c r="H8" s="234">
        <f t="shared" si="0"/>
        <v>3629701.849225102</v>
      </c>
    </row>
    <row r="9" spans="1:10" ht="15.95" customHeight="1">
      <c r="A9" s="32" t="s">
        <v>132</v>
      </c>
      <c r="B9" s="222" t="s">
        <v>206</v>
      </c>
      <c r="C9" s="231">
        <v>654.7222222188733</v>
      </c>
      <c r="D9" s="232">
        <v>6258091.1219052505</v>
      </c>
      <c r="E9" s="474"/>
      <c r="F9" s="474"/>
      <c r="G9" s="474">
        <f t="shared" si="1"/>
        <v>6258091.1219052505</v>
      </c>
      <c r="H9" s="234">
        <f t="shared" si="0"/>
        <v>4380663.7853336753</v>
      </c>
    </row>
    <row r="10" spans="1:10" ht="15.95" customHeight="1">
      <c r="A10" s="32" t="s">
        <v>134</v>
      </c>
      <c r="B10" s="222" t="s">
        <v>40</v>
      </c>
      <c r="C10" s="547">
        <v>0.39999999999000002</v>
      </c>
      <c r="D10" s="232">
        <v>7408.5354356237949</v>
      </c>
      <c r="E10" s="474"/>
      <c r="F10" s="474"/>
      <c r="G10" s="474">
        <f t="shared" si="1"/>
        <v>7408.5354356237949</v>
      </c>
      <c r="H10" s="234">
        <f t="shared" si="0"/>
        <v>5185.9748049366563</v>
      </c>
    </row>
    <row r="11" spans="1:10" ht="15.95" customHeight="1">
      <c r="A11" s="32" t="s">
        <v>135</v>
      </c>
      <c r="B11" s="222" t="s">
        <v>70</v>
      </c>
      <c r="C11" s="231">
        <v>340.95555555375091</v>
      </c>
      <c r="D11" s="232">
        <v>4276347.4023828153</v>
      </c>
      <c r="E11" s="474"/>
      <c r="F11" s="474"/>
      <c r="G11" s="474">
        <f t="shared" si="1"/>
        <v>4276347.4023828153</v>
      </c>
      <c r="H11" s="234">
        <f t="shared" si="0"/>
        <v>2993443.1816679705</v>
      </c>
    </row>
    <row r="12" spans="1:10" ht="15.95" customHeight="1">
      <c r="A12" s="32" t="s">
        <v>136</v>
      </c>
      <c r="B12" s="222" t="s">
        <v>144</v>
      </c>
      <c r="C12" s="231">
        <v>322.19999999574964</v>
      </c>
      <c r="D12" s="232">
        <v>3259370.5756260697</v>
      </c>
      <c r="E12" s="474"/>
      <c r="F12" s="474"/>
      <c r="G12" s="474">
        <f t="shared" si="1"/>
        <v>3259370.5756260697</v>
      </c>
      <c r="H12" s="234">
        <f t="shared" si="0"/>
        <v>2281559.4029382486</v>
      </c>
    </row>
    <row r="13" spans="1:10" ht="15.95" customHeight="1">
      <c r="A13" s="32" t="s">
        <v>137</v>
      </c>
      <c r="B13" s="222" t="s">
        <v>49</v>
      </c>
      <c r="C13" s="231">
        <v>172.36111110833014</v>
      </c>
      <c r="D13" s="232">
        <v>1759970.9349363351</v>
      </c>
      <c r="E13" s="474"/>
      <c r="F13" s="474"/>
      <c r="G13" s="474">
        <f t="shared" si="1"/>
        <v>1759970.9349363351</v>
      </c>
      <c r="H13" s="234">
        <f t="shared" si="0"/>
        <v>1231979.6544554345</v>
      </c>
    </row>
    <row r="14" spans="1:10" ht="15.95" customHeight="1">
      <c r="A14" s="32" t="s">
        <v>145</v>
      </c>
      <c r="B14" s="222" t="s">
        <v>207</v>
      </c>
      <c r="C14" s="231">
        <v>391.1666666674397</v>
      </c>
      <c r="D14" s="232">
        <v>6387566.1308451993</v>
      </c>
      <c r="E14" s="474"/>
      <c r="F14" s="474"/>
      <c r="G14" s="474">
        <f t="shared" si="1"/>
        <v>6387566.1308451993</v>
      </c>
      <c r="H14" s="234">
        <f t="shared" si="0"/>
        <v>4471296.2915916396</v>
      </c>
    </row>
    <row r="15" spans="1:10" ht="15.95" customHeight="1">
      <c r="A15" s="32" t="s">
        <v>147</v>
      </c>
      <c r="B15" s="222" t="s">
        <v>208</v>
      </c>
      <c r="C15" s="231">
        <v>71.733333332720022</v>
      </c>
      <c r="D15" s="232">
        <v>1666818.1002270414</v>
      </c>
      <c r="E15" s="474"/>
      <c r="F15" s="474"/>
      <c r="G15" s="474">
        <f t="shared" si="1"/>
        <v>1666818.1002270414</v>
      </c>
      <c r="H15" s="234">
        <f t="shared" si="0"/>
        <v>1166772.670158929</v>
      </c>
    </row>
    <row r="16" spans="1:10" ht="15.95" customHeight="1">
      <c r="A16" s="32" t="s">
        <v>148</v>
      </c>
      <c r="B16" s="222" t="s">
        <v>39</v>
      </c>
      <c r="C16" s="231">
        <v>408.11111110144077</v>
      </c>
      <c r="D16" s="232">
        <v>6215659.4923025277</v>
      </c>
      <c r="E16" s="474"/>
      <c r="F16" s="474"/>
      <c r="G16" s="474">
        <f t="shared" si="1"/>
        <v>6215659.4923025277</v>
      </c>
      <c r="H16" s="234">
        <f t="shared" si="0"/>
        <v>4350961.6446117694</v>
      </c>
    </row>
    <row r="17" spans="1:11" ht="15.95" customHeight="1">
      <c r="A17" s="32" t="s">
        <v>149</v>
      </c>
      <c r="B17" s="222" t="s">
        <v>38</v>
      </c>
      <c r="C17" s="231">
        <v>376.91111110667987</v>
      </c>
      <c r="D17" s="232">
        <v>6680452.6791636012</v>
      </c>
      <c r="E17" s="474"/>
      <c r="F17" s="474"/>
      <c r="G17" s="474">
        <f t="shared" si="1"/>
        <v>6680452.6791636012</v>
      </c>
      <c r="H17" s="234">
        <f t="shared" si="0"/>
        <v>4676316.8754145205</v>
      </c>
    </row>
    <row r="18" spans="1:11">
      <c r="A18" s="32" t="s">
        <v>150</v>
      </c>
      <c r="B18" s="222" t="s">
        <v>31</v>
      </c>
      <c r="C18" s="231">
        <v>752.7888888864511</v>
      </c>
      <c r="D18" s="232">
        <v>14638971.321709422</v>
      </c>
      <c r="E18" s="474"/>
      <c r="F18" s="474"/>
      <c r="G18" s="474">
        <f t="shared" si="1"/>
        <v>14638971.321709422</v>
      </c>
      <c r="H18" s="234">
        <f t="shared" si="0"/>
        <v>10247279.925196595</v>
      </c>
    </row>
    <row r="19" spans="1:11">
      <c r="A19" s="32" t="s">
        <v>151</v>
      </c>
      <c r="B19" s="222" t="s">
        <v>209</v>
      </c>
      <c r="C19" s="231">
        <v>82.011111111030019</v>
      </c>
      <c r="D19" s="232">
        <v>1661824.9560830037</v>
      </c>
      <c r="E19" s="474"/>
      <c r="F19" s="474"/>
      <c r="G19" s="474">
        <f t="shared" si="1"/>
        <v>1661824.9560830037</v>
      </c>
      <c r="H19" s="234">
        <f t="shared" si="0"/>
        <v>1163277.4692581026</v>
      </c>
    </row>
    <row r="20" spans="1:11">
      <c r="A20" s="32" t="s">
        <v>153</v>
      </c>
      <c r="B20" s="222" t="s">
        <v>210</v>
      </c>
      <c r="C20" s="231">
        <v>74.43333333340999</v>
      </c>
      <c r="D20" s="232">
        <v>1587519.9630479105</v>
      </c>
      <c r="E20" s="474"/>
      <c r="F20" s="474"/>
      <c r="G20" s="474">
        <f t="shared" si="1"/>
        <v>1587519.9630479105</v>
      </c>
      <c r="H20" s="234">
        <f t="shared" si="0"/>
        <v>1111263.9741335372</v>
      </c>
    </row>
    <row r="21" spans="1:11">
      <c r="A21" s="32" t="s">
        <v>155</v>
      </c>
      <c r="B21" s="222" t="s">
        <v>42</v>
      </c>
      <c r="C21" s="231">
        <v>599.68888888794868</v>
      </c>
      <c r="D21" s="232">
        <v>9464686.9155289251</v>
      </c>
      <c r="E21" s="474"/>
      <c r="F21" s="474"/>
      <c r="G21" s="474">
        <f t="shared" si="1"/>
        <v>9464686.9155289251</v>
      </c>
      <c r="H21" s="234">
        <f t="shared" si="0"/>
        <v>6625280.8408702472</v>
      </c>
    </row>
    <row r="22" spans="1:11">
      <c r="A22" s="32" t="s">
        <v>162</v>
      </c>
      <c r="B22" s="222" t="s">
        <v>76</v>
      </c>
      <c r="C22" s="231">
        <v>1419.1333333275575</v>
      </c>
      <c r="D22" s="232">
        <v>20026554.058416981</v>
      </c>
      <c r="E22" s="474"/>
      <c r="F22" s="474"/>
      <c r="G22" s="474">
        <f t="shared" si="1"/>
        <v>20026554.058416981</v>
      </c>
      <c r="H22" s="234">
        <f t="shared" si="0"/>
        <v>14018587.840891887</v>
      </c>
    </row>
    <row r="23" spans="1:11">
      <c r="A23" s="32" t="s">
        <v>156</v>
      </c>
      <c r="B23" s="222" t="s">
        <v>77</v>
      </c>
      <c r="C23" s="231">
        <v>542.08888887906119</v>
      </c>
      <c r="D23" s="232">
        <v>8195940.45710871</v>
      </c>
      <c r="E23" s="474"/>
      <c r="F23" s="474"/>
      <c r="G23" s="474">
        <f t="shared" si="1"/>
        <v>8195940.45710871</v>
      </c>
      <c r="H23" s="234">
        <f t="shared" si="0"/>
        <v>5737158.319976097</v>
      </c>
    </row>
    <row r="24" spans="1:11">
      <c r="A24" s="32" t="s">
        <v>163</v>
      </c>
      <c r="B24" s="222" t="s">
        <v>212</v>
      </c>
      <c r="C24" s="231">
        <v>83.499999998730033</v>
      </c>
      <c r="D24" s="232">
        <v>1244374.7734228387</v>
      </c>
      <c r="E24" s="474"/>
      <c r="F24" s="474"/>
      <c r="G24" s="474">
        <f t="shared" si="1"/>
        <v>1244374.7734228387</v>
      </c>
      <c r="H24" s="234">
        <f t="shared" si="0"/>
        <v>871062.34139598696</v>
      </c>
      <c r="I24" s="610" t="s">
        <v>335</v>
      </c>
    </row>
    <row r="25" spans="1:11">
      <c r="B25" s="223" t="s">
        <v>106</v>
      </c>
      <c r="C25" s="236">
        <f t="shared" ref="C25:H25" si="2">SUM(C4:C24)</f>
        <v>37724.544444279345</v>
      </c>
      <c r="D25" s="191">
        <f t="shared" si="2"/>
        <v>536318177.9999997</v>
      </c>
      <c r="E25" s="191">
        <f t="shared" si="2"/>
        <v>13463000</v>
      </c>
      <c r="F25" s="191">
        <f t="shared" si="2"/>
        <v>6000000</v>
      </c>
      <c r="G25" s="191">
        <f t="shared" si="2"/>
        <v>516855177.9999997</v>
      </c>
      <c r="H25" s="552">
        <f t="shared" si="2"/>
        <v>361798624.59999979</v>
      </c>
      <c r="I25" s="606">
        <f>+G25-H25</f>
        <v>155056553.39999992</v>
      </c>
      <c r="J25" s="8"/>
    </row>
    <row r="26" spans="1:11">
      <c r="B26" s="224" t="s">
        <v>107</v>
      </c>
      <c r="C26" s="246">
        <v>4320</v>
      </c>
      <c r="D26" s="228">
        <v>52579621</v>
      </c>
      <c r="E26" s="238">
        <v>2974000</v>
      </c>
      <c r="F26" s="239"/>
      <c r="G26" s="239">
        <f>+D26-E26-F26</f>
        <v>49605621</v>
      </c>
      <c r="H26" s="240"/>
      <c r="K26" s="575"/>
    </row>
    <row r="27" spans="1:11">
      <c r="B27" s="225" t="s">
        <v>108</v>
      </c>
      <c r="C27" s="247">
        <v>3931</v>
      </c>
      <c r="D27" s="235">
        <v>45894852</v>
      </c>
      <c r="E27" s="241">
        <v>2689000</v>
      </c>
      <c r="F27" s="242"/>
      <c r="G27" s="242">
        <f>+D27-E27-F27</f>
        <v>43205852</v>
      </c>
      <c r="H27" s="243"/>
      <c r="K27" s="575"/>
    </row>
    <row r="28" spans="1:11">
      <c r="B28" s="226" t="s">
        <v>109</v>
      </c>
      <c r="C28" s="244">
        <f>SUM(C25:C27)</f>
        <v>45975.544444279345</v>
      </c>
      <c r="D28" s="193">
        <f>SUM(D25:D27)</f>
        <v>634792650.99999976</v>
      </c>
      <c r="E28" s="193">
        <f>SUM(E25:E27)</f>
        <v>19126000</v>
      </c>
      <c r="F28" s="191">
        <f>SUM(F25:F27)</f>
        <v>6000000</v>
      </c>
      <c r="G28" s="191">
        <f>SUM(G25:G27)</f>
        <v>609666650.99999976</v>
      </c>
      <c r="H28" s="245"/>
    </row>
    <row r="29" spans="1:11">
      <c r="B29" s="208"/>
      <c r="C29" s="209"/>
      <c r="D29" s="210"/>
      <c r="E29" s="210"/>
      <c r="F29" s="211"/>
      <c r="G29" s="210"/>
      <c r="H29"/>
      <c r="I29"/>
    </row>
    <row r="30" spans="1:11">
      <c r="B30" s="208"/>
      <c r="C30" s="212"/>
      <c r="D30" s="214"/>
      <c r="E30" s="210"/>
      <c r="F30" s="211"/>
      <c r="G30" s="210"/>
      <c r="H30"/>
    </row>
    <row r="31" spans="1:11" hidden="1">
      <c r="B31" s="208"/>
      <c r="C31" s="496"/>
      <c r="D31" s="214"/>
      <c r="E31" s="210"/>
      <c r="F31" s="211"/>
      <c r="G31" s="594">
        <f>608730000+937900</f>
        <v>609667900</v>
      </c>
      <c r="H31" s="59"/>
    </row>
    <row r="32" spans="1:11" hidden="1">
      <c r="C32" s="78"/>
      <c r="D32" s="214"/>
      <c r="E32" s="8"/>
      <c r="G32" s="594">
        <f>15834700+G31</f>
        <v>625502600</v>
      </c>
      <c r="H32" s="10"/>
    </row>
    <row r="33" spans="1:23" hidden="1">
      <c r="B33" s="541" t="s">
        <v>127</v>
      </c>
      <c r="C33" s="545" t="s">
        <v>269</v>
      </c>
      <c r="D33" s="545" t="s">
        <v>270</v>
      </c>
      <c r="E33" s="545" t="s">
        <v>271</v>
      </c>
      <c r="F33" s="545" t="s">
        <v>272</v>
      </c>
      <c r="G33" s="545" t="s">
        <v>273</v>
      </c>
      <c r="H33" s="545" t="s">
        <v>274</v>
      </c>
    </row>
    <row r="34" spans="1:23" hidden="1">
      <c r="B34" s="542" t="s">
        <v>21</v>
      </c>
      <c r="C34" s="546">
        <v>27563.666666666657</v>
      </c>
      <c r="D34" s="546">
        <v>26598.211111029072</v>
      </c>
      <c r="E34" s="546">
        <v>440353672.81188691</v>
      </c>
      <c r="F34" s="546">
        <v>290075530.84085464</v>
      </c>
      <c r="G34" s="546">
        <v>11603021.233634187</v>
      </c>
      <c r="H34" s="546">
        <v>1038234.1190164601</v>
      </c>
    </row>
    <row r="35" spans="1:23" hidden="1">
      <c r="B35" s="542" t="s">
        <v>35</v>
      </c>
      <c r="C35" s="546">
        <v>2787.3333333333298</v>
      </c>
      <c r="D35" s="546">
        <v>2987.2444444276312</v>
      </c>
      <c r="E35" s="546">
        <v>60794439.097415261</v>
      </c>
      <c r="F35" s="546">
        <v>39508190.983014122</v>
      </c>
      <c r="G35" s="546">
        <v>1580327.6393205649</v>
      </c>
      <c r="H35" s="546">
        <v>37993339.148856699</v>
      </c>
    </row>
    <row r="36" spans="1:23" hidden="1">
      <c r="B36" s="542" t="s">
        <v>36</v>
      </c>
      <c r="C36" s="546">
        <v>125.33333333333</v>
      </c>
      <c r="D36" s="546">
        <v>157.23888888812039</v>
      </c>
      <c r="E36" s="546">
        <v>2344784.7928090151</v>
      </c>
      <c r="F36" s="546">
        <v>1821966.0292744441</v>
      </c>
      <c r="G36" s="546">
        <v>72878.64117097776</v>
      </c>
      <c r="H36" s="546">
        <v>540858.17223008024</v>
      </c>
    </row>
    <row r="37" spans="1:23" hidden="1">
      <c r="A37"/>
      <c r="B37" s="542" t="s">
        <v>37</v>
      </c>
      <c r="C37" s="546">
        <v>1086.6666666666599</v>
      </c>
      <c r="D37" s="546">
        <v>1165.6444444296299</v>
      </c>
      <c r="E37" s="546">
        <v>25103744.165661342</v>
      </c>
      <c r="F37" s="546">
        <v>15907799.81398743</v>
      </c>
      <c r="G37" s="546">
        <v>636311.99255949724</v>
      </c>
      <c r="H37" s="546">
        <v>12256583.367487198</v>
      </c>
      <c r="V37"/>
      <c r="W37"/>
    </row>
    <row r="38" spans="1:23" hidden="1">
      <c r="A38"/>
      <c r="B38" s="542" t="s">
        <v>141</v>
      </c>
      <c r="C38" s="546">
        <v>460.66666666667004</v>
      </c>
      <c r="D38" s="546">
        <v>523.9999999957389</v>
      </c>
      <c r="E38" s="546">
        <v>9877930.7196012028</v>
      </c>
      <c r="F38" s="546">
        <v>6595614.8425476747</v>
      </c>
      <c r="G38" s="546">
        <v>263824.59370190697</v>
      </c>
      <c r="H38" s="546">
        <v>4155907.8563878643</v>
      </c>
      <c r="V38"/>
      <c r="W38"/>
    </row>
    <row r="39" spans="1:23" hidden="1">
      <c r="A39"/>
      <c r="B39" s="542" t="s">
        <v>206</v>
      </c>
      <c r="C39" s="546">
        <v>576.66666666666993</v>
      </c>
      <c r="D39" s="546">
        <v>654.7222222188733</v>
      </c>
      <c r="E39" s="546">
        <v>9758563.825089559</v>
      </c>
      <c r="F39" s="546">
        <v>7686479.9841492102</v>
      </c>
      <c r="G39" s="546">
        <v>307459.19936596847</v>
      </c>
      <c r="H39" s="546">
        <v>2863640.286875959</v>
      </c>
      <c r="V39"/>
      <c r="W39"/>
    </row>
    <row r="40" spans="1:23" hidden="1">
      <c r="A40"/>
      <c r="B40" s="542" t="s">
        <v>40</v>
      </c>
      <c r="C40" s="546">
        <v>1</v>
      </c>
      <c r="D40" s="546">
        <v>0.39999999999000002</v>
      </c>
      <c r="E40" s="546">
        <v>8123.3941180085467</v>
      </c>
      <c r="F40" s="546">
        <v>8123.3941180085467</v>
      </c>
      <c r="G40" s="546">
        <v>324.93576472034187</v>
      </c>
      <c r="H40" s="546">
        <v>0</v>
      </c>
      <c r="V40"/>
      <c r="W40"/>
    </row>
    <row r="41" spans="1:23" hidden="1">
      <c r="A41"/>
      <c r="B41" s="542" t="s">
        <v>70</v>
      </c>
      <c r="C41" s="546">
        <v>259.33333333332996</v>
      </c>
      <c r="D41" s="546">
        <v>340.95555555375091</v>
      </c>
      <c r="E41" s="546">
        <v>4859509.895023996</v>
      </c>
      <c r="F41" s="546">
        <v>4136643.5925135827</v>
      </c>
      <c r="G41" s="546">
        <v>165465.7437005433</v>
      </c>
      <c r="H41" s="546">
        <v>192625.83302575286</v>
      </c>
      <c r="V41"/>
      <c r="W41"/>
    </row>
    <row r="42" spans="1:23" hidden="1">
      <c r="A42"/>
      <c r="B42" s="542" t="s">
        <v>144</v>
      </c>
      <c r="C42" s="546">
        <v>298</v>
      </c>
      <c r="D42" s="546">
        <v>322.19999999574964</v>
      </c>
      <c r="E42" s="546">
        <v>6527071.3022252731</v>
      </c>
      <c r="F42" s="546">
        <v>4382466.2198147764</v>
      </c>
      <c r="G42" s="546">
        <v>175298.64879259106</v>
      </c>
      <c r="H42" s="546">
        <v>2920856.2580368193</v>
      </c>
      <c r="M42"/>
      <c r="V42"/>
      <c r="W42"/>
    </row>
    <row r="43" spans="1:23" hidden="1">
      <c r="A43"/>
      <c r="B43" s="542" t="s">
        <v>49</v>
      </c>
      <c r="C43" s="546">
        <v>132</v>
      </c>
      <c r="D43" s="546">
        <v>172.36111110833014</v>
      </c>
      <c r="E43" s="546">
        <v>3143293.4829984908</v>
      </c>
      <c r="F43" s="546">
        <v>2008621.5795781193</v>
      </c>
      <c r="G43" s="546">
        <v>80344.863183124777</v>
      </c>
      <c r="H43" s="546">
        <v>1210347.6356718552</v>
      </c>
      <c r="M43"/>
      <c r="V43"/>
      <c r="W43"/>
    </row>
    <row r="44" spans="1:23" hidden="1">
      <c r="A44"/>
      <c r="B44" s="542" t="s">
        <v>207</v>
      </c>
      <c r="C44" s="546">
        <v>327</v>
      </c>
      <c r="D44" s="546">
        <v>391.1666666674397</v>
      </c>
      <c r="E44" s="546">
        <v>7613823.2878023963</v>
      </c>
      <c r="F44" s="546">
        <v>4956148.9492020989</v>
      </c>
      <c r="G44" s="546">
        <v>198245.95796808397</v>
      </c>
      <c r="H44" s="546">
        <v>691823.50789199758</v>
      </c>
      <c r="M44"/>
      <c r="V44"/>
      <c r="W44"/>
    </row>
    <row r="45" spans="1:23" hidden="1">
      <c r="A45"/>
      <c r="B45" s="542" t="s">
        <v>208</v>
      </c>
      <c r="C45" s="546">
        <v>86.666666666660007</v>
      </c>
      <c r="D45" s="546">
        <v>71.733333332720022</v>
      </c>
      <c r="E45" s="546">
        <v>1812362.4620355261</v>
      </c>
      <c r="F45" s="546">
        <v>1365549.0120033422</v>
      </c>
      <c r="G45" s="546">
        <v>54621.960480133683</v>
      </c>
      <c r="H45" s="546">
        <v>3195.1328953489406</v>
      </c>
      <c r="M45"/>
      <c r="V45"/>
      <c r="W45"/>
    </row>
    <row r="46" spans="1:23" hidden="1">
      <c r="A46"/>
      <c r="B46" s="542" t="s">
        <v>39</v>
      </c>
      <c r="C46" s="546">
        <v>330.66666666665998</v>
      </c>
      <c r="D46" s="546">
        <v>408.11111110144077</v>
      </c>
      <c r="E46" s="546">
        <v>8067619.5334444847</v>
      </c>
      <c r="F46" s="546">
        <v>6030969.7359376634</v>
      </c>
      <c r="G46" s="546">
        <v>241238.78943750652</v>
      </c>
      <c r="H46" s="546">
        <v>1283581.2784253694</v>
      </c>
      <c r="M46"/>
      <c r="V46"/>
      <c r="W46"/>
    </row>
    <row r="47" spans="1:23" hidden="1">
      <c r="A47"/>
      <c r="B47" s="542" t="s">
        <v>38</v>
      </c>
      <c r="C47" s="546">
        <v>245</v>
      </c>
      <c r="D47" s="546">
        <v>376.91111110667987</v>
      </c>
      <c r="E47" s="546">
        <v>8676893.1184726022</v>
      </c>
      <c r="F47" s="546">
        <v>6694893.1886224374</v>
      </c>
      <c r="G47" s="546">
        <v>267795.72754489753</v>
      </c>
      <c r="H47" s="546">
        <v>1377041.9391765464</v>
      </c>
      <c r="M47"/>
      <c r="V47"/>
      <c r="W47"/>
    </row>
    <row r="48" spans="1:23" hidden="1">
      <c r="A48"/>
      <c r="B48" s="542" t="s">
        <v>31</v>
      </c>
      <c r="C48" s="546">
        <v>499.33333333332996</v>
      </c>
      <c r="D48" s="546">
        <v>752.7888888864511</v>
      </c>
      <c r="E48" s="546">
        <v>16505192.503482629</v>
      </c>
      <c r="F48" s="546">
        <v>14574366.820926961</v>
      </c>
      <c r="G48" s="546">
        <v>582974.67283707845</v>
      </c>
      <c r="H48" s="546">
        <v>512774.3341093146</v>
      </c>
      <c r="M48"/>
      <c r="V48"/>
      <c r="W48"/>
    </row>
    <row r="49" spans="1:23" hidden="1">
      <c r="A49"/>
      <c r="B49" s="542" t="s">
        <v>209</v>
      </c>
      <c r="C49" s="546">
        <v>67.333333333339993</v>
      </c>
      <c r="D49" s="546">
        <v>82.011111111030019</v>
      </c>
      <c r="E49" s="546">
        <v>1914960.4197690273</v>
      </c>
      <c r="F49" s="546">
        <v>1068846.2098952811</v>
      </c>
      <c r="G49" s="546">
        <v>42753.848395811241</v>
      </c>
      <c r="H49" s="546">
        <v>122917.14391742289</v>
      </c>
      <c r="M49"/>
      <c r="V49"/>
      <c r="W49"/>
    </row>
    <row r="50" spans="1:23" hidden="1">
      <c r="A50"/>
      <c r="B50" s="542" t="s">
        <v>210</v>
      </c>
      <c r="C50" s="546">
        <v>76.666666666669997</v>
      </c>
      <c r="D50" s="546">
        <v>74.43333333340999</v>
      </c>
      <c r="E50" s="546">
        <v>1985082.5376338982</v>
      </c>
      <c r="F50" s="546">
        <v>1746461.9136954029</v>
      </c>
      <c r="G50" s="546">
        <v>69858.476547816113</v>
      </c>
      <c r="H50" s="546">
        <v>244150.41577249212</v>
      </c>
      <c r="M50"/>
      <c r="V50"/>
      <c r="W50"/>
    </row>
    <row r="51" spans="1:23" hidden="1">
      <c r="A51"/>
      <c r="B51" s="542" t="s">
        <v>42</v>
      </c>
      <c r="C51" s="546">
        <v>366.33333333333997</v>
      </c>
      <c r="D51" s="546">
        <v>599.68888888794868</v>
      </c>
      <c r="E51" s="546">
        <v>12239546.63641808</v>
      </c>
      <c r="F51" s="546">
        <v>10251167.788736966</v>
      </c>
      <c r="G51" s="546">
        <v>410046.71154947858</v>
      </c>
      <c r="H51" s="546">
        <v>1866671.592732891</v>
      </c>
      <c r="M51"/>
      <c r="V51"/>
      <c r="W51"/>
    </row>
    <row r="52" spans="1:23" hidden="1">
      <c r="A52"/>
      <c r="B52" s="542" t="s">
        <v>76</v>
      </c>
      <c r="C52" s="546">
        <v>774.33333333333007</v>
      </c>
      <c r="D52" s="546">
        <v>1419.1333333275575</v>
      </c>
      <c r="E52" s="546">
        <v>29810386.878741696</v>
      </c>
      <c r="F52" s="546">
        <v>21514117.817208409</v>
      </c>
      <c r="G52" s="546">
        <v>860564.71268833638</v>
      </c>
      <c r="H52" s="546">
        <v>7869238.9466670612</v>
      </c>
      <c r="M52"/>
      <c r="V52"/>
      <c r="W52"/>
    </row>
    <row r="53" spans="1:23" hidden="1">
      <c r="A53"/>
      <c r="B53" s="542" t="s">
        <v>77</v>
      </c>
      <c r="C53" s="546">
        <v>243.66666666665998</v>
      </c>
      <c r="D53" s="546">
        <v>542.08888887906119</v>
      </c>
      <c r="E53" s="546">
        <v>9257166.3847962357</v>
      </c>
      <c r="F53" s="546">
        <v>8637130.232791055</v>
      </c>
      <c r="G53" s="546">
        <v>345485.20931164228</v>
      </c>
      <c r="H53" s="546">
        <v>284375.43115963624</v>
      </c>
      <c r="M53"/>
      <c r="V53"/>
      <c r="W53"/>
    </row>
    <row r="54" spans="1:23" hidden="1">
      <c r="A54"/>
      <c r="B54" s="542" t="s">
        <v>212</v>
      </c>
      <c r="C54" s="546">
        <v>66</v>
      </c>
      <c r="D54" s="546">
        <v>83.499999998730033</v>
      </c>
      <c r="E54" s="546">
        <v>1457012.4003189413</v>
      </c>
      <c r="F54" s="546">
        <v>1010373.6776538384</v>
      </c>
      <c r="G54" s="546">
        <v>40414.947106153537</v>
      </c>
      <c r="H54" s="546">
        <v>106729.27066243121</v>
      </c>
      <c r="M54"/>
      <c r="V54"/>
      <c r="W54"/>
    </row>
    <row r="55" spans="1:23" hidden="1">
      <c r="A55"/>
      <c r="C55" s="25">
        <f t="shared" ref="C55:H55" si="3">SUM(C34:C54)</f>
        <v>36373.666666666635</v>
      </c>
      <c r="D55" s="25">
        <f t="shared" si="3"/>
        <v>37724.544444279345</v>
      </c>
      <c r="E55" s="25">
        <f t="shared" si="3"/>
        <v>662111179.64974451</v>
      </c>
      <c r="F55" s="25">
        <f t="shared" si="3"/>
        <v>449981462.6265254</v>
      </c>
      <c r="G55" s="25">
        <f t="shared" si="3"/>
        <v>17999258.505061019</v>
      </c>
      <c r="H55" s="25">
        <f t="shared" si="3"/>
        <v>77534891.670999184</v>
      </c>
      <c r="M55"/>
      <c r="V55"/>
      <c r="W55"/>
    </row>
    <row r="56" spans="1:23" hidden="1">
      <c r="A56"/>
      <c r="B56" s="543" t="s">
        <v>260</v>
      </c>
      <c r="C56" s="25"/>
      <c r="D56" s="25"/>
      <c r="E56" s="25"/>
      <c r="F56" s="25"/>
      <c r="G56" s="25"/>
      <c r="H56" s="25"/>
      <c r="M56"/>
      <c r="V56"/>
      <c r="W56"/>
    </row>
    <row r="57" spans="1:23" hidden="1">
      <c r="A57"/>
      <c r="B57" s="542" t="s">
        <v>21</v>
      </c>
      <c r="C57" s="546">
        <v>4283.6666666666597</v>
      </c>
      <c r="D57" s="546">
        <v>4020.7277777345012</v>
      </c>
      <c r="E57" s="546">
        <v>52521192.063395798</v>
      </c>
      <c r="F57" s="546">
        <v>44687447.719209254</v>
      </c>
      <c r="G57" s="546">
        <v>1787497.90876837</v>
      </c>
      <c r="H57" s="546">
        <v>279988.88652073179</v>
      </c>
      <c r="M57"/>
      <c r="V57"/>
      <c r="W57"/>
    </row>
    <row r="58" spans="1:23" hidden="1">
      <c r="A58"/>
      <c r="B58" s="542" t="s">
        <v>35</v>
      </c>
      <c r="C58" s="546">
        <v>24.666666666659999</v>
      </c>
      <c r="D58" s="546">
        <v>25.444444444540004</v>
      </c>
      <c r="E58" s="546">
        <v>452527.97105315956</v>
      </c>
      <c r="F58" s="546">
        <v>356850.135436818</v>
      </c>
      <c r="G58" s="546">
        <v>14274.005417472723</v>
      </c>
      <c r="H58" s="546">
        <v>66893.477531908677</v>
      </c>
      <c r="M58"/>
      <c r="V58"/>
      <c r="W58"/>
    </row>
    <row r="59" spans="1:23" hidden="1">
      <c r="A59"/>
      <c r="B59" s="542" t="s">
        <v>36</v>
      </c>
      <c r="C59" s="546">
        <v>135</v>
      </c>
      <c r="D59" s="546">
        <v>121.67777777924974</v>
      </c>
      <c r="E59" s="546">
        <v>1790494.5481228118</v>
      </c>
      <c r="F59" s="546">
        <v>1764381.4076848237</v>
      </c>
      <c r="G59" s="546">
        <v>70575.256307392963</v>
      </c>
      <c r="H59" s="546">
        <v>9946.0901340165419</v>
      </c>
      <c r="M59"/>
      <c r="V59"/>
      <c r="W59"/>
    </row>
    <row r="60" spans="1:23" hidden="1">
      <c r="B60" s="542" t="s">
        <v>37</v>
      </c>
      <c r="C60" s="546">
        <v>2.6666666666700003</v>
      </c>
      <c r="D60" s="546">
        <v>1.63333333335</v>
      </c>
      <c r="E60" s="546">
        <v>36320.78754256136</v>
      </c>
      <c r="F60" s="546">
        <v>27830.112747494342</v>
      </c>
      <c r="G60" s="546">
        <v>1113.2045098997737</v>
      </c>
      <c r="H60" s="546">
        <v>0</v>
      </c>
      <c r="M60"/>
      <c r="V60"/>
      <c r="W60"/>
    </row>
    <row r="61" spans="1:23" hidden="1">
      <c r="B61" s="542" t="s">
        <v>19</v>
      </c>
      <c r="C61" s="546">
        <v>69.333333333330003</v>
      </c>
      <c r="D61" s="546">
        <v>35.822222222440018</v>
      </c>
      <c r="E61" s="546">
        <v>749102.84941090934</v>
      </c>
      <c r="F61" s="546">
        <v>749102.84941090934</v>
      </c>
      <c r="G61" s="546">
        <v>29964.113976436372</v>
      </c>
      <c r="H61" s="546">
        <v>0</v>
      </c>
      <c r="M61"/>
      <c r="V61"/>
      <c r="W61"/>
    </row>
    <row r="62" spans="1:23" hidden="1">
      <c r="B62" s="542" t="s">
        <v>38</v>
      </c>
      <c r="C62" s="546">
        <v>101.33333333333999</v>
      </c>
      <c r="D62" s="546">
        <v>114.86666666363024</v>
      </c>
      <c r="E62" s="546">
        <v>2181987.6049334942</v>
      </c>
      <c r="F62" s="546">
        <v>2155036.2968338439</v>
      </c>
      <c r="G62" s="546">
        <v>86201.451873353755</v>
      </c>
      <c r="H62" s="546">
        <v>38201.955734951945</v>
      </c>
      <c r="M62"/>
      <c r="V62"/>
      <c r="W62"/>
    </row>
    <row r="63" spans="1:23" hidden="1">
      <c r="C63" s="25">
        <f t="shared" ref="C63:H63" si="4">SUM(C57:C62)</f>
        <v>4616.6666666666597</v>
      </c>
      <c r="D63" s="25">
        <f t="shared" si="4"/>
        <v>4320.1722221777109</v>
      </c>
      <c r="E63" s="25">
        <f t="shared" si="4"/>
        <v>57731625.824458726</v>
      </c>
      <c r="F63" s="25">
        <f t="shared" si="4"/>
        <v>49740648.521323144</v>
      </c>
      <c r="G63" s="25">
        <f t="shared" si="4"/>
        <v>1989625.9408529256</v>
      </c>
      <c r="H63" s="25">
        <f t="shared" si="4"/>
        <v>395030.40992160892</v>
      </c>
      <c r="M63"/>
      <c r="V63"/>
      <c r="W63"/>
    </row>
    <row r="64" spans="1:23" hidden="1">
      <c r="B64" s="544" t="s">
        <v>261</v>
      </c>
      <c r="C64" s="25"/>
      <c r="D64" s="25"/>
      <c r="E64" s="25"/>
      <c r="F64" s="25"/>
      <c r="G64" s="25"/>
      <c r="H64" s="25"/>
      <c r="M64"/>
      <c r="V64"/>
      <c r="W64"/>
    </row>
    <row r="65" spans="2:26" hidden="1">
      <c r="B65" s="542" t="s">
        <v>21</v>
      </c>
      <c r="C65" s="546">
        <v>3704.6666666666702</v>
      </c>
      <c r="D65" s="546">
        <v>3461.566666631767</v>
      </c>
      <c r="E65" s="546">
        <v>42986408.924508557</v>
      </c>
      <c r="F65" s="546">
        <v>38576607.848457858</v>
      </c>
      <c r="G65" s="546">
        <v>1543064.3139383143</v>
      </c>
      <c r="H65" s="546">
        <v>824835.4392552455</v>
      </c>
      <c r="M65"/>
      <c r="V65"/>
      <c r="W65"/>
    </row>
    <row r="66" spans="2:26" hidden="1">
      <c r="B66" s="542" t="s">
        <v>35</v>
      </c>
      <c r="C66" s="546">
        <v>172.66666666667001</v>
      </c>
      <c r="D66" s="546">
        <v>130.33333333417053</v>
      </c>
      <c r="E66" s="546">
        <v>2335359.8565164506</v>
      </c>
      <c r="F66" s="546">
        <v>2275955.1125457124</v>
      </c>
      <c r="G66" s="546">
        <v>91038.204501828484</v>
      </c>
      <c r="H66" s="546">
        <v>7253.793363062292</v>
      </c>
      <c r="M66"/>
      <c r="V66"/>
      <c r="W66"/>
    </row>
    <row r="67" spans="2:26" hidden="1">
      <c r="B67" s="542" t="s">
        <v>36</v>
      </c>
      <c r="C67" s="546">
        <v>156</v>
      </c>
      <c r="D67" s="546">
        <v>145.58888888793965</v>
      </c>
      <c r="E67" s="546">
        <v>1965941.4040994232</v>
      </c>
      <c r="F67" s="546">
        <v>1918314.4449186167</v>
      </c>
      <c r="G67" s="546">
        <v>76732.577796744663</v>
      </c>
      <c r="H67" s="546">
        <v>17358.437628530537</v>
      </c>
      <c r="M67"/>
      <c r="V67"/>
      <c r="W67"/>
    </row>
    <row r="68" spans="2:26" hidden="1">
      <c r="B68" s="542" t="s">
        <v>37</v>
      </c>
      <c r="C68" s="546">
        <v>127</v>
      </c>
      <c r="D68" s="546">
        <v>113.11111111232987</v>
      </c>
      <c r="E68" s="546">
        <v>2251304.6268344251</v>
      </c>
      <c r="F68" s="546">
        <v>1780215.1331634261</v>
      </c>
      <c r="G68" s="546">
        <v>71208.605326537043</v>
      </c>
      <c r="H68" s="546">
        <v>112939.36137450411</v>
      </c>
      <c r="M68"/>
      <c r="V68"/>
      <c r="W68"/>
    </row>
    <row r="69" spans="2:26" hidden="1">
      <c r="B69" s="542" t="s">
        <v>19</v>
      </c>
      <c r="C69" s="546">
        <v>55.333333333330003</v>
      </c>
      <c r="D69" s="546">
        <v>33.788888888880031</v>
      </c>
      <c r="E69" s="546">
        <v>672710.13164167292</v>
      </c>
      <c r="F69" s="546">
        <v>659419.33886529214</v>
      </c>
      <c r="G69" s="546">
        <v>26376.773554611686</v>
      </c>
      <c r="H69" s="546">
        <v>0</v>
      </c>
      <c r="M69"/>
      <c r="V69"/>
      <c r="W69"/>
    </row>
    <row r="70" spans="2:26" hidden="1">
      <c r="B70" s="542" t="s">
        <v>38</v>
      </c>
      <c r="C70" s="546">
        <v>48.666666666669997</v>
      </c>
      <c r="D70" s="546">
        <v>46.577777776630072</v>
      </c>
      <c r="E70" s="546">
        <v>908490.44467604964</v>
      </c>
      <c r="F70" s="546">
        <v>895807.48284540256</v>
      </c>
      <c r="G70" s="546">
        <v>35832.299313816096</v>
      </c>
      <c r="H70" s="546">
        <v>3205.0559075873111</v>
      </c>
      <c r="M70"/>
      <c r="V70"/>
      <c r="W70"/>
    </row>
    <row r="71" spans="2:26" hidden="1">
      <c r="B71"/>
      <c r="C71" s="25">
        <f t="shared" ref="C71:H71" si="5">SUM(C65:C70)</f>
        <v>4264.3333333333403</v>
      </c>
      <c r="D71" s="25">
        <f t="shared" si="5"/>
        <v>3930.9666666317175</v>
      </c>
      <c r="E71" s="25">
        <f t="shared" si="5"/>
        <v>51120215.38827657</v>
      </c>
      <c r="F71" s="25">
        <f t="shared" si="5"/>
        <v>46106319.36079631</v>
      </c>
      <c r="G71" s="25">
        <f t="shared" si="5"/>
        <v>1844252.7744318522</v>
      </c>
      <c r="H71" s="25">
        <f t="shared" si="5"/>
        <v>965592.08752892981</v>
      </c>
      <c r="M71"/>
      <c r="V71"/>
      <c r="W71"/>
    </row>
    <row r="72" spans="2:26" hidden="1">
      <c r="B72"/>
      <c r="C72" s="25"/>
      <c r="D72" s="25"/>
      <c r="E72" s="25"/>
      <c r="F72" s="25"/>
      <c r="G72" s="25"/>
      <c r="H72" s="25"/>
      <c r="M72"/>
      <c r="V72"/>
      <c r="W72"/>
    </row>
    <row r="73" spans="2:26" hidden="1">
      <c r="B73"/>
      <c r="C73" s="25"/>
      <c r="D73" s="25"/>
      <c r="E73" s="25"/>
      <c r="F73" s="25"/>
      <c r="G73" s="25"/>
      <c r="H73" s="25"/>
      <c r="M73"/>
      <c r="V73"/>
      <c r="W73"/>
    </row>
    <row r="74" spans="2:26" hidden="1">
      <c r="M74"/>
      <c r="V74"/>
      <c r="W74"/>
      <c r="X74"/>
      <c r="Y74"/>
      <c r="Z74"/>
    </row>
    <row r="75" spans="2:26" hidden="1">
      <c r="B75" s="571"/>
      <c r="C75" s="571"/>
      <c r="D75" s="571"/>
      <c r="E75" s="571"/>
      <c r="F75" s="571"/>
      <c r="G75" s="571"/>
      <c r="H75" s="571"/>
      <c r="I75" s="571"/>
      <c r="J75" s="571"/>
      <c r="K75" s="571"/>
      <c r="L75" s="571"/>
      <c r="M75" s="571"/>
      <c r="N75" s="571"/>
      <c r="O75" s="571"/>
      <c r="P75" s="571"/>
      <c r="Q75" s="571"/>
      <c r="R75" s="571"/>
      <c r="S75" s="571"/>
      <c r="T75" s="571"/>
      <c r="U75" s="571"/>
      <c r="V75"/>
      <c r="W75"/>
      <c r="X75"/>
      <c r="Y75"/>
      <c r="Z75"/>
    </row>
    <row r="76" spans="2:26" hidden="1">
      <c r="B76" s="572"/>
      <c r="C76" s="572"/>
      <c r="D76" s="572"/>
      <c r="E76" s="572"/>
      <c r="F76" s="573"/>
      <c r="G76" s="573"/>
      <c r="H76" s="573"/>
      <c r="I76" s="573"/>
      <c r="J76" s="573"/>
      <c r="K76" s="573"/>
      <c r="L76" s="573"/>
      <c r="M76" s="573"/>
      <c r="N76" s="573"/>
      <c r="O76" s="573"/>
      <c r="P76" s="573"/>
      <c r="Q76" s="573"/>
      <c r="R76" s="573"/>
      <c r="S76" s="573"/>
      <c r="T76" s="573"/>
      <c r="U76" s="573"/>
      <c r="V76"/>
      <c r="W76"/>
      <c r="X76"/>
      <c r="Y76"/>
      <c r="Z76"/>
    </row>
    <row r="77" spans="2:26" hidden="1">
      <c r="B77" s="572"/>
      <c r="C77" s="572"/>
      <c r="D77" s="572"/>
      <c r="E77" s="572"/>
      <c r="F77" s="573"/>
      <c r="G77" s="573"/>
      <c r="H77" s="573"/>
      <c r="I77" s="573"/>
      <c r="J77" s="573"/>
      <c r="K77" s="573"/>
      <c r="L77" s="573"/>
      <c r="M77" s="573"/>
      <c r="N77" s="573"/>
      <c r="O77" s="573"/>
      <c r="P77" s="573"/>
      <c r="Q77" s="573"/>
      <c r="R77" s="573"/>
      <c r="S77" s="573"/>
      <c r="T77" s="573"/>
      <c r="U77" s="573"/>
      <c r="V77"/>
      <c r="W77"/>
      <c r="X77"/>
      <c r="Y77"/>
      <c r="Z77"/>
    </row>
    <row r="78" spans="2:26" hidden="1">
      <c r="B78" s="572"/>
      <c r="C78" s="572"/>
      <c r="D78" s="572"/>
      <c r="E78" s="572"/>
      <c r="F78" s="573"/>
      <c r="G78" s="573"/>
      <c r="H78" s="573"/>
      <c r="I78" s="573"/>
      <c r="J78" s="573"/>
      <c r="K78" s="573"/>
      <c r="L78" s="573"/>
      <c r="M78" s="573"/>
      <c r="N78" s="573"/>
      <c r="O78" s="573"/>
      <c r="P78" s="573"/>
      <c r="Q78" s="573"/>
      <c r="R78" s="573"/>
      <c r="S78" s="573"/>
      <c r="T78" s="573"/>
      <c r="U78" s="573"/>
      <c r="V78"/>
      <c r="W78"/>
      <c r="X78"/>
      <c r="Y78"/>
      <c r="Z78"/>
    </row>
    <row r="79" spans="2:26" hidden="1">
      <c r="M79"/>
      <c r="V79"/>
      <c r="W79"/>
      <c r="X79"/>
      <c r="Y79"/>
      <c r="Z79"/>
    </row>
    <row r="80" spans="2:26" hidden="1">
      <c r="M80"/>
      <c r="V80"/>
      <c r="W80"/>
    </row>
    <row r="81" spans="2:23" hidden="1">
      <c r="M81"/>
      <c r="V81"/>
      <c r="W81"/>
    </row>
    <row r="82" spans="2:23" hidden="1">
      <c r="M82"/>
      <c r="V82"/>
      <c r="W82"/>
    </row>
    <row r="83" spans="2:23" hidden="1">
      <c r="D83" s="571"/>
      <c r="E83" s="571"/>
      <c r="M83"/>
      <c r="V83"/>
      <c r="W83"/>
    </row>
    <row r="84" spans="2:23" hidden="1">
      <c r="D84" s="573"/>
      <c r="E84" s="573"/>
      <c r="M84"/>
      <c r="V84"/>
      <c r="W84"/>
    </row>
    <row r="85" spans="2:23" hidden="1">
      <c r="M85"/>
      <c r="V85"/>
      <c r="W85"/>
    </row>
    <row r="86" spans="2:23" hidden="1">
      <c r="M86"/>
      <c r="V86"/>
      <c r="W86"/>
    </row>
    <row r="87" spans="2:23" hidden="1">
      <c r="B87" s="571"/>
      <c r="C87" s="571"/>
      <c r="D87" s="571"/>
      <c r="E87" s="571"/>
      <c r="F87" s="571"/>
      <c r="G87" s="571"/>
      <c r="H87" s="571"/>
      <c r="I87" s="571"/>
      <c r="J87" s="571"/>
      <c r="K87" s="571"/>
      <c r="L87" s="571"/>
      <c r="M87" s="571"/>
      <c r="N87" s="571"/>
      <c r="O87" s="571"/>
      <c r="P87" s="571"/>
      <c r="Q87" s="571"/>
      <c r="V87"/>
      <c r="W87"/>
    </row>
    <row r="88" spans="2:23" hidden="1">
      <c r="B88" s="573"/>
      <c r="C88" s="573"/>
      <c r="D88" s="573"/>
      <c r="E88" s="573"/>
      <c r="F88" s="573"/>
      <c r="G88" s="573"/>
      <c r="H88" s="573"/>
      <c r="I88" s="573"/>
      <c r="J88" s="573"/>
      <c r="K88" s="573"/>
      <c r="L88" s="573"/>
      <c r="M88" s="573"/>
      <c r="N88" s="573"/>
      <c r="O88" s="573"/>
      <c r="P88" s="573"/>
      <c r="Q88" s="573"/>
      <c r="V88"/>
      <c r="W88"/>
    </row>
    <row r="89" spans="2:23">
      <c r="M89"/>
      <c r="V89"/>
      <c r="W89"/>
    </row>
    <row r="90" spans="2:23">
      <c r="M90"/>
      <c r="V90"/>
      <c r="W90"/>
    </row>
    <row r="91" spans="2:23">
      <c r="E91" s="153"/>
      <c r="F91" s="153"/>
      <c r="G91" s="153"/>
      <c r="M91"/>
      <c r="V91"/>
      <c r="W91"/>
    </row>
    <row r="92" spans="2:23">
      <c r="E92" s="153"/>
      <c r="F92" s="153"/>
      <c r="G92" s="153"/>
      <c r="M92"/>
      <c r="V92"/>
      <c r="W92"/>
    </row>
    <row r="93" spans="2:23">
      <c r="E93" s="153"/>
      <c r="F93" s="153"/>
      <c r="G93" s="153"/>
    </row>
    <row r="94" spans="2:23">
      <c r="E94" s="7"/>
      <c r="F94" s="7"/>
      <c r="G94" s="7"/>
    </row>
    <row r="97" spans="13:23">
      <c r="M97"/>
      <c r="V97"/>
      <c r="W97"/>
    </row>
    <row r="98" spans="13:23">
      <c r="M98"/>
      <c r="V98"/>
      <c r="W98"/>
    </row>
    <row r="99" spans="13:23">
      <c r="M99"/>
      <c r="V99"/>
      <c r="W99"/>
    </row>
    <row r="100" spans="13:23">
      <c r="M100"/>
      <c r="V100"/>
      <c r="W100"/>
    </row>
    <row r="101" spans="13:23">
      <c r="M101"/>
      <c r="V101"/>
      <c r="W101"/>
    </row>
    <row r="102" spans="13:23">
      <c r="M102"/>
      <c r="V102"/>
      <c r="W102"/>
    </row>
    <row r="103" spans="13:23">
      <c r="M103"/>
      <c r="V103"/>
      <c r="W103"/>
    </row>
    <row r="104" spans="13:23">
      <c r="M104"/>
      <c r="V104"/>
      <c r="W104"/>
    </row>
    <row r="105" spans="13:23">
      <c r="M105"/>
      <c r="V105"/>
      <c r="W105"/>
    </row>
    <row r="106" spans="13:23">
      <c r="M106"/>
      <c r="V106"/>
      <c r="W106"/>
    </row>
    <row r="107" spans="13:23">
      <c r="M107"/>
      <c r="V107"/>
      <c r="W107"/>
    </row>
    <row r="108" spans="13:23">
      <c r="M108"/>
      <c r="V108"/>
      <c r="W108"/>
    </row>
    <row r="109" spans="13:23">
      <c r="M109"/>
      <c r="V109"/>
      <c r="W109"/>
    </row>
    <row r="110" spans="13:23">
      <c r="M110"/>
      <c r="V110"/>
      <c r="W110"/>
    </row>
    <row r="111" spans="13:23">
      <c r="M111"/>
      <c r="V111"/>
      <c r="W111"/>
    </row>
    <row r="112" spans="13:23">
      <c r="M112"/>
      <c r="V112"/>
      <c r="W112"/>
    </row>
    <row r="113" spans="13:23">
      <c r="M113"/>
      <c r="V113"/>
      <c r="W113"/>
    </row>
    <row r="114" spans="13:23">
      <c r="M114"/>
      <c r="V114"/>
      <c r="W114"/>
    </row>
    <row r="115" spans="13:23">
      <c r="M115"/>
      <c r="V115"/>
      <c r="W115"/>
    </row>
    <row r="116" spans="13:23">
      <c r="M116"/>
      <c r="V116"/>
      <c r="W116"/>
    </row>
    <row r="117" spans="13:23">
      <c r="M117"/>
      <c r="V117"/>
      <c r="W117"/>
    </row>
    <row r="118" spans="13:23">
      <c r="M118"/>
      <c r="V118"/>
      <c r="W118"/>
    </row>
    <row r="119" spans="13:23">
      <c r="M119"/>
      <c r="V119"/>
      <c r="W119"/>
    </row>
    <row r="120" spans="13:23">
      <c r="M120"/>
      <c r="V120"/>
      <c r="W120"/>
    </row>
    <row r="121" spans="13:23">
      <c r="M121"/>
      <c r="V121"/>
      <c r="W121"/>
    </row>
    <row r="122" spans="13:23">
      <c r="M122"/>
      <c r="V122"/>
      <c r="W122"/>
    </row>
    <row r="123" spans="13:23">
      <c r="M123"/>
      <c r="V123"/>
      <c r="W123"/>
    </row>
    <row r="124" spans="13:23">
      <c r="M124"/>
      <c r="V124"/>
      <c r="W124"/>
    </row>
    <row r="125" spans="13:23">
      <c r="M125"/>
      <c r="V125"/>
      <c r="W125"/>
    </row>
    <row r="126" spans="13:23">
      <c r="M126"/>
      <c r="V126"/>
      <c r="W126"/>
    </row>
    <row r="127" spans="13:23">
      <c r="M127"/>
      <c r="V127"/>
      <c r="W127"/>
    </row>
    <row r="128" spans="13:23">
      <c r="M128"/>
      <c r="V128"/>
      <c r="W128"/>
    </row>
    <row r="129" spans="13:23">
      <c r="M129"/>
      <c r="V129"/>
      <c r="W129"/>
    </row>
    <row r="130" spans="13:23">
      <c r="M130"/>
      <c r="V130"/>
      <c r="W130"/>
    </row>
    <row r="131" spans="13:23">
      <c r="M131"/>
      <c r="V131"/>
      <c r="W131"/>
    </row>
    <row r="132" spans="13:23">
      <c r="M132"/>
      <c r="V132"/>
      <c r="W132"/>
    </row>
    <row r="133" spans="13:23">
      <c r="M133"/>
      <c r="V133"/>
      <c r="W133"/>
    </row>
    <row r="134" spans="13:23">
      <c r="M134"/>
      <c r="V134"/>
      <c r="W134"/>
    </row>
    <row r="135" spans="13:23">
      <c r="M135"/>
      <c r="V135"/>
      <c r="W135"/>
    </row>
    <row r="136" spans="13:23">
      <c r="M136"/>
      <c r="V136"/>
      <c r="W136"/>
    </row>
    <row r="137" spans="13:23">
      <c r="M137"/>
      <c r="V137"/>
      <c r="W137"/>
    </row>
    <row r="138" spans="13:23">
      <c r="M138"/>
      <c r="V138"/>
      <c r="W138"/>
    </row>
    <row r="139" spans="13:23">
      <c r="M139"/>
      <c r="V139"/>
      <c r="W139"/>
    </row>
    <row r="140" spans="13:23">
      <c r="M140"/>
      <c r="V140"/>
      <c r="W140"/>
    </row>
    <row r="141" spans="13:23">
      <c r="M141"/>
      <c r="V141"/>
      <c r="W141"/>
    </row>
    <row r="142" spans="13:23">
      <c r="M142"/>
      <c r="V142"/>
      <c r="W142"/>
    </row>
    <row r="143" spans="13:23">
      <c r="M143"/>
      <c r="V143"/>
      <c r="W143"/>
    </row>
    <row r="144" spans="13:23">
      <c r="M144"/>
      <c r="V144"/>
      <c r="W144"/>
    </row>
    <row r="145" spans="13:23">
      <c r="M145"/>
      <c r="V145"/>
      <c r="W145"/>
    </row>
    <row r="146" spans="13:23">
      <c r="M146"/>
      <c r="V146"/>
      <c r="W146"/>
    </row>
    <row r="147" spans="13:23">
      <c r="M147"/>
      <c r="V147"/>
      <c r="W147"/>
    </row>
    <row r="148" spans="13:23">
      <c r="M148"/>
      <c r="V148"/>
      <c r="W148"/>
    </row>
    <row r="149" spans="13:23">
      <c r="M149"/>
      <c r="V149"/>
      <c r="W149"/>
    </row>
    <row r="150" spans="13:23">
      <c r="M150"/>
      <c r="V150"/>
      <c r="W150"/>
    </row>
    <row r="151" spans="13:23">
      <c r="M151"/>
      <c r="V151"/>
      <c r="W151"/>
    </row>
    <row r="152" spans="13:23">
      <c r="M152"/>
      <c r="V152"/>
      <c r="W152"/>
    </row>
    <row r="153" spans="13:23">
      <c r="M153"/>
      <c r="V153"/>
      <c r="W153"/>
    </row>
    <row r="154" spans="13:23">
      <c r="M154"/>
      <c r="V154"/>
      <c r="W154"/>
    </row>
    <row r="155" spans="13:23">
      <c r="M155"/>
      <c r="V155"/>
      <c r="W155"/>
    </row>
    <row r="156" spans="13:23">
      <c r="M156"/>
      <c r="V156"/>
      <c r="W156"/>
    </row>
    <row r="157" spans="13:23">
      <c r="M157"/>
      <c r="V157"/>
      <c r="W157"/>
    </row>
    <row r="158" spans="13:23">
      <c r="M158"/>
      <c r="V158"/>
      <c r="W158"/>
    </row>
    <row r="159" spans="13:23">
      <c r="M159"/>
      <c r="V159"/>
      <c r="W159"/>
    </row>
    <row r="160" spans="13:23">
      <c r="M160"/>
      <c r="V160"/>
      <c r="W160"/>
    </row>
    <row r="161" spans="13:23">
      <c r="M161"/>
      <c r="V161"/>
      <c r="W161"/>
    </row>
    <row r="162" spans="13:23">
      <c r="M162"/>
      <c r="V162"/>
      <c r="W162"/>
    </row>
    <row r="163" spans="13:23">
      <c r="M163"/>
      <c r="V163"/>
      <c r="W163"/>
    </row>
    <row r="164" spans="13:23">
      <c r="M164"/>
      <c r="V164"/>
      <c r="W164"/>
    </row>
    <row r="165" spans="13:23">
      <c r="M165"/>
      <c r="V165"/>
      <c r="W165"/>
    </row>
    <row r="166" spans="13:23">
      <c r="M166"/>
      <c r="V166"/>
      <c r="W166"/>
    </row>
    <row r="167" spans="13:23">
      <c r="M167"/>
      <c r="V167"/>
      <c r="W167"/>
    </row>
    <row r="168" spans="13:23">
      <c r="M168"/>
      <c r="V168"/>
      <c r="W168"/>
    </row>
    <row r="169" spans="13:23">
      <c r="M169"/>
      <c r="V169"/>
      <c r="W169"/>
    </row>
    <row r="170" spans="13:23">
      <c r="M170"/>
      <c r="V170"/>
      <c r="W170"/>
    </row>
    <row r="171" spans="13:23">
      <c r="M171"/>
      <c r="V171"/>
      <c r="W171"/>
    </row>
    <row r="172" spans="13:23">
      <c r="M172"/>
      <c r="V172"/>
      <c r="W172"/>
    </row>
    <row r="173" spans="13:23">
      <c r="M173"/>
      <c r="V173"/>
      <c r="W173"/>
    </row>
    <row r="174" spans="13:23">
      <c r="M174"/>
      <c r="V174"/>
      <c r="W174"/>
    </row>
    <row r="175" spans="13:23">
      <c r="M175"/>
      <c r="V175"/>
      <c r="W175"/>
    </row>
    <row r="176" spans="13:23">
      <c r="M176"/>
      <c r="V176"/>
      <c r="W176"/>
    </row>
    <row r="177" spans="13:23">
      <c r="M177"/>
      <c r="V177"/>
      <c r="W177"/>
    </row>
    <row r="178" spans="13:23">
      <c r="M178"/>
      <c r="V178"/>
      <c r="W178"/>
    </row>
    <row r="179" spans="13:23">
      <c r="M179"/>
      <c r="V179"/>
      <c r="W179"/>
    </row>
    <row r="180" spans="13:23">
      <c r="M180"/>
      <c r="V180"/>
      <c r="W180"/>
    </row>
    <row r="181" spans="13:23">
      <c r="M181"/>
      <c r="V181"/>
      <c r="W181"/>
    </row>
    <row r="182" spans="13:23">
      <c r="M182"/>
      <c r="V182"/>
      <c r="W182"/>
    </row>
    <row r="183" spans="13:23">
      <c r="M183"/>
      <c r="V183"/>
      <c r="W183"/>
    </row>
  </sheetData>
  <mergeCells count="1">
    <mergeCell ref="B1:H1"/>
  </mergeCells>
  <pageMargins left="0.7" right="0.7" top="0.75" bottom="0.75" header="0.3" footer="0.3"/>
  <pageSetup scale="68" orientation="landscape" horizontalDpi="4294967293"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22"/>
  <sheetViews>
    <sheetView tabSelected="1" workbookViewId="0">
      <selection activeCell="B12" sqref="B12"/>
    </sheetView>
  </sheetViews>
  <sheetFormatPr defaultColWidth="8.85546875" defaultRowHeight="15"/>
  <cols>
    <col min="1" max="1" width="29" style="69" customWidth="1"/>
    <col min="2" max="2" width="141.42578125" style="267" customWidth="1"/>
    <col min="3" max="16384" width="8.85546875" style="32"/>
  </cols>
  <sheetData>
    <row r="7" spans="1:2">
      <c r="A7" s="69" t="s">
        <v>325</v>
      </c>
      <c r="B7" s="595" t="s">
        <v>330</v>
      </c>
    </row>
    <row r="8" spans="1:2">
      <c r="A8" s="596"/>
      <c r="B8" s="597"/>
    </row>
    <row r="9" spans="1:2">
      <c r="A9" s="69" t="s">
        <v>326</v>
      </c>
      <c r="B9" s="598" t="s">
        <v>331</v>
      </c>
    </row>
    <row r="10" spans="1:2">
      <c r="A10" s="69" t="s">
        <v>327</v>
      </c>
      <c r="B10" s="603" t="s">
        <v>332</v>
      </c>
    </row>
    <row r="11" spans="1:2">
      <c r="A11" s="69" t="s">
        <v>328</v>
      </c>
      <c r="B11" s="598" t="s">
        <v>447</v>
      </c>
    </row>
    <row r="12" spans="1:2">
      <c r="A12" s="596"/>
      <c r="B12" s="597"/>
    </row>
    <row r="13" spans="1:2" ht="243.75" customHeight="1">
      <c r="A13" s="604" t="s">
        <v>329</v>
      </c>
      <c r="B13" s="605" t="s">
        <v>432</v>
      </c>
    </row>
    <row r="14" spans="1:2" ht="370.5" customHeight="1">
      <c r="A14" s="621" t="s">
        <v>408</v>
      </c>
      <c r="B14" s="605" t="s">
        <v>437</v>
      </c>
    </row>
    <row r="15" spans="1:2" ht="258.95" customHeight="1">
      <c r="A15" s="621"/>
      <c r="B15" s="605" t="s">
        <v>444</v>
      </c>
    </row>
    <row r="16" spans="1:2" ht="156" customHeight="1">
      <c r="A16" s="617"/>
      <c r="B16" s="605" t="s">
        <v>445</v>
      </c>
    </row>
    <row r="17" spans="1:2">
      <c r="A17" s="596"/>
      <c r="B17" s="597"/>
    </row>
    <row r="18" spans="1:2" ht="60">
      <c r="A18" s="621" t="s">
        <v>431</v>
      </c>
      <c r="B18" s="615" t="s">
        <v>433</v>
      </c>
    </row>
    <row r="19" spans="1:2" ht="60">
      <c r="A19" s="621"/>
      <c r="B19" s="598" t="s">
        <v>434</v>
      </c>
    </row>
    <row r="20" spans="1:2" ht="75">
      <c r="A20" s="621"/>
      <c r="B20" s="598" t="s">
        <v>435</v>
      </c>
    </row>
    <row r="21" spans="1:2" ht="64.5" customHeight="1">
      <c r="A21" s="621"/>
      <c r="B21" s="598" t="s">
        <v>436</v>
      </c>
    </row>
    <row r="22" spans="1:2">
      <c r="A22" s="596"/>
      <c r="B22" s="597"/>
    </row>
  </sheetData>
  <mergeCells count="2">
    <mergeCell ref="A14:A15"/>
    <mergeCell ref="A18:A21"/>
  </mergeCells>
  <hyperlinks>
    <hyperlink ref="B1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B1" workbookViewId="0">
      <selection activeCell="B1" sqref="B1"/>
    </sheetView>
  </sheetViews>
  <sheetFormatPr defaultColWidth="8.85546875" defaultRowHeight="18" customHeight="1"/>
  <cols>
    <col min="1" max="1" width="9.140625" style="32" hidden="1" customWidth="1"/>
    <col min="2" max="2" width="28.42578125" style="32" customWidth="1"/>
    <col min="3" max="3" width="16" style="32" customWidth="1"/>
    <col min="4" max="14" width="16" style="540" customWidth="1"/>
    <col min="15" max="20" width="16" style="32" customWidth="1"/>
    <col min="21" max="21" width="12.7109375" style="32" customWidth="1"/>
    <col min="22" max="16384" width="8.85546875" style="32"/>
  </cols>
  <sheetData>
    <row r="1" spans="1:21" s="315" customFormat="1" ht="33.75" customHeight="1">
      <c r="B1" s="499" t="s">
        <v>276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282</v>
      </c>
      <c r="S2" s="317">
        <v>266</v>
      </c>
      <c r="T2" s="318"/>
      <c r="U2" s="268"/>
    </row>
    <row r="3" spans="1:21" s="6" customFormat="1" ht="18" customHeight="1">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c r="C48" s="7"/>
      <c r="D48" s="7"/>
      <c r="E48" s="7"/>
      <c r="F48" s="7"/>
      <c r="G48" s="7"/>
      <c r="H48" s="7"/>
      <c r="I48" s="7"/>
      <c r="J48" s="7"/>
      <c r="K48" s="7"/>
      <c r="L48" s="7"/>
      <c r="M48" s="7"/>
      <c r="N48" s="7"/>
      <c r="O48" s="7"/>
      <c r="P48" s="7"/>
      <c r="Q48" s="7"/>
      <c r="R48" s="7"/>
      <c r="S48" s="7"/>
    </row>
    <row r="49" spans="1:20" ht="39" customHeight="1">
      <c r="A49" s="640" t="s">
        <v>278</v>
      </c>
      <c r="B49" s="641"/>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54" si="6">SUM(C50:S50)</f>
        <v>29368.5</v>
      </c>
    </row>
    <row r="51" spans="1:20" ht="18" customHeight="1">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SUM(C55:S55)</f>
        <v>-1056</v>
      </c>
    </row>
    <row r="56" spans="1:20" ht="18" customHeight="1">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ref="T56:T59" si="7">SUM(C56:S56)</f>
        <v>12</v>
      </c>
    </row>
    <row r="57" spans="1:20" ht="18" customHeight="1">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7"/>
        <v>801</v>
      </c>
    </row>
    <row r="58" spans="1:20" ht="18" customHeight="1">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7"/>
        <v>-251.5</v>
      </c>
    </row>
    <row r="59" spans="1:20" ht="18" customHeight="1">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7"/>
        <v>-353.5</v>
      </c>
    </row>
    <row r="60" spans="1:20" ht="18" customHeight="1">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SUM(C60:S60)</f>
        <v>83</v>
      </c>
    </row>
    <row r="61" spans="1:20" ht="18" customHeight="1">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SUM(C61:S61)</f>
        <v>1161</v>
      </c>
    </row>
    <row r="62" spans="1:20" ht="18" customHeight="1">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ref="T62:T64" si="8">SUM(C62:S62)</f>
        <v>-237</v>
      </c>
    </row>
    <row r="63" spans="1:20" ht="18" customHeight="1">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8"/>
        <v>676</v>
      </c>
    </row>
    <row r="64" spans="1:20" ht="18" customHeight="1">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8"/>
        <v>-414</v>
      </c>
    </row>
    <row r="65" spans="1:20" ht="18" customHeight="1">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SUM(C65:S65)</f>
        <v>55</v>
      </c>
    </row>
    <row r="66" spans="1:20" ht="18" customHeight="1">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ref="T66:T70" si="9">SUM(C66:S66)</f>
        <v>-121</v>
      </c>
    </row>
    <row r="67" spans="1:20" ht="18" customHeight="1">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9"/>
        <v>-229</v>
      </c>
    </row>
    <row r="68" spans="1:20" ht="18" customHeight="1">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9"/>
        <v>2110.5</v>
      </c>
    </row>
    <row r="69" spans="1:20" ht="18" customHeight="1">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9"/>
        <v>3</v>
      </c>
    </row>
    <row r="70" spans="1:20" ht="18" customHeight="1">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9"/>
        <v>-333</v>
      </c>
    </row>
    <row r="71" spans="1:20" ht="18" customHeight="1">
      <c r="A71" s="339"/>
      <c r="B71" s="467" t="s">
        <v>17</v>
      </c>
      <c r="C71" s="468">
        <f t="shared" ref="C71:T71" si="10">SUM(C50:C70)</f>
        <v>2670</v>
      </c>
      <c r="D71" s="469">
        <f t="shared" si="10"/>
        <v>6352</v>
      </c>
      <c r="E71" s="468">
        <f t="shared" si="10"/>
        <v>184</v>
      </c>
      <c r="F71" s="468">
        <f t="shared" si="10"/>
        <v>-460</v>
      </c>
      <c r="G71" s="469">
        <f t="shared" si="10"/>
        <v>11312</v>
      </c>
      <c r="H71" s="468">
        <f t="shared" si="10"/>
        <v>-1717</v>
      </c>
      <c r="I71" s="468">
        <f t="shared" si="10"/>
        <v>2910</v>
      </c>
      <c r="J71" s="468">
        <f t="shared" si="10"/>
        <v>266</v>
      </c>
      <c r="K71" s="468">
        <f t="shared" si="10"/>
        <v>193</v>
      </c>
      <c r="L71" s="468">
        <f t="shared" si="10"/>
        <v>544</v>
      </c>
      <c r="M71" s="468">
        <f t="shared" si="10"/>
        <v>-264</v>
      </c>
      <c r="N71" s="469">
        <f t="shared" si="10"/>
        <v>4966</v>
      </c>
      <c r="O71" s="468">
        <f t="shared" si="10"/>
        <v>693</v>
      </c>
      <c r="P71" s="468">
        <f t="shared" si="10"/>
        <v>146</v>
      </c>
      <c r="Q71" s="468">
        <f t="shared" si="10"/>
        <v>4968</v>
      </c>
      <c r="R71" s="468">
        <f t="shared" si="10"/>
        <v>1061</v>
      </c>
      <c r="S71" s="468">
        <f t="shared" si="10"/>
        <v>-1938</v>
      </c>
      <c r="T71" s="342">
        <f t="shared" si="10"/>
        <v>31886</v>
      </c>
    </row>
    <row r="73" spans="1:20" ht="21" customHeight="1">
      <c r="A73" s="640" t="s">
        <v>279</v>
      </c>
      <c r="B73" s="641"/>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c r="T73"/>
    </row>
    <row r="74" spans="1:20" ht="18" customHeight="1">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c r="T74"/>
    </row>
    <row r="75" spans="1:20" ht="18" customHeight="1">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c r="T75"/>
    </row>
    <row r="76" spans="1:20" ht="18" customHeight="1">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c r="T76"/>
    </row>
    <row r="77" spans="1:20" ht="18" customHeight="1">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c r="T77"/>
    </row>
    <row r="78" spans="1:20" ht="18" customHeight="1">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c r="T78"/>
    </row>
    <row r="79" spans="1:20" ht="18" customHeight="1">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c r="T79"/>
    </row>
    <row r="80" spans="1:20" ht="18" customHeight="1">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c r="T80"/>
    </row>
    <row r="81" spans="1:20" ht="18" customHeight="1">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c r="T81"/>
    </row>
    <row r="82" spans="1:20" ht="18" customHeight="1">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c r="T82"/>
    </row>
    <row r="83" spans="1:20" ht="18" customHeight="1">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c r="T83"/>
    </row>
    <row r="84" spans="1:20" ht="18" customHeight="1">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c r="T84"/>
    </row>
    <row r="85" spans="1:20" ht="18" customHeight="1">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c r="T85"/>
    </row>
    <row r="86" spans="1:20" ht="18" customHeight="1">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c r="T86"/>
    </row>
    <row r="87" spans="1:20" ht="18" customHeight="1">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c r="T87"/>
    </row>
    <row r="88" spans="1:20" ht="18" customHeight="1">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c r="T88"/>
    </row>
    <row r="89" spans="1:20" ht="18" customHeight="1">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c r="T89"/>
    </row>
    <row r="90" spans="1:20" ht="18" customHeight="1">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c r="T90"/>
    </row>
    <row r="91" spans="1:20" ht="18" customHeight="1">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c r="T91"/>
    </row>
    <row r="92" spans="1:20" ht="18" customHeight="1">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c r="T92"/>
    </row>
    <row r="93" spans="1:20" ht="18" customHeight="1">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c r="T93"/>
    </row>
    <row r="94" spans="1:20" ht="18" customHeight="1">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c r="T94"/>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C3" workbookViewId="0">
      <selection sqref="A1:B1"/>
    </sheetView>
  </sheetViews>
  <sheetFormatPr defaultColWidth="8.85546875" defaultRowHeight="50.25" customHeight="1"/>
  <cols>
    <col min="1" max="1" width="8.42578125" style="502" hidden="1" customWidth="1"/>
    <col min="2" max="2" width="34.42578125" style="502" customWidth="1"/>
    <col min="3" max="19" width="25" style="502" customWidth="1"/>
    <col min="20" max="20" width="18.140625" style="502" customWidth="1"/>
    <col min="21" max="21" width="13.7109375" style="502" customWidth="1"/>
    <col min="22" max="16384" width="8.85546875" style="502"/>
  </cols>
  <sheetData>
    <row r="1" spans="1:38" ht="74.25" customHeight="1">
      <c r="A1" s="637" t="s">
        <v>268</v>
      </c>
      <c r="B1" s="638"/>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c r="W1"/>
      <c r="X1"/>
      <c r="Y1"/>
      <c r="Z1"/>
      <c r="AA1"/>
      <c r="AB1"/>
      <c r="AC1"/>
      <c r="AD1"/>
      <c r="AE1"/>
      <c r="AF1"/>
      <c r="AG1"/>
      <c r="AH1"/>
      <c r="AI1"/>
      <c r="AJ1"/>
      <c r="AK1"/>
      <c r="AL1"/>
    </row>
    <row r="2" spans="1:38" ht="29.25" customHeight="1">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c r="V2"/>
      <c r="W2"/>
      <c r="X2"/>
      <c r="Y2"/>
      <c r="Z2"/>
      <c r="AA2"/>
      <c r="AB2"/>
      <c r="AC2"/>
      <c r="AD2"/>
      <c r="AE2"/>
      <c r="AF2"/>
      <c r="AG2"/>
      <c r="AH2"/>
      <c r="AI2"/>
      <c r="AJ2"/>
      <c r="AK2"/>
      <c r="AL2"/>
    </row>
    <row r="3" spans="1:38" s="507" customFormat="1" ht="24" customHeight="1">
      <c r="A3" s="505" t="s">
        <v>128</v>
      </c>
      <c r="B3" s="533" t="s">
        <v>173</v>
      </c>
      <c r="C3" s="506">
        <f>+C26/$T26</f>
        <v>1.2916618613770038E-2</v>
      </c>
      <c r="D3" s="506">
        <f t="shared" ref="D3:T3" si="0">+D26/$T26</f>
        <v>0.65332718256256483</v>
      </c>
      <c r="E3" s="506">
        <f t="shared" si="0"/>
        <v>0.10264098719870834</v>
      </c>
      <c r="F3" s="506">
        <f t="shared" si="0"/>
        <v>1.1648022142774767E-2</v>
      </c>
      <c r="G3" s="506">
        <f t="shared" si="0"/>
        <v>0.10702341137123746</v>
      </c>
      <c r="H3" s="506">
        <f t="shared" si="0"/>
        <v>3.4021450813055014E-2</v>
      </c>
      <c r="I3" s="506">
        <f t="shared" si="0"/>
        <v>1.1532695190866105E-2</v>
      </c>
      <c r="J3" s="506">
        <f t="shared" si="0"/>
        <v>0</v>
      </c>
      <c r="K3" s="506">
        <f t="shared" si="0"/>
        <v>0</v>
      </c>
      <c r="L3" s="506">
        <f t="shared" si="0"/>
        <v>4.7284050282551029E-3</v>
      </c>
      <c r="M3" s="506">
        <f t="shared" si="0"/>
        <v>0</v>
      </c>
      <c r="N3" s="506">
        <f t="shared" si="0"/>
        <v>2.3642025141275516E-2</v>
      </c>
      <c r="O3" s="506">
        <f t="shared" si="0"/>
        <v>1.637642717102987E-2</v>
      </c>
      <c r="P3" s="506">
        <f t="shared" si="0"/>
        <v>0</v>
      </c>
      <c r="Q3" s="506">
        <f t="shared" si="0"/>
        <v>2.064352439165033E-2</v>
      </c>
      <c r="R3" s="506">
        <f t="shared" si="0"/>
        <v>1.4992503748125937E-3</v>
      </c>
      <c r="S3" s="506">
        <f t="shared" si="0"/>
        <v>0</v>
      </c>
      <c r="T3" s="506">
        <f t="shared" si="0"/>
        <v>1</v>
      </c>
      <c r="V3"/>
      <c r="W3"/>
      <c r="X3"/>
      <c r="Y3"/>
      <c r="Z3"/>
      <c r="AA3"/>
      <c r="AB3"/>
      <c r="AC3"/>
      <c r="AD3"/>
      <c r="AE3"/>
      <c r="AF3"/>
      <c r="AG3"/>
      <c r="AH3"/>
      <c r="AI3"/>
      <c r="AJ3"/>
      <c r="AK3"/>
      <c r="AL3"/>
    </row>
    <row r="4" spans="1:38" s="507" customFormat="1" ht="24" customHeight="1">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c r="W4"/>
      <c r="X4"/>
      <c r="Y4"/>
      <c r="Z4"/>
      <c r="AA4"/>
      <c r="AB4"/>
      <c r="AC4"/>
      <c r="AD4"/>
      <c r="AE4"/>
      <c r="AF4"/>
      <c r="AG4"/>
      <c r="AH4"/>
      <c r="AI4"/>
      <c r="AJ4"/>
      <c r="AK4"/>
      <c r="AL4"/>
    </row>
    <row r="5" spans="1:38" s="507" customFormat="1" ht="24" customHeight="1">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c r="W5"/>
      <c r="X5"/>
      <c r="Y5"/>
      <c r="Z5"/>
      <c r="AA5"/>
      <c r="AB5"/>
      <c r="AC5"/>
      <c r="AD5"/>
      <c r="AE5"/>
      <c r="AF5"/>
      <c r="AG5"/>
      <c r="AH5"/>
      <c r="AI5"/>
      <c r="AJ5"/>
      <c r="AK5"/>
      <c r="AL5"/>
    </row>
    <row r="6" spans="1:38" s="507" customFormat="1" ht="24" customHeight="1">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c r="W6"/>
      <c r="X6"/>
      <c r="Y6"/>
      <c r="Z6"/>
      <c r="AA6"/>
      <c r="AB6"/>
      <c r="AC6"/>
      <c r="AD6"/>
      <c r="AE6"/>
      <c r="AF6"/>
      <c r="AG6"/>
      <c r="AH6"/>
      <c r="AI6"/>
      <c r="AJ6"/>
      <c r="AK6"/>
      <c r="AL6"/>
    </row>
    <row r="7" spans="1:38" s="507" customFormat="1" ht="24" customHeight="1">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c r="W7"/>
      <c r="X7"/>
      <c r="Y7"/>
      <c r="Z7"/>
      <c r="AA7"/>
      <c r="AB7"/>
      <c r="AC7"/>
      <c r="AD7"/>
      <c r="AE7"/>
      <c r="AF7"/>
      <c r="AG7"/>
      <c r="AH7"/>
      <c r="AI7"/>
      <c r="AJ7"/>
      <c r="AK7"/>
      <c r="AL7"/>
    </row>
    <row r="8" spans="1:38" s="507" customFormat="1" ht="24" customHeight="1">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c r="W8"/>
      <c r="X8"/>
      <c r="Y8"/>
      <c r="Z8"/>
      <c r="AA8"/>
      <c r="AB8"/>
      <c r="AC8"/>
      <c r="AD8"/>
      <c r="AE8"/>
      <c r="AF8"/>
      <c r="AG8"/>
      <c r="AH8"/>
      <c r="AI8"/>
      <c r="AJ8"/>
      <c r="AK8"/>
      <c r="AL8"/>
    </row>
    <row r="9" spans="1:38" s="507" customFormat="1" ht="24" customHeight="1">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c r="W9"/>
      <c r="X9"/>
      <c r="Y9"/>
      <c r="Z9"/>
      <c r="AA9"/>
      <c r="AB9"/>
      <c r="AC9"/>
      <c r="AD9"/>
      <c r="AE9"/>
      <c r="AF9"/>
      <c r="AG9"/>
      <c r="AH9"/>
      <c r="AI9"/>
      <c r="AJ9"/>
      <c r="AK9"/>
      <c r="AL9"/>
    </row>
    <row r="10" spans="1:38" s="507" customFormat="1" ht="24" customHeight="1">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c r="W10"/>
      <c r="X10"/>
      <c r="Y10"/>
      <c r="Z10"/>
      <c r="AA10"/>
      <c r="AB10"/>
      <c r="AC10"/>
      <c r="AD10"/>
      <c r="AE10"/>
      <c r="AF10"/>
      <c r="AG10"/>
      <c r="AH10"/>
      <c r="AI10"/>
      <c r="AJ10"/>
      <c r="AK10"/>
      <c r="AL10"/>
    </row>
    <row r="11" spans="1:38" s="507" customFormat="1" ht="24" customHeight="1">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c r="W11"/>
      <c r="X11"/>
      <c r="Y11"/>
      <c r="Z11"/>
      <c r="AA11"/>
      <c r="AB11"/>
      <c r="AC11"/>
      <c r="AD11"/>
      <c r="AE11"/>
      <c r="AF11"/>
      <c r="AG11"/>
      <c r="AH11"/>
      <c r="AI11"/>
      <c r="AJ11"/>
      <c r="AK11"/>
      <c r="AL11"/>
    </row>
    <row r="12" spans="1:38" s="507" customFormat="1" ht="24" customHeight="1">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c r="W12"/>
      <c r="X12"/>
      <c r="Y12"/>
      <c r="Z12"/>
      <c r="AA12"/>
      <c r="AB12"/>
      <c r="AC12"/>
      <c r="AD12"/>
      <c r="AE12"/>
      <c r="AF12"/>
      <c r="AG12"/>
      <c r="AH12"/>
      <c r="AI12"/>
      <c r="AJ12"/>
      <c r="AK12"/>
      <c r="AL12"/>
    </row>
    <row r="13" spans="1:38" s="507" customFormat="1" ht="24" customHeight="1">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c r="W13"/>
      <c r="X13"/>
      <c r="Y13"/>
      <c r="Z13"/>
      <c r="AA13"/>
      <c r="AB13"/>
      <c r="AC13"/>
      <c r="AD13"/>
      <c r="AE13"/>
      <c r="AF13"/>
      <c r="AG13"/>
      <c r="AH13"/>
      <c r="AI13"/>
      <c r="AJ13"/>
      <c r="AK13"/>
      <c r="AL13"/>
    </row>
    <row r="14" spans="1:38" s="507" customFormat="1" ht="24" customHeight="1">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c r="W14"/>
      <c r="X14"/>
      <c r="Y14"/>
      <c r="Z14"/>
      <c r="AA14"/>
      <c r="AB14"/>
      <c r="AC14"/>
      <c r="AD14"/>
      <c r="AE14"/>
      <c r="AF14"/>
      <c r="AG14"/>
      <c r="AH14"/>
      <c r="AI14"/>
      <c r="AJ14"/>
      <c r="AK14"/>
      <c r="AL14"/>
    </row>
    <row r="15" spans="1:38" s="507" customFormat="1" ht="24" customHeight="1">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c r="W15"/>
      <c r="X15"/>
      <c r="Y15"/>
      <c r="Z15"/>
      <c r="AA15"/>
      <c r="AB15"/>
      <c r="AC15"/>
      <c r="AD15"/>
      <c r="AE15"/>
      <c r="AF15"/>
      <c r="AG15"/>
      <c r="AH15"/>
      <c r="AI15"/>
      <c r="AJ15"/>
      <c r="AK15"/>
      <c r="AL15"/>
    </row>
    <row r="16" spans="1:38" s="507" customFormat="1" ht="24" customHeight="1">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c r="B24" s="537"/>
    </row>
    <row r="25" spans="1:21" ht="60" customHeight="1">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c r="A26" s="505" t="s">
        <v>128</v>
      </c>
      <c r="B26" s="533" t="s">
        <v>173</v>
      </c>
      <c r="C26" s="515">
        <v>112</v>
      </c>
      <c r="D26" s="515">
        <v>5665</v>
      </c>
      <c r="E26" s="515">
        <v>890</v>
      </c>
      <c r="F26" s="515">
        <v>101</v>
      </c>
      <c r="G26" s="515">
        <v>928</v>
      </c>
      <c r="H26" s="515">
        <v>295</v>
      </c>
      <c r="I26" s="515">
        <v>100</v>
      </c>
      <c r="J26" s="515"/>
      <c r="K26" s="515"/>
      <c r="L26" s="515">
        <v>41</v>
      </c>
      <c r="M26" s="515"/>
      <c r="N26" s="515">
        <v>205</v>
      </c>
      <c r="O26" s="515">
        <v>142</v>
      </c>
      <c r="P26" s="515"/>
      <c r="Q26" s="515">
        <v>179</v>
      </c>
      <c r="R26" s="515">
        <v>13</v>
      </c>
      <c r="S26" s="515">
        <v>0</v>
      </c>
      <c r="T26" s="517">
        <f>SUM(C26:S26)</f>
        <v>8671</v>
      </c>
      <c r="U26"/>
    </row>
    <row r="27" spans="1:21" s="507" customFormat="1" ht="24" customHeight="1">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row>
    <row r="28" spans="1:21" s="507" customFormat="1" ht="24" customHeight="1">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row>
    <row r="29" spans="1:21" s="507" customFormat="1" ht="24" customHeight="1">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row>
    <row r="30" spans="1:21" s="507" customFormat="1" ht="24" customHeight="1">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row>
    <row r="31" spans="1:21" s="507" customFormat="1" ht="24" customHeight="1">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row>
    <row r="32" spans="1:21" s="507" customFormat="1" ht="24" customHeight="1">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row>
    <row r="33" spans="1:21" s="507" customFormat="1" ht="24" customHeight="1">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row>
    <row r="34" spans="1:21" s="507" customFormat="1" ht="24" customHeight="1">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row>
    <row r="35" spans="1:21" s="507" customFormat="1" ht="24" customHeight="1">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row>
    <row r="36" spans="1:21" s="507" customFormat="1" ht="24" customHeight="1">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row>
    <row r="37" spans="1:21" s="507" customFormat="1" ht="24" customHeight="1">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row>
    <row r="38" spans="1:21" s="507" customFormat="1" ht="24" customHeight="1">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row>
    <row r="39" spans="1:21" s="507" customFormat="1" ht="24" customHeight="1">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row>
    <row r="40" spans="1:21" s="507" customFormat="1" ht="24" customHeight="1">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row>
    <row r="41" spans="1:21" s="507" customFormat="1" ht="24" customHeight="1">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row>
    <row r="42" spans="1:21" s="507" customFormat="1" ht="24" customHeight="1">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row>
    <row r="43" spans="1:21" s="507" customFormat="1" ht="24" customHeight="1">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row>
    <row r="44" spans="1:21" s="507" customFormat="1" ht="24" customHeight="1">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row>
    <row r="45" spans="1:21" s="507" customFormat="1" ht="24" customHeight="1">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row>
    <row r="46" spans="1:21" s="507" customFormat="1" ht="24" customHeight="1">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row>
    <row r="47" spans="1:21" ht="24" customHeight="1">
      <c r="B47" s="539" t="s">
        <v>17</v>
      </c>
      <c r="C47" s="524">
        <f t="shared" ref="C47:T47" si="5">SUM(C26:C46)</f>
        <v>493.00000000000006</v>
      </c>
      <c r="D47" s="525">
        <f t="shared" si="5"/>
        <v>7665.6666666666679</v>
      </c>
      <c r="E47" s="524">
        <f t="shared" si="5"/>
        <v>1211.6666666666667</v>
      </c>
      <c r="F47" s="524">
        <f t="shared" si="5"/>
        <v>689.66666666666663</v>
      </c>
      <c r="G47" s="525">
        <f t="shared" si="5"/>
        <v>2137.333333333333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17938.333333333336</v>
      </c>
      <c r="U47"/>
    </row>
    <row r="48" spans="1:21" ht="43.5" customHeight="1">
      <c r="U48"/>
    </row>
    <row r="49" spans="2:20" ht="42" customHeight="1">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c r="B50" s="533" t="s">
        <v>173</v>
      </c>
      <c r="C50" s="515">
        <f>+C26-FY15ProjMajors!C26</f>
        <v>-22</v>
      </c>
      <c r="D50" s="515">
        <f>+D26-FY15ProjMajors!D26</f>
        <v>-399</v>
      </c>
      <c r="E50" s="515">
        <f>+E26-FY15ProjMajors!E26</f>
        <v>75</v>
      </c>
      <c r="F50" s="515">
        <f>+F26-FY15ProjMajors!F26</f>
        <v>22</v>
      </c>
      <c r="G50" s="515">
        <f>+G26-FY15ProjMajors!G26</f>
        <v>84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-148</v>
      </c>
    </row>
    <row r="51" spans="2:20" ht="24" customHeight="1">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c r="B71" s="539" t="s">
        <v>17</v>
      </c>
      <c r="C71" s="524">
        <f t="shared" ref="C71:S71" si="7">SUM(C50:C70)</f>
        <v>-21.666666666666689</v>
      </c>
      <c r="D71" s="525">
        <f t="shared" si="7"/>
        <v>-474.33333333333263</v>
      </c>
      <c r="E71" s="524">
        <f t="shared" si="7"/>
        <v>86.666666666666671</v>
      </c>
      <c r="F71" s="524">
        <f t="shared" si="7"/>
        <v>10.999999999999959</v>
      </c>
      <c r="G71" s="525">
        <f t="shared" si="7"/>
        <v>168.66666666666634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 t="shared" ref="T71" si="8">SUM(T50:T70)</f>
        <v>-201.33333333333289</v>
      </c>
    </row>
    <row r="72" spans="2:20" customFormat="1" ht="50.25" customHeight="1"/>
    <row r="73" spans="2:20" customFormat="1" ht="50.25" customHeight="1">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customFormat="1" ht="24" customHeight="1">
      <c r="B74" s="533" t="s">
        <v>173</v>
      </c>
      <c r="C74" s="506">
        <f>+C3-FY15ProjMajors!C3</f>
        <v>-2.2778478790295986E-3</v>
      </c>
      <c r="D74" s="506">
        <f>+D3-FY15ProjMajors!D3</f>
        <v>-3.4279122007114249E-2</v>
      </c>
      <c r="E74" s="506">
        <f>+E3-FY15ProjMajors!E3</f>
        <v>1.0226881291009057E-2</v>
      </c>
      <c r="F74" s="506">
        <f>+F3-FY15ProjMajors!F3</f>
        <v>2.6900904044824432E-3</v>
      </c>
      <c r="G74" s="506">
        <f>+G3-FY15ProjMajors!G3</f>
        <v>1.1320950774797944E-2</v>
      </c>
      <c r="H74" s="506">
        <f>+H3-FY15ProjMajors!H3</f>
        <v>2.0450362535811492E-3</v>
      </c>
      <c r="I74" s="506">
        <f>+I3-FY15ProjMajors!I3</f>
        <v>-6.0019969517539559E-4</v>
      </c>
      <c r="J74" s="506">
        <f>+J3-FY15ProjMajors!J3</f>
        <v>0</v>
      </c>
      <c r="K74" s="506">
        <f>+K3-FY15ProjMajors!K3</f>
        <v>0</v>
      </c>
      <c r="L74" s="506">
        <f>+L3-FY15ProjMajors!L3</f>
        <v>-1.4743123435970607E-4</v>
      </c>
      <c r="M74" s="506">
        <f>+M3-FY15ProjMajors!M3</f>
        <v>0</v>
      </c>
      <c r="N74" s="506">
        <f>+N3-FY15ProjMajors!N3</f>
        <v>6.4065109106371219E-3</v>
      </c>
      <c r="O74" s="506">
        <f>+O3-FY15ProjMajors!O3</f>
        <v>1.1819606782302334E-3</v>
      </c>
      <c r="P74" s="506">
        <f>+P3-FY15ProjMajors!P3</f>
        <v>0</v>
      </c>
      <c r="Q74" s="506">
        <f>+Q3-FY15ProjMajors!Q3</f>
        <v>8.8508041285819544E-3</v>
      </c>
      <c r="R74" s="506">
        <f>+R3-FY15ProjMajors!R3</f>
        <v>2.5194342391113094E-4</v>
      </c>
      <c r="S74" s="506">
        <f>+S3-FY15ProjMajors!S3</f>
        <v>-5.6695770495521032E-3</v>
      </c>
    </row>
    <row r="75" spans="2:20" customFormat="1" ht="24" customHeight="1">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customFormat="1" ht="24" customHeight="1">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customFormat="1" ht="24" customHeight="1">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customFormat="1" ht="24" customHeight="1">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customFormat="1" ht="24" customHeight="1">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customFormat="1" ht="24" customHeight="1">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customFormat="1" ht="24" customHeight="1">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customFormat="1" ht="24" customHeight="1">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customFormat="1" ht="24" customHeight="1">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customFormat="1" ht="24" customHeight="1">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customFormat="1" ht="24" customHeight="1">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customFormat="1" ht="24" customHeight="1">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customFormat="1" ht="24" customHeight="1">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2" sqref="B2"/>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421</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83100.511006413493</v>
      </c>
      <c r="D5" s="413">
        <f t="shared" si="0"/>
        <v>-4784864.6825021803</v>
      </c>
      <c r="E5" s="413">
        <f t="shared" si="0"/>
        <v>1090886.4204752408</v>
      </c>
      <c r="F5" s="413">
        <f t="shared" si="0"/>
        <v>311363.89380506892</v>
      </c>
      <c r="G5" s="413">
        <f t="shared" si="0"/>
        <v>2332148.0420595314</v>
      </c>
      <c r="H5" s="413">
        <f t="shared" si="0"/>
        <v>-8951.1474901861511</v>
      </c>
      <c r="I5" s="413">
        <f t="shared" si="0"/>
        <v>292564.38718769234</v>
      </c>
      <c r="J5" s="413">
        <f t="shared" si="0"/>
        <v>74453.224053127749</v>
      </c>
      <c r="K5" s="413">
        <f t="shared" si="0"/>
        <v>13077.124800085394</v>
      </c>
      <c r="L5" s="413">
        <f t="shared" si="0"/>
        <v>-23432.395025152538</v>
      </c>
      <c r="M5" s="413">
        <f t="shared" si="0"/>
        <v>-2862.3491645595168</v>
      </c>
      <c r="N5" s="413">
        <f t="shared" si="0"/>
        <v>320949.15911374614</v>
      </c>
      <c r="O5" s="413">
        <f t="shared" si="0"/>
        <v>251498.77300774679</v>
      </c>
      <c r="P5" s="413">
        <f t="shared" si="0"/>
        <v>-2342.5015464642347</v>
      </c>
      <c r="Q5" s="413">
        <f t="shared" si="0"/>
        <v>1638826.1022130062</v>
      </c>
      <c r="R5" s="413">
        <f t="shared" si="0"/>
        <v>145832.54104808206</v>
      </c>
      <c r="S5" s="413">
        <f t="shared" si="0"/>
        <v>-103486.86470316612</v>
      </c>
      <c r="T5" s="413">
        <f t="shared" ref="T5:T26" si="1">SUM(C5:S5)</f>
        <v>1628760.238338032</v>
      </c>
      <c r="X5" s="495"/>
    </row>
    <row r="6" spans="1:24" ht="20.100000000000001" customHeight="1">
      <c r="A6" s="401" t="s">
        <v>129</v>
      </c>
      <c r="B6" s="408" t="s">
        <v>35</v>
      </c>
      <c r="C6" s="410">
        <f t="shared" si="0"/>
        <v>1768.9747704461479</v>
      </c>
      <c r="D6" s="410">
        <f t="shared" si="0"/>
        <v>-635556.49499574187</v>
      </c>
      <c r="E6" s="410">
        <f t="shared" si="0"/>
        <v>-7159.1451746019884</v>
      </c>
      <c r="F6" s="410">
        <f t="shared" si="0"/>
        <v>30240.762999770759</v>
      </c>
      <c r="G6" s="410">
        <f t="shared" si="0"/>
        <v>9884.3740496004466</v>
      </c>
      <c r="H6" s="410">
        <f t="shared" si="0"/>
        <v>2595.1086200783247</v>
      </c>
      <c r="I6" s="410">
        <f t="shared" si="0"/>
        <v>17264.183509092654</v>
      </c>
      <c r="J6" s="410">
        <f t="shared" si="0"/>
        <v>456.20903130264833</v>
      </c>
      <c r="K6" s="410">
        <f t="shared" si="0"/>
        <v>-6029.7230851672211</v>
      </c>
      <c r="L6" s="410">
        <f t="shared" si="0"/>
        <v>3421.0894664754233</v>
      </c>
      <c r="M6" s="410">
        <f t="shared" si="0"/>
        <v>-0.31703878288136522</v>
      </c>
      <c r="N6" s="410">
        <f t="shared" si="0"/>
        <v>-43961.369723892596</v>
      </c>
      <c r="O6" s="410">
        <f t="shared" si="0"/>
        <v>-1608.2815034525081</v>
      </c>
      <c r="P6" s="410">
        <f t="shared" si="0"/>
        <v>36323.426786326461</v>
      </c>
      <c r="Q6" s="410">
        <f t="shared" si="0"/>
        <v>-2916.7239864783737</v>
      </c>
      <c r="R6" s="410">
        <f t="shared" si="0"/>
        <v>153.11300897991956</v>
      </c>
      <c r="S6" s="410">
        <f t="shared" si="0"/>
        <v>-158553.36091664655</v>
      </c>
      <c r="T6" s="410">
        <f t="shared" si="1"/>
        <v>-753678.17418269103</v>
      </c>
      <c r="W6" s="497"/>
      <c r="X6" s="495"/>
    </row>
    <row r="7" spans="1:24" ht="20.100000000000001" customHeight="1">
      <c r="A7" s="401" t="s">
        <v>140</v>
      </c>
      <c r="B7" s="414" t="s">
        <v>36</v>
      </c>
      <c r="C7" s="415">
        <f t="shared" si="0"/>
        <v>-152.83782423371071</v>
      </c>
      <c r="D7" s="415">
        <f t="shared" si="0"/>
        <v>-233.06604744709693</v>
      </c>
      <c r="E7" s="415">
        <f t="shared" si="0"/>
        <v>0</v>
      </c>
      <c r="F7" s="415">
        <f t="shared" si="0"/>
        <v>163.76666778088384</v>
      </c>
      <c r="G7" s="415">
        <f t="shared" si="0"/>
        <v>49.463826675530839</v>
      </c>
      <c r="H7" s="415">
        <f t="shared" si="0"/>
        <v>0</v>
      </c>
      <c r="I7" s="415">
        <f t="shared" si="0"/>
        <v>-413.49599023271946</v>
      </c>
      <c r="J7" s="415">
        <f t="shared" si="0"/>
        <v>143.94513581947439</v>
      </c>
      <c r="K7" s="415">
        <f t="shared" si="0"/>
        <v>-5.9284589428242498</v>
      </c>
      <c r="L7" s="415">
        <f t="shared" si="0"/>
        <v>-43804.112931235213</v>
      </c>
      <c r="M7" s="415">
        <f t="shared" si="0"/>
        <v>0</v>
      </c>
      <c r="N7" s="415">
        <f t="shared" si="0"/>
        <v>-73747.684077658138</v>
      </c>
      <c r="O7" s="415">
        <f t="shared" si="0"/>
        <v>0</v>
      </c>
      <c r="P7" s="415">
        <f t="shared" si="0"/>
        <v>197.85530670212336</v>
      </c>
      <c r="Q7" s="415">
        <f t="shared" si="0"/>
        <v>-1052.4534267487461</v>
      </c>
      <c r="R7" s="415">
        <f t="shared" si="0"/>
        <v>0</v>
      </c>
      <c r="S7" s="415">
        <f t="shared" si="0"/>
        <v>46.499597204118743</v>
      </c>
      <c r="T7" s="415">
        <f t="shared" si="1"/>
        <v>-118808.04822231631</v>
      </c>
    </row>
    <row r="8" spans="1:24" ht="20.100000000000001" customHeight="1">
      <c r="A8" s="401" t="s">
        <v>130</v>
      </c>
      <c r="B8" s="408" t="s">
        <v>37</v>
      </c>
      <c r="C8" s="410">
        <f t="shared" si="0"/>
        <v>3181.4955597703611</v>
      </c>
      <c r="D8" s="410">
        <f t="shared" si="0"/>
        <v>-8016.0483526327153</v>
      </c>
      <c r="E8" s="410">
        <f t="shared" si="0"/>
        <v>-3724.0127293540845</v>
      </c>
      <c r="F8" s="410">
        <f t="shared" si="0"/>
        <v>4735.8204136234135</v>
      </c>
      <c r="G8" s="410">
        <f t="shared" si="0"/>
        <v>48187.02137358021</v>
      </c>
      <c r="H8" s="410">
        <f t="shared" si="0"/>
        <v>-2069.5664714369627</v>
      </c>
      <c r="I8" s="410">
        <f t="shared" si="0"/>
        <v>-1233.2977351139443</v>
      </c>
      <c r="J8" s="410">
        <f t="shared" si="0"/>
        <v>-12255.671090011454</v>
      </c>
      <c r="K8" s="410">
        <f t="shared" si="0"/>
        <v>-2212.0150418167318</v>
      </c>
      <c r="L8" s="410">
        <f t="shared" si="0"/>
        <v>-4257.9424079350456</v>
      </c>
      <c r="M8" s="410">
        <f t="shared" si="0"/>
        <v>0</v>
      </c>
      <c r="N8" s="410">
        <f t="shared" si="0"/>
        <v>25258.766483750052</v>
      </c>
      <c r="O8" s="410">
        <f t="shared" si="0"/>
        <v>3920.2448196145197</v>
      </c>
      <c r="P8" s="410">
        <f t="shared" si="0"/>
        <v>-28.359292650970701</v>
      </c>
      <c r="Q8" s="410">
        <f t="shared" si="0"/>
        <v>25330.951689740348</v>
      </c>
      <c r="R8" s="410">
        <f t="shared" si="0"/>
        <v>-3968.5254850372503</v>
      </c>
      <c r="S8" s="410">
        <f t="shared" si="0"/>
        <v>6140.8299429211638</v>
      </c>
      <c r="T8" s="410">
        <f t="shared" si="1"/>
        <v>78989.691677010909</v>
      </c>
    </row>
    <row r="9" spans="1:24" ht="20.100000000000001" customHeight="1">
      <c r="A9" s="416" t="s">
        <v>131</v>
      </c>
      <c r="B9" s="414" t="s">
        <v>141</v>
      </c>
      <c r="C9" s="415">
        <f t="shared" si="0"/>
        <v>95.833997514174598</v>
      </c>
      <c r="D9" s="415">
        <f t="shared" si="0"/>
        <v>26299.24758381963</v>
      </c>
      <c r="E9" s="415">
        <f t="shared" si="0"/>
        <v>804.11607771977958</v>
      </c>
      <c r="F9" s="415">
        <f t="shared" si="0"/>
        <v>-824.00592452112676</v>
      </c>
      <c r="G9" s="415">
        <f t="shared" si="0"/>
        <v>-1607.9466437120234</v>
      </c>
      <c r="H9" s="415">
        <f t="shared" si="0"/>
        <v>-76143.770051593776</v>
      </c>
      <c r="I9" s="415">
        <f t="shared" si="0"/>
        <v>-43.829705763541867</v>
      </c>
      <c r="J9" s="415">
        <f t="shared" si="0"/>
        <v>-2356.5177548540055</v>
      </c>
      <c r="K9" s="415">
        <f t="shared" si="0"/>
        <v>-6722.096219887917</v>
      </c>
      <c r="L9" s="415">
        <f t="shared" si="0"/>
        <v>0</v>
      </c>
      <c r="M9" s="415">
        <f t="shared" si="0"/>
        <v>0</v>
      </c>
      <c r="N9" s="415">
        <f t="shared" si="0"/>
        <v>-288.7070713733774</v>
      </c>
      <c r="O9" s="415">
        <f t="shared" si="0"/>
        <v>0</v>
      </c>
      <c r="P9" s="415">
        <f t="shared" si="0"/>
        <v>0</v>
      </c>
      <c r="Q9" s="415">
        <f t="shared" si="0"/>
        <v>634.05234565731348</v>
      </c>
      <c r="R9" s="415">
        <f t="shared" si="0"/>
        <v>133.24081428785937</v>
      </c>
      <c r="S9" s="415">
        <f t="shared" si="0"/>
        <v>-7751.7464345825647</v>
      </c>
      <c r="T9" s="415">
        <f t="shared" si="1"/>
        <v>-67772.128987289587</v>
      </c>
    </row>
    <row r="10" spans="1:24" ht="20.100000000000001" customHeight="1">
      <c r="A10" s="401" t="s">
        <v>132</v>
      </c>
      <c r="B10" s="408" t="s">
        <v>206</v>
      </c>
      <c r="C10" s="410">
        <f t="shared" si="0"/>
        <v>-269.47205076710122</v>
      </c>
      <c r="D10" s="410">
        <f t="shared" si="0"/>
        <v>-12657.970296490126</v>
      </c>
      <c r="E10" s="410">
        <f t="shared" si="0"/>
        <v>-3.425826962502498</v>
      </c>
      <c r="F10" s="410">
        <f t="shared" si="0"/>
        <v>-308077.15180404123</v>
      </c>
      <c r="G10" s="410">
        <f t="shared" si="0"/>
        <v>83.828819737987629</v>
      </c>
      <c r="H10" s="410">
        <f t="shared" si="0"/>
        <v>-4564.8561258121554</v>
      </c>
      <c r="I10" s="410">
        <f t="shared" si="0"/>
        <v>165.08826925409846</v>
      </c>
      <c r="J10" s="410">
        <f t="shared" si="0"/>
        <v>0</v>
      </c>
      <c r="K10" s="410">
        <f t="shared" si="0"/>
        <v>-966.38045052507005</v>
      </c>
      <c r="L10" s="410">
        <f t="shared" si="0"/>
        <v>-456.45193732881489</v>
      </c>
      <c r="M10" s="410">
        <f t="shared" si="0"/>
        <v>0</v>
      </c>
      <c r="N10" s="410">
        <f t="shared" si="0"/>
        <v>-157.86035738044257</v>
      </c>
      <c r="O10" s="410">
        <f t="shared" si="0"/>
        <v>171.08346643847779</v>
      </c>
      <c r="P10" s="410">
        <f t="shared" si="0"/>
        <v>0</v>
      </c>
      <c r="Q10" s="410">
        <f t="shared" si="0"/>
        <v>597.93567579404692</v>
      </c>
      <c r="R10" s="410">
        <f t="shared" si="0"/>
        <v>0</v>
      </c>
      <c r="S10" s="410">
        <f t="shared" si="0"/>
        <v>-203.62882258225181</v>
      </c>
      <c r="T10" s="410">
        <f t="shared" si="1"/>
        <v>-326339.26144066511</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c r="A12" s="401" t="s">
        <v>135</v>
      </c>
      <c r="B12" s="408" t="s">
        <v>70</v>
      </c>
      <c r="C12" s="410">
        <f t="shared" si="0"/>
        <v>116.23893531377422</v>
      </c>
      <c r="D12" s="410">
        <f t="shared" si="0"/>
        <v>2756.2342215202034</v>
      </c>
      <c r="E12" s="410">
        <f t="shared" si="0"/>
        <v>0</v>
      </c>
      <c r="F12" s="410">
        <f t="shared" si="0"/>
        <v>9474.2016705123351</v>
      </c>
      <c r="G12" s="410">
        <f t="shared" si="0"/>
        <v>0</v>
      </c>
      <c r="H12" s="410">
        <f t="shared" si="0"/>
        <v>174.35840297066133</v>
      </c>
      <c r="I12" s="410">
        <f t="shared" si="0"/>
        <v>0</v>
      </c>
      <c r="J12" s="410">
        <f t="shared" si="0"/>
        <v>-56.528338631821796</v>
      </c>
      <c r="K12" s="410">
        <f t="shared" si="0"/>
        <v>-5651.0426343916461</v>
      </c>
      <c r="L12" s="410">
        <f t="shared" si="0"/>
        <v>209680.64309707837</v>
      </c>
      <c r="M12" s="410">
        <f t="shared" si="0"/>
        <v>-452.22670905457437</v>
      </c>
      <c r="N12" s="410">
        <f t="shared" si="0"/>
        <v>9631.6071427361603</v>
      </c>
      <c r="O12" s="410">
        <f t="shared" si="0"/>
        <v>116.23893531377422</v>
      </c>
      <c r="P12" s="410">
        <f t="shared" si="0"/>
        <v>0</v>
      </c>
      <c r="Q12" s="410">
        <f t="shared" si="0"/>
        <v>66532.244294398552</v>
      </c>
      <c r="R12" s="410">
        <f t="shared" si="0"/>
        <v>0</v>
      </c>
      <c r="S12" s="410">
        <f t="shared" si="0"/>
        <v>14611.919172874521</v>
      </c>
      <c r="T12" s="410">
        <f t="shared" si="1"/>
        <v>306933.88819064037</v>
      </c>
    </row>
    <row r="13" spans="1:24" ht="20.100000000000001" customHeight="1">
      <c r="A13" s="416" t="s">
        <v>136</v>
      </c>
      <c r="B13" s="414" t="s">
        <v>144</v>
      </c>
      <c r="C13" s="415">
        <f t="shared" si="0"/>
        <v>-58.610962901514512</v>
      </c>
      <c r="D13" s="415">
        <f t="shared" si="0"/>
        <v>-5436.4651205616356</v>
      </c>
      <c r="E13" s="415">
        <f t="shared" si="0"/>
        <v>180.82585938473431</v>
      </c>
      <c r="F13" s="415">
        <f t="shared" si="0"/>
        <v>131.15122852010708</v>
      </c>
      <c r="G13" s="415">
        <f t="shared" si="0"/>
        <v>-140.0025352445673</v>
      </c>
      <c r="H13" s="415">
        <f t="shared" si="0"/>
        <v>-235.40843561712518</v>
      </c>
      <c r="I13" s="415">
        <f t="shared" si="0"/>
        <v>137.10878321136531</v>
      </c>
      <c r="J13" s="415">
        <f t="shared" si="0"/>
        <v>84.455375001108962</v>
      </c>
      <c r="K13" s="415">
        <f t="shared" si="0"/>
        <v>-294.01939851863995</v>
      </c>
      <c r="L13" s="415">
        <f t="shared" si="0"/>
        <v>-126.1582578399163</v>
      </c>
      <c r="M13" s="415">
        <f t="shared" si="0"/>
        <v>43.717076173369044</v>
      </c>
      <c r="N13" s="415">
        <f t="shared" si="0"/>
        <v>-12435.400299671492</v>
      </c>
      <c r="O13" s="415">
        <f t="shared" si="0"/>
        <v>37.759521482110841</v>
      </c>
      <c r="P13" s="415">
        <f t="shared" si="0"/>
        <v>-2147.8392112490601</v>
      </c>
      <c r="Q13" s="415">
        <f t="shared" si="0"/>
        <v>-186042.54737630248</v>
      </c>
      <c r="R13" s="415">
        <f t="shared" si="0"/>
        <v>0</v>
      </c>
      <c r="S13" s="415">
        <f t="shared" si="0"/>
        <v>-6178.1924433890399</v>
      </c>
      <c r="T13" s="415">
        <f t="shared" si="1"/>
        <v>-212479.62619752268</v>
      </c>
    </row>
    <row r="14" spans="1:24" ht="20.100000000000001" customHeight="1">
      <c r="A14" s="401" t="s">
        <v>137</v>
      </c>
      <c r="B14" s="408" t="s">
        <v>49</v>
      </c>
      <c r="C14" s="410">
        <f t="shared" si="0"/>
        <v>-2992.0501409819462</v>
      </c>
      <c r="D14" s="410">
        <f t="shared" si="0"/>
        <v>11421.795759372017</v>
      </c>
      <c r="E14" s="410">
        <f t="shared" si="0"/>
        <v>-299.60333087182551</v>
      </c>
      <c r="F14" s="410">
        <f t="shared" si="0"/>
        <v>119.40679955952844</v>
      </c>
      <c r="G14" s="410">
        <f t="shared" si="0"/>
        <v>-1834.055684774145</v>
      </c>
      <c r="H14" s="410">
        <f t="shared" si="0"/>
        <v>248.22099976251536</v>
      </c>
      <c r="I14" s="410">
        <f t="shared" si="0"/>
        <v>0</v>
      </c>
      <c r="J14" s="410">
        <f t="shared" si="0"/>
        <v>-4514.7038343068316</v>
      </c>
      <c r="K14" s="410">
        <f t="shared" si="0"/>
        <v>-2313.676472027847</v>
      </c>
      <c r="L14" s="410">
        <f t="shared" si="0"/>
        <v>-13618.689362686979</v>
      </c>
      <c r="M14" s="410">
        <f t="shared" si="0"/>
        <v>1901.8615572363969</v>
      </c>
      <c r="N14" s="410">
        <f t="shared" si="0"/>
        <v>21981.566440152019</v>
      </c>
      <c r="O14" s="410">
        <f t="shared" si="0"/>
        <v>-152.37222286917864</v>
      </c>
      <c r="P14" s="410">
        <f t="shared" si="0"/>
        <v>91.542970058864626</v>
      </c>
      <c r="Q14" s="410">
        <f t="shared" si="0"/>
        <v>12933.028369184613</v>
      </c>
      <c r="R14" s="410">
        <f t="shared" si="0"/>
        <v>0</v>
      </c>
      <c r="S14" s="410">
        <f t="shared" si="0"/>
        <v>-20489.78645662648</v>
      </c>
      <c r="T14" s="410">
        <f t="shared" si="1"/>
        <v>2482.4853901807182</v>
      </c>
    </row>
    <row r="15" spans="1:24" ht="20.100000000000001" customHeight="1">
      <c r="A15" s="401">
        <v>25</v>
      </c>
      <c r="B15" s="414" t="s">
        <v>207</v>
      </c>
      <c r="C15" s="415">
        <f t="shared" si="0"/>
        <v>276786.75302891177</v>
      </c>
      <c r="D15" s="415">
        <f t="shared" si="0"/>
        <v>-3232.0992117396108</v>
      </c>
      <c r="E15" s="415">
        <f t="shared" si="0"/>
        <v>-5947.4893165114563</v>
      </c>
      <c r="F15" s="415">
        <f t="shared" si="0"/>
        <v>-198.89009857127584</v>
      </c>
      <c r="G15" s="415">
        <f t="shared" si="0"/>
        <v>-1955.8845309571589</v>
      </c>
      <c r="H15" s="415">
        <f t="shared" si="0"/>
        <v>-10963.36778328658</v>
      </c>
      <c r="I15" s="415">
        <f t="shared" si="0"/>
        <v>139.0652761555599</v>
      </c>
      <c r="J15" s="415">
        <f t="shared" si="0"/>
        <v>417.1958284666797</v>
      </c>
      <c r="K15" s="415">
        <f t="shared" si="0"/>
        <v>-17197.338657177581</v>
      </c>
      <c r="L15" s="415">
        <f t="shared" si="0"/>
        <v>0</v>
      </c>
      <c r="M15" s="415">
        <f t="shared" si="0"/>
        <v>0</v>
      </c>
      <c r="N15" s="415">
        <f t="shared" si="0"/>
        <v>-706.61212488319529</v>
      </c>
      <c r="O15" s="415">
        <f t="shared" si="0"/>
        <v>0</v>
      </c>
      <c r="P15" s="415">
        <f t="shared" si="0"/>
        <v>0</v>
      </c>
      <c r="Q15" s="415">
        <f t="shared" si="0"/>
        <v>1654.2616312073017</v>
      </c>
      <c r="R15" s="415">
        <f t="shared" si="0"/>
        <v>0</v>
      </c>
      <c r="S15" s="415">
        <f t="shared" si="0"/>
        <v>-4852.8525110061382</v>
      </c>
      <c r="T15" s="415">
        <f t="shared" si="1"/>
        <v>233942.74153060839</v>
      </c>
    </row>
    <row r="16" spans="1:24" ht="20.100000000000001" customHeight="1">
      <c r="A16" s="401" t="s">
        <v>147</v>
      </c>
      <c r="B16" s="408" t="s">
        <v>208</v>
      </c>
      <c r="C16" s="410">
        <f t="shared" si="0"/>
        <v>0</v>
      </c>
      <c r="D16" s="410">
        <f t="shared" si="0"/>
        <v>-2623.9753708385347</v>
      </c>
      <c r="E16" s="410">
        <f t="shared" si="0"/>
        <v>205.87078432446916</v>
      </c>
      <c r="F16" s="410">
        <f t="shared" si="0"/>
        <v>0</v>
      </c>
      <c r="G16" s="410">
        <f t="shared" si="0"/>
        <v>636148.33541210613</v>
      </c>
      <c r="H16" s="410">
        <f t="shared" si="0"/>
        <v>11343.054221028029</v>
      </c>
      <c r="I16" s="410">
        <f t="shared" si="0"/>
        <v>1029.3539216223458</v>
      </c>
      <c r="J16" s="410">
        <f t="shared" si="0"/>
        <v>0</v>
      </c>
      <c r="K16" s="410">
        <f t="shared" si="0"/>
        <v>0</v>
      </c>
      <c r="L16" s="410">
        <f t="shared" si="0"/>
        <v>0</v>
      </c>
      <c r="M16" s="410">
        <f t="shared" si="0"/>
        <v>0</v>
      </c>
      <c r="N16" s="410">
        <f t="shared" si="0"/>
        <v>447.21216551948419</v>
      </c>
      <c r="O16" s="410">
        <f t="shared" si="0"/>
        <v>0</v>
      </c>
      <c r="P16" s="410">
        <f t="shared" si="0"/>
        <v>0</v>
      </c>
      <c r="Q16" s="410">
        <f t="shared" si="0"/>
        <v>-529.76481197890985</v>
      </c>
      <c r="R16" s="410">
        <f t="shared" si="0"/>
        <v>0</v>
      </c>
      <c r="S16" s="410">
        <f t="shared" si="0"/>
        <v>-93.174554273957028</v>
      </c>
      <c r="T16" s="410">
        <f t="shared" si="1"/>
        <v>645926.91176750907</v>
      </c>
    </row>
    <row r="17" spans="1:91" ht="20.100000000000001" customHeight="1">
      <c r="A17" s="416" t="s">
        <v>148</v>
      </c>
      <c r="B17" s="414" t="s">
        <v>39</v>
      </c>
      <c r="C17" s="415">
        <f t="shared" si="0"/>
        <v>-8119.5661217694515</v>
      </c>
      <c r="D17" s="415">
        <f t="shared" si="0"/>
        <v>-112131.96390333559</v>
      </c>
      <c r="E17" s="415">
        <f t="shared" si="0"/>
        <v>-7841.6038062789303</v>
      </c>
      <c r="F17" s="415">
        <f t="shared" si="0"/>
        <v>-2764.2953030949207</v>
      </c>
      <c r="G17" s="415">
        <f t="shared" si="0"/>
        <v>-381.3904926647599</v>
      </c>
      <c r="H17" s="415">
        <f t="shared" si="0"/>
        <v>-46205.365421991053</v>
      </c>
      <c r="I17" s="415">
        <f t="shared" si="0"/>
        <v>-15090.277706092094</v>
      </c>
      <c r="J17" s="415">
        <f t="shared" si="0"/>
        <v>10834.976292865445</v>
      </c>
      <c r="K17" s="415">
        <f t="shared" si="0"/>
        <v>-115369.84597775445</v>
      </c>
      <c r="L17" s="415">
        <f t="shared" si="0"/>
        <v>-5909.5847828597725</v>
      </c>
      <c r="M17" s="415">
        <f t="shared" si="0"/>
        <v>0</v>
      </c>
      <c r="N17" s="415">
        <f t="shared" si="0"/>
        <v>-9693.7033432791686</v>
      </c>
      <c r="O17" s="415">
        <f t="shared" si="0"/>
        <v>0</v>
      </c>
      <c r="P17" s="415">
        <f t="shared" si="0"/>
        <v>0</v>
      </c>
      <c r="Q17" s="415">
        <f t="shared" si="0"/>
        <v>4179.1253225686341</v>
      </c>
      <c r="R17" s="415">
        <f t="shared" si="0"/>
        <v>0</v>
      </c>
      <c r="S17" s="415">
        <f t="shared" si="0"/>
        <v>-2899.9756171226531</v>
      </c>
      <c r="T17" s="415">
        <f t="shared" si="1"/>
        <v>-311393.47086080885</v>
      </c>
    </row>
    <row r="18" spans="1:91" ht="20.100000000000001" customHeight="1">
      <c r="A18" s="401" t="s">
        <v>149</v>
      </c>
      <c r="B18" s="408" t="s">
        <v>38</v>
      </c>
      <c r="C18" s="410">
        <f t="shared" si="0"/>
        <v>1805.2957377703372</v>
      </c>
      <c r="D18" s="410">
        <f t="shared" si="0"/>
        <v>3410.9317539581698</v>
      </c>
      <c r="E18" s="410">
        <f t="shared" si="0"/>
        <v>204557.01203169522</v>
      </c>
      <c r="F18" s="410">
        <f t="shared" si="0"/>
        <v>0</v>
      </c>
      <c r="G18" s="410">
        <f t="shared" si="0"/>
        <v>11533.57372113382</v>
      </c>
      <c r="H18" s="410">
        <f t="shared" si="0"/>
        <v>-15528.15610616923</v>
      </c>
      <c r="I18" s="410">
        <f t="shared" si="0"/>
        <v>1641.3401426923583</v>
      </c>
      <c r="J18" s="410">
        <f t="shared" si="0"/>
        <v>5697.1218198044799</v>
      </c>
      <c r="K18" s="410">
        <f t="shared" si="0"/>
        <v>1703.2457812148946</v>
      </c>
      <c r="L18" s="410">
        <f t="shared" si="0"/>
        <v>0</v>
      </c>
      <c r="M18" s="410">
        <f t="shared" si="0"/>
        <v>0</v>
      </c>
      <c r="N18" s="410">
        <f t="shared" si="0"/>
        <v>10812.277318474222</v>
      </c>
      <c r="O18" s="410">
        <f t="shared" si="0"/>
        <v>0</v>
      </c>
      <c r="P18" s="410">
        <f t="shared" si="0"/>
        <v>9910.0754975671971</v>
      </c>
      <c r="Q18" s="410">
        <f t="shared" si="0"/>
        <v>30794.599716774024</v>
      </c>
      <c r="R18" s="410">
        <f t="shared" si="0"/>
        <v>0</v>
      </c>
      <c r="S18" s="410">
        <f t="shared" si="0"/>
        <v>-35342.49931468875</v>
      </c>
      <c r="T18" s="410">
        <f t="shared" si="1"/>
        <v>230994.81810022672</v>
      </c>
    </row>
    <row r="19" spans="1:91" ht="20.100000000000001" customHeight="1">
      <c r="A19" s="401" t="s">
        <v>150</v>
      </c>
      <c r="B19" s="414" t="s">
        <v>31</v>
      </c>
      <c r="C19" s="415">
        <f t="shared" si="0"/>
        <v>-2231.9653160909074</v>
      </c>
      <c r="D19" s="415">
        <f t="shared" si="0"/>
        <v>7119.0293505427508</v>
      </c>
      <c r="E19" s="415">
        <f t="shared" si="0"/>
        <v>-37838.585234490223</v>
      </c>
      <c r="F19" s="415">
        <f t="shared" si="0"/>
        <v>28464.457971758322</v>
      </c>
      <c r="G19" s="415">
        <f t="shared" si="0"/>
        <v>-4569.1645820742779</v>
      </c>
      <c r="H19" s="415">
        <f t="shared" si="0"/>
        <v>3527.8103315785766</v>
      </c>
      <c r="I19" s="415">
        <f t="shared" si="0"/>
        <v>-591.71386099487609</v>
      </c>
      <c r="J19" s="415">
        <f t="shared" si="0"/>
        <v>-85406.964803559938</v>
      </c>
      <c r="K19" s="415">
        <f t="shared" si="0"/>
        <v>-15900.180983841796</v>
      </c>
      <c r="L19" s="415">
        <f t="shared" si="0"/>
        <v>2.4972670062919065</v>
      </c>
      <c r="M19" s="415">
        <f t="shared" si="0"/>
        <v>0</v>
      </c>
      <c r="N19" s="415">
        <f t="shared" si="0"/>
        <v>-987.09256998600051</v>
      </c>
      <c r="O19" s="415">
        <f t="shared" si="0"/>
        <v>0</v>
      </c>
      <c r="P19" s="415">
        <f t="shared" si="0"/>
        <v>271.93135582122767</v>
      </c>
      <c r="Q19" s="415">
        <f t="shared" si="0"/>
        <v>13365.330456812015</v>
      </c>
      <c r="R19" s="415">
        <f t="shared" si="0"/>
        <v>0</v>
      </c>
      <c r="S19" s="415">
        <f t="shared" si="0"/>
        <v>725.15028218994053</v>
      </c>
      <c r="T19" s="415">
        <f t="shared" si="1"/>
        <v>-94049.460335328899</v>
      </c>
    </row>
    <row r="20" spans="1:91" ht="20.100000000000001" customHeight="1">
      <c r="A20" s="401" t="s">
        <v>151</v>
      </c>
      <c r="B20" s="408" t="s">
        <v>209</v>
      </c>
      <c r="C20" s="410">
        <f t="shared" ref="C20:S25" si="2">+C44+C68</f>
        <v>0</v>
      </c>
      <c r="D20" s="410">
        <f t="shared" si="2"/>
        <v>1616.4175060931339</v>
      </c>
      <c r="E20" s="410">
        <f t="shared" si="2"/>
        <v>1129.8526613595493</v>
      </c>
      <c r="F20" s="410">
        <f t="shared" si="2"/>
        <v>0</v>
      </c>
      <c r="G20" s="410">
        <f t="shared" si="2"/>
        <v>0</v>
      </c>
      <c r="H20" s="410">
        <f t="shared" si="2"/>
        <v>282.46316533988733</v>
      </c>
      <c r="I20" s="410">
        <f t="shared" si="2"/>
        <v>-294.62579403492362</v>
      </c>
      <c r="J20" s="410">
        <f t="shared" si="2"/>
        <v>-26071.493528116989</v>
      </c>
      <c r="K20" s="410">
        <f t="shared" si="2"/>
        <v>-678.44419850011354</v>
      </c>
      <c r="L20" s="410">
        <f t="shared" si="2"/>
        <v>0</v>
      </c>
      <c r="M20" s="410">
        <f t="shared" si="2"/>
        <v>0</v>
      </c>
      <c r="N20" s="410">
        <f t="shared" si="2"/>
        <v>282.46316533988733</v>
      </c>
      <c r="O20" s="410">
        <f t="shared" si="2"/>
        <v>0</v>
      </c>
      <c r="P20" s="410">
        <f t="shared" si="2"/>
        <v>0</v>
      </c>
      <c r="Q20" s="410">
        <f t="shared" si="2"/>
        <v>274.35474620986309</v>
      </c>
      <c r="R20" s="410">
        <f t="shared" si="2"/>
        <v>0</v>
      </c>
      <c r="S20" s="410">
        <f t="shared" si="2"/>
        <v>376.61755378651645</v>
      </c>
      <c r="T20" s="410">
        <f t="shared" si="1"/>
        <v>-23082.394722523193</v>
      </c>
    </row>
    <row r="21" spans="1:91" ht="20.100000000000001" customHeight="1">
      <c r="A21" s="416" t="s">
        <v>153</v>
      </c>
      <c r="B21" s="414" t="s">
        <v>210</v>
      </c>
      <c r="C21" s="415">
        <f t="shared" si="2"/>
        <v>596.65179819250318</v>
      </c>
      <c r="D21" s="415">
        <f t="shared" si="2"/>
        <v>-414.25301325693806</v>
      </c>
      <c r="E21" s="415">
        <f t="shared" si="2"/>
        <v>1591.0714618466752</v>
      </c>
      <c r="F21" s="415">
        <f t="shared" si="2"/>
        <v>0</v>
      </c>
      <c r="G21" s="415">
        <f t="shared" si="2"/>
        <v>0</v>
      </c>
      <c r="H21" s="415">
        <f t="shared" si="2"/>
        <v>-93.516479324692355</v>
      </c>
      <c r="I21" s="415">
        <f t="shared" si="2"/>
        <v>298.32589909625159</v>
      </c>
      <c r="J21" s="415">
        <f t="shared" si="2"/>
        <v>0</v>
      </c>
      <c r="K21" s="415">
        <f t="shared" si="2"/>
        <v>118.50974081449704</v>
      </c>
      <c r="L21" s="415">
        <f t="shared" si="2"/>
        <v>-525.54595370380514</v>
      </c>
      <c r="M21" s="415">
        <f t="shared" si="2"/>
        <v>-187.03295864938471</v>
      </c>
      <c r="N21" s="415">
        <f t="shared" si="2"/>
        <v>-21.119321509088422</v>
      </c>
      <c r="O21" s="415">
        <f t="shared" si="2"/>
        <v>17191.612090660958</v>
      </c>
      <c r="P21" s="415">
        <f t="shared" si="2"/>
        <v>51.277836306515383</v>
      </c>
      <c r="Q21" s="415">
        <f t="shared" si="2"/>
        <v>-14676.564137659043</v>
      </c>
      <c r="R21" s="415">
        <f t="shared" si="2"/>
        <v>0</v>
      </c>
      <c r="S21" s="415">
        <f t="shared" si="2"/>
        <v>99.441966365417201</v>
      </c>
      <c r="T21" s="415">
        <f t="shared" si="1"/>
        <v>4028.8589291798653</v>
      </c>
    </row>
    <row r="22" spans="1:91" ht="20.100000000000001" customHeight="1">
      <c r="A22" s="401" t="s">
        <v>155</v>
      </c>
      <c r="B22" s="408" t="s">
        <v>42</v>
      </c>
      <c r="C22" s="410">
        <f t="shared" si="2"/>
        <v>0</v>
      </c>
      <c r="D22" s="410">
        <f t="shared" si="2"/>
        <v>-799.67290905551567</v>
      </c>
      <c r="E22" s="410">
        <f t="shared" si="2"/>
        <v>708.01825710609126</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70.222580537308716</v>
      </c>
      <c r="N22" s="410">
        <f t="shared" si="2"/>
        <v>-12777.386035825679</v>
      </c>
      <c r="O22" s="410">
        <f t="shared" si="2"/>
        <v>-3590.4856156075916</v>
      </c>
      <c r="P22" s="410">
        <f t="shared" si="2"/>
        <v>-120300.67372126994</v>
      </c>
      <c r="Q22" s="410">
        <f t="shared" si="2"/>
        <v>1255.4516866400099</v>
      </c>
      <c r="R22" s="410">
        <f t="shared" si="2"/>
        <v>0</v>
      </c>
      <c r="S22" s="410">
        <f t="shared" si="2"/>
        <v>0</v>
      </c>
      <c r="T22" s="410">
        <f t="shared" si="1"/>
        <v>-135934.19325366267</v>
      </c>
    </row>
    <row r="23" spans="1:91" ht="20.100000000000001" customHeight="1">
      <c r="A23" s="401" t="s">
        <v>162</v>
      </c>
      <c r="B23" s="414" t="s">
        <v>76</v>
      </c>
      <c r="C23" s="415">
        <f t="shared" si="2"/>
        <v>0</v>
      </c>
      <c r="D23" s="415">
        <f t="shared" si="2"/>
        <v>-392.44676049009388</v>
      </c>
      <c r="E23" s="415">
        <f t="shared" si="2"/>
        <v>0</v>
      </c>
      <c r="F23" s="415">
        <f t="shared" si="2"/>
        <v>0</v>
      </c>
      <c r="G23" s="415">
        <f t="shared" si="2"/>
        <v>1563.3780722453403</v>
      </c>
      <c r="H23" s="415">
        <f t="shared" si="2"/>
        <v>197.23655069844372</v>
      </c>
      <c r="I23" s="415">
        <f t="shared" si="2"/>
        <v>0</v>
      </c>
      <c r="J23" s="415">
        <f t="shared" si="2"/>
        <v>0</v>
      </c>
      <c r="K23" s="415">
        <f t="shared" si="2"/>
        <v>0</v>
      </c>
      <c r="L23" s="415">
        <f t="shared" si="2"/>
        <v>0</v>
      </c>
      <c r="M23" s="415">
        <f t="shared" si="2"/>
        <v>-196.89882721397814</v>
      </c>
      <c r="N23" s="415">
        <f t="shared" si="2"/>
        <v>681283.12289803894</v>
      </c>
      <c r="O23" s="415">
        <f t="shared" si="2"/>
        <v>0</v>
      </c>
      <c r="P23" s="415">
        <f t="shared" si="2"/>
        <v>0</v>
      </c>
      <c r="Q23" s="415">
        <f t="shared" si="2"/>
        <v>41535.089802949187</v>
      </c>
      <c r="R23" s="415">
        <f t="shared" si="2"/>
        <v>0</v>
      </c>
      <c r="S23" s="415">
        <f t="shared" si="2"/>
        <v>-7722.3250646925389</v>
      </c>
      <c r="T23" s="415">
        <f t="shared" si="1"/>
        <v>716267.15667153534</v>
      </c>
    </row>
    <row r="24" spans="1:91" ht="20.100000000000001" customHeight="1">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139987.12622570246</v>
      </c>
      <c r="N24" s="410">
        <f t="shared" si="2"/>
        <v>902.60629492945736</v>
      </c>
      <c r="O24" s="410">
        <f t="shared" si="2"/>
        <v>0</v>
      </c>
      <c r="P24" s="410">
        <f t="shared" si="2"/>
        <v>0</v>
      </c>
      <c r="Q24" s="410">
        <f t="shared" si="2"/>
        <v>0</v>
      </c>
      <c r="R24" s="410">
        <f t="shared" si="2"/>
        <v>0</v>
      </c>
      <c r="S24" s="410">
        <f t="shared" si="2"/>
        <v>0</v>
      </c>
      <c r="T24" s="410">
        <f t="shared" si="1"/>
        <v>141309.88325808899</v>
      </c>
    </row>
    <row r="25" spans="1:91" ht="20.100000000000001" customHeight="1">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-60284.151831730502</v>
      </c>
      <c r="N25" s="419">
        <f t="shared" si="2"/>
        <v>-1615.8257720101478</v>
      </c>
      <c r="O25" s="419">
        <f t="shared" si="2"/>
        <v>0</v>
      </c>
      <c r="P25" s="419">
        <f t="shared" si="2"/>
        <v>0</v>
      </c>
      <c r="Q25" s="419">
        <f t="shared" si="2"/>
        <v>-351.10223205534533</v>
      </c>
      <c r="R25" s="419">
        <f t="shared" si="2"/>
        <v>0</v>
      </c>
      <c r="S25" s="419">
        <f t="shared" si="2"/>
        <v>-65.777251478735849</v>
      </c>
      <c r="T25" s="420">
        <f t="shared" si="1"/>
        <v>-63961.288374243122</v>
      </c>
    </row>
    <row r="26" spans="1:91" ht="20.100000000000001" customHeight="1">
      <c r="A26" s="402"/>
      <c r="B26" s="421" t="s">
        <v>17</v>
      </c>
      <c r="C26" s="569">
        <f t="shared" ref="C26:S26" si="3">SUM(C5:C25)</f>
        <v>353627.25241758797</v>
      </c>
      <c r="D26" s="569">
        <f t="shared" si="3"/>
        <v>-5514959.7628579754</v>
      </c>
      <c r="E26" s="569">
        <f t="shared" si="3"/>
        <v>1237249.3221896063</v>
      </c>
      <c r="F26" s="569">
        <f t="shared" si="3"/>
        <v>72829.118426365691</v>
      </c>
      <c r="G26" s="569">
        <f t="shared" si="3"/>
        <v>3029109.5728651835</v>
      </c>
      <c r="H26" s="569">
        <f t="shared" si="3"/>
        <v>-146815.18849926477</v>
      </c>
      <c r="I26" s="569">
        <f t="shared" si="3"/>
        <v>300757.58700152149</v>
      </c>
      <c r="J26" s="569">
        <f t="shared" si="3"/>
        <v>-38646.132883977371</v>
      </c>
      <c r="K26" s="569">
        <f t="shared" si="3"/>
        <v>-158441.81125643701</v>
      </c>
      <c r="L26" s="569">
        <f t="shared" si="3"/>
        <v>120973.349171818</v>
      </c>
      <c r="M26" s="569">
        <f t="shared" si="3"/>
        <v>78019.950909658713</v>
      </c>
      <c r="N26" s="569">
        <f t="shared" si="3"/>
        <v>915156.02032521705</v>
      </c>
      <c r="O26" s="569">
        <f t="shared" si="3"/>
        <v>267584.57249932736</v>
      </c>
      <c r="P26" s="569">
        <f t="shared" si="3"/>
        <v>-77973.264018851827</v>
      </c>
      <c r="Q26" s="569">
        <f t="shared" si="3"/>
        <v>1632343.3719797193</v>
      </c>
      <c r="R26" s="423">
        <f t="shared" si="3"/>
        <v>142150.36938631258</v>
      </c>
      <c r="S26" s="423">
        <f t="shared" si="3"/>
        <v>-325639.72557491402</v>
      </c>
      <c r="T26" s="422">
        <f t="shared" si="1"/>
        <v>1887324.6020808974</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+FY15RevToColl!C29-FY15ProjRevToColl!C29-FY15MappingChg!C29</f>
        <v>304273.45073164161</v>
      </c>
      <c r="D29" s="438">
        <f>+FY15RevToColl!D29-FY15ProjRevToColl!D29-FY15MappingChg!D29</f>
        <v>-1150694.746191293</v>
      </c>
      <c r="E29" s="438">
        <f>+FY15RevToColl!E29-FY15ProjRevToColl!E29-FY15MappingChg!E29</f>
        <v>-186317.17509892955</v>
      </c>
      <c r="F29" s="438">
        <f>+FY15RevToColl!F29-FY15ProjRevToColl!F29-FY15MappingChg!F29</f>
        <v>2566.2815726911649</v>
      </c>
      <c r="G29" s="438">
        <f>+FY15RevToColl!G29-FY15ProjRevToColl!G29-FY15MappingChg!G29</f>
        <v>929983.19561970979</v>
      </c>
      <c r="H29" s="438">
        <f>+FY15RevToColl!H29-FY15ProjRevToColl!H29-FY15MappingChg!H29</f>
        <v>-288228.46670507453</v>
      </c>
      <c r="I29" s="438">
        <f>+FY15RevToColl!I29-FY15ProjRevToColl!I29-FY15MappingChg!I29</f>
        <v>336459.46120821964</v>
      </c>
      <c r="J29" s="438">
        <f>+FY15RevToColl!J29-FY15ProjRevToColl!J29-FY15MappingChg!J29</f>
        <v>74453.224053127749</v>
      </c>
      <c r="K29" s="438">
        <f>+FY15RevToColl!K29-FY15ProjRevToColl!K29-FY15MappingChg!K29</f>
        <v>13077.124800085394</v>
      </c>
      <c r="L29" s="438">
        <f>+FY15RevToColl!L29-FY15ProjRevToColl!L29-FY15MappingChg!L29</f>
        <v>-16003.85376115347</v>
      </c>
      <c r="M29" s="438">
        <f>+FY15RevToColl!M29-FY15ProjRevToColl!M29-FY15MappingChg!M29</f>
        <v>-2862.3491645595168</v>
      </c>
      <c r="N29" s="438">
        <f>+FY15RevToColl!N29-FY15ProjRevToColl!N29-FY15MappingChg!N29</f>
        <v>157946.75982152205</v>
      </c>
      <c r="O29" s="438">
        <f>+FY15RevToColl!O29-FY15ProjRevToColl!O29-FY15MappingChg!O29</f>
        <v>95901.275617535459</v>
      </c>
      <c r="P29" s="438">
        <f>+FY15RevToColl!P29-FY15ProjRevToColl!P29-FY15MappingChg!P29</f>
        <v>-2342.5015464642347</v>
      </c>
      <c r="Q29" s="438">
        <f>+FY15RevToColl!Q29-FY15ProjRevToColl!Q29-FY15MappingChg!Q29</f>
        <v>654116.13176833442</v>
      </c>
      <c r="R29" s="438">
        <f>+FY15RevToColl!R29-FY15ProjRevToColl!R29-FY15MappingChg!R29</f>
        <v>116189.29407804506</v>
      </c>
      <c r="S29" s="438">
        <f>+FY15RevToColl!S29-FY15ProjRevToColl!S29-FY15MappingChg!S29</f>
        <v>-61260.963800628029</v>
      </c>
      <c r="T29" s="439">
        <f t="shared" ref="T29:T49" si="4">SUM(C29:Q29)+R29+S29</f>
        <v>977256.14300280996</v>
      </c>
    </row>
    <row r="30" spans="1:91" s="18" customFormat="1" ht="20.100000000000001" customHeight="1">
      <c r="A30" s="404" t="s">
        <v>129</v>
      </c>
      <c r="B30" s="440" t="s">
        <v>35</v>
      </c>
      <c r="C30" s="410">
        <f>+FY15RevToColl!C30-FY15ProjRevToColl!C30-FY15MappingChg!C30</f>
        <v>373.72183241001039</v>
      </c>
      <c r="D30" s="410">
        <f>+FY15RevToColl!D30-FY15ProjRevToColl!D30-FY15MappingChg!D30</f>
        <v>-118451.52265350404</v>
      </c>
      <c r="E30" s="410">
        <f>+FY15RevToColl!E30-FY15ProjRevToColl!E30-FY15MappingChg!E30</f>
        <v>2316.1544864868047</v>
      </c>
      <c r="F30" s="410">
        <f>+FY15RevToColl!F30-FY15ProjRevToColl!F30-FY15MappingChg!F30</f>
        <v>6333.0984320291609</v>
      </c>
      <c r="G30" s="410">
        <f>+FY15RevToColl!G30-FY15ProjRevToColl!G30-FY15MappingChg!G30</f>
        <v>7281.5745064287912</v>
      </c>
      <c r="H30" s="410">
        <f>+FY15RevToColl!H30-FY15ProjRevToColl!H30-FY15MappingChg!H30</f>
        <v>2595.1086200783247</v>
      </c>
      <c r="I30" s="410">
        <f>+FY15RevToColl!I30-FY15ProjRevToColl!I30-FY15MappingChg!I30</f>
        <v>5488.9477643190694</v>
      </c>
      <c r="J30" s="410">
        <f>+FY15RevToColl!J30-FY15ProjRevToColl!J30-FY15MappingChg!J30</f>
        <v>586.00765679701635</v>
      </c>
      <c r="K30" s="410">
        <f>+FY15RevToColl!K30-FY15ProjRevToColl!K30-FY15MappingChg!K30</f>
        <v>1426.3771313048346</v>
      </c>
      <c r="L30" s="410">
        <f>+FY15RevToColl!L30-FY15ProjRevToColl!L30-FY15MappingChg!L30</f>
        <v>2162.7913313311287</v>
      </c>
      <c r="M30" s="410">
        <f>+FY15RevToColl!M30-FY15ProjRevToColl!M30-FY15MappingChg!M30</f>
        <v>-0.31703878288136522</v>
      </c>
      <c r="N30" s="410">
        <f>+FY15RevToColl!N30-FY15ProjRevToColl!N30-FY15MappingChg!N30</f>
        <v>-18559.86895856919</v>
      </c>
      <c r="O30" s="410">
        <f>+FY15RevToColl!O30-FY15ProjRevToColl!O30-FY15MappingChg!O30</f>
        <v>-1521.7490864562631</v>
      </c>
      <c r="P30" s="410">
        <f>+FY15RevToColl!P30-FY15ProjRevToColl!P30-FY15MappingChg!P30</f>
        <v>6275.8678446634513</v>
      </c>
      <c r="Q30" s="410">
        <f>+FY15RevToColl!Q30-FY15ProjRevToColl!Q30-FY15MappingChg!Q30</f>
        <v>-1528.6272258397112</v>
      </c>
      <c r="R30" s="410">
        <f>+FY15RevToColl!R30-FY15ProjRevToColl!R30-FY15MappingChg!R30</f>
        <v>153.11300897991956</v>
      </c>
      <c r="S30" s="410">
        <f>+FY15RevToColl!S30-FY15ProjRevToColl!S30-FY15MappingChg!S30</f>
        <v>-45666.312488213647</v>
      </c>
      <c r="T30" s="441">
        <f t="shared" si="4"/>
        <v>-150735.63483653724</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+FY15RevToColl!C31-FY15ProjRevToColl!C31-FY15MappingChg!C31</f>
        <v>-152.83782423371071</v>
      </c>
      <c r="D31" s="443">
        <f>+FY15RevToColl!D31-FY15ProjRevToColl!D31-FY15MappingChg!D31</f>
        <v>-233.06604744709693</v>
      </c>
      <c r="E31" s="443">
        <f>+FY15RevToColl!E31-FY15ProjRevToColl!E31-FY15MappingChg!E31</f>
        <v>0</v>
      </c>
      <c r="F31" s="443">
        <f>+FY15RevToColl!F31-FY15ProjRevToColl!F31-FY15MappingChg!F31</f>
        <v>163.76666778088384</v>
      </c>
      <c r="G31" s="443">
        <f>+FY15RevToColl!G31-FY15ProjRevToColl!G31-FY15MappingChg!G31</f>
        <v>49.463826675530839</v>
      </c>
      <c r="H31" s="443">
        <f>+FY15RevToColl!H31-FY15ProjRevToColl!H31-FY15MappingChg!H31</f>
        <v>0</v>
      </c>
      <c r="I31" s="443">
        <f>+FY15RevToColl!I31-FY15ProjRevToColl!I31-FY15MappingChg!I31</f>
        <v>-413.49599023271946</v>
      </c>
      <c r="J31" s="443">
        <f>+FY15RevToColl!J31-FY15ProjRevToColl!J31-FY15MappingChg!J31</f>
        <v>143.94513581947439</v>
      </c>
      <c r="K31" s="443">
        <f>+FY15RevToColl!K31-FY15ProjRevToColl!K31-FY15MappingChg!K31</f>
        <v>-5.9284589428242498</v>
      </c>
      <c r="L31" s="443">
        <f>+FY15RevToColl!L31-FY15ProjRevToColl!L31-FY15MappingChg!L31</f>
        <v>-4765.4267264287773</v>
      </c>
      <c r="M31" s="443">
        <f>+FY15RevToColl!M31-FY15ProjRevToColl!M31-FY15MappingChg!M31</f>
        <v>0</v>
      </c>
      <c r="N31" s="443">
        <f>+FY15RevToColl!N31-FY15ProjRevToColl!N31-FY15MappingChg!N31</f>
        <v>-17739.931704611547</v>
      </c>
      <c r="O31" s="443">
        <f>+FY15RevToColl!O31-FY15ProjRevToColl!O31-FY15MappingChg!O31</f>
        <v>0</v>
      </c>
      <c r="P31" s="443">
        <f>+FY15RevToColl!P31-FY15ProjRevToColl!P31-FY15MappingChg!P31</f>
        <v>197.85530670212336</v>
      </c>
      <c r="Q31" s="443">
        <f>+FY15RevToColl!Q31-FY15ProjRevToColl!Q31-FY15MappingChg!Q31</f>
        <v>-1052.4534267487461</v>
      </c>
      <c r="R31" s="443">
        <f>+FY15RevToColl!R31-FY15ProjRevToColl!R31-FY15MappingChg!R31</f>
        <v>0</v>
      </c>
      <c r="S31" s="443">
        <f>+FY15RevToColl!S31-FY15ProjRevToColl!S31-FY15MappingChg!S31</f>
        <v>46.499597204118743</v>
      </c>
      <c r="T31" s="444">
        <f t="shared" si="4"/>
        <v>-23761.609644463293</v>
      </c>
    </row>
    <row r="32" spans="1:91" s="18" customFormat="1" ht="20.100000000000001" customHeight="1">
      <c r="A32" s="404" t="s">
        <v>130</v>
      </c>
      <c r="B32" s="440" t="s">
        <v>37</v>
      </c>
      <c r="C32" s="410">
        <f>+FY15RevToColl!C32-FY15ProjRevToColl!C32-FY15MappingChg!C32</f>
        <v>1250.9839506806156</v>
      </c>
      <c r="D32" s="410">
        <f>+FY15RevToColl!D32-FY15ProjRevToColl!D32-FY15MappingChg!D32</f>
        <v>7217.5691807196708</v>
      </c>
      <c r="E32" s="410">
        <f>+FY15RevToColl!E32-FY15ProjRevToColl!E32-FY15MappingChg!E32</f>
        <v>-1363.4920528333023</v>
      </c>
      <c r="F32" s="410">
        <f>+FY15RevToColl!F32-FY15ProjRevToColl!F32-FY15MappingChg!F32</f>
        <v>-2878.7237558778088</v>
      </c>
      <c r="G32" s="410">
        <f>+FY15RevToColl!G32-FY15ProjRevToColl!G32-FY15MappingChg!G32</f>
        <v>4523.8478465136141</v>
      </c>
      <c r="H32" s="410">
        <f>+FY15RevToColl!H32-FY15ProjRevToColl!H32-FY15MappingChg!H32</f>
        <v>22.198537939422749</v>
      </c>
      <c r="I32" s="410">
        <f>+FY15RevToColl!I32-FY15ProjRevToColl!I32-FY15MappingChg!I32</f>
        <v>750.96500740468082</v>
      </c>
      <c r="J32" s="410">
        <f>+FY15RevToColl!J32-FY15ProjRevToColl!J32-FY15MappingChg!J32</f>
        <v>-1850.597176558409</v>
      </c>
      <c r="K32" s="410">
        <f>+FY15RevToColl!K32-FY15ProjRevToColl!K32-FY15MappingChg!K32</f>
        <v>-227.75229929810655</v>
      </c>
      <c r="L32" s="410">
        <f>+FY15RevToColl!L32-FY15ProjRevToColl!L32-FY15MappingChg!L32</f>
        <v>-289.41692289779508</v>
      </c>
      <c r="M32" s="410">
        <f>+FY15RevToColl!M32-FY15ProjRevToColl!M32-FY15MappingChg!M32</f>
        <v>0</v>
      </c>
      <c r="N32" s="410">
        <f>+FY15RevToColl!N32-FY15ProjRevToColl!N32-FY15MappingChg!N32</f>
        <v>3866.4145778261627</v>
      </c>
      <c r="O32" s="410">
        <f>+FY15RevToColl!O32-FY15ProjRevToColl!O32-FY15MappingChg!O32</f>
        <v>-1472.3861019029209</v>
      </c>
      <c r="P32" s="410">
        <f>+FY15RevToColl!P32-FY15ProjRevToColl!P32-FY15MappingChg!P32</f>
        <v>-28.359292650970701</v>
      </c>
      <c r="Q32" s="410">
        <f>+FY15RevToColl!Q32-FY15ProjRevToColl!Q32-FY15MappingChg!Q32</f>
        <v>5654.1068591906478</v>
      </c>
      <c r="R32" s="410">
        <f>+FY15RevToColl!R32-FY15ProjRevToColl!R32-FY15MappingChg!R32</f>
        <v>0</v>
      </c>
      <c r="S32" s="410">
        <f>+FY15RevToColl!S32-FY15ProjRevToColl!S32-FY15MappingChg!S32</f>
        <v>622.57997714626435</v>
      </c>
      <c r="T32" s="441">
        <f t="shared" si="4"/>
        <v>15797.938335401766</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+FY15RevToColl!C33-FY15ProjRevToColl!C33-FY15MappingChg!C33</f>
        <v>95.833997514174598</v>
      </c>
      <c r="D33" s="443">
        <f>+FY15RevToColl!D33-FY15ProjRevToColl!D33-FY15MappingChg!D33</f>
        <v>7178.2447104105449</v>
      </c>
      <c r="E33" s="443">
        <f>+FY15RevToColl!E33-FY15ProjRevToColl!E33-FY15MappingChg!E33</f>
        <v>804.11607771977958</v>
      </c>
      <c r="F33" s="443">
        <f>+FY15RevToColl!F33-FY15ProjRevToColl!F33-FY15MappingChg!F33</f>
        <v>-824.00592452112676</v>
      </c>
      <c r="G33" s="443">
        <f>+FY15RevToColl!G33-FY15ProjRevToColl!G33-FY15MappingChg!G33</f>
        <v>412.53094001059526</v>
      </c>
      <c r="H33" s="443">
        <f>+FY15RevToColl!H33-FY15ProjRevToColl!H33-FY15MappingChg!H33</f>
        <v>-23009.839825579314</v>
      </c>
      <c r="I33" s="443">
        <f>+FY15RevToColl!I33-FY15ProjRevToColl!I33-FY15MappingChg!I33</f>
        <v>-43.829705763541867</v>
      </c>
      <c r="J33" s="443">
        <f>+FY15RevToColl!J33-FY15ProjRevToColl!J33-FY15MappingChg!J33</f>
        <v>-336.04017113138684</v>
      </c>
      <c r="K33" s="443">
        <f>+FY15RevToColl!K33-FY15ProjRevToColl!K33-FY15MappingChg!K33</f>
        <v>1359.8141150025576</v>
      </c>
      <c r="L33" s="443">
        <f>+FY15RevToColl!L33-FY15ProjRevToColl!L33-FY15MappingChg!L33</f>
        <v>0</v>
      </c>
      <c r="M33" s="443">
        <f>+FY15RevToColl!M33-FY15ProjRevToColl!M33-FY15MappingChg!M33</f>
        <v>0</v>
      </c>
      <c r="N33" s="443">
        <f>+FY15RevToColl!N33-FY15ProjRevToColl!N33-FY15MappingChg!N33</f>
        <v>-288.7070713733774</v>
      </c>
      <c r="O33" s="443">
        <f>+FY15RevToColl!O33-FY15ProjRevToColl!O33-FY15MappingChg!O33</f>
        <v>0</v>
      </c>
      <c r="P33" s="443">
        <f>+FY15RevToColl!P33-FY15ProjRevToColl!P33-FY15MappingChg!P33</f>
        <v>0</v>
      </c>
      <c r="Q33" s="443">
        <f>+FY15RevToColl!Q33-FY15ProjRevToColl!Q33-FY15MappingChg!Q33</f>
        <v>634.05234565731348</v>
      </c>
      <c r="R33" s="443">
        <f>+FY15RevToColl!R33-FY15ProjRevToColl!R33-FY15MappingChg!R33</f>
        <v>133.24081428785937</v>
      </c>
      <c r="S33" s="443">
        <f>+FY15RevToColl!S33-FY15ProjRevToColl!S33-FY15MappingChg!S33</f>
        <v>330.16390030791013</v>
      </c>
      <c r="T33" s="444">
        <f t="shared" si="4"/>
        <v>-13554.42579745801</v>
      </c>
    </row>
    <row r="34" spans="1:91" s="18" customFormat="1" ht="20.100000000000001" customHeight="1">
      <c r="A34" s="404" t="s">
        <v>132</v>
      </c>
      <c r="B34" s="440" t="s">
        <v>206</v>
      </c>
      <c r="C34" s="410">
        <f>+FY15RevToColl!C34-FY15ProjRevToColl!C34-FY15MappingChg!C34</f>
        <v>-269.47205076710122</v>
      </c>
      <c r="D34" s="410">
        <f>+FY15RevToColl!D34-FY15ProjRevToColl!D34-FY15MappingChg!D34</f>
        <v>-6183.0645913720109</v>
      </c>
      <c r="E34" s="410">
        <f>+FY15RevToColl!E34-FY15ProjRevToColl!E34-FY15MappingChg!E34</f>
        <v>-3.425826962502498</v>
      </c>
      <c r="F34" s="410">
        <f>+FY15RevToColl!F34-FY15ProjRevToColl!F34-FY15MappingChg!F34</f>
        <v>-53480.648356627324</v>
      </c>
      <c r="G34" s="410">
        <f>+FY15RevToColl!G34-FY15ProjRevToColl!G34-FY15MappingChg!G34</f>
        <v>83.828819737987629</v>
      </c>
      <c r="H34" s="410">
        <f>+FY15RevToColl!H34-FY15ProjRevToColl!H34-FY15MappingChg!H34</f>
        <v>-4564.8561258121554</v>
      </c>
      <c r="I34" s="410">
        <f>+FY15RevToColl!I34-FY15ProjRevToColl!I34-FY15MappingChg!I34</f>
        <v>165.08826925409846</v>
      </c>
      <c r="J34" s="410">
        <f>+FY15RevToColl!J34-FY15ProjRevToColl!J34-FY15MappingChg!J34</f>
        <v>0</v>
      </c>
      <c r="K34" s="410">
        <f>+FY15RevToColl!K34-FY15ProjRevToColl!K34-FY15MappingChg!K34</f>
        <v>-966.38045052507005</v>
      </c>
      <c r="L34" s="410">
        <f>+FY15RevToColl!L34-FY15ProjRevToColl!L34-FY15MappingChg!L34</f>
        <v>-456.45193732881489</v>
      </c>
      <c r="M34" s="410">
        <f>+FY15RevToColl!M34-FY15ProjRevToColl!M34-FY15MappingChg!M34</f>
        <v>0</v>
      </c>
      <c r="N34" s="410">
        <f>+FY15RevToColl!N34-FY15ProjRevToColl!N34-FY15MappingChg!N34</f>
        <v>-157.86035738044257</v>
      </c>
      <c r="O34" s="410">
        <f>+FY15RevToColl!O34-FY15ProjRevToColl!O34-FY15MappingChg!O34</f>
        <v>171.08346643847779</v>
      </c>
      <c r="P34" s="410">
        <f>+FY15RevToColl!P34-FY15ProjRevToColl!P34-FY15MappingChg!P34</f>
        <v>0</v>
      </c>
      <c r="Q34" s="410">
        <f>+FY15RevToColl!Q34-FY15ProjRevToColl!Q34-FY15MappingChg!Q34</f>
        <v>597.93567579404692</v>
      </c>
      <c r="R34" s="410">
        <f>+FY15RevToColl!R34-FY15ProjRevToColl!R34-FY15MappingChg!R34</f>
        <v>0</v>
      </c>
      <c r="S34" s="410">
        <f>+FY15RevToColl!S34-FY15ProjRevToColl!S34-FY15MappingChg!S34</f>
        <v>-203.62882258225181</v>
      </c>
      <c r="T34" s="441">
        <f t="shared" si="4"/>
        <v>-65267.852288133065</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+FY15RevToColl!C35-FY15ProjRevToColl!C35-FY15MappingChg!C35</f>
        <v>0</v>
      </c>
      <c r="D35" s="443">
        <f>+FY15RevToColl!D35-FY15ProjRevToColl!D35-FY15MappingChg!D35</f>
        <v>0</v>
      </c>
      <c r="E35" s="443">
        <f>+FY15RevToColl!E35-FY15ProjRevToColl!E35-FY15MappingChg!E35</f>
        <v>0</v>
      </c>
      <c r="F35" s="443">
        <f>+FY15RevToColl!F35-FY15ProjRevToColl!F35-FY15MappingChg!F35</f>
        <v>0</v>
      </c>
      <c r="G35" s="443">
        <f>+FY15RevToColl!G35-FY15ProjRevToColl!G35-FY15MappingChg!G35</f>
        <v>0</v>
      </c>
      <c r="H35" s="443">
        <f>+FY15RevToColl!H35-FY15ProjRevToColl!H35-FY15MappingChg!H35</f>
        <v>0</v>
      </c>
      <c r="I35" s="443">
        <f>+FY15RevToColl!I35-FY15ProjRevToColl!I35-FY15MappingChg!I35</f>
        <v>1037.1949609873313</v>
      </c>
      <c r="J35" s="443">
        <f>+FY15RevToColl!J35-FY15ProjRevToColl!J35-FY15MappingChg!J35</f>
        <v>0</v>
      </c>
      <c r="K35" s="443">
        <f>+FY15RevToColl!K35-FY15ProjRevToColl!K35-FY15MappingChg!K35</f>
        <v>0</v>
      </c>
      <c r="L35" s="443">
        <f>+FY15RevToColl!L35-FY15ProjRevToColl!L35-FY15MappingChg!L35</f>
        <v>0</v>
      </c>
      <c r="M35" s="443">
        <f>+FY15RevToColl!M35-FY15ProjRevToColl!M35-FY15MappingChg!M35</f>
        <v>0</v>
      </c>
      <c r="N35" s="443">
        <f>+FY15RevToColl!N35-FY15ProjRevToColl!N35-FY15MappingChg!N35</f>
        <v>0</v>
      </c>
      <c r="O35" s="443">
        <f>+FY15RevToColl!O35-FY15ProjRevToColl!O35-FY15MappingChg!O35</f>
        <v>0</v>
      </c>
      <c r="P35" s="443">
        <f>+FY15RevToColl!P35-FY15ProjRevToColl!P35-FY15MappingChg!P35</f>
        <v>0</v>
      </c>
      <c r="Q35" s="443">
        <f>+FY15RevToColl!Q35-FY15ProjRevToColl!Q35-FY15MappingChg!Q35</f>
        <v>0</v>
      </c>
      <c r="R35" s="443">
        <f>+FY15RevToColl!R35-FY15ProjRevToColl!R35-FY15MappingChg!R35</f>
        <v>0</v>
      </c>
      <c r="S35" s="443">
        <f>+FY15RevToColl!S35-FY15ProjRevToColl!S35-FY15MappingChg!S35</f>
        <v>0</v>
      </c>
      <c r="T35" s="444">
        <f t="shared" si="4"/>
        <v>1037.1949609873313</v>
      </c>
    </row>
    <row r="36" spans="1:91" s="18" customFormat="1" ht="20.100000000000001" customHeight="1">
      <c r="A36" s="404" t="s">
        <v>135</v>
      </c>
      <c r="B36" s="440" t="s">
        <v>70</v>
      </c>
      <c r="C36" s="410">
        <f>+FY15RevToColl!C36-FY15ProjRevToColl!C36-FY15MappingChg!C36</f>
        <v>116.23893531377422</v>
      </c>
      <c r="D36" s="410">
        <f>+FY15RevToColl!D36-FY15ProjRevToColl!D36-FY15MappingChg!D36</f>
        <v>2756.2342215202034</v>
      </c>
      <c r="E36" s="410">
        <f>+FY15RevToColl!E36-FY15ProjRevToColl!E36-FY15MappingChg!E36</f>
        <v>0</v>
      </c>
      <c r="F36" s="410">
        <f>+FY15RevToColl!F36-FY15ProjRevToColl!F36-FY15MappingChg!F36</f>
        <v>702.20699895784117</v>
      </c>
      <c r="G36" s="410">
        <f>+FY15RevToColl!G36-FY15ProjRevToColl!G36-FY15MappingChg!G36</f>
        <v>0</v>
      </c>
      <c r="H36" s="410">
        <f>+FY15RevToColl!H36-FY15ProjRevToColl!H36-FY15MappingChg!H36</f>
        <v>174.35840297066133</v>
      </c>
      <c r="I36" s="410">
        <f>+FY15RevToColl!I36-FY15ProjRevToColl!I36-FY15MappingChg!I36</f>
        <v>0</v>
      </c>
      <c r="J36" s="410">
        <f>+FY15RevToColl!J36-FY15ProjRevToColl!J36-FY15MappingChg!J36</f>
        <v>-56.528338631821796</v>
      </c>
      <c r="K36" s="410">
        <f>+FY15RevToColl!K36-FY15ProjRevToColl!K36-FY15MappingChg!K36</f>
        <v>-2718.9724641571784</v>
      </c>
      <c r="L36" s="410">
        <f>+FY15RevToColl!L36-FY15ProjRevToColl!L36-FY15MappingChg!L36</f>
        <v>54720.973859281687</v>
      </c>
      <c r="M36" s="410">
        <f>+FY15RevToColl!M36-FY15ProjRevToColl!M36-FY15MappingChg!M36</f>
        <v>-452.22670905457437</v>
      </c>
      <c r="N36" s="410">
        <f>+FY15RevToColl!N36-FY15ProjRevToColl!N36-FY15MappingChg!N36</f>
        <v>867.6844175646338</v>
      </c>
      <c r="O36" s="410">
        <f>+FY15RevToColl!O36-FY15ProjRevToColl!O36-FY15MappingChg!O36</f>
        <v>116.23893531377422</v>
      </c>
      <c r="P36" s="410">
        <f>+FY15RevToColl!P36-FY15ProjRevToColl!P36-FY15MappingChg!P36</f>
        <v>0</v>
      </c>
      <c r="Q36" s="410">
        <f>+FY15RevToColl!Q36-FY15ProjRevToColl!Q36-FY15MappingChg!Q36</f>
        <v>5160.569379048954</v>
      </c>
      <c r="R36" s="410">
        <f>+FY15RevToColl!R36-FY15ProjRevToColl!R36-FY15MappingChg!R36</f>
        <v>0</v>
      </c>
      <c r="S36" s="410">
        <f>+FY15RevToColl!S36-FY15ProjRevToColl!S36-FY15MappingChg!S36</f>
        <v>0</v>
      </c>
      <c r="T36" s="441">
        <f t="shared" si="4"/>
        <v>61386.777638127955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+FY15RevToColl!C37-FY15ProjRevToColl!C37-FY15MappingChg!C37</f>
        <v>-58.610962901514512</v>
      </c>
      <c r="D37" s="443">
        <f>+FY15RevToColl!D37-FY15ProjRevToColl!D37-FY15MappingChg!D37</f>
        <v>-5436.4651205616356</v>
      </c>
      <c r="E37" s="443">
        <f>+FY15RevToColl!E37-FY15ProjRevToColl!E37-FY15MappingChg!E37</f>
        <v>180.82585938473431</v>
      </c>
      <c r="F37" s="443">
        <f>+FY15RevToColl!F37-FY15ProjRevToColl!F37-FY15MappingChg!F37</f>
        <v>131.15122852010708</v>
      </c>
      <c r="G37" s="443">
        <f>+FY15RevToColl!G37-FY15ProjRevToColl!G37-FY15MappingChg!G37</f>
        <v>-140.0025352445673</v>
      </c>
      <c r="H37" s="443">
        <f>+FY15RevToColl!H37-FY15ProjRevToColl!H37-FY15MappingChg!H37</f>
        <v>-235.40843561712518</v>
      </c>
      <c r="I37" s="443">
        <f>+FY15RevToColl!I37-FY15ProjRevToColl!I37-FY15MappingChg!I37</f>
        <v>137.10878321136531</v>
      </c>
      <c r="J37" s="443">
        <f>+FY15RevToColl!J37-FY15ProjRevToColl!J37-FY15MappingChg!J37</f>
        <v>84.455375001108962</v>
      </c>
      <c r="K37" s="443">
        <f>+FY15RevToColl!K37-FY15ProjRevToColl!K37-FY15MappingChg!K37</f>
        <v>-294.01939851863995</v>
      </c>
      <c r="L37" s="443">
        <f>+FY15RevToColl!L37-FY15ProjRevToColl!L37-FY15MappingChg!L37</f>
        <v>-126.1582578399163</v>
      </c>
      <c r="M37" s="443">
        <f>+FY15RevToColl!M37-FY15ProjRevToColl!M37-FY15MappingChg!M37</f>
        <v>43.717076173369044</v>
      </c>
      <c r="N37" s="443">
        <f>+FY15RevToColl!N37-FY15ProjRevToColl!N37-FY15MappingChg!N37</f>
        <v>-5443.4151191329875</v>
      </c>
      <c r="O37" s="443">
        <f>+FY15RevToColl!O37-FY15ProjRevToColl!O37-FY15MappingChg!O37</f>
        <v>37.759521482110841</v>
      </c>
      <c r="P37" s="443">
        <f>+FY15RevToColl!P37-FY15ProjRevToColl!P37-FY15MappingChg!P37</f>
        <v>-2147.8392112490601</v>
      </c>
      <c r="Q37" s="443">
        <f>+FY15RevToColl!Q37-FY15ProjRevToColl!Q37-FY15MappingChg!Q37</f>
        <v>-27238.095446270134</v>
      </c>
      <c r="R37" s="443">
        <f>+FY15RevToColl!R37-FY15ProjRevToColl!R37-FY15MappingChg!R37</f>
        <v>0</v>
      </c>
      <c r="S37" s="443">
        <f>+FY15RevToColl!S37-FY15ProjRevToColl!S37-FY15MappingChg!S37</f>
        <v>-1990.9285959417853</v>
      </c>
      <c r="T37" s="444">
        <f t="shared" si="4"/>
        <v>-42495.92523950457</v>
      </c>
    </row>
    <row r="38" spans="1:91" s="18" customFormat="1" ht="20.100000000000001" customHeight="1">
      <c r="A38" s="404" t="s">
        <v>137</v>
      </c>
      <c r="B38" s="440" t="s">
        <v>49</v>
      </c>
      <c r="C38" s="410">
        <f>+FY15RevToColl!C38-FY15ProjRevToColl!C38-FY15MappingChg!C38</f>
        <v>-201.00481033036704</v>
      </c>
      <c r="D38" s="410">
        <f>+FY15RevToColl!D38-FY15ProjRevToColl!D38-FY15MappingChg!D38</f>
        <v>1867.4363158297301</v>
      </c>
      <c r="E38" s="410">
        <f>+FY15RevToColl!E38-FY15ProjRevToColl!E38-FY15MappingChg!E38</f>
        <v>-299.60333087182551</v>
      </c>
      <c r="F38" s="410">
        <f>+FY15RevToColl!F38-FY15ProjRevToColl!F38-FY15MappingChg!F38</f>
        <v>119.40679955952844</v>
      </c>
      <c r="G38" s="410">
        <f>+FY15RevToColl!G38-FY15ProjRevToColl!G38-FY15MappingChg!G38</f>
        <v>559.76276765351975</v>
      </c>
      <c r="H38" s="410">
        <f>+FY15RevToColl!H38-FY15ProjRevToColl!H38-FY15MappingChg!H38</f>
        <v>248.22099976251536</v>
      </c>
      <c r="I38" s="410">
        <f>+FY15RevToColl!I38-FY15ProjRevToColl!I38-FY15MappingChg!I38</f>
        <v>0</v>
      </c>
      <c r="J38" s="410">
        <f>+FY15RevToColl!J38-FY15ProjRevToColl!J38-FY15MappingChg!J38</f>
        <v>-30.215679661528384</v>
      </c>
      <c r="K38" s="410">
        <f>+FY15RevToColl!K38-FY15ProjRevToColl!K38-FY15MappingChg!K38</f>
        <v>-818.8470871460795</v>
      </c>
      <c r="L38" s="410">
        <f>+FY15RevToColl!L38-FY15ProjRevToColl!L38-FY15MappingChg!L38</f>
        <v>-457.9164658769173</v>
      </c>
      <c r="M38" s="410">
        <f>+FY15RevToColl!M38-FY15ProjRevToColl!M38-FY15MappingChg!M38</f>
        <v>208.41873324267254</v>
      </c>
      <c r="N38" s="410">
        <f>+FY15RevToColl!N38-FY15ProjRevToColl!N38-FY15MappingChg!N38</f>
        <v>-1339.8268808766006</v>
      </c>
      <c r="O38" s="410">
        <f>+FY15RevToColl!O38-FY15ProjRevToColl!O38-FY15MappingChg!O38</f>
        <v>-350.98566198113559</v>
      </c>
      <c r="P38" s="410">
        <f>+FY15RevToColl!P38-FY15ProjRevToColl!P38-FY15MappingChg!P38</f>
        <v>91.542970058864626</v>
      </c>
      <c r="Q38" s="410">
        <f>+FY15RevToColl!Q38-FY15ProjRevToColl!Q38-FY15MappingChg!Q38</f>
        <v>462.28347695551929</v>
      </c>
      <c r="R38" s="410">
        <f>+FY15RevToColl!R38-FY15ProjRevToColl!R38-FY15MappingChg!R38</f>
        <v>0</v>
      </c>
      <c r="S38" s="410">
        <f>+FY15RevToColl!S38-FY15ProjRevToColl!S38-FY15MappingChg!S38</f>
        <v>437.82493171827093</v>
      </c>
      <c r="T38" s="441">
        <f t="shared" si="4"/>
        <v>496.49707803616724</v>
      </c>
    </row>
    <row r="39" spans="1:91" ht="20.100000000000001" customHeight="1">
      <c r="A39" s="553" t="s">
        <v>145</v>
      </c>
      <c r="B39" s="442" t="s">
        <v>207</v>
      </c>
      <c r="C39" s="443">
        <f>+FY15RevToColl!C39-FY15ProjRevToColl!C39-FY15MappingChg!C39</f>
        <v>45527.469545157859</v>
      </c>
      <c r="D39" s="443">
        <f>+FY15RevToColl!D39-FY15ProjRevToColl!D39-FY15MappingChg!D39</f>
        <v>-153.18655047818902</v>
      </c>
      <c r="E39" s="443">
        <f>+FY15RevToColl!E39-FY15ProjRevToColl!E39-FY15MappingChg!E39</f>
        <v>210.33600601138733</v>
      </c>
      <c r="F39" s="443">
        <f>+FY15RevToColl!F39-FY15ProjRevToColl!F39-FY15MappingChg!F39</f>
        <v>-198.89009857127584</v>
      </c>
      <c r="G39" s="443">
        <f>+FY15RevToColl!G39-FY15ProjRevToColl!G39-FY15MappingChg!G39</f>
        <v>349.40128216694757</v>
      </c>
      <c r="H39" s="443">
        <f>+FY15RevToColl!H39-FY15ProjRevToColl!H39-FY15MappingChg!H39</f>
        <v>-1726.6297995023142</v>
      </c>
      <c r="I39" s="443">
        <f>+FY15RevToColl!I39-FY15ProjRevToColl!I39-FY15MappingChg!I39</f>
        <v>139.0652761555599</v>
      </c>
      <c r="J39" s="443">
        <f>+FY15RevToColl!J39-FY15ProjRevToColl!J39-FY15MappingChg!J39</f>
        <v>417.1958284666797</v>
      </c>
      <c r="K39" s="443">
        <f>+FY15RevToColl!K39-FY15ProjRevToColl!K39-FY15MappingChg!K39</f>
        <v>1276.13731039095</v>
      </c>
      <c r="L39" s="443">
        <f>+FY15RevToColl!L39-FY15ProjRevToColl!L39-FY15MappingChg!L39</f>
        <v>0</v>
      </c>
      <c r="M39" s="443">
        <f>+FY15RevToColl!M39-FY15ProjRevToColl!M39-FY15MappingChg!M39</f>
        <v>0</v>
      </c>
      <c r="N39" s="443">
        <f>+FY15RevToColl!N39-FY15ProjRevToColl!N39-FY15MappingChg!N39</f>
        <v>-706.61212488319529</v>
      </c>
      <c r="O39" s="443">
        <f>+FY15RevToColl!O39-FY15ProjRevToColl!O39-FY15MappingChg!O39</f>
        <v>0</v>
      </c>
      <c r="P39" s="443">
        <f>+FY15RevToColl!P39-FY15ProjRevToColl!P39-FY15MappingChg!P39</f>
        <v>0</v>
      </c>
      <c r="Q39" s="443">
        <f>+FY15RevToColl!Q39-FY15ProjRevToColl!Q39-FY15MappingChg!Q39</f>
        <v>1654.2616312073017</v>
      </c>
      <c r="R39" s="443">
        <f>+FY15RevToColl!R39-FY15ProjRevToColl!R39-FY15MappingChg!R39</f>
        <v>0</v>
      </c>
      <c r="S39" s="443">
        <f>+FY15RevToColl!S39-FY15ProjRevToColl!S39-FY15MappingChg!S39</f>
        <v>0</v>
      </c>
      <c r="T39" s="444">
        <f t="shared" si="4"/>
        <v>46788.548306121702</v>
      </c>
    </row>
    <row r="40" spans="1:91" s="18" customFormat="1" ht="20.100000000000001" customHeight="1">
      <c r="A40" s="404" t="s">
        <v>147</v>
      </c>
      <c r="B40" s="440" t="s">
        <v>208</v>
      </c>
      <c r="C40" s="410">
        <f>+FY15RevToColl!C40-FY15ProjRevToColl!C40-FY15MappingChg!C40</f>
        <v>0</v>
      </c>
      <c r="D40" s="410">
        <f>+FY15RevToColl!D40-FY15ProjRevToColl!D40-FY15MappingChg!D40</f>
        <v>-2623.9753708385347</v>
      </c>
      <c r="E40" s="410">
        <f>+FY15RevToColl!E40-FY15ProjRevToColl!E40-FY15MappingChg!E40</f>
        <v>205.87078432446916</v>
      </c>
      <c r="F40" s="410">
        <f>+FY15RevToColl!F40-FY15ProjRevToColl!F40-FY15MappingChg!F40</f>
        <v>0</v>
      </c>
      <c r="G40" s="410">
        <f>+FY15RevToColl!G40-FY15ProjRevToColl!G40-FY15MappingChg!G40</f>
        <v>130054.16116304728</v>
      </c>
      <c r="H40" s="410">
        <f>+FY15RevToColl!H40-FY15ProjRevToColl!H40-FY15MappingChg!H40</f>
        <v>695.69905607962755</v>
      </c>
      <c r="I40" s="410">
        <f>+FY15RevToColl!I40-FY15ProjRevToColl!I40-FY15MappingChg!I40</f>
        <v>1029.3539216223458</v>
      </c>
      <c r="J40" s="410">
        <f>+FY15RevToColl!J40-FY15ProjRevToColl!J40-FY15MappingChg!J40</f>
        <v>0</v>
      </c>
      <c r="K40" s="410">
        <f>+FY15RevToColl!K40-FY15ProjRevToColl!K40-FY15MappingChg!K40</f>
        <v>0</v>
      </c>
      <c r="L40" s="410">
        <f>+FY15RevToColl!L40-FY15ProjRevToColl!L40-FY15MappingChg!L40</f>
        <v>0</v>
      </c>
      <c r="M40" s="410">
        <f>+FY15RevToColl!M40-FY15ProjRevToColl!M40-FY15MappingChg!M40</f>
        <v>0</v>
      </c>
      <c r="N40" s="410">
        <f>+FY15RevToColl!N40-FY15ProjRevToColl!N40-FY15MappingChg!N40</f>
        <v>447.21216551948419</v>
      </c>
      <c r="O40" s="410">
        <f>+FY15RevToColl!O40-FY15ProjRevToColl!O40-FY15MappingChg!O40</f>
        <v>0</v>
      </c>
      <c r="P40" s="410">
        <f>+FY15RevToColl!P40-FY15ProjRevToColl!P40-FY15MappingChg!P40</f>
        <v>0</v>
      </c>
      <c r="Q40" s="410">
        <f>+FY15RevToColl!Q40-FY15ProjRevToColl!Q40-FY15MappingChg!Q40</f>
        <v>-529.76481197890985</v>
      </c>
      <c r="R40" s="410">
        <f>+FY15RevToColl!R40-FY15ProjRevToColl!R40-FY15MappingChg!R40</f>
        <v>0</v>
      </c>
      <c r="S40" s="410">
        <f>+FY15RevToColl!S40-FY15ProjRevToColl!S40-FY15MappingChg!S40</f>
        <v>-93.174554273957028</v>
      </c>
      <c r="T40" s="441">
        <f t="shared" si="4"/>
        <v>129185.3823535018</v>
      </c>
    </row>
    <row r="41" spans="1:91" ht="20.100000000000001" customHeight="1">
      <c r="A41" s="404" t="s">
        <v>148</v>
      </c>
      <c r="B41" s="442" t="s">
        <v>39</v>
      </c>
      <c r="C41" s="443">
        <f>+FY15RevToColl!C41-FY15ProjRevToColl!C41-FY15MappingChg!C41</f>
        <v>-1941.4324887945559</v>
      </c>
      <c r="D41" s="443">
        <f>+FY15RevToColl!D41-FY15ProjRevToColl!D41-FY15MappingChg!D41</f>
        <v>-12690.403684423865</v>
      </c>
      <c r="E41" s="443">
        <f>+FY15RevToColl!E41-FY15ProjRevToColl!E41-FY15MappingChg!E41</f>
        <v>-7841.6038062789303</v>
      </c>
      <c r="F41" s="443">
        <f>+FY15RevToColl!F41-FY15ProjRevToColl!F41-FY15MappingChg!F41</f>
        <v>-2764.2953030949207</v>
      </c>
      <c r="G41" s="443">
        <f>+FY15RevToColl!G41-FY15ProjRevToColl!G41-FY15MappingChg!G41</f>
        <v>-381.3904926647599</v>
      </c>
      <c r="H41" s="443">
        <f>+FY15RevToColl!H41-FY15ProjRevToColl!H41-FY15MappingChg!H41</f>
        <v>-5833.7143633915985</v>
      </c>
      <c r="I41" s="443">
        <f>+FY15RevToColl!I41-FY15ProjRevToColl!I41-FY15MappingChg!I41</f>
        <v>456.18699369094247</v>
      </c>
      <c r="J41" s="443">
        <f>+FY15RevToColl!J41-FY15ProjRevToColl!J41-FY15MappingChg!J41</f>
        <v>1494.8081827865121</v>
      </c>
      <c r="K41" s="443">
        <f>+FY15RevToColl!K41-FY15ProjRevToColl!K41-FY15MappingChg!K41</f>
        <v>-30821.77939921536</v>
      </c>
      <c r="L41" s="443">
        <f>+FY15RevToColl!L41-FY15ProjRevToColl!L41-FY15MappingChg!L41</f>
        <v>-2816.6775631819796</v>
      </c>
      <c r="M41" s="443">
        <f>+FY15RevToColl!M41-FY15ProjRevToColl!M41-FY15MappingChg!M41</f>
        <v>0</v>
      </c>
      <c r="N41" s="443">
        <f>+FY15RevToColl!N41-FY15ProjRevToColl!N41-FY15MappingChg!N41</f>
        <v>-3472.0451408136751</v>
      </c>
      <c r="O41" s="443">
        <f>+FY15RevToColl!O41-FY15ProjRevToColl!O41-FY15MappingChg!O41</f>
        <v>0</v>
      </c>
      <c r="P41" s="443">
        <f>+FY15RevToColl!P41-FY15ProjRevToColl!P41-FY15MappingChg!P41</f>
        <v>0</v>
      </c>
      <c r="Q41" s="443">
        <f>+FY15RevToColl!Q41-FY15ProjRevToColl!Q41-FY15MappingChg!Q41</f>
        <v>4122.7994091101973</v>
      </c>
      <c r="R41" s="443">
        <f>+FY15RevToColl!R41-FY15ProjRevToColl!R41-FY15MappingChg!R41</f>
        <v>0</v>
      </c>
      <c r="S41" s="443">
        <f>+FY15RevToColl!S41-FY15ProjRevToColl!S41-FY15MappingChg!S41</f>
        <v>210.85348411009304</v>
      </c>
      <c r="T41" s="444">
        <f t="shared" si="4"/>
        <v>-62278.694172161893</v>
      </c>
    </row>
    <row r="42" spans="1:91" s="18" customFormat="1" ht="20.100000000000001" customHeight="1">
      <c r="A42" s="404" t="s">
        <v>149</v>
      </c>
      <c r="B42" s="440" t="s">
        <v>38</v>
      </c>
      <c r="C42" s="410">
        <f>+FY15RevToColl!C42-FY15ProjRevToColl!C42-FY15MappingChg!C42</f>
        <v>1805.2957377703372</v>
      </c>
      <c r="D42" s="410">
        <f>+FY15RevToColl!D42-FY15ProjRevToColl!D42-FY15MappingChg!D42</f>
        <v>-1215.4884582236464</v>
      </c>
      <c r="E42" s="410">
        <f>+FY15RevToColl!E42-FY15ProjRevToColl!E42-FY15MappingChg!E42</f>
        <v>38266.838400240871</v>
      </c>
      <c r="F42" s="410">
        <f>+FY15RevToColl!F42-FY15ProjRevToColl!F42-FY15MappingChg!F42</f>
        <v>0</v>
      </c>
      <c r="G42" s="410">
        <f>+FY15RevToColl!G42-FY15ProjRevToColl!G42-FY15MappingChg!G42</f>
        <v>1623.4982235666225</v>
      </c>
      <c r="H42" s="410">
        <f>+FY15RevToColl!H42-FY15ProjRevToColl!H42-FY15MappingChg!H42</f>
        <v>-416.57970736709723</v>
      </c>
      <c r="I42" s="410">
        <f>+FY15RevToColl!I42-FY15ProjRevToColl!I42-FY15MappingChg!I42</f>
        <v>1641.3401426923583</v>
      </c>
      <c r="J42" s="410">
        <f>+FY15RevToColl!J42-FY15ProjRevToColl!J42-FY15MappingChg!J42</f>
        <v>824.23845517132645</v>
      </c>
      <c r="K42" s="410">
        <f>+FY15RevToColl!K42-FY15ProjRevToColl!K42-FY15MappingChg!K42</f>
        <v>1703.2457812148946</v>
      </c>
      <c r="L42" s="410">
        <f>+FY15RevToColl!L42-FY15ProjRevToColl!L42-FY15MappingChg!L42</f>
        <v>0</v>
      </c>
      <c r="M42" s="410">
        <f>+FY15RevToColl!M42-FY15ProjRevToColl!M42-FY15MappingChg!M42</f>
        <v>0</v>
      </c>
      <c r="N42" s="410">
        <f>+FY15RevToColl!N42-FY15ProjRevToColl!N42-FY15MappingChg!N42</f>
        <v>902.20182090702497</v>
      </c>
      <c r="O42" s="410">
        <f>+FY15RevToColl!O42-FY15ProjRevToColl!O42-FY15MappingChg!O42</f>
        <v>0</v>
      </c>
      <c r="P42" s="410">
        <f>+FY15RevToColl!P42-FY15ProjRevToColl!P42-FY15MappingChg!P42</f>
        <v>0</v>
      </c>
      <c r="Q42" s="410">
        <f>+FY15RevToColl!Q42-FY15ProjRevToColl!Q42-FY15MappingChg!Q42</f>
        <v>1064.3732240724298</v>
      </c>
      <c r="R42" s="410">
        <f>+FY15RevToColl!R42-FY15ProjRevToColl!R42-FY15MappingChg!R42</f>
        <v>0</v>
      </c>
      <c r="S42" s="410">
        <f>+FY15RevToColl!S42-FY15ProjRevToColl!S42-FY15MappingChg!S42</f>
        <v>0</v>
      </c>
      <c r="T42" s="441">
        <f t="shared" si="4"/>
        <v>46198.96362004512</v>
      </c>
    </row>
    <row r="43" spans="1:91" ht="20.100000000000001" customHeight="1">
      <c r="A43" s="404" t="s">
        <v>150</v>
      </c>
      <c r="B43" s="442" t="s">
        <v>31</v>
      </c>
      <c r="C43" s="443">
        <f>+FY15RevToColl!C43-FY15ProjRevToColl!C43-FY15MappingChg!C43</f>
        <v>-2231.9653160909074</v>
      </c>
      <c r="D43" s="443">
        <f>+FY15RevToColl!D43-FY15ProjRevToColl!D43-FY15MappingChg!D43</f>
        <v>1198.4375938971862</v>
      </c>
      <c r="E43" s="443">
        <f>+FY15RevToColl!E43-FY15ProjRevToColl!E43-FY15MappingChg!E43</f>
        <v>-2825.6831185710043</v>
      </c>
      <c r="F43" s="443">
        <f>+FY15RevToColl!F43-FY15ProjRevToColl!F43-FY15MappingChg!F43</f>
        <v>2356.7384171173067</v>
      </c>
      <c r="G43" s="443">
        <f>+FY15RevToColl!G43-FY15ProjRevToColl!G43-FY15MappingChg!G43</f>
        <v>93.141052280034501</v>
      </c>
      <c r="H43" s="443">
        <f>+FY15RevToColl!H43-FY15ProjRevToColl!H43-FY15MappingChg!H43</f>
        <v>-1973.3527176365703</v>
      </c>
      <c r="I43" s="443">
        <f>+FY15RevToColl!I43-FY15ProjRevToColl!I43-FY15MappingChg!I43</f>
        <v>-1011.1425684252918</v>
      </c>
      <c r="J43" s="443">
        <f>+FY15RevToColl!J43-FY15ProjRevToColl!J43-FY15MappingChg!J43</f>
        <v>-11054.843802777352</v>
      </c>
      <c r="K43" s="443">
        <f>+FY15RevToColl!K43-FY15ProjRevToColl!K43-FY15MappingChg!K43</f>
        <v>-1074.4066659180205</v>
      </c>
      <c r="L43" s="443">
        <f>+FY15RevToColl!L43-FY15ProjRevToColl!L43-FY15MappingChg!L43</f>
        <v>2.4972670062919065</v>
      </c>
      <c r="M43" s="443">
        <f>+FY15RevToColl!M43-FY15ProjRevToColl!M43-FY15MappingChg!M43</f>
        <v>0</v>
      </c>
      <c r="N43" s="443">
        <f>+FY15RevToColl!N43-FY15ProjRevToColl!N43-FY15MappingChg!N43</f>
        <v>-987.09256998600051</v>
      </c>
      <c r="O43" s="443">
        <f>+FY15RevToColl!O43-FY15ProjRevToColl!O43-FY15MappingChg!O43</f>
        <v>0</v>
      </c>
      <c r="P43" s="443">
        <f>+FY15RevToColl!P43-FY15ProjRevToColl!P43-FY15MappingChg!P43</f>
        <v>271.93135582122767</v>
      </c>
      <c r="Q43" s="443">
        <f>+FY15RevToColl!Q43-FY15ProjRevToColl!Q43-FY15MappingChg!Q43</f>
        <v>-2299.3012759725925</v>
      </c>
      <c r="R43" s="443">
        <f>+FY15RevToColl!R43-FY15ProjRevToColl!R43-FY15MappingChg!R43</f>
        <v>0</v>
      </c>
      <c r="S43" s="443">
        <f>+FY15RevToColl!S43-FY15ProjRevToColl!S43-FY15MappingChg!S43</f>
        <v>725.15028218994053</v>
      </c>
      <c r="T43" s="444">
        <f t="shared" si="4"/>
        <v>-18809.892067065754</v>
      </c>
    </row>
    <row r="44" spans="1:91" s="18" customFormat="1" ht="20.100000000000001" customHeight="1">
      <c r="A44" s="404" t="s">
        <v>151</v>
      </c>
      <c r="B44" s="440" t="s">
        <v>209</v>
      </c>
      <c r="C44" s="410">
        <f>+FY15RevToColl!C44-FY15ProjRevToColl!C44-FY15MappingChg!C44</f>
        <v>0</v>
      </c>
      <c r="D44" s="410">
        <f>+FY15RevToColl!D44-FY15ProjRevToColl!D44-FY15MappingChg!D44</f>
        <v>1616.4175060931339</v>
      </c>
      <c r="E44" s="410">
        <f>+FY15RevToColl!E44-FY15ProjRevToColl!E44-FY15MappingChg!E44</f>
        <v>1129.8526613595493</v>
      </c>
      <c r="F44" s="410">
        <f>+FY15RevToColl!F44-FY15ProjRevToColl!F44-FY15MappingChg!F44</f>
        <v>0</v>
      </c>
      <c r="G44" s="410">
        <f>+FY15RevToColl!G44-FY15ProjRevToColl!G44-FY15MappingChg!G44</f>
        <v>0</v>
      </c>
      <c r="H44" s="410">
        <f>+FY15RevToColl!H44-FY15ProjRevToColl!H44-FY15MappingChg!H44</f>
        <v>282.46316533988733</v>
      </c>
      <c r="I44" s="410">
        <f>+FY15RevToColl!I44-FY15ProjRevToColl!I44-FY15MappingChg!I44</f>
        <v>-294.62579403492362</v>
      </c>
      <c r="J44" s="410">
        <f>+FY15RevToColl!J44-FY15ProjRevToColl!J44-FY15MappingChg!J44</f>
        <v>-7605.577750098455</v>
      </c>
      <c r="K44" s="410">
        <f>+FY15RevToColl!K44-FY15ProjRevToColl!K44-FY15MappingChg!K44</f>
        <v>-678.44419850011354</v>
      </c>
      <c r="L44" s="410">
        <f>+FY15RevToColl!L44-FY15ProjRevToColl!L44-FY15MappingChg!L44</f>
        <v>0</v>
      </c>
      <c r="M44" s="410">
        <f>+FY15RevToColl!M44-FY15ProjRevToColl!M44-FY15MappingChg!M44</f>
        <v>0</v>
      </c>
      <c r="N44" s="410">
        <f>+FY15RevToColl!N44-FY15ProjRevToColl!N44-FY15MappingChg!N44</f>
        <v>282.46316533988733</v>
      </c>
      <c r="O44" s="410">
        <f>+FY15RevToColl!O44-FY15ProjRevToColl!O44-FY15MappingChg!O44</f>
        <v>0</v>
      </c>
      <c r="P44" s="410">
        <f>+FY15RevToColl!P44-FY15ProjRevToColl!P44-FY15MappingChg!P44</f>
        <v>0</v>
      </c>
      <c r="Q44" s="410">
        <f>+FY15RevToColl!Q44-FY15ProjRevToColl!Q44-FY15MappingChg!Q44</f>
        <v>274.35474620986309</v>
      </c>
      <c r="R44" s="410">
        <f>+FY15RevToColl!R44-FY15ProjRevToColl!R44-FY15MappingChg!R44</f>
        <v>0</v>
      </c>
      <c r="S44" s="410">
        <f>+FY15RevToColl!S44-FY15ProjRevToColl!S44-FY15MappingChg!S44</f>
        <v>376.61755378651645</v>
      </c>
      <c r="T44" s="441">
        <f t="shared" si="4"/>
        <v>-4616.4789445046545</v>
      </c>
    </row>
    <row r="45" spans="1:91" ht="20.100000000000001" customHeight="1">
      <c r="A45" s="404" t="s">
        <v>153</v>
      </c>
      <c r="B45" s="442" t="s">
        <v>100</v>
      </c>
      <c r="C45" s="443">
        <f>+FY15RevToColl!C45-FY15ProjRevToColl!C45-FY15MappingChg!C45</f>
        <v>596.65179819250318</v>
      </c>
      <c r="D45" s="443">
        <f>+FY15RevToColl!D45-FY15ProjRevToColl!D45-FY15MappingChg!D45</f>
        <v>-414.25301325693806</v>
      </c>
      <c r="E45" s="443">
        <f>+FY15RevToColl!E45-FY15ProjRevToColl!E45-FY15MappingChg!E45</f>
        <v>1591.0714618466752</v>
      </c>
      <c r="F45" s="443">
        <f>+FY15RevToColl!F45-FY15ProjRevToColl!F45-FY15MappingChg!F45</f>
        <v>0</v>
      </c>
      <c r="G45" s="443">
        <f>+FY15RevToColl!G45-FY15ProjRevToColl!G45-FY15MappingChg!G45</f>
        <v>0</v>
      </c>
      <c r="H45" s="443">
        <f>+FY15RevToColl!H45-FY15ProjRevToColl!H45-FY15MappingChg!H45</f>
        <v>-93.516479324692355</v>
      </c>
      <c r="I45" s="443">
        <f>+FY15RevToColl!I45-FY15ProjRevToColl!I45-FY15MappingChg!I45</f>
        <v>298.32589909625159</v>
      </c>
      <c r="J45" s="443">
        <f>+FY15RevToColl!J45-FY15ProjRevToColl!J45-FY15MappingChg!J45</f>
        <v>0</v>
      </c>
      <c r="K45" s="443">
        <f>+FY15RevToColl!K45-FY15ProjRevToColl!K45-FY15MappingChg!K45</f>
        <v>118.50974081449704</v>
      </c>
      <c r="L45" s="443">
        <f>+FY15RevToColl!L45-FY15ProjRevToColl!L45-FY15MappingChg!L45</f>
        <v>-525.54595370380514</v>
      </c>
      <c r="M45" s="443">
        <f>+FY15RevToColl!M45-FY15ProjRevToColl!M45-FY15MappingChg!M45</f>
        <v>-187.03295864938471</v>
      </c>
      <c r="N45" s="443">
        <f>+FY15RevToColl!N45-FY15ProjRevToColl!N45-FY15MappingChg!N45</f>
        <v>-21.119321509088422</v>
      </c>
      <c r="O45" s="443">
        <f>+FY15RevToColl!O45-FY15ProjRevToColl!O45-FY15MappingChg!O45</f>
        <v>5915.9059276490007</v>
      </c>
      <c r="P45" s="443">
        <f>+FY15RevToColl!P45-FY15ProjRevToColl!P45-FY15MappingChg!P45</f>
        <v>51.277836306515383</v>
      </c>
      <c r="Q45" s="443">
        <f>+FY15RevToColl!Q45-FY15ProjRevToColl!Q45-FY15MappingChg!Q45</f>
        <v>-6623.9451179909902</v>
      </c>
      <c r="R45" s="443">
        <f>+FY15RevToColl!R45-FY15ProjRevToColl!R45-FY15MappingChg!R45</f>
        <v>0</v>
      </c>
      <c r="S45" s="443">
        <f>+FY15RevToColl!S45-FY15ProjRevToColl!S45-FY15MappingChg!S45</f>
        <v>99.441966365417201</v>
      </c>
      <c r="T45" s="444">
        <f t="shared" si="4"/>
        <v>805.77178583596117</v>
      </c>
    </row>
    <row r="46" spans="1:91" s="18" customFormat="1" ht="20.100000000000001" customHeight="1">
      <c r="A46" s="404" t="s">
        <v>155</v>
      </c>
      <c r="B46" s="440" t="s">
        <v>42</v>
      </c>
      <c r="C46" s="410">
        <f>+FY15RevToColl!C46-FY15ProjRevToColl!C46-FY15MappingChg!C46</f>
        <v>0</v>
      </c>
      <c r="D46" s="410">
        <f>+FY15RevToColl!D46-FY15ProjRevToColl!D46-FY15MappingChg!D46</f>
        <v>-799.67290905551567</v>
      </c>
      <c r="E46" s="410">
        <f>+FY15RevToColl!E46-FY15ProjRevToColl!E46-FY15MappingChg!E46</f>
        <v>708.01825710609126</v>
      </c>
      <c r="F46" s="410">
        <f>+FY15RevToColl!F46-FY15ProjRevToColl!F46-FY15MappingChg!F46</f>
        <v>0</v>
      </c>
      <c r="G46" s="410">
        <f>+FY15RevToColl!G46-FY15ProjRevToColl!G46-FY15MappingChg!G46</f>
        <v>0</v>
      </c>
      <c r="H46" s="410">
        <f>+FY15RevToColl!H46-FY15ProjRevToColl!H46-FY15MappingChg!H46</f>
        <v>-428.28642530345718</v>
      </c>
      <c r="I46" s="410">
        <f>+FY15RevToColl!I46-FY15ProjRevToColl!I46-FY15MappingChg!I46</f>
        <v>0</v>
      </c>
      <c r="J46" s="410">
        <f>+FY15RevToColl!J46-FY15ProjRevToColl!J46-FY15MappingChg!J46</f>
        <v>-71.38107088390953</v>
      </c>
      <c r="K46" s="410">
        <f>+FY15RevToColl!K46-FY15ProjRevToColl!K46-FY15MappingChg!K46</f>
        <v>0</v>
      </c>
      <c r="L46" s="410">
        <f>+FY15RevToColl!L46-FY15ProjRevToColl!L46-FY15MappingChg!L46</f>
        <v>0</v>
      </c>
      <c r="M46" s="410">
        <f>+FY15RevToColl!M46-FY15ProjRevToColl!M46-FY15MappingChg!M46</f>
        <v>70.222580537308716</v>
      </c>
      <c r="N46" s="410">
        <f>+FY15RevToColl!N46-FY15ProjRevToColl!N46-FY15MappingChg!N46</f>
        <v>-12777.386035825679</v>
      </c>
      <c r="O46" s="410">
        <f>+FY15RevToColl!O46-FY15ProjRevToColl!O46-FY15MappingChg!O46</f>
        <v>-3590.4856156075916</v>
      </c>
      <c r="P46" s="410">
        <f>+FY15RevToColl!P46-FY15ProjRevToColl!P46-FY15MappingChg!P46</f>
        <v>-11553.319118339801</v>
      </c>
      <c r="Q46" s="410">
        <f>+FY15RevToColl!Q46-FY15ProjRevToColl!Q46-FY15MappingChg!Q46</f>
        <v>1255.4516866400099</v>
      </c>
      <c r="R46" s="410">
        <f>+FY15RevToColl!R46-FY15ProjRevToColl!R46-FY15MappingChg!R46</f>
        <v>0</v>
      </c>
      <c r="S46" s="410">
        <f>+FY15RevToColl!S46-FY15ProjRevToColl!S46-FY15MappingChg!S46</f>
        <v>0</v>
      </c>
      <c r="T46" s="441">
        <f t="shared" si="4"/>
        <v>-27186.838650732541</v>
      </c>
    </row>
    <row r="47" spans="1:91" ht="20.100000000000001" customHeight="1">
      <c r="A47" s="404" t="s">
        <v>162</v>
      </c>
      <c r="B47" s="442" t="s">
        <v>76</v>
      </c>
      <c r="C47" s="443">
        <f>+FY15RevToColl!C47-FY15ProjRevToColl!C47-FY15MappingChg!C47</f>
        <v>0</v>
      </c>
      <c r="D47" s="443">
        <f>+FY15RevToColl!D47-FY15ProjRevToColl!D47-FY15MappingChg!D47</f>
        <v>-392.44676049009388</v>
      </c>
      <c r="E47" s="443">
        <f>+FY15RevToColl!E47-FY15ProjRevToColl!E47-FY15MappingChg!E47</f>
        <v>0</v>
      </c>
      <c r="F47" s="443">
        <f>+FY15RevToColl!F47-FY15ProjRevToColl!F47-FY15MappingChg!F47</f>
        <v>0</v>
      </c>
      <c r="G47" s="443">
        <f>+FY15RevToColl!G47-FY15ProjRevToColl!G47-FY15MappingChg!G47</f>
        <v>986.18275349221858</v>
      </c>
      <c r="H47" s="443">
        <f>+FY15RevToColl!H47-FY15ProjRevToColl!H47-FY15MappingChg!H47</f>
        <v>197.23655069844372</v>
      </c>
      <c r="I47" s="443">
        <f>+FY15RevToColl!I47-FY15ProjRevToColl!I47-FY15MappingChg!I47</f>
        <v>0</v>
      </c>
      <c r="J47" s="443">
        <f>+FY15RevToColl!J47-FY15ProjRevToColl!J47-FY15MappingChg!J47</f>
        <v>0</v>
      </c>
      <c r="K47" s="443">
        <f>+FY15RevToColl!K47-FY15ProjRevToColl!K47-FY15MappingChg!K47</f>
        <v>0</v>
      </c>
      <c r="L47" s="443">
        <f>+FY15RevToColl!L47-FY15ProjRevToColl!L47-FY15MappingChg!L47</f>
        <v>0</v>
      </c>
      <c r="M47" s="443">
        <f>+FY15RevToColl!M47-FY15ProjRevToColl!M47-FY15MappingChg!M47</f>
        <v>-196.89882721397814</v>
      </c>
      <c r="N47" s="443">
        <f>+FY15RevToColl!N47-FY15ProjRevToColl!N47-FY15MappingChg!N47</f>
        <v>141138.99279101053</v>
      </c>
      <c r="O47" s="443">
        <f>+FY15RevToColl!O47-FY15ProjRevToColl!O47-FY15MappingChg!O47</f>
        <v>0</v>
      </c>
      <c r="P47" s="443">
        <f>+FY15RevToColl!P47-FY15ProjRevToColl!P47-FY15MappingChg!P47</f>
        <v>0</v>
      </c>
      <c r="Q47" s="443">
        <f>+FY15RevToColl!Q47-FY15ProjRevToColl!Q47-FY15MappingChg!Q47</f>
        <v>1717.2636540240428</v>
      </c>
      <c r="R47" s="443">
        <f>+FY15RevToColl!R47-FY15ProjRevToColl!R47-FY15MappingChg!R47</f>
        <v>0</v>
      </c>
      <c r="S47" s="443">
        <f>+FY15RevToColl!S47-FY15ProjRevToColl!S47-FY15MappingChg!S47</f>
        <v>-196.89882721397814</v>
      </c>
      <c r="T47" s="444">
        <f t="shared" si="4"/>
        <v>143253.43133430721</v>
      </c>
    </row>
    <row r="48" spans="1:91" s="18" customFormat="1" ht="20.100000000000001" customHeight="1">
      <c r="A48" s="404" t="s">
        <v>156</v>
      </c>
      <c r="B48" s="440" t="s">
        <v>77</v>
      </c>
      <c r="C48" s="410">
        <f>+FY15RevToColl!C48-FY15ProjRevToColl!C48-FY15MappingChg!C48</f>
        <v>0</v>
      </c>
      <c r="D48" s="410">
        <f>+FY15RevToColl!D48-FY15ProjRevToColl!D48-FY15MappingChg!D48</f>
        <v>420.15073745705581</v>
      </c>
      <c r="E48" s="410">
        <f>+FY15RevToColl!E48-FY15ProjRevToColl!E48-FY15MappingChg!E48</f>
        <v>0</v>
      </c>
      <c r="F48" s="410">
        <f>+FY15RevToColl!F48-FY15ProjRevToColl!F48-FY15MappingChg!F48</f>
        <v>0</v>
      </c>
      <c r="G48" s="410">
        <f>+FY15RevToColl!G48-FY15ProjRevToColl!G48-FY15MappingChg!G48</f>
        <v>0</v>
      </c>
      <c r="H48" s="410">
        <f>+FY15RevToColl!H48-FY15ProjRevToColl!H48-FY15MappingChg!H48</f>
        <v>0</v>
      </c>
      <c r="I48" s="410">
        <f>+FY15RevToColl!I48-FY15ProjRevToColl!I48-FY15MappingChg!I48</f>
        <v>0</v>
      </c>
      <c r="J48" s="410">
        <f>+FY15RevToColl!J48-FY15ProjRevToColl!J48-FY15MappingChg!J48</f>
        <v>0</v>
      </c>
      <c r="K48" s="410">
        <f>+FY15RevToColl!K48-FY15ProjRevToColl!K48-FY15MappingChg!K48</f>
        <v>0</v>
      </c>
      <c r="L48" s="410">
        <f>+FY15RevToColl!L48-FY15ProjRevToColl!L48-FY15MappingChg!L48</f>
        <v>0</v>
      </c>
      <c r="M48" s="410">
        <f>+FY15RevToColl!M48-FY15ProjRevToColl!M48-FY15MappingChg!M48</f>
        <v>26939.219619231299</v>
      </c>
      <c r="N48" s="410">
        <f>+FY15RevToColl!N48-FY15ProjRevToColl!N48-FY15MappingChg!N48</f>
        <v>902.60629492945736</v>
      </c>
      <c r="O48" s="410">
        <f>+FY15RevToColl!O48-FY15ProjRevToColl!O48-FY15MappingChg!O48</f>
        <v>0</v>
      </c>
      <c r="P48" s="410">
        <f>+FY15RevToColl!P48-FY15ProjRevToColl!P48-FY15MappingChg!P48</f>
        <v>0</v>
      </c>
      <c r="Q48" s="410">
        <f>+FY15RevToColl!Q48-FY15ProjRevToColl!Q48-FY15MappingChg!Q48</f>
        <v>0</v>
      </c>
      <c r="R48" s="410">
        <f>+FY15RevToColl!R48-FY15ProjRevToColl!R48-FY15MappingChg!R48</f>
        <v>0</v>
      </c>
      <c r="S48" s="410">
        <f>+FY15RevToColl!S48-FY15ProjRevToColl!S48-FY15MappingChg!S48</f>
        <v>0</v>
      </c>
      <c r="T48" s="441">
        <f t="shared" si="4"/>
        <v>28261.976651617813</v>
      </c>
    </row>
    <row r="49" spans="1:20" ht="20.100000000000001" customHeight="1">
      <c r="A49" s="404" t="s">
        <v>163</v>
      </c>
      <c r="B49" s="445" t="s">
        <v>164</v>
      </c>
      <c r="C49" s="443">
        <f>+FY15RevToColl!C49-FY15ProjRevToColl!C49-FY15MappingChg!C49</f>
        <v>0</v>
      </c>
      <c r="D49" s="443">
        <f>+FY15RevToColl!D49-FY15ProjRevToColl!D49-FY15MappingChg!D49</f>
        <v>-1644.4312869683963</v>
      </c>
      <c r="E49" s="443">
        <f>+FY15RevToColl!E49-FY15ProjRevToColl!E49-FY15MappingChg!E49</f>
        <v>0</v>
      </c>
      <c r="F49" s="443">
        <f>+FY15RevToColl!F49-FY15ProjRevToColl!F49-FY15MappingChg!F49</f>
        <v>0</v>
      </c>
      <c r="G49" s="443">
        <f>+FY15RevToColl!G49-FY15ProjRevToColl!G49-FY15MappingChg!G49</f>
        <v>0</v>
      </c>
      <c r="H49" s="443">
        <f>+FY15RevToColl!H49-FY15ProjRevToColl!H49-FY15MappingChg!H49</f>
        <v>0</v>
      </c>
      <c r="I49" s="443">
        <f>+FY15RevToColl!I49-FY15ProjRevToColl!I49-FY15MappingChg!I49</f>
        <v>0</v>
      </c>
      <c r="J49" s="443">
        <f>+FY15RevToColl!J49-FY15ProjRevToColl!J49-FY15MappingChg!J49</f>
        <v>0</v>
      </c>
      <c r="K49" s="443">
        <f>+FY15RevToColl!K49-FY15ProjRevToColl!K49-FY15MappingChg!K49</f>
        <v>0</v>
      </c>
      <c r="L49" s="443">
        <f>+FY15RevToColl!L49-FY15ProjRevToColl!L49-FY15MappingChg!L49</f>
        <v>0</v>
      </c>
      <c r="M49" s="443">
        <f>+FY15RevToColl!M49-FY15ProjRevToColl!M49-FY15MappingChg!M49</f>
        <v>-9115.1211323359748</v>
      </c>
      <c r="N49" s="443">
        <f>+FY15RevToColl!N49-FY15ProjRevToColl!N49-FY15MappingChg!N49</f>
        <v>-1615.8257720101478</v>
      </c>
      <c r="O49" s="443">
        <f>+FY15RevToColl!O49-FY15ProjRevToColl!O49-FY15MappingChg!O49</f>
        <v>0</v>
      </c>
      <c r="P49" s="443">
        <f>+FY15RevToColl!P49-FY15ProjRevToColl!P49-FY15MappingChg!P49</f>
        <v>0</v>
      </c>
      <c r="Q49" s="443">
        <f>+FY15RevToColl!Q49-FY15ProjRevToColl!Q49-FY15MappingChg!Q49</f>
        <v>-351.10223205534533</v>
      </c>
      <c r="R49" s="443">
        <f>+FY15RevToColl!R49-FY15ProjRevToColl!R49-FY15MappingChg!R49</f>
        <v>0</v>
      </c>
      <c r="S49" s="443">
        <f>+FY15RevToColl!S49-FY15ProjRevToColl!S49-FY15MappingChg!S49</f>
        <v>-65.777251478735849</v>
      </c>
      <c r="T49" s="446">
        <f t="shared" si="4"/>
        <v>-12792.257674848601</v>
      </c>
    </row>
    <row r="50" spans="1:20" ht="20.100000000000001" customHeight="1">
      <c r="A50" s="405"/>
      <c r="B50" s="447" t="s">
        <v>17</v>
      </c>
      <c r="C50" s="448">
        <f t="shared" ref="C50:S50" si="5">SUM(C29:C49)</f>
        <v>349184.32307556277</v>
      </c>
      <c r="D50" s="448">
        <f t="shared" si="5"/>
        <v>-1278678.2323719857</v>
      </c>
      <c r="E50" s="448">
        <f t="shared" si="5"/>
        <v>-153237.89923996676</v>
      </c>
      <c r="F50" s="448">
        <f t="shared" si="5"/>
        <v>-47773.913322036467</v>
      </c>
      <c r="G50" s="448">
        <f t="shared" si="5"/>
        <v>1075479.1957733738</v>
      </c>
      <c r="H50" s="448">
        <f t="shared" si="5"/>
        <v>-322295.36525173998</v>
      </c>
      <c r="I50" s="448">
        <f t="shared" si="5"/>
        <v>345839.94416819717</v>
      </c>
      <c r="J50" s="448">
        <f t="shared" si="5"/>
        <v>56998.690697427002</v>
      </c>
      <c r="K50" s="448">
        <f t="shared" si="5"/>
        <v>-18645.321543408267</v>
      </c>
      <c r="L50" s="448">
        <f t="shared" si="5"/>
        <v>31444.814869207632</v>
      </c>
      <c r="M50" s="448">
        <f t="shared" si="5"/>
        <v>14447.632178588337</v>
      </c>
      <c r="N50" s="448">
        <f t="shared" si="5"/>
        <v>243244.6439976473</v>
      </c>
      <c r="O50" s="448">
        <f t="shared" si="5"/>
        <v>95206.657002470893</v>
      </c>
      <c r="P50" s="448">
        <f t="shared" si="5"/>
        <v>-9183.5438551518855</v>
      </c>
      <c r="Q50" s="448">
        <f t="shared" si="5"/>
        <v>637090.29431938811</v>
      </c>
      <c r="R50" s="448">
        <f t="shared" si="5"/>
        <v>116475.64790131284</v>
      </c>
      <c r="S50" s="448">
        <f t="shared" si="5"/>
        <v>-106628.55264750386</v>
      </c>
      <c r="T50" s="448">
        <f>SUM(C50:S50)</f>
        <v>1028969.0157513829</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+FY15RevToColl!C53-FY15ProjRevToColl!C53-FY15MappingChg!C53</f>
        <v>-221172.93972522812</v>
      </c>
      <c r="D53" s="455">
        <f>+FY15RevToColl!D53-FY15ProjRevToColl!D53-FY15MappingChg!D53</f>
        <v>-3634169.9363108873</v>
      </c>
      <c r="E53" s="455">
        <f>+FY15RevToColl!E53-FY15ProjRevToColl!E53-FY15MappingChg!E53</f>
        <v>1277203.5955741704</v>
      </c>
      <c r="F53" s="455">
        <f>+FY15RevToColl!F53-FY15ProjRevToColl!F53-FY15MappingChg!F53</f>
        <v>308797.61223237775</v>
      </c>
      <c r="G53" s="455">
        <f>+FY15RevToColl!G53-FY15ProjRevToColl!G53-FY15MappingChg!G53</f>
        <v>1402164.8464398216</v>
      </c>
      <c r="H53" s="455">
        <f>+FY15RevToColl!H53-FY15ProjRevToColl!H53-FY15MappingChg!H53</f>
        <v>279277.31921488838</v>
      </c>
      <c r="I53" s="455">
        <f>+FY15RevToColl!I53-FY15ProjRevToColl!I53-FY15MappingChg!I53</f>
        <v>-43895.074020527303</v>
      </c>
      <c r="J53" s="455">
        <f>+FY15RevToColl!J53-FY15ProjRevToColl!J53-FY15MappingChg!J53</f>
        <v>0</v>
      </c>
      <c r="K53" s="455">
        <f>+FY15RevToColl!K53-FY15ProjRevToColl!K53-FY15MappingChg!K53</f>
        <v>0</v>
      </c>
      <c r="L53" s="455">
        <f>+FY15RevToColl!L53-FY15ProjRevToColl!L53-FY15MappingChg!L53</f>
        <v>-7428.5412639990682</v>
      </c>
      <c r="M53" s="455">
        <f>+FY15RevToColl!M53-FY15ProjRevToColl!M53-FY15MappingChg!M53</f>
        <v>0</v>
      </c>
      <c r="N53" s="455">
        <f>+FY15RevToColl!N53-FY15ProjRevToColl!N53-FY15MappingChg!N53</f>
        <v>163002.39929222409</v>
      </c>
      <c r="O53" s="455">
        <f>+FY15RevToColl!O53-FY15ProjRevToColl!O53-FY15MappingChg!O53</f>
        <v>155597.49739021133</v>
      </c>
      <c r="P53" s="455">
        <f>+FY15RevToColl!P53-FY15ProjRevToColl!P53-FY15MappingChg!P53</f>
        <v>0</v>
      </c>
      <c r="Q53" s="455">
        <f>+FY15RevToColl!Q53-FY15ProjRevToColl!Q53-FY15MappingChg!Q53</f>
        <v>984709.97044467181</v>
      </c>
      <c r="R53" s="455">
        <f>+FY15RevToColl!R53-FY15ProjRevToColl!R53-FY15MappingChg!R53</f>
        <v>29643.246970036998</v>
      </c>
      <c r="S53" s="455">
        <f>+FY15RevToColl!S53-FY15ProjRevToColl!S53-FY15MappingChg!S53</f>
        <v>-42225.900902538095</v>
      </c>
      <c r="T53" s="455">
        <f t="shared" ref="T53:T74" si="6">SUM(C53:Q53)+R53+S53</f>
        <v>651504.09533522243</v>
      </c>
    </row>
    <row r="54" spans="1:20" s="18" customFormat="1" ht="20.100000000000001" customHeight="1">
      <c r="A54" s="404" t="s">
        <v>129</v>
      </c>
      <c r="B54" s="440" t="s">
        <v>35</v>
      </c>
      <c r="C54" s="410">
        <f>+FY15RevToColl!C54-FY15ProjRevToColl!C54-FY15MappingChg!C54</f>
        <v>1395.2529380361375</v>
      </c>
      <c r="D54" s="410">
        <f>+FY15RevToColl!D54-FY15ProjRevToColl!D54-FY15MappingChg!D54</f>
        <v>-517104.97234223783</v>
      </c>
      <c r="E54" s="410">
        <f>+FY15RevToColl!E54-FY15ProjRevToColl!E54-FY15MappingChg!E54</f>
        <v>-9475.2996610887931</v>
      </c>
      <c r="F54" s="410">
        <f>+FY15RevToColl!F54-FY15ProjRevToColl!F54-FY15MappingChg!F54</f>
        <v>23907.664567741598</v>
      </c>
      <c r="G54" s="410">
        <f>+FY15RevToColl!G54-FY15ProjRevToColl!G54-FY15MappingChg!G54</f>
        <v>2602.7995431716554</v>
      </c>
      <c r="H54" s="410">
        <f>+FY15RevToColl!H54-FY15ProjRevToColl!H54-FY15MappingChg!H54</f>
        <v>0</v>
      </c>
      <c r="I54" s="410">
        <f>+FY15RevToColl!I54-FY15ProjRevToColl!I54-FY15MappingChg!I54</f>
        <v>11775.235744773585</v>
      </c>
      <c r="J54" s="410">
        <f>+FY15RevToColl!J54-FY15ProjRevToColl!J54-FY15MappingChg!J54</f>
        <v>-129.79862549436803</v>
      </c>
      <c r="K54" s="410">
        <f>+FY15RevToColl!K54-FY15ProjRevToColl!K54-FY15MappingChg!K54</f>
        <v>-7456.1002164720558</v>
      </c>
      <c r="L54" s="410">
        <f>+FY15RevToColl!L54-FY15ProjRevToColl!L54-FY15MappingChg!L54</f>
        <v>1258.2981351442947</v>
      </c>
      <c r="M54" s="410">
        <f>+FY15RevToColl!M54-FY15ProjRevToColl!M54-FY15MappingChg!M54</f>
        <v>0</v>
      </c>
      <c r="N54" s="410">
        <f>+FY15RevToColl!N54-FY15ProjRevToColl!N54-FY15MappingChg!N54</f>
        <v>-25401.500765323406</v>
      </c>
      <c r="O54" s="410">
        <f>+FY15RevToColl!O54-FY15ProjRevToColl!O54-FY15MappingChg!O54</f>
        <v>-86.532416996245047</v>
      </c>
      <c r="P54" s="410">
        <f>+FY15RevToColl!P54-FY15ProjRevToColl!P54-FY15MappingChg!P54</f>
        <v>30047.55894166301</v>
      </c>
      <c r="Q54" s="410">
        <f>+FY15RevToColl!Q54-FY15ProjRevToColl!Q54-FY15MappingChg!Q54</f>
        <v>-1388.0967606386625</v>
      </c>
      <c r="R54" s="410">
        <f>+FY15RevToColl!R54-FY15ProjRevToColl!R54-FY15MappingChg!R54</f>
        <v>0</v>
      </c>
      <c r="S54" s="410">
        <f>+FY15RevToColl!S54-FY15ProjRevToColl!S54-FY15MappingChg!S54</f>
        <v>-112887.0484284329</v>
      </c>
      <c r="T54" s="410">
        <f t="shared" si="6"/>
        <v>-602942.53934615385</v>
      </c>
    </row>
    <row r="55" spans="1:20" ht="20.100000000000001" customHeight="1">
      <c r="A55" s="404" t="s">
        <v>140</v>
      </c>
      <c r="B55" s="456" t="s">
        <v>36</v>
      </c>
      <c r="C55" s="457">
        <f>+FY15RevToColl!C55-FY15ProjRevToColl!C55-FY15MappingChg!C55</f>
        <v>0</v>
      </c>
      <c r="D55" s="457">
        <f>+FY15RevToColl!D55-FY15ProjRevToColl!D55-FY15MappingChg!D55</f>
        <v>0</v>
      </c>
      <c r="E55" s="457">
        <f>+FY15RevToColl!E55-FY15ProjRevToColl!E55-FY15MappingChg!E55</f>
        <v>0</v>
      </c>
      <c r="F55" s="457">
        <f>+FY15RevToColl!F55-FY15ProjRevToColl!F55-FY15MappingChg!F55</f>
        <v>0</v>
      </c>
      <c r="G55" s="457">
        <f>+FY15RevToColl!G55-FY15ProjRevToColl!G55-FY15MappingChg!G55</f>
        <v>0</v>
      </c>
      <c r="H55" s="457">
        <f>+FY15RevToColl!H55-FY15ProjRevToColl!H55-FY15MappingChg!H55</f>
        <v>0</v>
      </c>
      <c r="I55" s="457">
        <f>+FY15RevToColl!I55-FY15ProjRevToColl!I55-FY15MappingChg!I55</f>
        <v>0</v>
      </c>
      <c r="J55" s="457">
        <f>+FY15RevToColl!J55-FY15ProjRevToColl!J55-FY15MappingChg!J55</f>
        <v>0</v>
      </c>
      <c r="K55" s="457">
        <f>+FY15RevToColl!K55-FY15ProjRevToColl!K55-FY15MappingChg!K55</f>
        <v>0</v>
      </c>
      <c r="L55" s="457">
        <f>+FY15RevToColl!L55-FY15ProjRevToColl!L55-FY15MappingChg!L55</f>
        <v>-39038.686204806436</v>
      </c>
      <c r="M55" s="457">
        <f>+FY15RevToColl!M55-FY15ProjRevToColl!M55-FY15MappingChg!M55</f>
        <v>0</v>
      </c>
      <c r="N55" s="457">
        <f>+FY15RevToColl!N55-FY15ProjRevToColl!N55-FY15MappingChg!N55</f>
        <v>-56007.752373046591</v>
      </c>
      <c r="O55" s="457">
        <f>+FY15RevToColl!O55-FY15ProjRevToColl!O55-FY15MappingChg!O55</f>
        <v>0</v>
      </c>
      <c r="P55" s="457">
        <f>+FY15RevToColl!P55-FY15ProjRevToColl!P55-FY15MappingChg!P55</f>
        <v>0</v>
      </c>
      <c r="Q55" s="457">
        <f>+FY15RevToColl!Q55-FY15ProjRevToColl!Q55-FY15MappingChg!Q55</f>
        <v>0</v>
      </c>
      <c r="R55" s="457">
        <f>+FY15RevToColl!R55-FY15ProjRevToColl!R55-FY15MappingChg!R55</f>
        <v>0</v>
      </c>
      <c r="S55" s="457">
        <f>+FY15RevToColl!S55-FY15ProjRevToColl!S55-FY15MappingChg!S55</f>
        <v>0</v>
      </c>
      <c r="T55" s="457">
        <f t="shared" si="6"/>
        <v>-95046.438577853027</v>
      </c>
    </row>
    <row r="56" spans="1:20" s="18" customFormat="1" ht="20.100000000000001" customHeight="1">
      <c r="A56" s="404" t="s">
        <v>130</v>
      </c>
      <c r="B56" s="440" t="s">
        <v>37</v>
      </c>
      <c r="C56" s="410">
        <f>+FY15RevToColl!C56-FY15ProjRevToColl!C56-FY15MappingChg!C56</f>
        <v>1930.5116090897452</v>
      </c>
      <c r="D56" s="410">
        <f>+FY15RevToColl!D56-FY15ProjRevToColl!D56-FY15MappingChg!D56</f>
        <v>-15233.617533352386</v>
      </c>
      <c r="E56" s="410">
        <f>+FY15RevToColl!E56-FY15ProjRevToColl!E56-FY15MappingChg!E56</f>
        <v>-2360.5206765207822</v>
      </c>
      <c r="F56" s="410">
        <f>+FY15RevToColl!F56-FY15ProjRevToColl!F56-FY15MappingChg!F56</f>
        <v>7614.5441695012223</v>
      </c>
      <c r="G56" s="410">
        <f>+FY15RevToColl!G56-FY15ProjRevToColl!G56-FY15MappingChg!G56</f>
        <v>43663.173527066596</v>
      </c>
      <c r="H56" s="410">
        <f>+FY15RevToColl!H56-FY15ProjRevToColl!H56-FY15MappingChg!H56</f>
        <v>-2091.7650093763855</v>
      </c>
      <c r="I56" s="410">
        <f>+FY15RevToColl!I56-FY15ProjRevToColl!I56-FY15MappingChg!I56</f>
        <v>-1984.2627425186251</v>
      </c>
      <c r="J56" s="410">
        <f>+FY15RevToColl!J56-FY15ProjRevToColl!J56-FY15MappingChg!J56</f>
        <v>-10405.073913453045</v>
      </c>
      <c r="K56" s="410">
        <f>+FY15RevToColl!K56-FY15ProjRevToColl!K56-FY15MappingChg!K56</f>
        <v>-1984.2627425186251</v>
      </c>
      <c r="L56" s="410">
        <f>+FY15RevToColl!L56-FY15ProjRevToColl!L56-FY15MappingChg!L56</f>
        <v>-3968.5254850372503</v>
      </c>
      <c r="M56" s="410">
        <f>+FY15RevToColl!M56-FY15ProjRevToColl!M56-FY15MappingChg!M56</f>
        <v>0</v>
      </c>
      <c r="N56" s="410">
        <f>+FY15RevToColl!N56-FY15ProjRevToColl!N56-FY15MappingChg!N56</f>
        <v>21392.35190592389</v>
      </c>
      <c r="O56" s="410">
        <f>+FY15RevToColl!O56-FY15ProjRevToColl!O56-FY15MappingChg!O56</f>
        <v>5392.6309215174406</v>
      </c>
      <c r="P56" s="410">
        <f>+FY15RevToColl!P56-FY15ProjRevToColl!P56-FY15MappingChg!P56</f>
        <v>0</v>
      </c>
      <c r="Q56" s="410">
        <f>+FY15RevToColl!Q56-FY15ProjRevToColl!Q56-FY15MappingChg!Q56</f>
        <v>19676.8448305497</v>
      </c>
      <c r="R56" s="410">
        <f>+FY15RevToColl!R56-FY15ProjRevToColl!R56-FY15MappingChg!R56</f>
        <v>-3968.5254850372503</v>
      </c>
      <c r="S56" s="410">
        <f>+FY15RevToColl!S56-FY15ProjRevToColl!S56-FY15MappingChg!S56</f>
        <v>5518.2499657748995</v>
      </c>
      <c r="T56" s="410">
        <f t="shared" si="6"/>
        <v>63191.753341609139</v>
      </c>
    </row>
    <row r="57" spans="1:20" ht="20.100000000000001" customHeight="1">
      <c r="A57" s="404" t="s">
        <v>131</v>
      </c>
      <c r="B57" s="456" t="s">
        <v>141</v>
      </c>
      <c r="C57" s="457">
        <f>+FY15RevToColl!C57-FY15ProjRevToColl!C57-FY15MappingChg!C57</f>
        <v>0</v>
      </c>
      <c r="D57" s="457">
        <f>+FY15RevToColl!D57-FY15ProjRevToColl!D57-FY15MappingChg!D57</f>
        <v>19121.002873409085</v>
      </c>
      <c r="E57" s="457">
        <f>+FY15RevToColl!E57-FY15ProjRevToColl!E57-FY15MappingChg!E57</f>
        <v>0</v>
      </c>
      <c r="F57" s="457">
        <f>+FY15RevToColl!F57-FY15ProjRevToColl!F57-FY15MappingChg!F57</f>
        <v>0</v>
      </c>
      <c r="G57" s="457">
        <f>+FY15RevToColl!G57-FY15ProjRevToColl!G57-FY15MappingChg!G57</f>
        <v>-2020.4775837226186</v>
      </c>
      <c r="H57" s="457">
        <f>+FY15RevToColl!H57-FY15ProjRevToColl!H57-FY15MappingChg!H57</f>
        <v>-53133.930226014461</v>
      </c>
      <c r="I57" s="457">
        <f>+FY15RevToColl!I57-FY15ProjRevToColl!I57-FY15MappingChg!I57</f>
        <v>0</v>
      </c>
      <c r="J57" s="457">
        <f>+FY15RevToColl!J57-FY15ProjRevToColl!J57-FY15MappingChg!J57</f>
        <v>-2020.4775837226186</v>
      </c>
      <c r="K57" s="457">
        <f>+FY15RevToColl!K57-FY15ProjRevToColl!K57-FY15MappingChg!K57</f>
        <v>-8081.9103348904746</v>
      </c>
      <c r="L57" s="457">
        <f>+FY15RevToColl!L57-FY15ProjRevToColl!L57-FY15MappingChg!L57</f>
        <v>0</v>
      </c>
      <c r="M57" s="457">
        <f>+FY15RevToColl!M57-FY15ProjRevToColl!M57-FY15MappingChg!M57</f>
        <v>0</v>
      </c>
      <c r="N57" s="457">
        <f>+FY15RevToColl!N57-FY15ProjRevToColl!N57-FY15MappingChg!N57</f>
        <v>0</v>
      </c>
      <c r="O57" s="457">
        <f>+FY15RevToColl!O57-FY15ProjRevToColl!O57-FY15MappingChg!O57</f>
        <v>0</v>
      </c>
      <c r="P57" s="457">
        <f>+FY15RevToColl!P57-FY15ProjRevToColl!P57-FY15MappingChg!P57</f>
        <v>0</v>
      </c>
      <c r="Q57" s="457">
        <f>+FY15RevToColl!Q57-FY15ProjRevToColl!Q57-FY15MappingChg!Q57</f>
        <v>0</v>
      </c>
      <c r="R57" s="457">
        <f>+FY15RevToColl!R57-FY15ProjRevToColl!R57-FY15MappingChg!R57</f>
        <v>0</v>
      </c>
      <c r="S57" s="457">
        <f>+FY15RevToColl!S57-FY15ProjRevToColl!S57-FY15MappingChg!S57</f>
        <v>-8081.9103348904746</v>
      </c>
      <c r="T57" s="457">
        <f t="shared" si="6"/>
        <v>-54217.703189831562</v>
      </c>
    </row>
    <row r="58" spans="1:20" s="18" customFormat="1" ht="20.100000000000001" customHeight="1">
      <c r="A58" s="404" t="s">
        <v>132</v>
      </c>
      <c r="B58" s="440" t="s">
        <v>206</v>
      </c>
      <c r="C58" s="410">
        <f>+FY15RevToColl!C58-FY15ProjRevToColl!C58-FY15MappingChg!C58</f>
        <v>0</v>
      </c>
      <c r="D58" s="410">
        <f>+FY15RevToColl!D58-FY15ProjRevToColl!D58-FY15MappingChg!D58</f>
        <v>-6474.9057051181153</v>
      </c>
      <c r="E58" s="410">
        <f>+FY15RevToColl!E58-FY15ProjRevToColl!E58-FY15MappingChg!E58</f>
        <v>0</v>
      </c>
      <c r="F58" s="410">
        <f>+FY15RevToColl!F58-FY15ProjRevToColl!F58-FY15MappingChg!F58</f>
        <v>-254596.50344741391</v>
      </c>
      <c r="G58" s="410">
        <f>+FY15RevToColl!G58-FY15ProjRevToColl!G58-FY15MappingChg!G58</f>
        <v>0</v>
      </c>
      <c r="H58" s="410">
        <f>+FY15RevToColl!H58-FY15ProjRevToColl!H58-FY15MappingChg!H58</f>
        <v>0</v>
      </c>
      <c r="I58" s="410">
        <f>+FY15RevToColl!I58-FY15ProjRevToColl!I58-FY15MappingChg!I58</f>
        <v>0</v>
      </c>
      <c r="J58" s="410">
        <f>+FY15RevToColl!J58-FY15ProjRevToColl!J58-FY15MappingChg!J58</f>
        <v>0</v>
      </c>
      <c r="K58" s="410">
        <f>+FY15RevToColl!K58-FY15ProjRevToColl!K58-FY15MappingChg!K58</f>
        <v>0</v>
      </c>
      <c r="L58" s="410">
        <f>+FY15RevToColl!L58-FY15ProjRevToColl!L58-FY15MappingChg!L58</f>
        <v>0</v>
      </c>
      <c r="M58" s="410">
        <f>+FY15RevToColl!M58-FY15ProjRevToColl!M58-FY15MappingChg!M58</f>
        <v>0</v>
      </c>
      <c r="N58" s="410">
        <f>+FY15RevToColl!N58-FY15ProjRevToColl!N58-FY15MappingChg!N58</f>
        <v>0</v>
      </c>
      <c r="O58" s="410">
        <f>+FY15RevToColl!O58-FY15ProjRevToColl!O58-FY15MappingChg!O58</f>
        <v>0</v>
      </c>
      <c r="P58" s="410">
        <f>+FY15RevToColl!P58-FY15ProjRevToColl!P58-FY15MappingChg!P58</f>
        <v>0</v>
      </c>
      <c r="Q58" s="410">
        <f>+FY15RevToColl!Q58-FY15ProjRevToColl!Q58-FY15MappingChg!Q58</f>
        <v>0</v>
      </c>
      <c r="R58" s="410">
        <f>+FY15RevToColl!R58-FY15ProjRevToColl!R58-FY15MappingChg!R58</f>
        <v>0</v>
      </c>
      <c r="S58" s="410">
        <f>+FY15RevToColl!S58-FY15ProjRevToColl!S58-FY15MappingChg!S58</f>
        <v>0</v>
      </c>
      <c r="T58" s="410">
        <f t="shared" si="6"/>
        <v>-261071.40915253203</v>
      </c>
    </row>
    <row r="59" spans="1:20" ht="20.100000000000001" customHeight="1">
      <c r="A59" s="404" t="s">
        <v>134</v>
      </c>
      <c r="B59" s="456" t="s">
        <v>40</v>
      </c>
      <c r="C59" s="457">
        <f>+FY15RevToColl!C59-FY15ProjRevToColl!C59-FY15MappingChg!C59</f>
        <v>0</v>
      </c>
      <c r="D59" s="457">
        <f>+FY15RevToColl!D59-FY15ProjRevToColl!D59-FY15MappingChg!D59</f>
        <v>0</v>
      </c>
      <c r="E59" s="457">
        <f>+FY15RevToColl!E59-FY15ProjRevToColl!E59-FY15MappingChg!E59</f>
        <v>0</v>
      </c>
      <c r="F59" s="457">
        <f>+FY15RevToColl!F59-FY15ProjRevToColl!F59-FY15MappingChg!F59</f>
        <v>0</v>
      </c>
      <c r="G59" s="457">
        <f>+FY15RevToColl!G59-FY15ProjRevToColl!G59-FY15MappingChg!G59</f>
        <v>0</v>
      </c>
      <c r="H59" s="457">
        <f>+FY15RevToColl!H59-FY15ProjRevToColl!H59-FY15MappingChg!H59</f>
        <v>0</v>
      </c>
      <c r="I59" s="457">
        <f>+FY15RevToColl!I59-FY15ProjRevToColl!I59-FY15MappingChg!I59</f>
        <v>4148.7798439493254</v>
      </c>
      <c r="J59" s="457">
        <f>+FY15RevToColl!J59-FY15ProjRevToColl!J59-FY15MappingChg!J59</f>
        <v>0</v>
      </c>
      <c r="K59" s="457">
        <f>+FY15RevToColl!K59-FY15ProjRevToColl!K59-FY15MappingChg!K59</f>
        <v>0</v>
      </c>
      <c r="L59" s="457">
        <f>+FY15RevToColl!L59-FY15ProjRevToColl!L59-FY15MappingChg!L59</f>
        <v>0</v>
      </c>
      <c r="M59" s="457">
        <f>+FY15RevToColl!M59-FY15ProjRevToColl!M59-FY15MappingChg!M59</f>
        <v>0</v>
      </c>
      <c r="N59" s="457">
        <f>+FY15RevToColl!N59-FY15ProjRevToColl!N59-FY15MappingChg!N59</f>
        <v>0</v>
      </c>
      <c r="O59" s="457">
        <f>+FY15RevToColl!O59-FY15ProjRevToColl!O59-FY15MappingChg!O59</f>
        <v>0</v>
      </c>
      <c r="P59" s="457">
        <f>+FY15RevToColl!P59-FY15ProjRevToColl!P59-FY15MappingChg!P59</f>
        <v>0</v>
      </c>
      <c r="Q59" s="457">
        <f>+FY15RevToColl!Q59-FY15ProjRevToColl!Q59-FY15MappingChg!Q59</f>
        <v>0</v>
      </c>
      <c r="R59" s="457">
        <f>+FY15RevToColl!R59-FY15ProjRevToColl!R59-FY15MappingChg!R59</f>
        <v>0</v>
      </c>
      <c r="S59" s="457">
        <f>+FY15RevToColl!S59-FY15ProjRevToColl!S59-FY15MappingChg!S59</f>
        <v>0</v>
      </c>
      <c r="T59" s="457">
        <f t="shared" si="6"/>
        <v>4148.7798439493254</v>
      </c>
    </row>
    <row r="60" spans="1:20" s="18" customFormat="1" ht="20.100000000000001" customHeight="1">
      <c r="A60" s="404" t="s">
        <v>135</v>
      </c>
      <c r="B60" s="440" t="s">
        <v>70</v>
      </c>
      <c r="C60" s="410">
        <f>+FY15RevToColl!C60-FY15ProjRevToColl!C60-FY15MappingChg!C60</f>
        <v>0</v>
      </c>
      <c r="D60" s="410">
        <f>+FY15RevToColl!D60-FY15ProjRevToColl!D60-FY15MappingChg!D60</f>
        <v>0</v>
      </c>
      <c r="E60" s="410">
        <f>+FY15RevToColl!E60-FY15ProjRevToColl!E60-FY15MappingChg!E60</f>
        <v>0</v>
      </c>
      <c r="F60" s="410">
        <f>+FY15RevToColl!F60-FY15ProjRevToColl!F60-FY15MappingChg!F60</f>
        <v>8771.9946715544938</v>
      </c>
      <c r="G60" s="410">
        <f>+FY15RevToColl!G60-FY15ProjRevToColl!G60-FY15MappingChg!G60</f>
        <v>0</v>
      </c>
      <c r="H60" s="410">
        <f>+FY15RevToColl!H60-FY15ProjRevToColl!H60-FY15MappingChg!H60</f>
        <v>0</v>
      </c>
      <c r="I60" s="410">
        <f>+FY15RevToColl!I60-FY15ProjRevToColl!I60-FY15MappingChg!I60</f>
        <v>0</v>
      </c>
      <c r="J60" s="410">
        <f>+FY15RevToColl!J60-FY15ProjRevToColl!J60-FY15MappingChg!J60</f>
        <v>0</v>
      </c>
      <c r="K60" s="410">
        <f>+FY15RevToColl!K60-FY15ProjRevToColl!K60-FY15MappingChg!K60</f>
        <v>-2932.0701702344672</v>
      </c>
      <c r="L60" s="410">
        <f>+FY15RevToColl!L60-FY15ProjRevToColl!L60-FY15MappingChg!L60</f>
        <v>154959.66923779668</v>
      </c>
      <c r="M60" s="410">
        <f>+FY15RevToColl!M60-FY15ProjRevToColl!M60-FY15MappingChg!M60</f>
        <v>0</v>
      </c>
      <c r="N60" s="410">
        <f>+FY15RevToColl!N60-FY15ProjRevToColl!N60-FY15MappingChg!N60</f>
        <v>8763.9227251715256</v>
      </c>
      <c r="O60" s="410">
        <f>+FY15RevToColl!O60-FY15ProjRevToColl!O60-FY15MappingChg!O60</f>
        <v>0</v>
      </c>
      <c r="P60" s="410">
        <f>+FY15RevToColl!P60-FY15ProjRevToColl!P60-FY15MappingChg!P60</f>
        <v>0</v>
      </c>
      <c r="Q60" s="410">
        <f>+FY15RevToColl!Q60-FY15ProjRevToColl!Q60-FY15MappingChg!Q60</f>
        <v>61371.674915349591</v>
      </c>
      <c r="R60" s="410">
        <f>+FY15RevToColl!R60-FY15ProjRevToColl!R60-FY15MappingChg!R60</f>
        <v>0</v>
      </c>
      <c r="S60" s="410">
        <f>+FY15RevToColl!S60-FY15ProjRevToColl!S60-FY15MappingChg!S60</f>
        <v>14611.919172874521</v>
      </c>
      <c r="T60" s="410">
        <f t="shared" si="6"/>
        <v>245547.11055251234</v>
      </c>
    </row>
    <row r="61" spans="1:20" ht="20.100000000000001" customHeight="1">
      <c r="A61" s="404" t="s">
        <v>136</v>
      </c>
      <c r="B61" s="456" t="s">
        <v>144</v>
      </c>
      <c r="C61" s="457">
        <f>+FY15RevToColl!C61-FY15ProjRevToColl!C61-FY15MappingChg!C61</f>
        <v>0</v>
      </c>
      <c r="D61" s="457">
        <f>+FY15RevToColl!D61-FY15ProjRevToColl!D61-FY15MappingChg!D61</f>
        <v>0</v>
      </c>
      <c r="E61" s="457">
        <f>+FY15RevToColl!E61-FY15ProjRevToColl!E61-FY15MappingChg!E61</f>
        <v>0</v>
      </c>
      <c r="F61" s="457">
        <f>+FY15RevToColl!F61-FY15ProjRevToColl!F61-FY15MappingChg!F61</f>
        <v>0</v>
      </c>
      <c r="G61" s="457">
        <f>+FY15RevToColl!G61-FY15ProjRevToColl!G61-FY15MappingChg!G61</f>
        <v>0</v>
      </c>
      <c r="H61" s="457">
        <f>+FY15RevToColl!H61-FY15ProjRevToColl!H61-FY15MappingChg!H61</f>
        <v>0</v>
      </c>
      <c r="I61" s="457">
        <f>+FY15RevToColl!I61-FY15ProjRevToColl!I61-FY15MappingChg!I61</f>
        <v>0</v>
      </c>
      <c r="J61" s="457">
        <f>+FY15RevToColl!J61-FY15ProjRevToColl!J61-FY15MappingChg!J61</f>
        <v>0</v>
      </c>
      <c r="K61" s="457">
        <f>+FY15RevToColl!K61-FY15ProjRevToColl!K61-FY15MappingChg!K61</f>
        <v>0</v>
      </c>
      <c r="L61" s="457">
        <f>+FY15RevToColl!L61-FY15ProjRevToColl!L61-FY15MappingChg!L61</f>
        <v>0</v>
      </c>
      <c r="M61" s="457">
        <f>+FY15RevToColl!M61-FY15ProjRevToColl!M61-FY15MappingChg!M61</f>
        <v>0</v>
      </c>
      <c r="N61" s="457">
        <f>+FY15RevToColl!N61-FY15ProjRevToColl!N61-FY15MappingChg!N61</f>
        <v>-6991.9851805385042</v>
      </c>
      <c r="O61" s="457">
        <f>+FY15RevToColl!O61-FY15ProjRevToColl!O61-FY15MappingChg!O61</f>
        <v>0</v>
      </c>
      <c r="P61" s="457">
        <f>+FY15RevToColl!P61-FY15ProjRevToColl!P61-FY15MappingChg!P61</f>
        <v>0</v>
      </c>
      <c r="Q61" s="457">
        <f>+FY15RevToColl!Q61-FY15ProjRevToColl!Q61-FY15MappingChg!Q61</f>
        <v>-158804.45193003234</v>
      </c>
      <c r="R61" s="457">
        <f>+FY15RevToColl!R61-FY15ProjRevToColl!R61-FY15MappingChg!R61</f>
        <v>0</v>
      </c>
      <c r="S61" s="457">
        <f>+FY15RevToColl!S61-FY15ProjRevToColl!S61-FY15MappingChg!S61</f>
        <v>-4187.2638474472542</v>
      </c>
      <c r="T61" s="457">
        <f t="shared" si="6"/>
        <v>-169983.7009580181</v>
      </c>
    </row>
    <row r="62" spans="1:20" s="18" customFormat="1" ht="20.100000000000001" customHeight="1">
      <c r="A62" s="404" t="s">
        <v>137</v>
      </c>
      <c r="B62" s="440" t="s">
        <v>49</v>
      </c>
      <c r="C62" s="410">
        <f>+FY15RevToColl!C62-FY15ProjRevToColl!C62-FY15MappingChg!C62</f>
        <v>-2791.0453306515792</v>
      </c>
      <c r="D62" s="410">
        <f>+FY15RevToColl!D62-FY15ProjRevToColl!D62-FY15MappingChg!D62</f>
        <v>9554.3594435422856</v>
      </c>
      <c r="E62" s="410">
        <f>+FY15RevToColl!E62-FY15ProjRevToColl!E62-FY15MappingChg!E62</f>
        <v>0</v>
      </c>
      <c r="F62" s="410">
        <f>+FY15RevToColl!F62-FY15ProjRevToColl!F62-FY15MappingChg!F62</f>
        <v>0</v>
      </c>
      <c r="G62" s="410">
        <f>+FY15RevToColl!G62-FY15ProjRevToColl!G62-FY15MappingChg!G62</f>
        <v>-2393.8184524276649</v>
      </c>
      <c r="H62" s="410">
        <f>+FY15RevToColl!H62-FY15ProjRevToColl!H62-FY15MappingChg!H62</f>
        <v>0</v>
      </c>
      <c r="I62" s="410">
        <f>+FY15RevToColl!I62-FY15ProjRevToColl!I62-FY15MappingChg!I62</f>
        <v>0</v>
      </c>
      <c r="J62" s="410">
        <f>+FY15RevToColl!J62-FY15ProjRevToColl!J62-FY15MappingChg!J62</f>
        <v>-4484.4881546453034</v>
      </c>
      <c r="K62" s="410">
        <f>+FY15RevToColl!K62-FY15ProjRevToColl!K62-FY15MappingChg!K62</f>
        <v>-1494.8293848817675</v>
      </c>
      <c r="L62" s="410">
        <f>+FY15RevToColl!L62-FY15ProjRevToColl!L62-FY15MappingChg!L62</f>
        <v>-13160.772896810062</v>
      </c>
      <c r="M62" s="410">
        <f>+FY15RevToColl!M62-FY15ProjRevToColl!M62-FY15MappingChg!M62</f>
        <v>1693.4428239937245</v>
      </c>
      <c r="N62" s="410">
        <f>+FY15RevToColl!N62-FY15ProjRevToColl!N62-FY15MappingChg!N62</f>
        <v>23321.39332102862</v>
      </c>
      <c r="O62" s="410">
        <f>+FY15RevToColl!O62-FY15ProjRevToColl!O62-FY15MappingChg!O62</f>
        <v>198.61343911195695</v>
      </c>
      <c r="P62" s="410">
        <f>+FY15RevToColl!P62-FY15ProjRevToColl!P62-FY15MappingChg!P62</f>
        <v>0</v>
      </c>
      <c r="Q62" s="410">
        <f>+FY15RevToColl!Q62-FY15ProjRevToColl!Q62-FY15MappingChg!Q62</f>
        <v>12470.744892229093</v>
      </c>
      <c r="R62" s="410">
        <f>+FY15RevToColl!R62-FY15ProjRevToColl!R62-FY15MappingChg!R62</f>
        <v>0</v>
      </c>
      <c r="S62" s="410">
        <f>+FY15RevToColl!S62-FY15ProjRevToColl!S62-FY15MappingChg!S62</f>
        <v>-20927.611388344751</v>
      </c>
      <c r="T62" s="410">
        <f t="shared" si="6"/>
        <v>1985.9883121445528</v>
      </c>
    </row>
    <row r="63" spans="1:20" ht="20.100000000000001" customHeight="1">
      <c r="A63" s="553" t="s">
        <v>145</v>
      </c>
      <c r="B63" s="456" t="s">
        <v>207</v>
      </c>
      <c r="C63" s="457">
        <f>+FY15RevToColl!C63-FY15ProjRevToColl!C63-FY15MappingChg!C63</f>
        <v>231259.28348375391</v>
      </c>
      <c r="D63" s="457">
        <f>+FY15RevToColl!D63-FY15ProjRevToColl!D63-FY15MappingChg!D63</f>
        <v>-3078.9126612614218</v>
      </c>
      <c r="E63" s="457">
        <f>+FY15RevToColl!E63-FY15ProjRevToColl!E63-FY15MappingChg!E63</f>
        <v>-6157.8253225228436</v>
      </c>
      <c r="F63" s="457">
        <f>+FY15RevToColl!F63-FY15ProjRevToColl!F63-FY15MappingChg!F63</f>
        <v>0</v>
      </c>
      <c r="G63" s="457">
        <f>+FY15RevToColl!G63-FY15ProjRevToColl!G63-FY15MappingChg!G63</f>
        <v>-2305.2858131241064</v>
      </c>
      <c r="H63" s="457">
        <f>+FY15RevToColl!H63-FY15ProjRevToColl!H63-FY15MappingChg!H63</f>
        <v>-9236.7379837842655</v>
      </c>
      <c r="I63" s="457">
        <f>+FY15RevToColl!I63-FY15ProjRevToColl!I63-FY15MappingChg!I63</f>
        <v>0</v>
      </c>
      <c r="J63" s="457">
        <f>+FY15RevToColl!J63-FY15ProjRevToColl!J63-FY15MappingChg!J63</f>
        <v>0</v>
      </c>
      <c r="K63" s="457">
        <f>+FY15RevToColl!K63-FY15ProjRevToColl!K63-FY15MappingChg!K63</f>
        <v>-18473.475967568531</v>
      </c>
      <c r="L63" s="457">
        <f>+FY15RevToColl!L63-FY15ProjRevToColl!L63-FY15MappingChg!L63</f>
        <v>0</v>
      </c>
      <c r="M63" s="457">
        <f>+FY15RevToColl!M63-FY15ProjRevToColl!M63-FY15MappingChg!M63</f>
        <v>0</v>
      </c>
      <c r="N63" s="457">
        <f>+FY15RevToColl!N63-FY15ProjRevToColl!N63-FY15MappingChg!N63</f>
        <v>0</v>
      </c>
      <c r="O63" s="457">
        <f>+FY15RevToColl!O63-FY15ProjRevToColl!O63-FY15MappingChg!O63</f>
        <v>0</v>
      </c>
      <c r="P63" s="457">
        <f>+FY15RevToColl!P63-FY15ProjRevToColl!P63-FY15MappingChg!P63</f>
        <v>0</v>
      </c>
      <c r="Q63" s="457">
        <f>+FY15RevToColl!Q63-FY15ProjRevToColl!Q63-FY15MappingChg!Q63</f>
        <v>0</v>
      </c>
      <c r="R63" s="457">
        <f>+FY15RevToColl!R63-FY15ProjRevToColl!R63-FY15MappingChg!R63</f>
        <v>0</v>
      </c>
      <c r="S63" s="457">
        <f>+FY15RevToColl!S63-FY15ProjRevToColl!S63-FY15MappingChg!S63</f>
        <v>-4852.8525110061382</v>
      </c>
      <c r="T63" s="457">
        <f t="shared" si="6"/>
        <v>187154.19322448663</v>
      </c>
    </row>
    <row r="64" spans="1:20" s="18" customFormat="1" ht="20.100000000000001" customHeight="1">
      <c r="A64" s="404" t="s">
        <v>147</v>
      </c>
      <c r="B64" s="440" t="s">
        <v>208</v>
      </c>
      <c r="C64" s="410">
        <f>+FY15RevToColl!C64-FY15ProjRevToColl!C64-FY15MappingChg!C64</f>
        <v>0</v>
      </c>
      <c r="D64" s="410">
        <f>+FY15RevToColl!D64-FY15ProjRevToColl!D64-FY15MappingChg!D64</f>
        <v>0</v>
      </c>
      <c r="E64" s="410">
        <f>+FY15RevToColl!E64-FY15ProjRevToColl!E64-FY15MappingChg!E64</f>
        <v>0</v>
      </c>
      <c r="F64" s="410">
        <f>+FY15RevToColl!F64-FY15ProjRevToColl!F64-FY15MappingChg!F64</f>
        <v>0</v>
      </c>
      <c r="G64" s="410">
        <f>+FY15RevToColl!G64-FY15ProjRevToColl!G64-FY15MappingChg!G64</f>
        <v>506094.17424905882</v>
      </c>
      <c r="H64" s="410">
        <f>+FY15RevToColl!H64-FY15ProjRevToColl!H64-FY15MappingChg!H64</f>
        <v>10647.355164948402</v>
      </c>
      <c r="I64" s="410">
        <f>+FY15RevToColl!I64-FY15ProjRevToColl!I64-FY15MappingChg!I64</f>
        <v>0</v>
      </c>
      <c r="J64" s="410">
        <f>+FY15RevToColl!J64-FY15ProjRevToColl!J64-FY15MappingChg!J64</f>
        <v>0</v>
      </c>
      <c r="K64" s="410">
        <f>+FY15RevToColl!K64-FY15ProjRevToColl!K64-FY15MappingChg!K64</f>
        <v>0</v>
      </c>
      <c r="L64" s="410">
        <f>+FY15RevToColl!L64-FY15ProjRevToColl!L64-FY15MappingChg!L64</f>
        <v>0</v>
      </c>
      <c r="M64" s="410">
        <f>+FY15RevToColl!M64-FY15ProjRevToColl!M64-FY15MappingChg!M64</f>
        <v>0</v>
      </c>
      <c r="N64" s="410">
        <f>+FY15RevToColl!N64-FY15ProjRevToColl!N64-FY15MappingChg!N64</f>
        <v>0</v>
      </c>
      <c r="O64" s="410">
        <f>+FY15RevToColl!O64-FY15ProjRevToColl!O64-FY15MappingChg!O64</f>
        <v>0</v>
      </c>
      <c r="P64" s="410">
        <f>+FY15RevToColl!P64-FY15ProjRevToColl!P64-FY15MappingChg!P64</f>
        <v>0</v>
      </c>
      <c r="Q64" s="410">
        <f>+FY15RevToColl!Q64-FY15ProjRevToColl!Q64-FY15MappingChg!Q64</f>
        <v>0</v>
      </c>
      <c r="R64" s="410">
        <f>+FY15RevToColl!R64-FY15ProjRevToColl!R64-FY15MappingChg!R64</f>
        <v>0</v>
      </c>
      <c r="S64" s="410">
        <f>+FY15RevToColl!S64-FY15ProjRevToColl!S64-FY15MappingChg!S64</f>
        <v>0</v>
      </c>
      <c r="T64" s="410">
        <f t="shared" si="6"/>
        <v>516741.52941400721</v>
      </c>
    </row>
    <row r="65" spans="1:20" ht="20.100000000000001" customHeight="1">
      <c r="A65" s="404" t="s">
        <v>148</v>
      </c>
      <c r="B65" s="456" t="s">
        <v>39</v>
      </c>
      <c r="C65" s="457">
        <f>+FY15RevToColl!C65-FY15ProjRevToColl!C65-FY15MappingChg!C65</f>
        <v>-6178.1336329748956</v>
      </c>
      <c r="D65" s="457">
        <f>+FY15RevToColl!D65-FY15ProjRevToColl!D65-FY15MappingChg!D65</f>
        <v>-99441.56021891172</v>
      </c>
      <c r="E65" s="457">
        <f>+FY15RevToColl!E65-FY15ProjRevToColl!E65-FY15MappingChg!E65</f>
        <v>0</v>
      </c>
      <c r="F65" s="457">
        <f>+FY15RevToColl!F65-FY15ProjRevToColl!F65-FY15MappingChg!F65</f>
        <v>0</v>
      </c>
      <c r="G65" s="457">
        <f>+FY15RevToColl!G65-FY15ProjRevToColl!G65-FY15MappingChg!G65</f>
        <v>0</v>
      </c>
      <c r="H65" s="457">
        <f>+FY15RevToColl!H65-FY15ProjRevToColl!H65-FY15MappingChg!H65</f>
        <v>-40371.651058599455</v>
      </c>
      <c r="I65" s="457">
        <f>+FY15RevToColl!I65-FY15ProjRevToColl!I65-FY15MappingChg!I65</f>
        <v>-15546.464699783037</v>
      </c>
      <c r="J65" s="457">
        <f>+FY15RevToColl!J65-FY15ProjRevToColl!J65-FY15MappingChg!J65</f>
        <v>9340.1681100789338</v>
      </c>
      <c r="K65" s="457">
        <f>+FY15RevToColl!K65-FY15ProjRevToColl!K65-FY15MappingChg!K65</f>
        <v>-84548.066578539088</v>
      </c>
      <c r="L65" s="457">
        <f>+FY15RevToColl!L65-FY15ProjRevToColl!L65-FY15MappingChg!L65</f>
        <v>-3092.9072196777925</v>
      </c>
      <c r="M65" s="457">
        <f>+FY15RevToColl!M65-FY15ProjRevToColl!M65-FY15MappingChg!M65</f>
        <v>0</v>
      </c>
      <c r="N65" s="457">
        <f>+FY15RevToColl!N65-FY15ProjRevToColl!N65-FY15MappingChg!N65</f>
        <v>-6221.6582024654926</v>
      </c>
      <c r="O65" s="457">
        <f>+FY15RevToColl!O65-FY15ProjRevToColl!O65-FY15MappingChg!O65</f>
        <v>0</v>
      </c>
      <c r="P65" s="457">
        <f>+FY15RevToColl!P65-FY15ProjRevToColl!P65-FY15MappingChg!P65</f>
        <v>0</v>
      </c>
      <c r="Q65" s="457">
        <f>+FY15RevToColl!Q65-FY15ProjRevToColl!Q65-FY15MappingChg!Q65</f>
        <v>56.325913458436844</v>
      </c>
      <c r="R65" s="457">
        <f>+FY15RevToColl!R65-FY15ProjRevToColl!R65-FY15MappingChg!R65</f>
        <v>0</v>
      </c>
      <c r="S65" s="457">
        <f>+FY15RevToColl!S65-FY15ProjRevToColl!S65-FY15MappingChg!S65</f>
        <v>-3110.8291012327463</v>
      </c>
      <c r="T65" s="457">
        <f t="shared" si="6"/>
        <v>-249114.77668864687</v>
      </c>
    </row>
    <row r="66" spans="1:20" s="18" customFormat="1" ht="20.100000000000001" customHeight="1">
      <c r="A66" s="404" t="s">
        <v>149</v>
      </c>
      <c r="B66" s="440" t="s">
        <v>38</v>
      </c>
      <c r="C66" s="410">
        <f>+FY15RevToColl!C66-FY15ProjRevToColl!C66-FY15MappingChg!C66</f>
        <v>0</v>
      </c>
      <c r="D66" s="410">
        <f>+FY15RevToColl!D66-FY15ProjRevToColl!D66-FY15MappingChg!D66</f>
        <v>4626.4202121818162</v>
      </c>
      <c r="E66" s="410">
        <f>+FY15RevToColl!E66-FY15ProjRevToColl!E66-FY15MappingChg!E66</f>
        <v>166290.17363145435</v>
      </c>
      <c r="F66" s="410">
        <f>+FY15RevToColl!F66-FY15ProjRevToColl!F66-FY15MappingChg!F66</f>
        <v>0</v>
      </c>
      <c r="G66" s="410">
        <f>+FY15RevToColl!G66-FY15ProjRevToColl!G66-FY15MappingChg!G66</f>
        <v>9910.0754975671971</v>
      </c>
      <c r="H66" s="410">
        <f>+FY15RevToColl!H66-FY15ProjRevToColl!H66-FY15MappingChg!H66</f>
        <v>-15111.576398802134</v>
      </c>
      <c r="I66" s="410">
        <f>+FY15RevToColl!I66-FY15ProjRevToColl!I66-FY15MappingChg!I66</f>
        <v>0</v>
      </c>
      <c r="J66" s="410">
        <f>+FY15RevToColl!J66-FY15ProjRevToColl!J66-FY15MappingChg!J66</f>
        <v>4872.8833646331532</v>
      </c>
      <c r="K66" s="410">
        <f>+FY15RevToColl!K66-FY15ProjRevToColl!K66-FY15MappingChg!K66</f>
        <v>0</v>
      </c>
      <c r="L66" s="410">
        <f>+FY15RevToColl!L66-FY15ProjRevToColl!L66-FY15MappingChg!L66</f>
        <v>0</v>
      </c>
      <c r="M66" s="410">
        <f>+FY15RevToColl!M66-FY15ProjRevToColl!M66-FY15MappingChg!M66</f>
        <v>0</v>
      </c>
      <c r="N66" s="410">
        <f>+FY15RevToColl!N66-FY15ProjRevToColl!N66-FY15MappingChg!N66</f>
        <v>9910.0754975671971</v>
      </c>
      <c r="O66" s="410">
        <f>+FY15RevToColl!O66-FY15ProjRevToColl!O66-FY15MappingChg!O66</f>
        <v>0</v>
      </c>
      <c r="P66" s="410">
        <f>+FY15RevToColl!P66-FY15ProjRevToColl!P66-FY15MappingChg!P66</f>
        <v>9910.0754975671971</v>
      </c>
      <c r="Q66" s="410">
        <f>+FY15RevToColl!Q66-FY15ProjRevToColl!Q66-FY15MappingChg!Q66</f>
        <v>29730.226492701593</v>
      </c>
      <c r="R66" s="410">
        <f>+FY15RevToColl!R66-FY15ProjRevToColl!R66-FY15MappingChg!R66</f>
        <v>0</v>
      </c>
      <c r="S66" s="410">
        <f>+FY15RevToColl!S66-FY15ProjRevToColl!S66-FY15MappingChg!S66</f>
        <v>-35342.49931468875</v>
      </c>
      <c r="T66" s="410">
        <f t="shared" si="6"/>
        <v>184795.85448018159</v>
      </c>
    </row>
    <row r="67" spans="1:20" ht="20.100000000000001" customHeight="1">
      <c r="A67" s="404" t="s">
        <v>150</v>
      </c>
      <c r="B67" s="456" t="s">
        <v>31</v>
      </c>
      <c r="C67" s="457">
        <f>+FY15RevToColl!C67-FY15ProjRevToColl!C67-FY15MappingChg!C67</f>
        <v>0</v>
      </c>
      <c r="D67" s="457">
        <f>+FY15RevToColl!D67-FY15ProjRevToColl!D67-FY15MappingChg!D67</f>
        <v>5920.5917566455646</v>
      </c>
      <c r="E67" s="457">
        <f>+FY15RevToColl!E67-FY15ProjRevToColl!E67-FY15MappingChg!E67</f>
        <v>-35012.90211591922</v>
      </c>
      <c r="F67" s="457">
        <f>+FY15RevToColl!F67-FY15ProjRevToColl!F67-FY15MappingChg!F67</f>
        <v>26107.719554641015</v>
      </c>
      <c r="G67" s="457">
        <f>+FY15RevToColl!G67-FY15ProjRevToColl!G67-FY15MappingChg!G67</f>
        <v>-4662.3056343543121</v>
      </c>
      <c r="H67" s="457">
        <f>+FY15RevToColl!H67-FY15ProjRevToColl!H67-FY15MappingChg!H67</f>
        <v>5501.1630492151471</v>
      </c>
      <c r="I67" s="457">
        <f>+FY15RevToColl!I67-FY15ProjRevToColl!I67-FY15MappingChg!I67</f>
        <v>419.42870743041567</v>
      </c>
      <c r="J67" s="457">
        <f>+FY15RevToColl!J67-FY15ProjRevToColl!J67-FY15MappingChg!J67</f>
        <v>-74352.121000782587</v>
      </c>
      <c r="K67" s="457">
        <f>+FY15RevToColl!K67-FY15ProjRevToColl!K67-FY15MappingChg!K67</f>
        <v>-14825.774317923775</v>
      </c>
      <c r="L67" s="457">
        <f>+FY15RevToColl!L67-FY15ProjRevToColl!L67-FY15MappingChg!L67</f>
        <v>0</v>
      </c>
      <c r="M67" s="457">
        <f>+FY15RevToColl!M67-FY15ProjRevToColl!M67-FY15MappingChg!M67</f>
        <v>0</v>
      </c>
      <c r="N67" s="457">
        <f>+FY15RevToColl!N67-FY15ProjRevToColl!N67-FY15MappingChg!N67</f>
        <v>0</v>
      </c>
      <c r="O67" s="457">
        <f>+FY15RevToColl!O67-FY15ProjRevToColl!O67-FY15MappingChg!O67</f>
        <v>0</v>
      </c>
      <c r="P67" s="457">
        <f>+FY15RevToColl!P67-FY15ProjRevToColl!P67-FY15MappingChg!P67</f>
        <v>0</v>
      </c>
      <c r="Q67" s="457">
        <f>+FY15RevToColl!Q67-FY15ProjRevToColl!Q67-FY15MappingChg!Q67</f>
        <v>15664.631732784606</v>
      </c>
      <c r="R67" s="457">
        <f>+FY15RevToColl!R67-FY15ProjRevToColl!R67-FY15MappingChg!R67</f>
        <v>0</v>
      </c>
      <c r="S67" s="457">
        <f>+FY15RevToColl!S67-FY15ProjRevToColl!S67-FY15MappingChg!S67</f>
        <v>0</v>
      </c>
      <c r="T67" s="457">
        <f t="shared" si="6"/>
        <v>-75239.568268263145</v>
      </c>
    </row>
    <row r="68" spans="1:20" s="18" customFormat="1" ht="20.100000000000001" customHeight="1">
      <c r="A68" s="404" t="s">
        <v>151</v>
      </c>
      <c r="B68" s="440" t="s">
        <v>209</v>
      </c>
      <c r="C68" s="410">
        <f>+FY15RevToColl!C68-FY15ProjRevToColl!C68-FY15MappingChg!C68</f>
        <v>0</v>
      </c>
      <c r="D68" s="410">
        <f>+FY15RevToColl!D68-FY15ProjRevToColl!D68-FY15MappingChg!D68</f>
        <v>0</v>
      </c>
      <c r="E68" s="410">
        <f>+FY15RevToColl!E68-FY15ProjRevToColl!E68-FY15MappingChg!E68</f>
        <v>0</v>
      </c>
      <c r="F68" s="410">
        <f>+FY15RevToColl!F68-FY15ProjRevToColl!F68-FY15MappingChg!F68</f>
        <v>0</v>
      </c>
      <c r="G68" s="410">
        <f>+FY15RevToColl!G68-FY15ProjRevToColl!G68-FY15MappingChg!G68</f>
        <v>0</v>
      </c>
      <c r="H68" s="410">
        <f>+FY15RevToColl!H68-FY15ProjRevToColl!H68-FY15MappingChg!H68</f>
        <v>0</v>
      </c>
      <c r="I68" s="410">
        <f>+FY15RevToColl!I68-FY15ProjRevToColl!I68-FY15MappingChg!I68</f>
        <v>0</v>
      </c>
      <c r="J68" s="410">
        <f>+FY15RevToColl!J68-FY15ProjRevToColl!J68-FY15MappingChg!J68</f>
        <v>-18465.915778018534</v>
      </c>
      <c r="K68" s="410">
        <f>+FY15RevToColl!K68-FY15ProjRevToColl!K68-FY15MappingChg!K68</f>
        <v>0</v>
      </c>
      <c r="L68" s="410">
        <f>+FY15RevToColl!L68-FY15ProjRevToColl!L68-FY15MappingChg!L68</f>
        <v>0</v>
      </c>
      <c r="M68" s="410">
        <f>+FY15RevToColl!M68-FY15ProjRevToColl!M68-FY15MappingChg!M68</f>
        <v>0</v>
      </c>
      <c r="N68" s="410">
        <f>+FY15RevToColl!N68-FY15ProjRevToColl!N68-FY15MappingChg!N68</f>
        <v>0</v>
      </c>
      <c r="O68" s="410">
        <f>+FY15RevToColl!O68-FY15ProjRevToColl!O68-FY15MappingChg!O68</f>
        <v>0</v>
      </c>
      <c r="P68" s="410">
        <f>+FY15RevToColl!P68-FY15ProjRevToColl!P68-FY15MappingChg!P68</f>
        <v>0</v>
      </c>
      <c r="Q68" s="410">
        <f>+FY15RevToColl!Q68-FY15ProjRevToColl!Q68-FY15MappingChg!Q68</f>
        <v>0</v>
      </c>
      <c r="R68" s="410">
        <f>+FY15RevToColl!R68-FY15ProjRevToColl!R68-FY15MappingChg!R68</f>
        <v>0</v>
      </c>
      <c r="S68" s="410">
        <f>+FY15RevToColl!S68-FY15ProjRevToColl!S68-FY15MappingChg!S68</f>
        <v>0</v>
      </c>
      <c r="T68" s="410">
        <f t="shared" si="6"/>
        <v>-18465.915778018534</v>
      </c>
    </row>
    <row r="69" spans="1:20" ht="20.100000000000001" customHeight="1">
      <c r="A69" s="404" t="s">
        <v>153</v>
      </c>
      <c r="B69" s="456" t="s">
        <v>100</v>
      </c>
      <c r="C69" s="457">
        <f>+FY15RevToColl!C69-FY15ProjRevToColl!C69-FY15MappingChg!C69</f>
        <v>0</v>
      </c>
      <c r="D69" s="457">
        <f>+FY15RevToColl!D69-FY15ProjRevToColl!D69-FY15MappingChg!D69</f>
        <v>0</v>
      </c>
      <c r="E69" s="457">
        <f>+FY15RevToColl!E69-FY15ProjRevToColl!E69-FY15MappingChg!E69</f>
        <v>0</v>
      </c>
      <c r="F69" s="457">
        <f>+FY15RevToColl!F69-FY15ProjRevToColl!F69-FY15MappingChg!F69</f>
        <v>0</v>
      </c>
      <c r="G69" s="457">
        <f>+FY15RevToColl!G69-FY15ProjRevToColl!G69-FY15MappingChg!G69</f>
        <v>0</v>
      </c>
      <c r="H69" s="457">
        <f>+FY15RevToColl!H69-FY15ProjRevToColl!H69-FY15MappingChg!H69</f>
        <v>0</v>
      </c>
      <c r="I69" s="457">
        <f>+FY15RevToColl!I69-FY15ProjRevToColl!I69-FY15MappingChg!I69</f>
        <v>0</v>
      </c>
      <c r="J69" s="457">
        <f>+FY15RevToColl!J69-FY15ProjRevToColl!J69-FY15MappingChg!J69</f>
        <v>0</v>
      </c>
      <c r="K69" s="457">
        <f>+FY15RevToColl!K69-FY15ProjRevToColl!K69-FY15MappingChg!K69</f>
        <v>0</v>
      </c>
      <c r="L69" s="457">
        <f>+FY15RevToColl!L69-FY15ProjRevToColl!L69-FY15MappingChg!L69</f>
        <v>0</v>
      </c>
      <c r="M69" s="457">
        <f>+FY15RevToColl!M69-FY15ProjRevToColl!M69-FY15MappingChg!M69</f>
        <v>0</v>
      </c>
      <c r="N69" s="457">
        <f>+FY15RevToColl!N69-FY15ProjRevToColl!N69-FY15MappingChg!N69</f>
        <v>0</v>
      </c>
      <c r="O69" s="457">
        <f>+FY15RevToColl!O69-FY15ProjRevToColl!O69-FY15MappingChg!O69</f>
        <v>11275.706163011957</v>
      </c>
      <c r="P69" s="457">
        <f>+FY15RevToColl!P69-FY15ProjRevToColl!P69-FY15MappingChg!P69</f>
        <v>0</v>
      </c>
      <c r="Q69" s="457">
        <f>+FY15RevToColl!Q69-FY15ProjRevToColl!Q69-FY15MappingChg!Q69</f>
        <v>-8052.6190196680518</v>
      </c>
      <c r="R69" s="457">
        <f>+FY15RevToColl!R69-FY15ProjRevToColl!R69-FY15MappingChg!R69</f>
        <v>0</v>
      </c>
      <c r="S69" s="457">
        <f>+FY15RevToColl!S69-FY15ProjRevToColl!S69-FY15MappingChg!S69</f>
        <v>0</v>
      </c>
      <c r="T69" s="457">
        <f t="shared" si="6"/>
        <v>3223.0871433439052</v>
      </c>
    </row>
    <row r="70" spans="1:20" s="18" customFormat="1" ht="20.100000000000001" customHeight="1">
      <c r="A70" s="404" t="s">
        <v>155</v>
      </c>
      <c r="B70" s="440" t="s">
        <v>42</v>
      </c>
      <c r="C70" s="410">
        <f>+FY15RevToColl!C70-FY15ProjRevToColl!C70-FY15MappingChg!C70</f>
        <v>0</v>
      </c>
      <c r="D70" s="410">
        <f>+FY15RevToColl!D70-FY15ProjRevToColl!D70-FY15MappingChg!D70</f>
        <v>0</v>
      </c>
      <c r="E70" s="410">
        <f>+FY15RevToColl!E70-FY15ProjRevToColl!E70-FY15MappingChg!E70</f>
        <v>0</v>
      </c>
      <c r="F70" s="410">
        <f>+FY15RevToColl!F70-FY15ProjRevToColl!F70-FY15MappingChg!F70</f>
        <v>0</v>
      </c>
      <c r="G70" s="410">
        <f>+FY15RevToColl!G70-FY15ProjRevToColl!G70-FY15MappingChg!G70</f>
        <v>0</v>
      </c>
      <c r="H70" s="410">
        <f>+FY15RevToColl!H70-FY15ProjRevToColl!H70-FY15MappingChg!H70</f>
        <v>0</v>
      </c>
      <c r="I70" s="410">
        <f>+FY15RevToColl!I70-FY15ProjRevToColl!I70-FY15MappingChg!I70</f>
        <v>0</v>
      </c>
      <c r="J70" s="410">
        <f>+FY15RevToColl!J70-FY15ProjRevToColl!J70-FY15MappingChg!J70</f>
        <v>0</v>
      </c>
      <c r="K70" s="410">
        <f>+FY15RevToColl!K70-FY15ProjRevToColl!K70-FY15MappingChg!K70</f>
        <v>0</v>
      </c>
      <c r="L70" s="410">
        <f>+FY15RevToColl!L70-FY15ProjRevToColl!L70-FY15MappingChg!L70</f>
        <v>0</v>
      </c>
      <c r="M70" s="410">
        <f>+FY15RevToColl!M70-FY15ProjRevToColl!M70-FY15MappingChg!M70</f>
        <v>0</v>
      </c>
      <c r="N70" s="410">
        <f>+FY15RevToColl!N70-FY15ProjRevToColl!N70-FY15MappingChg!N70</f>
        <v>0</v>
      </c>
      <c r="O70" s="410">
        <f>+FY15RevToColl!O70-FY15ProjRevToColl!O70-FY15MappingChg!O70</f>
        <v>0</v>
      </c>
      <c r="P70" s="410">
        <f>+FY15RevToColl!P70-FY15ProjRevToColl!P70-FY15MappingChg!P70</f>
        <v>-108747.35460293014</v>
      </c>
      <c r="Q70" s="410">
        <f>+FY15RevToColl!Q70-FY15ProjRevToColl!Q70-FY15MappingChg!Q70</f>
        <v>0</v>
      </c>
      <c r="R70" s="410">
        <f>+FY15RevToColl!R70-FY15ProjRevToColl!R70-FY15MappingChg!R70</f>
        <v>0</v>
      </c>
      <c r="S70" s="410">
        <f>+FY15RevToColl!S70-FY15ProjRevToColl!S70-FY15MappingChg!S70</f>
        <v>0</v>
      </c>
      <c r="T70" s="410">
        <f t="shared" si="6"/>
        <v>-108747.35460293014</v>
      </c>
    </row>
    <row r="71" spans="1:20" ht="20.100000000000001" customHeight="1">
      <c r="A71" s="404" t="s">
        <v>162</v>
      </c>
      <c r="B71" s="456" t="s">
        <v>76</v>
      </c>
      <c r="C71" s="457">
        <f>+FY15RevToColl!C71-FY15ProjRevToColl!C71-FY15MappingChg!C71</f>
        <v>0</v>
      </c>
      <c r="D71" s="457">
        <f>+FY15RevToColl!D71-FY15ProjRevToColl!D71-FY15MappingChg!D71</f>
        <v>0</v>
      </c>
      <c r="E71" s="457">
        <f>+FY15RevToColl!E71-FY15ProjRevToColl!E71-FY15MappingChg!E71</f>
        <v>0</v>
      </c>
      <c r="F71" s="457">
        <f>+FY15RevToColl!F71-FY15ProjRevToColl!F71-FY15MappingChg!F71</f>
        <v>0</v>
      </c>
      <c r="G71" s="457">
        <f>+FY15RevToColl!G71-FY15ProjRevToColl!G71-FY15MappingChg!G71</f>
        <v>577.19531875312168</v>
      </c>
      <c r="H71" s="457">
        <f>+FY15RevToColl!H71-FY15ProjRevToColl!H71-FY15MappingChg!H71</f>
        <v>0</v>
      </c>
      <c r="I71" s="457">
        <f>+FY15RevToColl!I71-FY15ProjRevToColl!I71-FY15MappingChg!I71</f>
        <v>0</v>
      </c>
      <c r="J71" s="457">
        <f>+FY15RevToColl!J71-FY15ProjRevToColl!J71-FY15MappingChg!J71</f>
        <v>0</v>
      </c>
      <c r="K71" s="457">
        <f>+FY15RevToColl!K71-FY15ProjRevToColl!K71-FY15MappingChg!K71</f>
        <v>0</v>
      </c>
      <c r="L71" s="457">
        <f>+FY15RevToColl!L71-FY15ProjRevToColl!L71-FY15MappingChg!L71</f>
        <v>0</v>
      </c>
      <c r="M71" s="457">
        <f>+FY15RevToColl!M71-FY15ProjRevToColl!M71-FY15MappingChg!M71</f>
        <v>0</v>
      </c>
      <c r="N71" s="457">
        <f>+FY15RevToColl!N71-FY15ProjRevToColl!N71-FY15MappingChg!N71</f>
        <v>540144.13010702841</v>
      </c>
      <c r="O71" s="457">
        <f>+FY15RevToColl!O71-FY15ProjRevToColl!O71-FY15MappingChg!O71</f>
        <v>0</v>
      </c>
      <c r="P71" s="457">
        <f>+FY15RevToColl!P71-FY15ProjRevToColl!P71-FY15MappingChg!P71</f>
        <v>0</v>
      </c>
      <c r="Q71" s="457">
        <f>+FY15RevToColl!Q71-FY15ProjRevToColl!Q71-FY15MappingChg!Q71</f>
        <v>39817.826148925145</v>
      </c>
      <c r="R71" s="457">
        <f>+FY15RevToColl!R71-FY15ProjRevToColl!R71-FY15MappingChg!R71</f>
        <v>0</v>
      </c>
      <c r="S71" s="457">
        <f>+FY15RevToColl!S71-FY15ProjRevToColl!S71-FY15MappingChg!S71</f>
        <v>-7525.4262374785612</v>
      </c>
      <c r="T71" s="457">
        <f t="shared" si="6"/>
        <v>573013.72533722804</v>
      </c>
    </row>
    <row r="72" spans="1:20" s="18" customFormat="1" ht="20.100000000000001" customHeight="1">
      <c r="A72" s="404" t="s">
        <v>156</v>
      </c>
      <c r="B72" s="440" t="s">
        <v>77</v>
      </c>
      <c r="C72" s="410">
        <f>+FY15RevToColl!C72-FY15ProjRevToColl!C72-FY15MappingChg!C72</f>
        <v>0</v>
      </c>
      <c r="D72" s="410">
        <f>+FY15RevToColl!D72-FY15ProjRevToColl!D72-FY15MappingChg!D72</f>
        <v>0</v>
      </c>
      <c r="E72" s="410">
        <f>+FY15RevToColl!E72-FY15ProjRevToColl!E72-FY15MappingChg!E72</f>
        <v>0</v>
      </c>
      <c r="F72" s="410">
        <f>+FY15RevToColl!F72-FY15ProjRevToColl!F72-FY15MappingChg!F72</f>
        <v>0</v>
      </c>
      <c r="G72" s="410">
        <f>+FY15RevToColl!G72-FY15ProjRevToColl!G72-FY15MappingChg!G72</f>
        <v>0</v>
      </c>
      <c r="H72" s="410">
        <f>+FY15RevToColl!H72-FY15ProjRevToColl!H72-FY15MappingChg!H72</f>
        <v>0</v>
      </c>
      <c r="I72" s="410">
        <f>+FY15RevToColl!I72-FY15ProjRevToColl!I72-FY15MappingChg!I72</f>
        <v>0</v>
      </c>
      <c r="J72" s="410">
        <f>+FY15RevToColl!J72-FY15ProjRevToColl!J72-FY15MappingChg!J72</f>
        <v>0</v>
      </c>
      <c r="K72" s="410">
        <f>+FY15RevToColl!K72-FY15ProjRevToColl!K72-FY15MappingChg!K72</f>
        <v>0</v>
      </c>
      <c r="L72" s="410">
        <f>+FY15RevToColl!L72-FY15ProjRevToColl!L72-FY15MappingChg!L72</f>
        <v>0</v>
      </c>
      <c r="M72" s="410">
        <f>+FY15RevToColl!M72-FY15ProjRevToColl!M72-FY15MappingChg!M72</f>
        <v>113047.90660647117</v>
      </c>
      <c r="N72" s="410">
        <f>+FY15RevToColl!N72-FY15ProjRevToColl!N72-FY15MappingChg!N72</f>
        <v>0</v>
      </c>
      <c r="O72" s="410">
        <f>+FY15RevToColl!O72-FY15ProjRevToColl!O72-FY15MappingChg!O72</f>
        <v>0</v>
      </c>
      <c r="P72" s="410">
        <f>+FY15RevToColl!P72-FY15ProjRevToColl!P72-FY15MappingChg!P72</f>
        <v>0</v>
      </c>
      <c r="Q72" s="410">
        <f>+FY15RevToColl!Q72-FY15ProjRevToColl!Q72-FY15MappingChg!Q72</f>
        <v>0</v>
      </c>
      <c r="R72" s="410">
        <f>+FY15RevToColl!R72-FY15ProjRevToColl!R72-FY15MappingChg!R72</f>
        <v>0</v>
      </c>
      <c r="S72" s="410">
        <f>+FY15RevToColl!S72-FY15ProjRevToColl!S72-FY15MappingChg!S72</f>
        <v>0</v>
      </c>
      <c r="T72" s="410">
        <f t="shared" si="6"/>
        <v>113047.90660647117</v>
      </c>
    </row>
    <row r="73" spans="1:20" ht="20.100000000000001" customHeight="1">
      <c r="A73" s="406" t="s">
        <v>163</v>
      </c>
      <c r="B73" s="458" t="s">
        <v>164</v>
      </c>
      <c r="C73" s="457">
        <f>+FY15RevToColl!C73-FY15ProjRevToColl!C73-FY15MappingChg!C73</f>
        <v>0</v>
      </c>
      <c r="D73" s="457">
        <f>+FY15RevToColl!D73-FY15ProjRevToColl!D73-FY15MappingChg!D73</f>
        <v>0</v>
      </c>
      <c r="E73" s="457">
        <f>+FY15RevToColl!E73-FY15ProjRevToColl!E73-FY15MappingChg!E73</f>
        <v>0</v>
      </c>
      <c r="F73" s="457">
        <f>+FY15RevToColl!F73-FY15ProjRevToColl!F73-FY15MappingChg!F73</f>
        <v>0</v>
      </c>
      <c r="G73" s="457">
        <f>+FY15RevToColl!G73-FY15ProjRevToColl!G73-FY15MappingChg!G73</f>
        <v>0</v>
      </c>
      <c r="H73" s="457">
        <f>+FY15RevToColl!H73-FY15ProjRevToColl!H73-FY15MappingChg!H73</f>
        <v>0</v>
      </c>
      <c r="I73" s="457">
        <f>+FY15RevToColl!I73-FY15ProjRevToColl!I73-FY15MappingChg!I73</f>
        <v>0</v>
      </c>
      <c r="J73" s="457">
        <f>+FY15RevToColl!J73-FY15ProjRevToColl!J73-FY15MappingChg!J73</f>
        <v>0</v>
      </c>
      <c r="K73" s="457">
        <f>+FY15RevToColl!K73-FY15ProjRevToColl!K73-FY15MappingChg!K73</f>
        <v>0</v>
      </c>
      <c r="L73" s="457">
        <f>+FY15RevToColl!L73-FY15ProjRevToColl!L73-FY15MappingChg!L73</f>
        <v>0</v>
      </c>
      <c r="M73" s="457">
        <f>+FY15RevToColl!M73-FY15ProjRevToColl!M73-FY15MappingChg!M73</f>
        <v>-51169.030699394527</v>
      </c>
      <c r="N73" s="457">
        <f>+FY15RevToColl!N73-FY15ProjRevToColl!N73-FY15MappingChg!N73</f>
        <v>0</v>
      </c>
      <c r="O73" s="457">
        <f>+FY15RevToColl!O73-FY15ProjRevToColl!O73-FY15MappingChg!O73</f>
        <v>0</v>
      </c>
      <c r="P73" s="457">
        <f>+FY15RevToColl!P73-FY15ProjRevToColl!P73-FY15MappingChg!P73</f>
        <v>0</v>
      </c>
      <c r="Q73" s="457">
        <f>+FY15RevToColl!Q73-FY15ProjRevToColl!Q73-FY15MappingChg!Q73</f>
        <v>0</v>
      </c>
      <c r="R73" s="457">
        <f>+FY15RevToColl!R73-FY15ProjRevToColl!R73-FY15MappingChg!R73</f>
        <v>0</v>
      </c>
      <c r="S73" s="457">
        <f>+FY15RevToColl!S73-FY15ProjRevToColl!S73-FY15MappingChg!S73</f>
        <v>0</v>
      </c>
      <c r="T73" s="457">
        <f t="shared" si="6"/>
        <v>-51169.030699394527</v>
      </c>
    </row>
    <row r="74" spans="1:20" ht="20.100000000000001" customHeight="1">
      <c r="B74" s="459" t="s">
        <v>17</v>
      </c>
      <c r="C74" s="460">
        <f t="shared" ref="C74:S74" si="7">SUM(C53:C73)</f>
        <v>4442.9293420251997</v>
      </c>
      <c r="D74" s="460">
        <f t="shared" si="7"/>
        <v>-4236281.5304859895</v>
      </c>
      <c r="E74" s="460">
        <f t="shared" si="7"/>
        <v>1390487.2214295731</v>
      </c>
      <c r="F74" s="460">
        <f t="shared" si="7"/>
        <v>120603.03174840219</v>
      </c>
      <c r="G74" s="460">
        <f t="shared" si="7"/>
        <v>1953630.3770918103</v>
      </c>
      <c r="H74" s="460">
        <f t="shared" si="7"/>
        <v>175480.17675247524</v>
      </c>
      <c r="I74" s="460">
        <f t="shared" si="7"/>
        <v>-45082.357166675632</v>
      </c>
      <c r="J74" s="460">
        <f t="shared" si="7"/>
        <v>-95644.823581404373</v>
      </c>
      <c r="K74" s="460">
        <f t="shared" si="7"/>
        <v>-139796.4897130288</v>
      </c>
      <c r="L74" s="460">
        <f t="shared" si="7"/>
        <v>89528.53430261038</v>
      </c>
      <c r="M74" s="460">
        <f t="shared" si="7"/>
        <v>63572.318731070365</v>
      </c>
      <c r="N74" s="460">
        <f t="shared" si="7"/>
        <v>671911.37632756971</v>
      </c>
      <c r="O74" s="460">
        <f t="shared" si="7"/>
        <v>172377.91549685644</v>
      </c>
      <c r="P74" s="460">
        <f t="shared" si="7"/>
        <v>-68789.720163699938</v>
      </c>
      <c r="Q74" s="460">
        <f t="shared" si="7"/>
        <v>995253.0776603308</v>
      </c>
      <c r="R74" s="460">
        <f t="shared" si="7"/>
        <v>25674.721484999747</v>
      </c>
      <c r="S74" s="460">
        <f t="shared" si="7"/>
        <v>-219011.17292741028</v>
      </c>
      <c r="T74" s="460">
        <f t="shared" si="6"/>
        <v>858355.58632951509</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A1:XFD1"/>
    </sheetView>
  </sheetViews>
  <sheetFormatPr defaultColWidth="8.85546875" defaultRowHeight="1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31.5" customHeight="1">
      <c r="B1" s="639" t="s">
        <v>420</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4995276.4485949557</v>
      </c>
      <c r="D5" s="413">
        <f t="shared" si="0"/>
        <v>176602169.18645614</v>
      </c>
      <c r="E5" s="413">
        <f t="shared" si="0"/>
        <v>21675249.830149829</v>
      </c>
      <c r="F5" s="413">
        <f t="shared" si="0"/>
        <v>3511563.3451673314</v>
      </c>
      <c r="G5" s="413">
        <f t="shared" si="0"/>
        <v>27126923.575337064</v>
      </c>
      <c r="H5" s="413">
        <f t="shared" si="0"/>
        <v>13023288.143725196</v>
      </c>
      <c r="I5" s="413">
        <f t="shared" si="0"/>
        <v>3508885.2447754797</v>
      </c>
      <c r="J5" s="413">
        <f t="shared" si="0"/>
        <v>95560.622056662934</v>
      </c>
      <c r="K5" s="413">
        <f t="shared" si="0"/>
        <v>28153.837659753382</v>
      </c>
      <c r="L5" s="413">
        <f t="shared" si="0"/>
        <v>1023448.2901203963</v>
      </c>
      <c r="M5" s="413">
        <f t="shared" si="0"/>
        <v>9610.2042011658195</v>
      </c>
      <c r="N5" s="413">
        <f t="shared" si="0"/>
        <v>6458290.1014783736</v>
      </c>
      <c r="O5" s="413">
        <f t="shared" si="0"/>
        <v>3189447.6921357638</v>
      </c>
      <c r="P5" s="413">
        <f t="shared" si="0"/>
        <v>55360.190398265069</v>
      </c>
      <c r="Q5" s="413">
        <f t="shared" si="0"/>
        <v>4961795.7775471006</v>
      </c>
      <c r="R5" s="413">
        <f t="shared" si="0"/>
        <v>2395541.6638621362</v>
      </c>
      <c r="S5" s="413">
        <f t="shared" si="0"/>
        <v>793093.45672616269</v>
      </c>
      <c r="T5" s="413">
        <f t="shared" ref="T5:T26" si="1">SUM(C5:S5)</f>
        <v>269453657.61039168</v>
      </c>
      <c r="X5" s="495"/>
    </row>
    <row r="6" spans="1:24" ht="20.100000000000001" customHeight="1">
      <c r="A6" s="401" t="s">
        <v>129</v>
      </c>
      <c r="B6" s="408" t="s">
        <v>35</v>
      </c>
      <c r="C6" s="410">
        <f t="shared" si="0"/>
        <v>96652.563026664662</v>
      </c>
      <c r="D6" s="410">
        <f t="shared" si="0"/>
        <v>9315478.4463533368</v>
      </c>
      <c r="E6" s="410">
        <f t="shared" si="0"/>
        <v>338741.71910171537</v>
      </c>
      <c r="F6" s="410">
        <f t="shared" si="0"/>
        <v>39770.172298061261</v>
      </c>
      <c r="G6" s="410">
        <f t="shared" si="0"/>
        <v>584697.91043798195</v>
      </c>
      <c r="H6" s="410">
        <f t="shared" si="0"/>
        <v>15311.300897991954</v>
      </c>
      <c r="I6" s="410">
        <f t="shared" si="0"/>
        <v>231093.00709398102</v>
      </c>
      <c r="J6" s="410">
        <f t="shared" si="0"/>
        <v>9930.0373664256513</v>
      </c>
      <c r="K6" s="410">
        <f t="shared" si="0"/>
        <v>80069.106685983628</v>
      </c>
      <c r="L6" s="410">
        <f t="shared" si="0"/>
        <v>4534.9165273145736</v>
      </c>
      <c r="M6" s="410">
        <f t="shared" si="0"/>
        <v>30.622601795983908</v>
      </c>
      <c r="N6" s="410">
        <f t="shared" si="0"/>
        <v>1963115.6107967589</v>
      </c>
      <c r="O6" s="410">
        <f t="shared" si="0"/>
        <v>3067.8031026162998</v>
      </c>
      <c r="P6" s="410">
        <f t="shared" si="0"/>
        <v>315989.26249249675</v>
      </c>
      <c r="Q6" s="410">
        <f t="shared" si="0"/>
        <v>30628.144719001815</v>
      </c>
      <c r="R6" s="410">
        <f t="shared" si="0"/>
        <v>153.11300897991956</v>
      </c>
      <c r="S6" s="410">
        <f t="shared" si="0"/>
        <v>1082549.8491321583</v>
      </c>
      <c r="T6" s="410">
        <f t="shared" si="1"/>
        <v>14111813.585643262</v>
      </c>
      <c r="W6" s="497"/>
      <c r="X6" s="495"/>
    </row>
    <row r="7" spans="1:24" ht="20.100000000000001" customHeight="1">
      <c r="A7" s="401" t="s">
        <v>140</v>
      </c>
      <c r="B7" s="414" t="s">
        <v>36</v>
      </c>
      <c r="C7" s="415">
        <f t="shared" si="0"/>
        <v>0</v>
      </c>
      <c r="D7" s="415">
        <f t="shared" si="0"/>
        <v>11178.824828669969</v>
      </c>
      <c r="E7" s="415">
        <f t="shared" si="0"/>
        <v>0</v>
      </c>
      <c r="F7" s="415">
        <f t="shared" si="0"/>
        <v>1335.5233202393326</v>
      </c>
      <c r="G7" s="415">
        <f t="shared" si="0"/>
        <v>49.463826675530839</v>
      </c>
      <c r="H7" s="415">
        <f t="shared" si="0"/>
        <v>0</v>
      </c>
      <c r="I7" s="415">
        <f t="shared" si="0"/>
        <v>197.85530670212336</v>
      </c>
      <c r="J7" s="415">
        <f t="shared" si="0"/>
        <v>296.78296005318509</v>
      </c>
      <c r="K7" s="415">
        <f t="shared" si="0"/>
        <v>197.85530670212336</v>
      </c>
      <c r="L7" s="415">
        <f t="shared" si="0"/>
        <v>262701.59415736119</v>
      </c>
      <c r="M7" s="415">
        <f t="shared" si="0"/>
        <v>0</v>
      </c>
      <c r="N7" s="415">
        <f t="shared" si="0"/>
        <v>872023.32169265416</v>
      </c>
      <c r="O7" s="415">
        <f t="shared" si="0"/>
        <v>0</v>
      </c>
      <c r="P7" s="415">
        <f t="shared" si="0"/>
        <v>197.85530670212336</v>
      </c>
      <c r="Q7" s="415">
        <f t="shared" si="0"/>
        <v>2819.4381205052582</v>
      </c>
      <c r="R7" s="415">
        <f t="shared" si="0"/>
        <v>0</v>
      </c>
      <c r="S7" s="415">
        <f t="shared" si="0"/>
        <v>148.39148002659255</v>
      </c>
      <c r="T7" s="415">
        <f t="shared" si="1"/>
        <v>1151146.9063062917</v>
      </c>
    </row>
    <row r="8" spans="1:24" ht="20.100000000000001" customHeight="1">
      <c r="A8" s="401" t="s">
        <v>130</v>
      </c>
      <c r="B8" s="408" t="s">
        <v>37</v>
      </c>
      <c r="C8" s="410">
        <f t="shared" si="0"/>
        <v>10684.121969094444</v>
      </c>
      <c r="D8" s="410">
        <f t="shared" si="0"/>
        <v>145274.45143348127</v>
      </c>
      <c r="E8" s="410">
        <f t="shared" si="0"/>
        <v>20507.445211054655</v>
      </c>
      <c r="F8" s="410">
        <f t="shared" si="0"/>
        <v>16681.822080726775</v>
      </c>
      <c r="G8" s="410">
        <f t="shared" si="0"/>
        <v>7132829.5400215425</v>
      </c>
      <c r="H8" s="410">
        <f t="shared" si="0"/>
        <v>17036.560461073161</v>
      </c>
      <c r="I8" s="410">
        <f t="shared" si="0"/>
        <v>2887.7889847438182</v>
      </c>
      <c r="J8" s="410">
        <f t="shared" si="0"/>
        <v>22789.208828202369</v>
      </c>
      <c r="K8" s="410">
        <f t="shared" si="0"/>
        <v>721.94724618595455</v>
      </c>
      <c r="L8" s="410">
        <f t="shared" si="0"/>
        <v>992.67746350568746</v>
      </c>
      <c r="M8" s="410">
        <f t="shared" si="0"/>
        <v>0</v>
      </c>
      <c r="N8" s="410">
        <f t="shared" si="0"/>
        <v>115953.95991946652</v>
      </c>
      <c r="O8" s="410">
        <f t="shared" si="0"/>
        <v>433573.83962696407</v>
      </c>
      <c r="P8" s="410">
        <f t="shared" si="0"/>
        <v>541.46043463946592</v>
      </c>
      <c r="Q8" s="410">
        <f t="shared" si="0"/>
        <v>110700.76790546346</v>
      </c>
      <c r="R8" s="410">
        <f t="shared" si="0"/>
        <v>0</v>
      </c>
      <c r="S8" s="410">
        <f t="shared" si="0"/>
        <v>89038.864147596396</v>
      </c>
      <c r="T8" s="410">
        <f t="shared" si="1"/>
        <v>8120214.4557337398</v>
      </c>
    </row>
    <row r="9" spans="1:24" ht="20.100000000000001" customHeight="1">
      <c r="A9" s="416" t="s">
        <v>131</v>
      </c>
      <c r="B9" s="414" t="s">
        <v>141</v>
      </c>
      <c r="C9" s="415">
        <f t="shared" si="0"/>
        <v>621.79046667667706</v>
      </c>
      <c r="D9" s="415">
        <f t="shared" si="0"/>
        <v>94041.291180323358</v>
      </c>
      <c r="E9" s="415">
        <f t="shared" si="0"/>
        <v>1154.7537238281145</v>
      </c>
      <c r="F9" s="415">
        <f t="shared" si="0"/>
        <v>666.20407143929685</v>
      </c>
      <c r="G9" s="415">
        <f t="shared" si="0"/>
        <v>4707.8421048376977</v>
      </c>
      <c r="H9" s="415">
        <f t="shared" si="0"/>
        <v>3515807.6767158881</v>
      </c>
      <c r="I9" s="415">
        <f t="shared" si="0"/>
        <v>0</v>
      </c>
      <c r="J9" s="415">
        <f t="shared" si="0"/>
        <v>1110.3401190654947</v>
      </c>
      <c r="K9" s="415">
        <f t="shared" si="0"/>
        <v>6750.8679239182075</v>
      </c>
      <c r="L9" s="415">
        <f t="shared" si="0"/>
        <v>0</v>
      </c>
      <c r="M9" s="415">
        <f t="shared" si="0"/>
        <v>0</v>
      </c>
      <c r="N9" s="415">
        <f t="shared" si="0"/>
        <v>1376.8217476412135</v>
      </c>
      <c r="O9" s="415">
        <f t="shared" si="0"/>
        <v>0</v>
      </c>
      <c r="P9" s="415">
        <f t="shared" si="0"/>
        <v>0</v>
      </c>
      <c r="Q9" s="415">
        <f t="shared" si="0"/>
        <v>1554.4761666916927</v>
      </c>
      <c r="R9" s="415">
        <f t="shared" si="0"/>
        <v>133.24081428785937</v>
      </c>
      <c r="S9" s="415">
        <f t="shared" si="0"/>
        <v>1776.5441905047917</v>
      </c>
      <c r="T9" s="415">
        <f t="shared" si="1"/>
        <v>3629701.849225102</v>
      </c>
    </row>
    <row r="10" spans="1:24" ht="20.100000000000001" customHeight="1">
      <c r="A10" s="401" t="s">
        <v>132</v>
      </c>
      <c r="B10" s="408" t="s">
        <v>206</v>
      </c>
      <c r="C10" s="410">
        <f t="shared" si="0"/>
        <v>0</v>
      </c>
      <c r="D10" s="410">
        <f t="shared" si="0"/>
        <v>33018.214867728457</v>
      </c>
      <c r="E10" s="410">
        <f t="shared" si="0"/>
        <v>176.22220688223163</v>
      </c>
      <c r="F10" s="410">
        <f t="shared" si="0"/>
        <v>4329670.9053639593</v>
      </c>
      <c r="G10" s="410">
        <f t="shared" si="0"/>
        <v>308.38886204390531</v>
      </c>
      <c r="H10" s="410">
        <f t="shared" si="0"/>
        <v>3788.7774479679802</v>
      </c>
      <c r="I10" s="410">
        <f t="shared" si="0"/>
        <v>748.94437924948443</v>
      </c>
      <c r="J10" s="410">
        <f t="shared" si="0"/>
        <v>0</v>
      </c>
      <c r="K10" s="410">
        <f t="shared" si="0"/>
        <v>5815.3328271136434</v>
      </c>
      <c r="L10" s="410">
        <f t="shared" si="0"/>
        <v>2687.3886549540325</v>
      </c>
      <c r="M10" s="410">
        <f t="shared" si="0"/>
        <v>0</v>
      </c>
      <c r="N10" s="410">
        <f t="shared" si="0"/>
        <v>1189.4998964550634</v>
      </c>
      <c r="O10" s="410">
        <f t="shared" si="0"/>
        <v>440.55551720557901</v>
      </c>
      <c r="P10" s="410">
        <f t="shared" si="0"/>
        <v>0</v>
      </c>
      <c r="Q10" s="410">
        <f t="shared" si="0"/>
        <v>1585.9998619400847</v>
      </c>
      <c r="R10" s="410">
        <f t="shared" si="0"/>
        <v>0</v>
      </c>
      <c r="S10" s="410">
        <f t="shared" si="0"/>
        <v>1233.5554481756212</v>
      </c>
      <c r="T10" s="410">
        <f t="shared" si="1"/>
        <v>4380663.7853336744</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c r="A12" s="401" t="s">
        <v>135</v>
      </c>
      <c r="B12" s="408" t="s">
        <v>70</v>
      </c>
      <c r="C12" s="410">
        <f t="shared" si="0"/>
        <v>116.23893531377422</v>
      </c>
      <c r="D12" s="410">
        <f t="shared" si="0"/>
        <v>5695.7078303749367</v>
      </c>
      <c r="E12" s="410">
        <f t="shared" si="0"/>
        <v>0</v>
      </c>
      <c r="F12" s="410">
        <f t="shared" si="0"/>
        <v>9643.7866864078005</v>
      </c>
      <c r="G12" s="410">
        <f t="shared" si="0"/>
        <v>0</v>
      </c>
      <c r="H12" s="410">
        <f t="shared" si="0"/>
        <v>174.35840297066133</v>
      </c>
      <c r="I12" s="410">
        <f t="shared" si="0"/>
        <v>0</v>
      </c>
      <c r="J12" s="410">
        <f t="shared" si="0"/>
        <v>0</v>
      </c>
      <c r="K12" s="410">
        <f t="shared" si="0"/>
        <v>1859.8229650203875</v>
      </c>
      <c r="L12" s="410">
        <f t="shared" si="0"/>
        <v>2855654.413507103</v>
      </c>
      <c r="M12" s="410">
        <f t="shared" si="0"/>
        <v>0</v>
      </c>
      <c r="N12" s="410">
        <f t="shared" si="0"/>
        <v>18612.209546575559</v>
      </c>
      <c r="O12" s="410">
        <f t="shared" si="0"/>
        <v>116.23893531377422</v>
      </c>
      <c r="P12" s="410">
        <f t="shared" si="0"/>
        <v>0</v>
      </c>
      <c r="Q12" s="410">
        <f t="shared" si="0"/>
        <v>84026.415515782224</v>
      </c>
      <c r="R12" s="410">
        <f t="shared" si="0"/>
        <v>0</v>
      </c>
      <c r="S12" s="410">
        <f t="shared" si="0"/>
        <v>17543.989343108988</v>
      </c>
      <c r="T12" s="410">
        <f t="shared" si="1"/>
        <v>2993443.1816679714</v>
      </c>
    </row>
    <row r="13" spans="1:24" ht="20.100000000000001" customHeight="1">
      <c r="A13" s="416" t="s">
        <v>136</v>
      </c>
      <c r="B13" s="414" t="s">
        <v>144</v>
      </c>
      <c r="C13" s="415">
        <f t="shared" si="0"/>
        <v>140.08756055699439</v>
      </c>
      <c r="D13" s="415">
        <f t="shared" si="0"/>
        <v>25262.456753777991</v>
      </c>
      <c r="E13" s="415">
        <f t="shared" si="0"/>
        <v>280.17512111398878</v>
      </c>
      <c r="F13" s="415">
        <f t="shared" si="0"/>
        <v>280.17512111398878</v>
      </c>
      <c r="G13" s="415">
        <f t="shared" si="0"/>
        <v>2194.7051153929124</v>
      </c>
      <c r="H13" s="415">
        <f t="shared" si="0"/>
        <v>1354.179752050946</v>
      </c>
      <c r="I13" s="415">
        <f t="shared" si="0"/>
        <v>186.78341407599254</v>
      </c>
      <c r="J13" s="415">
        <f t="shared" si="0"/>
        <v>233.47926759499066</v>
      </c>
      <c r="K13" s="415">
        <f t="shared" si="0"/>
        <v>1494.2673126079403</v>
      </c>
      <c r="L13" s="415">
        <f t="shared" si="0"/>
        <v>420.26268167098323</v>
      </c>
      <c r="M13" s="415">
        <f t="shared" si="0"/>
        <v>93.391707037996269</v>
      </c>
      <c r="N13" s="415">
        <f t="shared" si="0"/>
        <v>29875.605064173054</v>
      </c>
      <c r="O13" s="415">
        <f t="shared" si="0"/>
        <v>186.78341407599254</v>
      </c>
      <c r="P13" s="415">
        <f t="shared" si="0"/>
        <v>2521.5760900258992</v>
      </c>
      <c r="Q13" s="415">
        <f t="shared" si="0"/>
        <v>2216194.9491996374</v>
      </c>
      <c r="R13" s="415">
        <f t="shared" si="0"/>
        <v>0</v>
      </c>
      <c r="S13" s="415">
        <f t="shared" si="0"/>
        <v>840.52536334196645</v>
      </c>
      <c r="T13" s="415">
        <f t="shared" si="1"/>
        <v>2281559.4029382491</v>
      </c>
    </row>
    <row r="14" spans="1:24" ht="20.100000000000001" customHeight="1">
      <c r="A14" s="401" t="s">
        <v>137</v>
      </c>
      <c r="B14" s="408" t="s">
        <v>49</v>
      </c>
      <c r="C14" s="410">
        <f t="shared" si="0"/>
        <v>2728.3017535096378</v>
      </c>
      <c r="D14" s="410">
        <f t="shared" si="0"/>
        <v>37367.762939819841</v>
      </c>
      <c r="E14" s="410">
        <f t="shared" si="0"/>
        <v>0</v>
      </c>
      <c r="F14" s="410">
        <f t="shared" si="0"/>
        <v>119.40679955952844</v>
      </c>
      <c r="G14" s="410">
        <f t="shared" si="0"/>
        <v>6314.1987340963005</v>
      </c>
      <c r="H14" s="410">
        <f t="shared" si="0"/>
        <v>398.02266519842811</v>
      </c>
      <c r="I14" s="410">
        <f t="shared" si="0"/>
        <v>0</v>
      </c>
      <c r="J14" s="410">
        <f t="shared" si="0"/>
        <v>756.24306387701347</v>
      </c>
      <c r="K14" s="410">
        <f t="shared" si="0"/>
        <v>1353.2770616746557</v>
      </c>
      <c r="L14" s="410">
        <f t="shared" si="0"/>
        <v>18265.957671451575</v>
      </c>
      <c r="M14" s="410">
        <f t="shared" si="0"/>
        <v>2051.6632226723095</v>
      </c>
      <c r="N14" s="410">
        <f t="shared" si="0"/>
        <v>279371.90353645443</v>
      </c>
      <c r="O14" s="410">
        <f t="shared" si="0"/>
        <v>2091.4654891921527</v>
      </c>
      <c r="P14" s="410">
        <f t="shared" si="0"/>
        <v>915.45212995638474</v>
      </c>
      <c r="Q14" s="410">
        <f t="shared" si="0"/>
        <v>879808.17445625411</v>
      </c>
      <c r="R14" s="410">
        <f t="shared" si="0"/>
        <v>0</v>
      </c>
      <c r="S14" s="410">
        <f t="shared" si="0"/>
        <v>437.82493171827093</v>
      </c>
      <c r="T14" s="410">
        <f t="shared" si="1"/>
        <v>1231979.6544554345</v>
      </c>
    </row>
    <row r="15" spans="1:24" ht="20.100000000000001" customHeight="1">
      <c r="A15" s="401">
        <v>25</v>
      </c>
      <c r="B15" s="414" t="s">
        <v>207</v>
      </c>
      <c r="C15" s="415">
        <f t="shared" si="0"/>
        <v>4353245.4391440945</v>
      </c>
      <c r="D15" s="415">
        <f t="shared" si="0"/>
        <v>15227.64773903381</v>
      </c>
      <c r="E15" s="415">
        <f t="shared" si="0"/>
        <v>4519.6214750556965</v>
      </c>
      <c r="F15" s="415">
        <f t="shared" si="0"/>
        <v>0</v>
      </c>
      <c r="G15" s="415">
        <f t="shared" si="0"/>
        <v>14669.051583132838</v>
      </c>
      <c r="H15" s="415">
        <f t="shared" si="0"/>
        <v>11333.820006678132</v>
      </c>
      <c r="I15" s="415">
        <f t="shared" si="0"/>
        <v>139.0652761555599</v>
      </c>
      <c r="J15" s="415">
        <f t="shared" si="0"/>
        <v>417.1958284666797</v>
      </c>
      <c r="K15" s="415">
        <f t="shared" si="0"/>
        <v>11751.015835144812</v>
      </c>
      <c r="L15" s="415">
        <f t="shared" si="0"/>
        <v>0</v>
      </c>
      <c r="M15" s="415">
        <f t="shared" si="0"/>
        <v>0</v>
      </c>
      <c r="N15" s="415">
        <f t="shared" si="0"/>
        <v>486.72846654445965</v>
      </c>
      <c r="O15" s="415">
        <f t="shared" si="0"/>
        <v>0</v>
      </c>
      <c r="P15" s="415">
        <f t="shared" si="0"/>
        <v>0</v>
      </c>
      <c r="Q15" s="415">
        <f t="shared" si="0"/>
        <v>2781.305523111198</v>
      </c>
      <c r="R15" s="415">
        <f t="shared" si="0"/>
        <v>0</v>
      </c>
      <c r="S15" s="415">
        <f t="shared" si="0"/>
        <v>56725.400714222298</v>
      </c>
      <c r="T15" s="415">
        <f t="shared" si="1"/>
        <v>4471296.2915916396</v>
      </c>
    </row>
    <row r="16" spans="1:24" ht="20.100000000000001" customHeight="1">
      <c r="A16" s="401" t="s">
        <v>147</v>
      </c>
      <c r="B16" s="408" t="s">
        <v>208</v>
      </c>
      <c r="C16" s="410">
        <f t="shared" si="0"/>
        <v>0</v>
      </c>
      <c r="D16" s="410">
        <f t="shared" si="0"/>
        <v>823.48313729787662</v>
      </c>
      <c r="E16" s="410">
        <f t="shared" si="0"/>
        <v>205.87078432446916</v>
      </c>
      <c r="F16" s="410">
        <f t="shared" si="0"/>
        <v>0</v>
      </c>
      <c r="G16" s="410">
        <f t="shared" si="0"/>
        <v>1143670.1325423501</v>
      </c>
      <c r="H16" s="410">
        <f t="shared" si="0"/>
        <v>12088.450655219685</v>
      </c>
      <c r="I16" s="410">
        <f t="shared" si="0"/>
        <v>1029.3539216223458</v>
      </c>
      <c r="J16" s="410">
        <f t="shared" si="0"/>
        <v>0</v>
      </c>
      <c r="K16" s="410">
        <f t="shared" si="0"/>
        <v>0</v>
      </c>
      <c r="L16" s="410">
        <f t="shared" si="0"/>
        <v>0</v>
      </c>
      <c r="M16" s="410">
        <f t="shared" si="0"/>
        <v>0</v>
      </c>
      <c r="N16" s="410">
        <f t="shared" si="0"/>
        <v>8646.5729416277063</v>
      </c>
      <c r="O16" s="410">
        <f t="shared" si="0"/>
        <v>0</v>
      </c>
      <c r="P16" s="410">
        <f t="shared" si="0"/>
        <v>0</v>
      </c>
      <c r="Q16" s="410">
        <f t="shared" si="0"/>
        <v>308.80617648670375</v>
      </c>
      <c r="R16" s="410">
        <f t="shared" si="0"/>
        <v>0</v>
      </c>
      <c r="S16" s="410">
        <f t="shared" si="0"/>
        <v>0</v>
      </c>
      <c r="T16" s="410">
        <f t="shared" si="1"/>
        <v>1166772.6701589287</v>
      </c>
    </row>
    <row r="17" spans="1:91" ht="20.100000000000001" customHeight="1">
      <c r="A17" s="416" t="s">
        <v>148</v>
      </c>
      <c r="B17" s="414" t="s">
        <v>39</v>
      </c>
      <c r="C17" s="415">
        <f t="shared" si="0"/>
        <v>60588.629213114007</v>
      </c>
      <c r="D17" s="415">
        <f t="shared" si="0"/>
        <v>166516.28974203925</v>
      </c>
      <c r="E17" s="415">
        <f t="shared" si="0"/>
        <v>13283.769498935861</v>
      </c>
      <c r="F17" s="415">
        <f t="shared" si="0"/>
        <v>3514.2247351682167</v>
      </c>
      <c r="G17" s="415">
        <f t="shared" si="0"/>
        <v>1686.8278728807443</v>
      </c>
      <c r="H17" s="415">
        <f t="shared" si="0"/>
        <v>105779.42185404999</v>
      </c>
      <c r="I17" s="415">
        <f t="shared" si="0"/>
        <v>10535.004520036127</v>
      </c>
      <c r="J17" s="415">
        <f t="shared" si="0"/>
        <v>13346.384308170702</v>
      </c>
      <c r="K17" s="415">
        <f t="shared" si="0"/>
        <v>3858644.4086546302</v>
      </c>
      <c r="L17" s="415">
        <f t="shared" si="0"/>
        <v>24886.243357132211</v>
      </c>
      <c r="M17" s="415">
        <f t="shared" si="0"/>
        <v>0</v>
      </c>
      <c r="N17" s="415">
        <f t="shared" si="0"/>
        <v>4357.638671608589</v>
      </c>
      <c r="O17" s="415">
        <f t="shared" si="0"/>
        <v>0</v>
      </c>
      <c r="P17" s="415">
        <f t="shared" si="0"/>
        <v>0</v>
      </c>
      <c r="Q17" s="415">
        <f t="shared" si="0"/>
        <v>87611.948699893954</v>
      </c>
      <c r="R17" s="415">
        <f t="shared" si="0"/>
        <v>0</v>
      </c>
      <c r="S17" s="415">
        <f t="shared" si="0"/>
        <v>210.85348411009304</v>
      </c>
      <c r="T17" s="415">
        <f t="shared" si="1"/>
        <v>4350961.6446117703</v>
      </c>
    </row>
    <row r="18" spans="1:91" ht="20.100000000000001" customHeight="1">
      <c r="A18" s="401" t="s">
        <v>149</v>
      </c>
      <c r="B18" s="408" t="s">
        <v>38</v>
      </c>
      <c r="C18" s="410">
        <f t="shared" si="0"/>
        <v>2555.1392110311122</v>
      </c>
      <c r="D18" s="410">
        <f t="shared" si="0"/>
        <v>29308.500247360287</v>
      </c>
      <c r="E18" s="410">
        <f t="shared" si="0"/>
        <v>4555703.4967588773</v>
      </c>
      <c r="F18" s="410">
        <f t="shared" si="0"/>
        <v>0</v>
      </c>
      <c r="G18" s="410">
        <f t="shared" si="0"/>
        <v>13866.420082389564</v>
      </c>
      <c r="H18" s="410">
        <f t="shared" si="0"/>
        <v>0</v>
      </c>
      <c r="I18" s="410">
        <f t="shared" si="0"/>
        <v>2307.867674479714</v>
      </c>
      <c r="J18" s="410">
        <f t="shared" si="0"/>
        <v>10734.313952738523</v>
      </c>
      <c r="K18" s="410">
        <f t="shared" si="0"/>
        <v>4286.0399668908976</v>
      </c>
      <c r="L18" s="410">
        <f t="shared" si="0"/>
        <v>0</v>
      </c>
      <c r="M18" s="410">
        <f t="shared" si="0"/>
        <v>0</v>
      </c>
      <c r="N18" s="410">
        <f t="shared" si="0"/>
        <v>11228.85702584132</v>
      </c>
      <c r="O18" s="410">
        <f t="shared" si="0"/>
        <v>0</v>
      </c>
      <c r="P18" s="410">
        <f t="shared" si="0"/>
        <v>9910.0754975671971</v>
      </c>
      <c r="Q18" s="410">
        <f t="shared" si="0"/>
        <v>31461.127248561377</v>
      </c>
      <c r="R18" s="410">
        <f t="shared" si="0"/>
        <v>0</v>
      </c>
      <c r="S18" s="410">
        <f t="shared" si="0"/>
        <v>4955.0377487835985</v>
      </c>
      <c r="T18" s="410">
        <f t="shared" si="1"/>
        <v>4676316.8754145205</v>
      </c>
    </row>
    <row r="19" spans="1:91" ht="20.100000000000001" customHeight="1">
      <c r="A19" s="401" t="s">
        <v>150</v>
      </c>
      <c r="B19" s="414" t="s">
        <v>31</v>
      </c>
      <c r="C19" s="415">
        <f t="shared" si="0"/>
        <v>1450.3005643798811</v>
      </c>
      <c r="D19" s="415">
        <f t="shared" si="0"/>
        <v>44472.61233026188</v>
      </c>
      <c r="E19" s="415">
        <f t="shared" si="0"/>
        <v>26143.515189589878</v>
      </c>
      <c r="F19" s="415">
        <f t="shared" si="0"/>
        <v>28464.457971758322</v>
      </c>
      <c r="G19" s="415">
        <f t="shared" si="0"/>
        <v>16027.206873879577</v>
      </c>
      <c r="H19" s="415">
        <f t="shared" si="0"/>
        <v>15936.563088605833</v>
      </c>
      <c r="I19" s="415">
        <f t="shared" si="0"/>
        <v>22916.134554684009</v>
      </c>
      <c r="J19" s="415">
        <f t="shared" si="0"/>
        <v>10054919.956470896</v>
      </c>
      <c r="K19" s="415">
        <f t="shared" si="0"/>
        <v>16027.206873879577</v>
      </c>
      <c r="L19" s="415">
        <f t="shared" si="0"/>
        <v>271.93135582122767</v>
      </c>
      <c r="M19" s="415">
        <f t="shared" si="0"/>
        <v>0</v>
      </c>
      <c r="N19" s="415">
        <f t="shared" si="0"/>
        <v>90.643785273742566</v>
      </c>
      <c r="O19" s="415">
        <f t="shared" si="0"/>
        <v>0</v>
      </c>
      <c r="P19" s="415">
        <f t="shared" si="0"/>
        <v>271.93135582122767</v>
      </c>
      <c r="Q19" s="415">
        <f t="shared" si="0"/>
        <v>19562.314499555534</v>
      </c>
      <c r="R19" s="415">
        <f t="shared" si="0"/>
        <v>0</v>
      </c>
      <c r="S19" s="415">
        <f t="shared" si="0"/>
        <v>725.15028218994053</v>
      </c>
      <c r="T19" s="415">
        <f t="shared" si="1"/>
        <v>10247279.925196594</v>
      </c>
    </row>
    <row r="20" spans="1:91" ht="20.100000000000001" customHeight="1">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c r="A21" s="416" t="s">
        <v>153</v>
      </c>
      <c r="B21" s="414" t="s">
        <v>210</v>
      </c>
      <c r="C21" s="415">
        <f t="shared" si="2"/>
        <v>596.65179819250318</v>
      </c>
      <c r="D21" s="415">
        <f t="shared" si="2"/>
        <v>894.97769728875494</v>
      </c>
      <c r="E21" s="415">
        <f t="shared" si="2"/>
        <v>1591.0714618466752</v>
      </c>
      <c r="F21" s="415">
        <f t="shared" si="2"/>
        <v>0</v>
      </c>
      <c r="G21" s="415">
        <f t="shared" si="2"/>
        <v>0</v>
      </c>
      <c r="H21" s="415">
        <f t="shared" si="2"/>
        <v>0</v>
      </c>
      <c r="I21" s="415">
        <f t="shared" si="2"/>
        <v>298.32589909625159</v>
      </c>
      <c r="J21" s="415">
        <f t="shared" si="2"/>
        <v>0</v>
      </c>
      <c r="K21" s="415">
        <f t="shared" si="2"/>
        <v>1988.8393273083441</v>
      </c>
      <c r="L21" s="415">
        <f t="shared" si="2"/>
        <v>596.65179819250318</v>
      </c>
      <c r="M21" s="415">
        <f t="shared" si="2"/>
        <v>0</v>
      </c>
      <c r="N21" s="415">
        <f t="shared" si="2"/>
        <v>2784.375058231682</v>
      </c>
      <c r="O21" s="415">
        <f t="shared" si="2"/>
        <v>1091872.790692281</v>
      </c>
      <c r="P21" s="415">
        <f t="shared" si="2"/>
        <v>5568.7501164633641</v>
      </c>
      <c r="Q21" s="415">
        <f t="shared" si="2"/>
        <v>4972.0983182708605</v>
      </c>
      <c r="R21" s="415">
        <f t="shared" si="2"/>
        <v>0</v>
      </c>
      <c r="S21" s="415">
        <f t="shared" si="2"/>
        <v>99.441966365417201</v>
      </c>
      <c r="T21" s="415">
        <f t="shared" si="1"/>
        <v>1111263.9741335372</v>
      </c>
    </row>
    <row r="22" spans="1:91" ht="20.100000000000001" customHeight="1">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c r="A23" s="401" t="s">
        <v>162</v>
      </c>
      <c r="B23" s="414" t="s">
        <v>76</v>
      </c>
      <c r="C23" s="415">
        <f t="shared" si="2"/>
        <v>0</v>
      </c>
      <c r="D23" s="415">
        <f t="shared" si="2"/>
        <v>788.94620279377489</v>
      </c>
      <c r="E23" s="415">
        <f t="shared" si="2"/>
        <v>0</v>
      </c>
      <c r="F23" s="415">
        <f t="shared" si="2"/>
        <v>0</v>
      </c>
      <c r="G23" s="415">
        <f t="shared" si="2"/>
        <v>28757.219334706027</v>
      </c>
      <c r="H23" s="415">
        <f t="shared" si="2"/>
        <v>197.23655069844372</v>
      </c>
      <c r="I23" s="415">
        <f t="shared" si="2"/>
        <v>0</v>
      </c>
      <c r="J23" s="415">
        <f t="shared" si="2"/>
        <v>0</v>
      </c>
      <c r="K23" s="415">
        <f t="shared" si="2"/>
        <v>0</v>
      </c>
      <c r="L23" s="415">
        <f t="shared" si="2"/>
        <v>0</v>
      </c>
      <c r="M23" s="415">
        <f t="shared" si="2"/>
        <v>0</v>
      </c>
      <c r="N23" s="415">
        <f t="shared" si="2"/>
        <v>13737222.046047283</v>
      </c>
      <c r="O23" s="415">
        <f t="shared" si="2"/>
        <v>0</v>
      </c>
      <c r="P23" s="415">
        <f t="shared" si="2"/>
        <v>0</v>
      </c>
      <c r="Q23" s="415">
        <f t="shared" si="2"/>
        <v>177566.29520650199</v>
      </c>
      <c r="R23" s="415">
        <f t="shared" si="2"/>
        <v>0</v>
      </c>
      <c r="S23" s="415">
        <f t="shared" si="2"/>
        <v>74056.097549903498</v>
      </c>
      <c r="T23" s="415">
        <f t="shared" si="1"/>
        <v>14018587.840891888</v>
      </c>
    </row>
    <row r="24" spans="1:91" ht="20.100000000000001" customHeight="1">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c r="A26" s="402"/>
      <c r="B26" s="421" t="s">
        <v>17</v>
      </c>
      <c r="C26" s="422">
        <f t="shared" ref="C26:S26" si="3">SUM(C5:C25)</f>
        <v>9524655.7122375835</v>
      </c>
      <c r="D26" s="422">
        <f t="shared" si="3"/>
        <v>186540065.97884911</v>
      </c>
      <c r="E26" s="422">
        <f t="shared" si="3"/>
        <v>26639395.361601517</v>
      </c>
      <c r="F26" s="422">
        <f t="shared" si="3"/>
        <v>7941710.0236157635</v>
      </c>
      <c r="G26" s="422">
        <f t="shared" si="3"/>
        <v>36076702.482728973</v>
      </c>
      <c r="H26" s="422">
        <f t="shared" si="3"/>
        <v>16722776.975388929</v>
      </c>
      <c r="I26" s="422">
        <f t="shared" si="3"/>
        <v>3786411.3506052434</v>
      </c>
      <c r="J26" s="422">
        <f t="shared" si="3"/>
        <v>11358401.485717243</v>
      </c>
      <c r="K26" s="422">
        <f t="shared" si="3"/>
        <v>4021185.22219264</v>
      </c>
      <c r="L26" s="422">
        <f t="shared" si="3"/>
        <v>4194460.3272949029</v>
      </c>
      <c r="M26" s="422">
        <f t="shared" si="3"/>
        <v>6468427.1804823866</v>
      </c>
      <c r="N26" s="422">
        <f t="shared" si="3"/>
        <v>23794997.486383393</v>
      </c>
      <c r="O26" s="422">
        <f t="shared" si="3"/>
        <v>4723416.8364647049</v>
      </c>
      <c r="P26" s="422">
        <f t="shared" si="3"/>
        <v>6859377.3416146329</v>
      </c>
      <c r="Q26" s="422">
        <f t="shared" si="3"/>
        <v>8627001.2170752008</v>
      </c>
      <c r="R26" s="423">
        <f t="shared" si="3"/>
        <v>2395828.0176854036</v>
      </c>
      <c r="S26" s="423">
        <f t="shared" si="3"/>
        <v>2123811.6000621552</v>
      </c>
      <c r="T26" s="422">
        <f t="shared" si="1"/>
        <v>361798624.59999979</v>
      </c>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+UGpcntSCH*(VLOOKUP($A29,FY15Revenue!$A$4:$H$24,8,FALSE))*VLOOKUP($A29,FY15SCHwoMapChg!$A$3:$S$23,MATCH(C$28,FY15SCHwoMapChg!$A$2:$S$2,0),FALSE)</f>
        <v>3588666.8166973144</v>
      </c>
      <c r="D29" s="438">
        <f>+UGpcntSCH*(VLOOKUP($A29,FY15Revenue!$A$4:$H$24,8,FALSE))*VLOOKUP($A29,FY15SCHwoMapChg!$A$3:$S$23,MATCH(D$28,FY15SCHwoMapChg!$A$2:$S$2,0),FALSE)</f>
        <v>106573103.94126646</v>
      </c>
      <c r="E29" s="438">
        <f>+UGpcntSCH*(VLOOKUP($A29,FY15Revenue!$A$4:$H$24,8,FALSE))*VLOOKUP($A29,FY15SCHwoMapChg!$A$3:$S$23,MATCH(E$28,FY15SCHwoMapChg!$A$2:$S$2,0),FALSE)</f>
        <v>10497726.862391792</v>
      </c>
      <c r="F29" s="438">
        <f>+UGpcntSCH*(VLOOKUP($A29,FY15Revenue!$A$4:$H$24,8,FALSE))*VLOOKUP($A29,FY15SCHwoMapChg!$A$3:$S$23,MATCH(F$28,FY15SCHwoMapChg!$A$2:$S$2,0),FALSE)</f>
        <v>2243102.8735453514</v>
      </c>
      <c r="G29" s="438">
        <f>+UGpcntSCH*(VLOOKUP($A29,FY15Revenue!$A$4:$H$24,8,FALSE))*VLOOKUP($A29,FY15SCHwoMapChg!$A$3:$S$23,MATCH(G$28,FY15SCHwoMapChg!$A$2:$S$2,0),FALSE)</f>
        <v>15472158.053899469</v>
      </c>
      <c r="H29" s="438">
        <f>+UGpcntSCH*(VLOOKUP($A29,FY15Revenue!$A$4:$H$24,8,FALSE))*VLOOKUP($A29,FY15SCHwoMapChg!$A$3:$S$23,MATCH(H$28,FY15SCHwoMapChg!$A$2:$S$2,0),FALSE)</f>
        <v>9318378.8454233743</v>
      </c>
      <c r="I29" s="438">
        <f>+UGpcntSCH*(VLOOKUP($A29,FY15Revenue!$A$4:$H$24,8,FALSE))*VLOOKUP($A29,FY15SCHwoMapChg!$A$3:$S$23,MATCH(I$28,FY15SCHwoMapChg!$A$2:$S$2,0),FALSE)</f>
        <v>2252983.7877240148</v>
      </c>
      <c r="J29" s="438">
        <f>+UGpcntSCH*(VLOOKUP($A29,FY15Revenue!$A$4:$H$24,8,FALSE))*VLOOKUP($A29,FY15SCHwoMapChg!$A$3:$S$23,MATCH(J$28,FY15SCHwoMapChg!$A$2:$S$2,0),FALSE)</f>
        <v>95560.622056662934</v>
      </c>
      <c r="K29" s="438">
        <f>+UGpcntSCH*(VLOOKUP($A29,FY15Revenue!$A$4:$H$24,8,FALSE))*VLOOKUP($A29,FY15SCHwoMapChg!$A$3:$S$23,MATCH(K$28,FY15SCHwoMapChg!$A$2:$S$2,0),FALSE)</f>
        <v>28153.837659753382</v>
      </c>
      <c r="L29" s="438">
        <f>+UGpcntSCH*(VLOOKUP($A29,FY15Revenue!$A$4:$H$24,8,FALSE))*VLOOKUP($A29,FY15SCHwoMapChg!$A$3:$S$23,MATCH(L$28,FY15SCHwoMapChg!$A$2:$S$2,0),FALSE)</f>
        <v>508528.69272929552</v>
      </c>
      <c r="M29" s="438">
        <f>+UGpcntSCH*(VLOOKUP($A29,FY15Revenue!$A$4:$H$24,8,FALSE))*VLOOKUP($A29,FY15SCHwoMapChg!$A$3:$S$23,MATCH(M$28,FY15SCHwoMapChg!$A$2:$S$2,0),FALSE)</f>
        <v>9610.2042011658195</v>
      </c>
      <c r="N29" s="438">
        <f>+UGpcntSCH*(VLOOKUP($A29,FY15Revenue!$A$4:$H$24,8,FALSE))*VLOOKUP($A29,FY15SCHwoMapChg!$A$3:$S$23,MATCH(N$28,FY15SCHwoMapChg!$A$2:$S$2,0),FALSE)</f>
        <v>4448847.7701960299</v>
      </c>
      <c r="O29" s="438">
        <f>+UGpcntSCH*(VLOOKUP($A29,FY15Revenue!$A$4:$H$24,8,FALSE))*VLOOKUP($A29,FY15SCHwoMapChg!$A$3:$S$23,MATCH(O$28,FY15SCHwoMapChg!$A$2:$S$2,0),FALSE)</f>
        <v>1406067.6231226835</v>
      </c>
      <c r="P29" s="438">
        <f>+UGpcntSCH*(VLOOKUP($A29,FY15Revenue!$A$4:$H$24,8,FALSE))*VLOOKUP($A29,FY15SCHwoMapChg!$A$3:$S$23,MATCH(P$28,FY15SCHwoMapChg!$A$2:$S$2,0),FALSE)</f>
        <v>55360.190398265069</v>
      </c>
      <c r="Q29" s="438">
        <f>+UGpcntSCH*(VLOOKUP($A29,FY15Revenue!$A$4:$H$24,8,FALSE))*VLOOKUP($A29,FY15SCHwoMapChg!$A$3:$S$23,MATCH(Q$28,FY15SCHwoMapChg!$A$2:$S$2,0),FALSE)</f>
        <v>2713732.1694249786</v>
      </c>
      <c r="R29" s="438">
        <f>+UGpcntSCH*(VLOOKUP($A29,FY15Revenue!$A$4:$H$24,8,FALSE))*VLOOKUP($A29,FY15SCHwoMapChg!$A$3:$S$23,MATCH(R$28,FY15SCHwoMapChg!$A$2:$S$2,0),FALSE)</f>
        <v>2232274.4744454459</v>
      </c>
      <c r="S29" s="438">
        <f>+UGpcntSCH*(VLOOKUP($A29,FY15Revenue!$A$4:$H$24,8,FALSE))*VLOOKUP($A29,FY15SCHwoMapChg!$A$3:$S$23,MATCH(S$28,FY15SCHwoMapChg!$A$2:$S$2,0),FALSE)</f>
        <v>227937.80105300338</v>
      </c>
      <c r="T29" s="439">
        <f t="shared" ref="T29:T49" si="4">SUM(C29:Q29)+R29+S29</f>
        <v>161672194.56623507</v>
      </c>
    </row>
    <row r="30" spans="1:91" s="18" customFormat="1" ht="20.100000000000001" customHeight="1">
      <c r="A30" s="404" t="s">
        <v>129</v>
      </c>
      <c r="B30" s="440" t="s">
        <v>35</v>
      </c>
      <c r="C30" s="410">
        <f>+GPpcntSCH*(VLOOKUP($A30,FY15Revenue!$A$4:$H$24,8,FALSE))*VLOOKUP($A30,FY15SCHwoMapChg!$A$3:$S$23,MATCH(C$28,FY15SCHwoMapChg!$A$2:$S$2,0),FALSE)</f>
        <v>23671.271188295563</v>
      </c>
      <c r="D30" s="410">
        <f>+GPpcntSCH*(VLOOKUP($A30,FY15Revenue!$A$4:$H$24,8,FALSE))*VLOOKUP($A30,FY15SCHwoMapChg!$A$3:$S$23,MATCH(D$28,FY15SCHwoMapChg!$A$2:$S$2,0),FALSE)</f>
        <v>1922976.9023806057</v>
      </c>
      <c r="E30" s="410">
        <f>+GPpcntSCH*(VLOOKUP($A30,FY15Revenue!$A$4:$H$24,8,FALSE))*VLOOKUP($A30,FY15SCHwoMapChg!$A$3:$S$23,MATCH(E$28,FY15SCHwoMapChg!$A$2:$S$2,0),FALSE)</f>
        <v>63174.427505114807</v>
      </c>
      <c r="F30" s="410">
        <f>+GPpcntSCH*(VLOOKUP($A30,FY15Revenue!$A$4:$H$24,8,FALSE))*VLOOKUP($A30,FY15SCHwoMapChg!$A$3:$S$23,MATCH(F$28,FY15SCHwoMapChg!$A$2:$S$2,0),FALSE)</f>
        <v>15862.507730319665</v>
      </c>
      <c r="G30" s="410">
        <f>+GPpcntSCH*(VLOOKUP($A30,FY15Revenue!$A$4:$H$24,8,FALSE))*VLOOKUP($A30,FY15SCHwoMapChg!$A$3:$S$23,MATCH(G$28,FY15SCHwoMapChg!$A$2:$S$2,0),FALSE)</f>
        <v>130452.28365089145</v>
      </c>
      <c r="H30" s="410">
        <f>+GPpcntSCH*(VLOOKUP($A30,FY15Revenue!$A$4:$H$24,8,FALSE))*VLOOKUP($A30,FY15SCHwoMapChg!$A$3:$S$23,MATCH(H$28,FY15SCHwoMapChg!$A$2:$S$2,0),FALSE)</f>
        <v>15311.300897991954</v>
      </c>
      <c r="I30" s="410">
        <f>+GPpcntSCH*(VLOOKUP($A30,FY15Revenue!$A$4:$H$24,8,FALSE))*VLOOKUP($A30,FY15SCHwoMapChg!$A$3:$S$23,MATCH(I$28,FY15SCHwoMapChg!$A$2:$S$2,0),FALSE)</f>
        <v>43606.584957481085</v>
      </c>
      <c r="J30" s="410">
        <f>+GPpcntSCH*(VLOOKUP($A30,FY15Revenue!$A$4:$H$24,8,FALSE))*VLOOKUP($A30,FY15SCHwoMapChg!$A$3:$S$23,MATCH(J$28,FY15SCHwoMapChg!$A$2:$S$2,0),FALSE)</f>
        <v>6155.1429609927663</v>
      </c>
      <c r="K30" s="410">
        <f>+GPpcntSCH*(VLOOKUP($A30,FY15Revenue!$A$4:$H$24,8,FALSE))*VLOOKUP($A30,FY15SCHwoMapChg!$A$3:$S$23,MATCH(K$28,FY15SCHwoMapChg!$A$2:$S$2,0),FALSE)</f>
        <v>14637.603658480308</v>
      </c>
      <c r="L30" s="410">
        <f>+GPpcntSCH*(VLOOKUP($A30,FY15Revenue!$A$4:$H$24,8,FALSE))*VLOOKUP($A30,FY15SCHwoMapChg!$A$3:$S$23,MATCH(L$28,FY15SCHwoMapChg!$A$2:$S$2,0),FALSE)</f>
        <v>3276.6183921702786</v>
      </c>
      <c r="M30" s="410">
        <f>+GPpcntSCH*(VLOOKUP($A30,FY15Revenue!$A$4:$H$24,8,FALSE))*VLOOKUP($A30,FY15SCHwoMapChg!$A$3:$S$23,MATCH(M$28,FY15SCHwoMapChg!$A$2:$S$2,0),FALSE)</f>
        <v>30.622601795983908</v>
      </c>
      <c r="N30" s="410">
        <f>+GPpcntSCH*(VLOOKUP($A30,FY15Revenue!$A$4:$H$24,8,FALSE))*VLOOKUP($A30,FY15SCHwoMapChg!$A$3:$S$23,MATCH(N$28,FY15SCHwoMapChg!$A$2:$S$2,0),FALSE)</f>
        <v>353752.29594720615</v>
      </c>
      <c r="O30" s="410">
        <f>+GPpcntSCH*(VLOOKUP($A30,FY15Revenue!$A$4:$H$24,8,FALSE))*VLOOKUP($A30,FY15SCHwoMapChg!$A$3:$S$23,MATCH(O$28,FY15SCHwoMapChg!$A$2:$S$2,0),FALSE)</f>
        <v>551.20683232771046</v>
      </c>
      <c r="P30" s="410">
        <f>+GPpcntSCH*(VLOOKUP($A30,FY15Revenue!$A$4:$H$24,8,FALSE))*VLOOKUP($A30,FY15SCHwoMapChg!$A$3:$S$23,MATCH(P$28,FY15SCHwoMapChg!$A$2:$S$2,0),FALSE)</f>
        <v>54263.250382483493</v>
      </c>
      <c r="Q30" s="410">
        <f>+GPpcntSCH*(VLOOKUP($A30,FY15Revenue!$A$4:$H$24,8,FALSE))*VLOOKUP($A30,FY15SCHwoMapChg!$A$3:$S$23,MATCH(Q$28,FY15SCHwoMapChg!$A$2:$S$2,0),FALSE)</f>
        <v>28111.548448713227</v>
      </c>
      <c r="R30" s="410">
        <f>+GPpcntSCH*(VLOOKUP($A30,FY15Revenue!$A$4:$H$24,8,FALSE))*VLOOKUP($A30,FY15SCHwoMapChg!$A$3:$S$23,MATCH(R$28,FY15SCHwoMapChg!$A$2:$S$2,0),FALSE)</f>
        <v>153.11300897991956</v>
      </c>
      <c r="S30" s="410">
        <f>+GPpcntSCH*(VLOOKUP($A30,FY15Revenue!$A$4:$H$24,8,FALSE))*VLOOKUP($A30,FY15SCHwoMapChg!$A$3:$S$23,MATCH(S$28,FY15SCHwoMapChg!$A$2:$S$2,0),FALSE)</f>
        <v>146376.03658480311</v>
      </c>
      <c r="T30" s="441">
        <f t="shared" si="4"/>
        <v>2822362.7171286521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+GPpcntSCH*(VLOOKUP($A31,FY15Revenue!$A$4:$H$24,8,FALSE))*VLOOKUP($A31,FY15SCHwoMapChg!$A$3:$S$23,MATCH(C$28,FY15SCHwoMapChg!$A$2:$S$2,0),FALSE)</f>
        <v>0</v>
      </c>
      <c r="D31" s="443">
        <f>+GPpcntSCH*(VLOOKUP($A31,FY15Revenue!$A$4:$H$24,8,FALSE))*VLOOKUP($A31,FY15SCHwoMapChg!$A$3:$S$23,MATCH(D$28,FY15SCHwoMapChg!$A$2:$S$2,0),FALSE)</f>
        <v>11178.824828669969</v>
      </c>
      <c r="E31" s="443">
        <f>+GPpcntSCH*(VLOOKUP($A31,FY15Revenue!$A$4:$H$24,8,FALSE))*VLOOKUP($A31,FY15SCHwoMapChg!$A$3:$S$23,MATCH(E$28,FY15SCHwoMapChg!$A$2:$S$2,0),FALSE)</f>
        <v>0</v>
      </c>
      <c r="F31" s="443">
        <f>+GPpcntSCH*(VLOOKUP($A31,FY15Revenue!$A$4:$H$24,8,FALSE))*VLOOKUP($A31,FY15SCHwoMapChg!$A$3:$S$23,MATCH(F$28,FY15SCHwoMapChg!$A$2:$S$2,0),FALSE)</f>
        <v>1335.5233202393326</v>
      </c>
      <c r="G31" s="443">
        <f>+GPpcntSCH*(VLOOKUP($A31,FY15Revenue!$A$4:$H$24,8,FALSE))*VLOOKUP($A31,FY15SCHwoMapChg!$A$3:$S$23,MATCH(G$28,FY15SCHwoMapChg!$A$2:$S$2,0),FALSE)</f>
        <v>49.463826675530839</v>
      </c>
      <c r="H31" s="443">
        <f>+GPpcntSCH*(VLOOKUP($A31,FY15Revenue!$A$4:$H$24,8,FALSE))*VLOOKUP($A31,FY15SCHwoMapChg!$A$3:$S$23,MATCH(H$28,FY15SCHwoMapChg!$A$2:$S$2,0),FALSE)</f>
        <v>0</v>
      </c>
      <c r="I31" s="443">
        <f>+GPpcntSCH*(VLOOKUP($A31,FY15Revenue!$A$4:$H$24,8,FALSE))*VLOOKUP($A31,FY15SCHwoMapChg!$A$3:$S$23,MATCH(I$28,FY15SCHwoMapChg!$A$2:$S$2,0),FALSE)</f>
        <v>197.85530670212336</v>
      </c>
      <c r="J31" s="443">
        <f>+GPpcntSCH*(VLOOKUP($A31,FY15Revenue!$A$4:$H$24,8,FALSE))*VLOOKUP($A31,FY15SCHwoMapChg!$A$3:$S$23,MATCH(J$28,FY15SCHwoMapChg!$A$2:$S$2,0),FALSE)</f>
        <v>296.78296005318509</v>
      </c>
      <c r="K31" s="443">
        <f>+GPpcntSCH*(VLOOKUP($A31,FY15Revenue!$A$4:$H$24,8,FALSE))*VLOOKUP($A31,FY15SCHwoMapChg!$A$3:$S$23,MATCH(K$28,FY15SCHwoMapChg!$A$2:$S$2,0),FALSE)</f>
        <v>197.85530670212336</v>
      </c>
      <c r="L31" s="443">
        <f>+GPpcntSCH*(VLOOKUP($A31,FY15Revenue!$A$4:$H$24,8,FALSE))*VLOOKUP($A31,FY15SCHwoMapChg!$A$3:$S$23,MATCH(L$28,FY15SCHwoMapChg!$A$2:$S$2,0),FALSE)</f>
        <v>34921.461632924773</v>
      </c>
      <c r="M31" s="443">
        <f>+GPpcntSCH*(VLOOKUP($A31,FY15Revenue!$A$4:$H$24,8,FALSE))*VLOOKUP($A31,FY15SCHwoMapChg!$A$3:$S$23,MATCH(M$28,FY15SCHwoMapChg!$A$2:$S$2,0),FALSE)</f>
        <v>0</v>
      </c>
      <c r="N31" s="443">
        <f>+GPpcntSCH*(VLOOKUP($A31,FY15Revenue!$A$4:$H$24,8,FALSE))*VLOOKUP($A31,FY15SCHwoMapChg!$A$3:$S$23,MATCH(N$28,FY15SCHwoMapChg!$A$2:$S$2,0),FALSE)</f>
        <v>178885.92917205728</v>
      </c>
      <c r="O31" s="443">
        <f>+GPpcntSCH*(VLOOKUP($A31,FY15Revenue!$A$4:$H$24,8,FALSE))*VLOOKUP($A31,FY15SCHwoMapChg!$A$3:$S$23,MATCH(O$28,FY15SCHwoMapChg!$A$2:$S$2,0),FALSE)</f>
        <v>0</v>
      </c>
      <c r="P31" s="443">
        <f>+GPpcntSCH*(VLOOKUP($A31,FY15Revenue!$A$4:$H$24,8,FALSE))*VLOOKUP($A31,FY15SCHwoMapChg!$A$3:$S$23,MATCH(P$28,FY15SCHwoMapChg!$A$2:$S$2,0),FALSE)</f>
        <v>197.85530670212336</v>
      </c>
      <c r="Q31" s="443">
        <f>+GPpcntSCH*(VLOOKUP($A31,FY15Revenue!$A$4:$H$24,8,FALSE))*VLOOKUP($A31,FY15SCHwoMapChg!$A$3:$S$23,MATCH(Q$28,FY15SCHwoMapChg!$A$2:$S$2,0),FALSE)</f>
        <v>2819.4381205052582</v>
      </c>
      <c r="R31" s="443">
        <f>+GPpcntSCH*(VLOOKUP($A31,FY15Revenue!$A$4:$H$24,8,FALSE))*VLOOKUP($A31,FY15SCHwoMapChg!$A$3:$S$23,MATCH(R$28,FY15SCHwoMapChg!$A$2:$S$2,0),FALSE)</f>
        <v>0</v>
      </c>
      <c r="S31" s="443">
        <f>+GPpcntSCH*(VLOOKUP($A31,FY15Revenue!$A$4:$H$24,8,FALSE))*VLOOKUP($A31,FY15SCHwoMapChg!$A$3:$S$23,MATCH(S$28,FY15SCHwoMapChg!$A$2:$S$2,0),FALSE)</f>
        <v>148.39148002659255</v>
      </c>
      <c r="T31" s="444">
        <f t="shared" si="4"/>
        <v>230229.38126125827</v>
      </c>
    </row>
    <row r="32" spans="1:91" s="18" customFormat="1" ht="20.100000000000001" customHeight="1">
      <c r="A32" s="404" t="s">
        <v>130</v>
      </c>
      <c r="B32" s="440" t="s">
        <v>37</v>
      </c>
      <c r="C32" s="410">
        <f>+GPpcntSCH*(VLOOKUP($A32,FY15Revenue!$A$4:$H$24,8,FALSE))*VLOOKUP($A32,FY15SCHwoMapChg!$A$3:$S$23,MATCH(C$28,FY15SCHwoMapChg!$A$2:$S$2,0),FALSE)</f>
        <v>8753.610360004699</v>
      </c>
      <c r="D32" s="410">
        <f>+GPpcntSCH*(VLOOKUP($A32,FY15Revenue!$A$4:$H$24,8,FALSE))*VLOOKUP($A32,FY15SCHwoMapChg!$A$3:$S$23,MATCH(D$28,FY15SCHwoMapChg!$A$2:$S$2,0),FALSE)</f>
        <v>97011.661206237652</v>
      </c>
      <c r="E32" s="410">
        <f>+GPpcntSCH*(VLOOKUP($A32,FY15Revenue!$A$4:$H$24,8,FALSE))*VLOOKUP($A32,FY15SCHwoMapChg!$A$3:$S$23,MATCH(E$28,FY15SCHwoMapChg!$A$2:$S$2,0),FALSE)</f>
        <v>6993.8639474264346</v>
      </c>
      <c r="F32" s="410">
        <f>+GPpcntSCH*(VLOOKUP($A32,FY15Revenue!$A$4:$H$24,8,FALSE))*VLOOKUP($A32,FY15SCHwoMapChg!$A$3:$S$23,MATCH(F$28,FY15SCHwoMapChg!$A$2:$S$2,0),FALSE)</f>
        <v>5098.7524261883036</v>
      </c>
      <c r="G32" s="410">
        <f>+GPpcntSCH*(VLOOKUP($A32,FY15Revenue!$A$4:$H$24,8,FALSE))*VLOOKUP($A32,FY15SCHwoMapChg!$A$3:$S$23,MATCH(G$28,FY15SCHwoMapChg!$A$2:$S$2,0),FALSE)</f>
        <v>1360599.8288432045</v>
      </c>
      <c r="H32" s="410">
        <f>+GPpcntSCH*(VLOOKUP($A32,FY15Revenue!$A$4:$H$24,8,FALSE))*VLOOKUP($A32,FY15SCHwoMapChg!$A$3:$S$23,MATCH(H$28,FY15SCHwoMapChg!$A$2:$S$2,0),FALSE)</f>
        <v>13175.53724289367</v>
      </c>
      <c r="I32" s="410">
        <f>+GPpcntSCH*(VLOOKUP($A32,FY15Revenue!$A$4:$H$24,8,FALSE))*VLOOKUP($A32,FY15SCHwoMapChg!$A$3:$S$23,MATCH(I$28,FY15SCHwoMapChg!$A$2:$S$2,0),FALSE)</f>
        <v>2887.7889847438182</v>
      </c>
      <c r="J32" s="410">
        <f>+GPpcntSCH*(VLOOKUP($A32,FY15Revenue!$A$4:$H$24,8,FALSE))*VLOOKUP($A32,FY15SCHwoMapChg!$A$3:$S$23,MATCH(J$28,FY15SCHwoMapChg!$A$2:$S$2,0),FALSE)</f>
        <v>5414.6043463946589</v>
      </c>
      <c r="K32" s="410">
        <f>+GPpcntSCH*(VLOOKUP($A32,FY15Revenue!$A$4:$H$24,8,FALSE))*VLOOKUP($A32,FY15SCHwoMapChg!$A$3:$S$23,MATCH(K$28,FY15SCHwoMapChg!$A$2:$S$2,0),FALSE)</f>
        <v>721.94724618595455</v>
      </c>
      <c r="L32" s="410">
        <f>+GPpcntSCH*(VLOOKUP($A32,FY15Revenue!$A$4:$H$24,8,FALSE))*VLOOKUP($A32,FY15SCHwoMapChg!$A$3:$S$23,MATCH(L$28,FY15SCHwoMapChg!$A$2:$S$2,0),FALSE)</f>
        <v>992.67746350568746</v>
      </c>
      <c r="M32" s="410">
        <f>+GPpcntSCH*(VLOOKUP($A32,FY15Revenue!$A$4:$H$24,8,FALSE))*VLOOKUP($A32,FY15SCHwoMapChg!$A$3:$S$23,MATCH(M$28,FY15SCHwoMapChg!$A$2:$S$2,0),FALSE)</f>
        <v>0</v>
      </c>
      <c r="N32" s="410">
        <f>+GPpcntSCH*(VLOOKUP($A32,FY15Revenue!$A$4:$H$24,8,FALSE))*VLOOKUP($A32,FY15SCHwoMapChg!$A$3:$S$23,MATCH(N$28,FY15SCHwoMapChg!$A$2:$S$2,0),FALSE)</f>
        <v>29080.937510427982</v>
      </c>
      <c r="O32" s="410">
        <f>+GPpcntSCH*(VLOOKUP($A32,FY15Revenue!$A$4:$H$24,8,FALSE))*VLOOKUP($A32,FY15SCHwoMapChg!$A$3:$S$23,MATCH(O$28,FY15SCHwoMapChg!$A$2:$S$2,0),FALSE)</f>
        <v>57124.075854463656</v>
      </c>
      <c r="P32" s="410">
        <f>+GPpcntSCH*(VLOOKUP($A32,FY15Revenue!$A$4:$H$24,8,FALSE))*VLOOKUP($A32,FY15SCHwoMapChg!$A$3:$S$23,MATCH(P$28,FY15SCHwoMapChg!$A$2:$S$2,0),FALSE)</f>
        <v>541.46043463946592</v>
      </c>
      <c r="Q32" s="410">
        <f>+GPpcntSCH*(VLOOKUP($A32,FY15Revenue!$A$4:$H$24,8,FALSE))*VLOOKUP($A32,FY15SCHwoMapChg!$A$3:$S$23,MATCH(Q$28,FY15SCHwoMapChg!$A$2:$S$2,0),FALSE)</f>
        <v>33480.30354187364</v>
      </c>
      <c r="R32" s="410">
        <f>+GPpcntSCH*(VLOOKUP($A32,FY15Revenue!$A$4:$H$24,8,FALSE))*VLOOKUP($A32,FY15SCHwoMapChg!$A$3:$S$23,MATCH(R$28,FY15SCHwoMapChg!$A$2:$S$2,0),FALSE)</f>
        <v>0</v>
      </c>
      <c r="S32" s="410">
        <f>+GPpcntSCH*(VLOOKUP($A32,FY15Revenue!$A$4:$H$24,8,FALSE))*VLOOKUP($A32,FY15SCHwoMapChg!$A$3:$S$23,MATCH(S$28,FY15SCHwoMapChg!$A$2:$S$2,0),FALSE)</f>
        <v>2165.8417385578637</v>
      </c>
      <c r="T32" s="441">
        <f t="shared" si="4"/>
        <v>1624042.8911467481</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+GPpcntSCH*(VLOOKUP($A33,FY15Revenue!$A$4:$H$24,8,FALSE))*VLOOKUP($A33,FY15SCHwoMapChg!$A$3:$S$23,MATCH(C$28,FY15SCHwoMapChg!$A$2:$S$2,0),FALSE)</f>
        <v>621.79046667667706</v>
      </c>
      <c r="D33" s="443">
        <f>+GPpcntSCH*(VLOOKUP($A33,FY15Revenue!$A$4:$H$24,8,FALSE))*VLOOKUP($A33,FY15SCHwoMapChg!$A$3:$S$23,MATCH(D$28,FY15SCHwoMapChg!$A$2:$S$2,0),FALSE)</f>
        <v>42592.646967352375</v>
      </c>
      <c r="E33" s="443">
        <f>+GPpcntSCH*(VLOOKUP($A33,FY15Revenue!$A$4:$H$24,8,FALSE))*VLOOKUP($A33,FY15SCHwoMapChg!$A$3:$S$23,MATCH(E$28,FY15SCHwoMapChg!$A$2:$S$2,0),FALSE)</f>
        <v>1154.7537238281145</v>
      </c>
      <c r="F33" s="443">
        <f>+GPpcntSCH*(VLOOKUP($A33,FY15Revenue!$A$4:$H$24,8,FALSE))*VLOOKUP($A33,FY15SCHwoMapChg!$A$3:$S$23,MATCH(F$28,FY15SCHwoMapChg!$A$2:$S$2,0),FALSE)</f>
        <v>666.20407143929685</v>
      </c>
      <c r="G33" s="443">
        <f>+GPpcntSCH*(VLOOKUP($A33,FY15Revenue!$A$4:$H$24,8,FALSE))*VLOOKUP($A33,FY15SCHwoMapChg!$A$3:$S$23,MATCH(G$28,FY15SCHwoMapChg!$A$2:$S$2,0),FALSE)</f>
        <v>4707.8421048376977</v>
      </c>
      <c r="H33" s="443">
        <f>+GPpcntSCH*(VLOOKUP($A33,FY15Revenue!$A$4:$H$24,8,FALSE))*VLOOKUP($A33,FY15SCHwoMapChg!$A$3:$S$23,MATCH(H$28,FY15SCHwoMapChg!$A$2:$S$2,0),FALSE)</f>
        <v>663494.84154877695</v>
      </c>
      <c r="I33" s="443">
        <f>+GPpcntSCH*(VLOOKUP($A33,FY15Revenue!$A$4:$H$24,8,FALSE))*VLOOKUP($A33,FY15SCHwoMapChg!$A$3:$S$23,MATCH(I$28,FY15SCHwoMapChg!$A$2:$S$2,0),FALSE)</f>
        <v>0</v>
      </c>
      <c r="J33" s="443">
        <f>+GPpcntSCH*(VLOOKUP($A33,FY15Revenue!$A$4:$H$24,8,FALSE))*VLOOKUP($A33,FY15SCHwoMapChg!$A$3:$S$23,MATCH(J$28,FY15SCHwoMapChg!$A$2:$S$2,0),FALSE)</f>
        <v>1110.3401190654947</v>
      </c>
      <c r="K33" s="443">
        <f>+GPpcntSCH*(VLOOKUP($A33,FY15Revenue!$A$4:$H$24,8,FALSE))*VLOOKUP($A33,FY15SCHwoMapChg!$A$3:$S$23,MATCH(K$28,FY15SCHwoMapChg!$A$2:$S$2,0),FALSE)</f>
        <v>6750.8679239182075</v>
      </c>
      <c r="L33" s="443">
        <f>+GPpcntSCH*(VLOOKUP($A33,FY15Revenue!$A$4:$H$24,8,FALSE))*VLOOKUP($A33,FY15SCHwoMapChg!$A$3:$S$23,MATCH(L$28,FY15SCHwoMapChg!$A$2:$S$2,0),FALSE)</f>
        <v>0</v>
      </c>
      <c r="M33" s="443">
        <f>+GPpcntSCH*(VLOOKUP($A33,FY15Revenue!$A$4:$H$24,8,FALSE))*VLOOKUP($A33,FY15SCHwoMapChg!$A$3:$S$23,MATCH(M$28,FY15SCHwoMapChg!$A$2:$S$2,0),FALSE)</f>
        <v>0</v>
      </c>
      <c r="N33" s="443">
        <f>+GPpcntSCH*(VLOOKUP($A33,FY15Revenue!$A$4:$H$24,8,FALSE))*VLOOKUP($A33,FY15SCHwoMapChg!$A$3:$S$23,MATCH(N$28,FY15SCHwoMapChg!$A$2:$S$2,0),FALSE)</f>
        <v>1376.8217476412135</v>
      </c>
      <c r="O33" s="443">
        <f>+GPpcntSCH*(VLOOKUP($A33,FY15Revenue!$A$4:$H$24,8,FALSE))*VLOOKUP($A33,FY15SCHwoMapChg!$A$3:$S$23,MATCH(O$28,FY15SCHwoMapChg!$A$2:$S$2,0),FALSE)</f>
        <v>0</v>
      </c>
      <c r="P33" s="443">
        <f>+GPpcntSCH*(VLOOKUP($A33,FY15Revenue!$A$4:$H$24,8,FALSE))*VLOOKUP($A33,FY15SCHwoMapChg!$A$3:$S$23,MATCH(P$28,FY15SCHwoMapChg!$A$2:$S$2,0),FALSE)</f>
        <v>0</v>
      </c>
      <c r="Q33" s="443">
        <f>+GPpcntSCH*(VLOOKUP($A33,FY15Revenue!$A$4:$H$24,8,FALSE))*VLOOKUP($A33,FY15SCHwoMapChg!$A$3:$S$23,MATCH(Q$28,FY15SCHwoMapChg!$A$2:$S$2,0),FALSE)</f>
        <v>1554.4761666916927</v>
      </c>
      <c r="R33" s="443">
        <f>+GPpcntSCH*(VLOOKUP($A33,FY15Revenue!$A$4:$H$24,8,FALSE))*VLOOKUP($A33,FY15SCHwoMapChg!$A$3:$S$23,MATCH(R$28,FY15SCHwoMapChg!$A$2:$S$2,0),FALSE)</f>
        <v>133.24081428785937</v>
      </c>
      <c r="S33" s="443">
        <f>+GPpcntSCH*(VLOOKUP($A33,FY15Revenue!$A$4:$H$24,8,FALSE))*VLOOKUP($A33,FY15SCHwoMapChg!$A$3:$S$23,MATCH(S$28,FY15SCHwoMapChg!$A$2:$S$2,0),FALSE)</f>
        <v>1776.5441905047917</v>
      </c>
      <c r="T33" s="444">
        <f t="shared" si="4"/>
        <v>725940.36984502047</v>
      </c>
    </row>
    <row r="34" spans="1:91" s="18" customFormat="1" ht="20.100000000000001" customHeight="1">
      <c r="A34" s="404" t="s">
        <v>132</v>
      </c>
      <c r="B34" s="440" t="s">
        <v>206</v>
      </c>
      <c r="C34" s="410">
        <f>+GPpcntSCH*(VLOOKUP($A34,FY15Revenue!$A$4:$H$24,8,FALSE))*VLOOKUP($A34,FY15SCHwoMapChg!$A$3:$S$23,MATCH(C$28,FY15SCHwoMapChg!$A$2:$S$2,0),FALSE)</f>
        <v>0</v>
      </c>
      <c r="D34" s="410">
        <f>+GPpcntSCH*(VLOOKUP($A34,FY15Revenue!$A$4:$H$24,8,FALSE))*VLOOKUP($A34,FY15SCHwoMapChg!$A$3:$S$23,MATCH(D$28,FY15SCHwoMapChg!$A$2:$S$2,0),FALSE)</f>
        <v>26961.997652981441</v>
      </c>
      <c r="E34" s="410">
        <f>+GPpcntSCH*(VLOOKUP($A34,FY15Revenue!$A$4:$H$24,8,FALSE))*VLOOKUP($A34,FY15SCHwoMapChg!$A$3:$S$23,MATCH(E$28,FY15SCHwoMapChg!$A$2:$S$2,0),FALSE)</f>
        <v>176.22220688223163</v>
      </c>
      <c r="F34" s="410">
        <f>+GPpcntSCH*(VLOOKUP($A34,FY15Revenue!$A$4:$H$24,8,FALSE))*VLOOKUP($A34,FY15SCHwoMapChg!$A$3:$S$23,MATCH(F$28,FY15SCHwoMapChg!$A$2:$S$2,0),FALSE)</f>
        <v>831196.09431176598</v>
      </c>
      <c r="G34" s="410">
        <f>+GPpcntSCH*(VLOOKUP($A34,FY15Revenue!$A$4:$H$24,8,FALSE))*VLOOKUP($A34,FY15SCHwoMapChg!$A$3:$S$23,MATCH(G$28,FY15SCHwoMapChg!$A$2:$S$2,0),FALSE)</f>
        <v>308.38886204390531</v>
      </c>
      <c r="H34" s="410">
        <f>+GPpcntSCH*(VLOOKUP($A34,FY15Revenue!$A$4:$H$24,8,FALSE))*VLOOKUP($A34,FY15SCHwoMapChg!$A$3:$S$23,MATCH(H$28,FY15SCHwoMapChg!$A$2:$S$2,0),FALSE)</f>
        <v>3788.7774479679802</v>
      </c>
      <c r="I34" s="410">
        <f>+GPpcntSCH*(VLOOKUP($A34,FY15Revenue!$A$4:$H$24,8,FALSE))*VLOOKUP($A34,FY15SCHwoMapChg!$A$3:$S$23,MATCH(I$28,FY15SCHwoMapChg!$A$2:$S$2,0),FALSE)</f>
        <v>748.94437924948443</v>
      </c>
      <c r="J34" s="410">
        <f>+GPpcntSCH*(VLOOKUP($A34,FY15Revenue!$A$4:$H$24,8,FALSE))*VLOOKUP($A34,FY15SCHwoMapChg!$A$3:$S$23,MATCH(J$28,FY15SCHwoMapChg!$A$2:$S$2,0),FALSE)</f>
        <v>0</v>
      </c>
      <c r="K34" s="410">
        <f>+GPpcntSCH*(VLOOKUP($A34,FY15Revenue!$A$4:$H$24,8,FALSE))*VLOOKUP($A34,FY15SCHwoMapChg!$A$3:$S$23,MATCH(K$28,FY15SCHwoMapChg!$A$2:$S$2,0),FALSE)</f>
        <v>5815.3328271136434</v>
      </c>
      <c r="L34" s="410">
        <f>+GPpcntSCH*(VLOOKUP($A34,FY15Revenue!$A$4:$H$24,8,FALSE))*VLOOKUP($A34,FY15SCHwoMapChg!$A$3:$S$23,MATCH(L$28,FY15SCHwoMapChg!$A$2:$S$2,0),FALSE)</f>
        <v>2687.3886549540325</v>
      </c>
      <c r="M34" s="410">
        <f>+GPpcntSCH*(VLOOKUP($A34,FY15Revenue!$A$4:$H$24,8,FALSE))*VLOOKUP($A34,FY15SCHwoMapChg!$A$3:$S$23,MATCH(M$28,FY15SCHwoMapChg!$A$2:$S$2,0),FALSE)</f>
        <v>0</v>
      </c>
      <c r="N34" s="410">
        <f>+GPpcntSCH*(VLOOKUP($A34,FY15Revenue!$A$4:$H$24,8,FALSE))*VLOOKUP($A34,FY15SCHwoMapChg!$A$3:$S$23,MATCH(N$28,FY15SCHwoMapChg!$A$2:$S$2,0),FALSE)</f>
        <v>1189.4998964550634</v>
      </c>
      <c r="O34" s="410">
        <f>+GPpcntSCH*(VLOOKUP($A34,FY15Revenue!$A$4:$H$24,8,FALSE))*VLOOKUP($A34,FY15SCHwoMapChg!$A$3:$S$23,MATCH(O$28,FY15SCHwoMapChg!$A$2:$S$2,0),FALSE)</f>
        <v>440.55551720557901</v>
      </c>
      <c r="P34" s="410">
        <f>+GPpcntSCH*(VLOOKUP($A34,FY15Revenue!$A$4:$H$24,8,FALSE))*VLOOKUP($A34,FY15SCHwoMapChg!$A$3:$S$23,MATCH(P$28,FY15SCHwoMapChg!$A$2:$S$2,0),FALSE)</f>
        <v>0</v>
      </c>
      <c r="Q34" s="410">
        <f>+GPpcntSCH*(VLOOKUP($A34,FY15Revenue!$A$4:$H$24,8,FALSE))*VLOOKUP($A34,FY15SCHwoMapChg!$A$3:$S$23,MATCH(Q$28,FY15SCHwoMapChg!$A$2:$S$2,0),FALSE)</f>
        <v>1585.9998619400847</v>
      </c>
      <c r="R34" s="410">
        <f>+GPpcntSCH*(VLOOKUP($A34,FY15Revenue!$A$4:$H$24,8,FALSE))*VLOOKUP($A34,FY15SCHwoMapChg!$A$3:$S$23,MATCH(R$28,FY15SCHwoMapChg!$A$2:$S$2,0),FALSE)</f>
        <v>0</v>
      </c>
      <c r="S34" s="410">
        <f>+GPpcntSCH*(VLOOKUP($A34,FY15Revenue!$A$4:$H$24,8,FALSE))*VLOOKUP($A34,FY15SCHwoMapChg!$A$3:$S$23,MATCH(S$28,FY15SCHwoMapChg!$A$2:$S$2,0),FALSE)</f>
        <v>1233.5554481756212</v>
      </c>
      <c r="T34" s="441">
        <f t="shared" si="4"/>
        <v>876132.75706673507</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+GPpcntSCH*(VLOOKUP($A35,FY15Revenue!$A$4:$H$24,8,FALSE))*VLOOKUP($A35,FY15SCHwoMapChg!$A$3:$S$23,MATCH(C$28,FY15SCHwoMapChg!$A$2:$S$2,0),FALSE)</f>
        <v>0</v>
      </c>
      <c r="D35" s="443">
        <f>+GPpcntSCH*(VLOOKUP($A35,FY15Revenue!$A$4:$H$24,8,FALSE))*VLOOKUP($A35,FY15SCHwoMapChg!$A$3:$S$23,MATCH(D$28,FY15SCHwoMapChg!$A$2:$S$2,0),FALSE)</f>
        <v>0</v>
      </c>
      <c r="E35" s="443">
        <f>+GPpcntSCH*(VLOOKUP($A35,FY15Revenue!$A$4:$H$24,8,FALSE))*VLOOKUP($A35,FY15SCHwoMapChg!$A$3:$S$23,MATCH(E$28,FY15SCHwoMapChg!$A$2:$S$2,0),FALSE)</f>
        <v>0</v>
      </c>
      <c r="F35" s="443">
        <f>+GPpcntSCH*(VLOOKUP($A35,FY15Revenue!$A$4:$H$24,8,FALSE))*VLOOKUP($A35,FY15SCHwoMapChg!$A$3:$S$23,MATCH(F$28,FY15SCHwoMapChg!$A$2:$S$2,0),FALSE)</f>
        <v>0</v>
      </c>
      <c r="G35" s="443">
        <f>+GPpcntSCH*(VLOOKUP($A35,FY15Revenue!$A$4:$H$24,8,FALSE))*VLOOKUP($A35,FY15SCHwoMapChg!$A$3:$S$23,MATCH(G$28,FY15SCHwoMapChg!$A$2:$S$2,0),FALSE)</f>
        <v>0</v>
      </c>
      <c r="H35" s="443">
        <f>+GPpcntSCH*(VLOOKUP($A35,FY15Revenue!$A$4:$H$24,8,FALSE))*VLOOKUP($A35,FY15SCHwoMapChg!$A$3:$S$23,MATCH(H$28,FY15SCHwoMapChg!$A$2:$S$2,0),FALSE)</f>
        <v>0</v>
      </c>
      <c r="I35" s="443">
        <f>+GPpcntSCH*(VLOOKUP($A35,FY15Revenue!$A$4:$H$24,8,FALSE))*VLOOKUP($A35,FY15SCHwoMapChg!$A$3:$S$23,MATCH(I$28,FY15SCHwoMapChg!$A$2:$S$2,0),FALSE)</f>
        <v>1037.1949609873313</v>
      </c>
      <c r="J35" s="443">
        <f>+GPpcntSCH*(VLOOKUP($A35,FY15Revenue!$A$4:$H$24,8,FALSE))*VLOOKUP($A35,FY15SCHwoMapChg!$A$3:$S$23,MATCH(J$28,FY15SCHwoMapChg!$A$2:$S$2,0),FALSE)</f>
        <v>0</v>
      </c>
      <c r="K35" s="443">
        <f>+GPpcntSCH*(VLOOKUP($A35,FY15Revenue!$A$4:$H$24,8,FALSE))*VLOOKUP($A35,FY15SCHwoMapChg!$A$3:$S$23,MATCH(K$28,FY15SCHwoMapChg!$A$2:$S$2,0),FALSE)</f>
        <v>0</v>
      </c>
      <c r="L35" s="443">
        <f>+GPpcntSCH*(VLOOKUP($A35,FY15Revenue!$A$4:$H$24,8,FALSE))*VLOOKUP($A35,FY15SCHwoMapChg!$A$3:$S$23,MATCH(L$28,FY15SCHwoMapChg!$A$2:$S$2,0),FALSE)</f>
        <v>0</v>
      </c>
      <c r="M35" s="443">
        <f>+GPpcntSCH*(VLOOKUP($A35,FY15Revenue!$A$4:$H$24,8,FALSE))*VLOOKUP($A35,FY15SCHwoMapChg!$A$3:$S$23,MATCH(M$28,FY15SCHwoMapChg!$A$2:$S$2,0),FALSE)</f>
        <v>0</v>
      </c>
      <c r="N35" s="443">
        <f>+GPpcntSCH*(VLOOKUP($A35,FY15Revenue!$A$4:$H$24,8,FALSE))*VLOOKUP($A35,FY15SCHwoMapChg!$A$3:$S$23,MATCH(N$28,FY15SCHwoMapChg!$A$2:$S$2,0),FALSE)</f>
        <v>0</v>
      </c>
      <c r="O35" s="443">
        <f>+GPpcntSCH*(VLOOKUP($A35,FY15Revenue!$A$4:$H$24,8,FALSE))*VLOOKUP($A35,FY15SCHwoMapChg!$A$3:$S$23,MATCH(O$28,FY15SCHwoMapChg!$A$2:$S$2,0),FALSE)</f>
        <v>0</v>
      </c>
      <c r="P35" s="443">
        <f>+GPpcntSCH*(VLOOKUP($A35,FY15Revenue!$A$4:$H$24,8,FALSE))*VLOOKUP($A35,FY15SCHwoMapChg!$A$3:$S$23,MATCH(P$28,FY15SCHwoMapChg!$A$2:$S$2,0),FALSE)</f>
        <v>0</v>
      </c>
      <c r="Q35" s="443">
        <f>+GPpcntSCH*(VLOOKUP($A35,FY15Revenue!$A$4:$H$24,8,FALSE))*VLOOKUP($A35,FY15SCHwoMapChg!$A$3:$S$23,MATCH(Q$28,FY15SCHwoMapChg!$A$2:$S$2,0),FALSE)</f>
        <v>0</v>
      </c>
      <c r="R35" s="443">
        <f>+GPpcntSCH*(VLOOKUP($A35,FY15Revenue!$A$4:$H$24,8,FALSE))*VLOOKUP($A35,FY15SCHwoMapChg!$A$3:$S$23,MATCH(R$28,FY15SCHwoMapChg!$A$2:$S$2,0),FALSE)</f>
        <v>0</v>
      </c>
      <c r="S35" s="443">
        <f>+GPpcntSCH*(VLOOKUP($A35,FY15Revenue!$A$4:$H$24,8,FALSE))*VLOOKUP($A35,FY15SCHwoMapChg!$A$3:$S$23,MATCH(S$28,FY15SCHwoMapChg!$A$2:$S$2,0),FALSE)</f>
        <v>0</v>
      </c>
      <c r="T35" s="444">
        <f t="shared" si="4"/>
        <v>1037.1949609873313</v>
      </c>
    </row>
    <row r="36" spans="1:91" s="18" customFormat="1" ht="20.100000000000001" customHeight="1">
      <c r="A36" s="404" t="s">
        <v>135</v>
      </c>
      <c r="B36" s="440" t="s">
        <v>70</v>
      </c>
      <c r="C36" s="410">
        <f>+GPpcntSCH*(VLOOKUP($A36,FY15Revenue!$A$4:$H$24,8,FALSE))*VLOOKUP($A36,FY15SCHwoMapChg!$A$3:$S$23,MATCH(C$28,FY15SCHwoMapChg!$A$2:$S$2,0),FALSE)</f>
        <v>116.23893531377422</v>
      </c>
      <c r="D36" s="410">
        <f>+GPpcntSCH*(VLOOKUP($A36,FY15Revenue!$A$4:$H$24,8,FALSE))*VLOOKUP($A36,FY15SCHwoMapChg!$A$3:$S$23,MATCH(D$28,FY15SCHwoMapChg!$A$2:$S$2,0),FALSE)</f>
        <v>5695.7078303749367</v>
      </c>
      <c r="E36" s="410">
        <f>+GPpcntSCH*(VLOOKUP($A36,FY15Revenue!$A$4:$H$24,8,FALSE))*VLOOKUP($A36,FY15SCHwoMapChg!$A$3:$S$23,MATCH(E$28,FY15SCHwoMapChg!$A$2:$S$2,0),FALSE)</f>
        <v>0</v>
      </c>
      <c r="F36" s="410">
        <f>+GPpcntSCH*(VLOOKUP($A36,FY15Revenue!$A$4:$H$24,8,FALSE))*VLOOKUP($A36,FY15SCHwoMapChg!$A$3:$S$23,MATCH(F$28,FY15SCHwoMapChg!$A$2:$S$2,0),FALSE)</f>
        <v>871.79201485330657</v>
      </c>
      <c r="G36" s="410">
        <f>+GPpcntSCH*(VLOOKUP($A36,FY15Revenue!$A$4:$H$24,8,FALSE))*VLOOKUP($A36,FY15SCHwoMapChg!$A$3:$S$23,MATCH(G$28,FY15SCHwoMapChg!$A$2:$S$2,0),FALSE)</f>
        <v>0</v>
      </c>
      <c r="H36" s="410">
        <f>+GPpcntSCH*(VLOOKUP($A36,FY15Revenue!$A$4:$H$24,8,FALSE))*VLOOKUP($A36,FY15SCHwoMapChg!$A$3:$S$23,MATCH(H$28,FY15SCHwoMapChg!$A$2:$S$2,0),FALSE)</f>
        <v>174.35840297066133</v>
      </c>
      <c r="I36" s="410">
        <f>+GPpcntSCH*(VLOOKUP($A36,FY15Revenue!$A$4:$H$24,8,FALSE))*VLOOKUP($A36,FY15SCHwoMapChg!$A$3:$S$23,MATCH(I$28,FY15SCHwoMapChg!$A$2:$S$2,0),FALSE)</f>
        <v>0</v>
      </c>
      <c r="J36" s="410">
        <f>+GPpcntSCH*(VLOOKUP($A36,FY15Revenue!$A$4:$H$24,8,FALSE))*VLOOKUP($A36,FY15SCHwoMapChg!$A$3:$S$23,MATCH(J$28,FY15SCHwoMapChg!$A$2:$S$2,0),FALSE)</f>
        <v>0</v>
      </c>
      <c r="K36" s="410">
        <f>+GPpcntSCH*(VLOOKUP($A36,FY15Revenue!$A$4:$H$24,8,FALSE))*VLOOKUP($A36,FY15SCHwoMapChg!$A$3:$S$23,MATCH(K$28,FY15SCHwoMapChg!$A$2:$S$2,0),FALSE)</f>
        <v>1859.8229650203875</v>
      </c>
      <c r="L36" s="410">
        <f>+GPpcntSCH*(VLOOKUP($A36,FY15Revenue!$A$4:$H$24,8,FALSE))*VLOOKUP($A36,FY15SCHwoMapChg!$A$3:$S$23,MATCH(L$28,FY15SCHwoMapChg!$A$2:$S$2,0),FALSE)</f>
        <v>572011.80067908298</v>
      </c>
      <c r="M36" s="410">
        <f>+GPpcntSCH*(VLOOKUP($A36,FY15Revenue!$A$4:$H$24,8,FALSE))*VLOOKUP($A36,FY15SCHwoMapChg!$A$3:$S$23,MATCH(M$28,FY15SCHwoMapChg!$A$2:$S$2,0),FALSE)</f>
        <v>0</v>
      </c>
      <c r="N36" s="410">
        <f>+GPpcntSCH*(VLOOKUP($A36,FY15Revenue!$A$4:$H$24,8,FALSE))*VLOOKUP($A36,FY15SCHwoMapChg!$A$3:$S$23,MATCH(N$28,FY15SCHwoMapChg!$A$2:$S$2,0),FALSE)</f>
        <v>6916.2166511695659</v>
      </c>
      <c r="O36" s="410">
        <f>+GPpcntSCH*(VLOOKUP($A36,FY15Revenue!$A$4:$H$24,8,FALSE))*VLOOKUP($A36,FY15SCHwoMapChg!$A$3:$S$23,MATCH(O$28,FY15SCHwoMapChg!$A$2:$S$2,0),FALSE)</f>
        <v>116.23893531377422</v>
      </c>
      <c r="P36" s="410">
        <f>+GPpcntSCH*(VLOOKUP($A36,FY15Revenue!$A$4:$H$24,8,FALSE))*VLOOKUP($A36,FY15SCHwoMapChg!$A$3:$S$23,MATCH(P$28,FY15SCHwoMapChg!$A$2:$S$2,0),FALSE)</f>
        <v>0</v>
      </c>
      <c r="Q36" s="410">
        <f>+GPpcntSCH*(VLOOKUP($A36,FY15Revenue!$A$4:$H$24,8,FALSE))*VLOOKUP($A36,FY15SCHwoMapChg!$A$3:$S$23,MATCH(Q$28,FY15SCHwoMapChg!$A$2:$S$2,0),FALSE)</f>
        <v>10926.459919494777</v>
      </c>
      <c r="R36" s="410">
        <f>+GPpcntSCH*(VLOOKUP($A36,FY15Revenue!$A$4:$H$24,8,FALSE))*VLOOKUP($A36,FY15SCHwoMapChg!$A$3:$S$23,MATCH(R$28,FY15SCHwoMapChg!$A$2:$S$2,0),FALSE)</f>
        <v>0</v>
      </c>
      <c r="S36" s="410">
        <f>+GPpcntSCH*(VLOOKUP($A36,FY15Revenue!$A$4:$H$24,8,FALSE))*VLOOKUP($A36,FY15SCHwoMapChg!$A$3:$S$23,MATCH(S$28,FY15SCHwoMapChg!$A$2:$S$2,0),FALSE)</f>
        <v>0</v>
      </c>
      <c r="T36" s="441">
        <f t="shared" si="4"/>
        <v>598688.63633359422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+GPpcntSCH*(VLOOKUP($A37,FY15Revenue!$A$4:$H$24,8,FALSE))*VLOOKUP($A37,FY15SCHwoMapChg!$A$3:$S$23,MATCH(C$28,FY15SCHwoMapChg!$A$2:$S$2,0),FALSE)</f>
        <v>140.08756055699439</v>
      </c>
      <c r="D37" s="443">
        <f>+GPpcntSCH*(VLOOKUP($A37,FY15Revenue!$A$4:$H$24,8,FALSE))*VLOOKUP($A37,FY15SCHwoMapChg!$A$3:$S$23,MATCH(D$28,FY15SCHwoMapChg!$A$2:$S$2,0),FALSE)</f>
        <v>25262.456753777991</v>
      </c>
      <c r="E37" s="443">
        <f>+GPpcntSCH*(VLOOKUP($A37,FY15Revenue!$A$4:$H$24,8,FALSE))*VLOOKUP($A37,FY15SCHwoMapChg!$A$3:$S$23,MATCH(E$28,FY15SCHwoMapChg!$A$2:$S$2,0),FALSE)</f>
        <v>280.17512111398878</v>
      </c>
      <c r="F37" s="443">
        <f>+GPpcntSCH*(VLOOKUP($A37,FY15Revenue!$A$4:$H$24,8,FALSE))*VLOOKUP($A37,FY15SCHwoMapChg!$A$3:$S$23,MATCH(F$28,FY15SCHwoMapChg!$A$2:$S$2,0),FALSE)</f>
        <v>280.17512111398878</v>
      </c>
      <c r="G37" s="443">
        <f>+GPpcntSCH*(VLOOKUP($A37,FY15Revenue!$A$4:$H$24,8,FALSE))*VLOOKUP($A37,FY15SCHwoMapChg!$A$3:$S$23,MATCH(G$28,FY15SCHwoMapChg!$A$2:$S$2,0),FALSE)</f>
        <v>2194.7051153929124</v>
      </c>
      <c r="H37" s="443">
        <f>+GPpcntSCH*(VLOOKUP($A37,FY15Revenue!$A$4:$H$24,8,FALSE))*VLOOKUP($A37,FY15SCHwoMapChg!$A$3:$S$23,MATCH(H$28,FY15SCHwoMapChg!$A$2:$S$2,0),FALSE)</f>
        <v>1354.179752050946</v>
      </c>
      <c r="I37" s="443">
        <f>+GPpcntSCH*(VLOOKUP($A37,FY15Revenue!$A$4:$H$24,8,FALSE))*VLOOKUP($A37,FY15SCHwoMapChg!$A$3:$S$23,MATCH(I$28,FY15SCHwoMapChg!$A$2:$S$2,0),FALSE)</f>
        <v>186.78341407599254</v>
      </c>
      <c r="J37" s="443">
        <f>+GPpcntSCH*(VLOOKUP($A37,FY15Revenue!$A$4:$H$24,8,FALSE))*VLOOKUP($A37,FY15SCHwoMapChg!$A$3:$S$23,MATCH(J$28,FY15SCHwoMapChg!$A$2:$S$2,0),FALSE)</f>
        <v>233.47926759499066</v>
      </c>
      <c r="K37" s="443">
        <f>+GPpcntSCH*(VLOOKUP($A37,FY15Revenue!$A$4:$H$24,8,FALSE))*VLOOKUP($A37,FY15SCHwoMapChg!$A$3:$S$23,MATCH(K$28,FY15SCHwoMapChg!$A$2:$S$2,0),FALSE)</f>
        <v>1494.2673126079403</v>
      </c>
      <c r="L37" s="443">
        <f>+GPpcntSCH*(VLOOKUP($A37,FY15Revenue!$A$4:$H$24,8,FALSE))*VLOOKUP($A37,FY15SCHwoMapChg!$A$3:$S$23,MATCH(L$28,FY15SCHwoMapChg!$A$2:$S$2,0),FALSE)</f>
        <v>420.26268167098323</v>
      </c>
      <c r="M37" s="443">
        <f>+GPpcntSCH*(VLOOKUP($A37,FY15Revenue!$A$4:$H$24,8,FALSE))*VLOOKUP($A37,FY15SCHwoMapChg!$A$3:$S$23,MATCH(M$28,FY15SCHwoMapChg!$A$2:$S$2,0),FALSE)</f>
        <v>93.391707037996269</v>
      </c>
      <c r="N37" s="443">
        <f>+GPpcntSCH*(VLOOKUP($A37,FY15Revenue!$A$4:$H$24,8,FALSE))*VLOOKUP($A37,FY15SCHwoMapChg!$A$3:$S$23,MATCH(N$28,FY15SCHwoMapChg!$A$2:$S$2,0),FALSE)</f>
        <v>11744.007160028032</v>
      </c>
      <c r="O37" s="443">
        <f>+GPpcntSCH*(VLOOKUP($A37,FY15Revenue!$A$4:$H$24,8,FALSE))*VLOOKUP($A37,FY15SCHwoMapChg!$A$3:$S$23,MATCH(O$28,FY15SCHwoMapChg!$A$2:$S$2,0),FALSE)</f>
        <v>186.78341407599254</v>
      </c>
      <c r="P37" s="443">
        <f>+GPpcntSCH*(VLOOKUP($A37,FY15Revenue!$A$4:$H$24,8,FALSE))*VLOOKUP($A37,FY15SCHwoMapChg!$A$3:$S$23,MATCH(P$28,FY15SCHwoMapChg!$A$2:$S$2,0),FALSE)</f>
        <v>2521.5760900258992</v>
      </c>
      <c r="Q37" s="443">
        <f>+GPpcntSCH*(VLOOKUP($A37,FY15Revenue!$A$4:$H$24,8,FALSE))*VLOOKUP($A37,FY15SCHwoMapChg!$A$3:$S$23,MATCH(Q$28,FY15SCHwoMapChg!$A$2:$S$2,0),FALSE)</f>
        <v>409079.02475318313</v>
      </c>
      <c r="R37" s="443">
        <f>+GPpcntSCH*(VLOOKUP($A37,FY15Revenue!$A$4:$H$24,8,FALSE))*VLOOKUP($A37,FY15SCHwoMapChg!$A$3:$S$23,MATCH(R$28,FY15SCHwoMapChg!$A$2:$S$2,0),FALSE)</f>
        <v>0</v>
      </c>
      <c r="S37" s="443">
        <f>+GPpcntSCH*(VLOOKUP($A37,FY15Revenue!$A$4:$H$24,8,FALSE))*VLOOKUP($A37,FY15SCHwoMapChg!$A$3:$S$23,MATCH(S$28,FY15SCHwoMapChg!$A$2:$S$2,0),FALSE)</f>
        <v>840.52536334196645</v>
      </c>
      <c r="T37" s="444">
        <f t="shared" si="4"/>
        <v>456311.88058764971</v>
      </c>
    </row>
    <row r="38" spans="1:91" s="18" customFormat="1" ht="20.100000000000001" customHeight="1">
      <c r="A38" s="404" t="s">
        <v>137</v>
      </c>
      <c r="B38" s="440" t="s">
        <v>49</v>
      </c>
      <c r="C38" s="410">
        <f>+GPpcntSCH*(VLOOKUP($A38,FY15Revenue!$A$4:$H$24,8,FALSE))*VLOOKUP($A38,FY15SCHwoMapChg!$A$3:$S$23,MATCH(C$28,FY15SCHwoMapChg!$A$2:$S$2,0),FALSE)</f>
        <v>1034.8589295159131</v>
      </c>
      <c r="D38" s="410">
        <f>+GPpcntSCH*(VLOOKUP($A38,FY15Revenue!$A$4:$H$24,8,FALSE))*VLOOKUP($A38,FY15SCHwoMapChg!$A$3:$S$23,MATCH(D$28,FY15SCHwoMapChg!$A$2:$S$2,0),FALSE)</f>
        <v>6885.7921079328062</v>
      </c>
      <c r="E38" s="410">
        <f>+GPpcntSCH*(VLOOKUP($A38,FY15Revenue!$A$4:$H$24,8,FALSE))*VLOOKUP($A38,FY15SCHwoMapChg!$A$3:$S$23,MATCH(E$28,FY15SCHwoMapChg!$A$2:$S$2,0),FALSE)</f>
        <v>0</v>
      </c>
      <c r="F38" s="410">
        <f>+GPpcntSCH*(VLOOKUP($A38,FY15Revenue!$A$4:$H$24,8,FALSE))*VLOOKUP($A38,FY15SCHwoMapChg!$A$3:$S$23,MATCH(F$28,FY15SCHwoMapChg!$A$2:$S$2,0),FALSE)</f>
        <v>119.40679955952844</v>
      </c>
      <c r="G38" s="410">
        <f>+GPpcntSCH*(VLOOKUP($A38,FY15Revenue!$A$4:$H$24,8,FALSE))*VLOOKUP($A38,FY15SCHwoMapChg!$A$3:$S$23,MATCH(G$28,FY15SCHwoMapChg!$A$2:$S$2,0),FALSE)</f>
        <v>1233.8702621151272</v>
      </c>
      <c r="H38" s="410">
        <f>+GPpcntSCH*(VLOOKUP($A38,FY15Revenue!$A$4:$H$24,8,FALSE))*VLOOKUP($A38,FY15SCHwoMapChg!$A$3:$S$23,MATCH(H$28,FY15SCHwoMapChg!$A$2:$S$2,0),FALSE)</f>
        <v>398.02266519842811</v>
      </c>
      <c r="I38" s="410">
        <f>+GPpcntSCH*(VLOOKUP($A38,FY15Revenue!$A$4:$H$24,8,FALSE))*VLOOKUP($A38,FY15SCHwoMapChg!$A$3:$S$23,MATCH(I$28,FY15SCHwoMapChg!$A$2:$S$2,0),FALSE)</f>
        <v>0</v>
      </c>
      <c r="J38" s="410">
        <f>+GPpcntSCH*(VLOOKUP($A38,FY15Revenue!$A$4:$H$24,8,FALSE))*VLOOKUP($A38,FY15SCHwoMapChg!$A$3:$S$23,MATCH(J$28,FY15SCHwoMapChg!$A$2:$S$2,0),FALSE)</f>
        <v>756.24306387701347</v>
      </c>
      <c r="K38" s="410">
        <f>+GPpcntSCH*(VLOOKUP($A38,FY15Revenue!$A$4:$H$24,8,FALSE))*VLOOKUP($A38,FY15SCHwoMapChg!$A$3:$S$23,MATCH(K$28,FY15SCHwoMapChg!$A$2:$S$2,0),FALSE)</f>
        <v>1353.2770616746557</v>
      </c>
      <c r="L38" s="410">
        <f>+GPpcntSCH*(VLOOKUP($A38,FY15Revenue!$A$4:$H$24,8,FALSE))*VLOOKUP($A38,FY15SCHwoMapChg!$A$3:$S$23,MATCH(L$28,FY15SCHwoMapChg!$A$2:$S$2,0),FALSE)</f>
        <v>3024.9722555080539</v>
      </c>
      <c r="M38" s="410">
        <f>+GPpcntSCH*(VLOOKUP($A38,FY15Revenue!$A$4:$H$24,8,FALSE))*VLOOKUP($A38,FY15SCHwoMapChg!$A$3:$S$23,MATCH(M$28,FY15SCHwoMapChg!$A$2:$S$2,0),FALSE)</f>
        <v>358.2203986785853</v>
      </c>
      <c r="N38" s="410">
        <f>+GPpcntSCH*(VLOOKUP($A38,FY15Revenue!$A$4:$H$24,8,FALSE))*VLOOKUP($A38,FY15SCHwoMapChg!$A$3:$S$23,MATCH(N$28,FY15SCHwoMapChg!$A$2:$S$2,0),FALSE)</f>
        <v>42289.908177332989</v>
      </c>
      <c r="O38" s="410">
        <f>+GPpcntSCH*(VLOOKUP($A38,FY15Revenue!$A$4:$H$24,8,FALSE))*VLOOKUP($A38,FY15SCHwoMapChg!$A$3:$S$23,MATCH(O$28,FY15SCHwoMapChg!$A$2:$S$2,0),FALSE)</f>
        <v>398.02266519842811</v>
      </c>
      <c r="P38" s="410">
        <f>+GPpcntSCH*(VLOOKUP($A38,FY15Revenue!$A$4:$H$24,8,FALSE))*VLOOKUP($A38,FY15SCHwoMapChg!$A$3:$S$23,MATCH(P$28,FY15SCHwoMapChg!$A$2:$S$2,0),FALSE)</f>
        <v>915.45212995638474</v>
      </c>
      <c r="Q38" s="410">
        <f>+GPpcntSCH*(VLOOKUP($A38,FY15Revenue!$A$4:$H$24,8,FALSE))*VLOOKUP($A38,FY15SCHwoMapChg!$A$3:$S$23,MATCH(Q$28,FY15SCHwoMapChg!$A$2:$S$2,0),FALSE)</f>
        <v>187190.05944282073</v>
      </c>
      <c r="R38" s="410">
        <f>+GPpcntSCH*(VLOOKUP($A38,FY15Revenue!$A$4:$H$24,8,FALSE))*VLOOKUP($A38,FY15SCHwoMapChg!$A$3:$S$23,MATCH(R$28,FY15SCHwoMapChg!$A$2:$S$2,0),FALSE)</f>
        <v>0</v>
      </c>
      <c r="S38" s="410">
        <f>+GPpcntSCH*(VLOOKUP($A38,FY15Revenue!$A$4:$H$24,8,FALSE))*VLOOKUP($A38,FY15SCHwoMapChg!$A$3:$S$23,MATCH(S$28,FY15SCHwoMapChg!$A$2:$S$2,0),FALSE)</f>
        <v>437.82493171827093</v>
      </c>
      <c r="T38" s="441">
        <f t="shared" si="4"/>
        <v>246395.9308910869</v>
      </c>
    </row>
    <row r="39" spans="1:91" ht="20.100000000000001" customHeight="1">
      <c r="A39" s="553" t="s">
        <v>145</v>
      </c>
      <c r="B39" s="442" t="s">
        <v>207</v>
      </c>
      <c r="C39" s="443">
        <f>+GPpcntSCH*(VLOOKUP($A39,FY15Revenue!$A$4:$H$24,8,FALSE))*VLOOKUP($A39,FY15SCHwoMapChg!$A$3:$S$23,MATCH(C$28,FY15SCHwoMapChg!$A$2:$S$2,0),FALSE)</f>
        <v>842944.17141692643</v>
      </c>
      <c r="D39" s="443">
        <f>+GPpcntSCH*(VLOOKUP($A39,FY15Revenue!$A$4:$H$24,8,FALSE))*VLOOKUP($A39,FY15SCHwoMapChg!$A$3:$S$23,MATCH(D$28,FY15SCHwoMapChg!$A$2:$S$2,0),FALSE)</f>
        <v>15227.64773903381</v>
      </c>
      <c r="E39" s="443">
        <f>+GPpcntSCH*(VLOOKUP($A39,FY15Revenue!$A$4:$H$24,8,FALSE))*VLOOKUP($A39,FY15SCHwoMapChg!$A$3:$S$23,MATCH(E$28,FY15SCHwoMapChg!$A$2:$S$2,0),FALSE)</f>
        <v>4519.6214750556965</v>
      </c>
      <c r="F39" s="443">
        <f>+GPpcntSCH*(VLOOKUP($A39,FY15Revenue!$A$4:$H$24,8,FALSE))*VLOOKUP($A39,FY15SCHwoMapChg!$A$3:$S$23,MATCH(F$28,FY15SCHwoMapChg!$A$2:$S$2,0),FALSE)</f>
        <v>0</v>
      </c>
      <c r="G39" s="443">
        <f>+GPpcntSCH*(VLOOKUP($A39,FY15Revenue!$A$4:$H$24,8,FALSE))*VLOOKUP($A39,FY15SCHwoMapChg!$A$3:$S$23,MATCH(G$28,FY15SCHwoMapChg!$A$2:$S$2,0),FALSE)</f>
        <v>4658.6867512112567</v>
      </c>
      <c r="H39" s="443">
        <f>+GPpcntSCH*(VLOOKUP($A39,FY15Revenue!$A$4:$H$24,8,FALSE))*VLOOKUP($A39,FY15SCHwoMapChg!$A$3:$S$23,MATCH(H$28,FY15SCHwoMapChg!$A$2:$S$2,0),FALSE)</f>
        <v>11333.820006678132</v>
      </c>
      <c r="I39" s="443">
        <f>+GPpcntSCH*(VLOOKUP($A39,FY15Revenue!$A$4:$H$24,8,FALSE))*VLOOKUP($A39,FY15SCHwoMapChg!$A$3:$S$23,MATCH(I$28,FY15SCHwoMapChg!$A$2:$S$2,0),FALSE)</f>
        <v>139.0652761555599</v>
      </c>
      <c r="J39" s="443">
        <f>+GPpcntSCH*(VLOOKUP($A39,FY15Revenue!$A$4:$H$24,8,FALSE))*VLOOKUP($A39,FY15SCHwoMapChg!$A$3:$S$23,MATCH(J$28,FY15SCHwoMapChg!$A$2:$S$2,0),FALSE)</f>
        <v>417.1958284666797</v>
      </c>
      <c r="K39" s="443">
        <f>+GPpcntSCH*(VLOOKUP($A39,FY15Revenue!$A$4:$H$24,8,FALSE))*VLOOKUP($A39,FY15SCHwoMapChg!$A$3:$S$23,MATCH(K$28,FY15SCHwoMapChg!$A$2:$S$2,0),FALSE)</f>
        <v>11751.015835144812</v>
      </c>
      <c r="L39" s="443">
        <f>+GPpcntSCH*(VLOOKUP($A39,FY15Revenue!$A$4:$H$24,8,FALSE))*VLOOKUP($A39,FY15SCHwoMapChg!$A$3:$S$23,MATCH(L$28,FY15SCHwoMapChg!$A$2:$S$2,0),FALSE)</f>
        <v>0</v>
      </c>
      <c r="M39" s="443">
        <f>+GPpcntSCH*(VLOOKUP($A39,FY15Revenue!$A$4:$H$24,8,FALSE))*VLOOKUP($A39,FY15SCHwoMapChg!$A$3:$S$23,MATCH(M$28,FY15SCHwoMapChg!$A$2:$S$2,0),FALSE)</f>
        <v>0</v>
      </c>
      <c r="N39" s="443">
        <f>+GPpcntSCH*(VLOOKUP($A39,FY15Revenue!$A$4:$H$24,8,FALSE))*VLOOKUP($A39,FY15SCHwoMapChg!$A$3:$S$23,MATCH(N$28,FY15SCHwoMapChg!$A$2:$S$2,0),FALSE)</f>
        <v>486.72846654445965</v>
      </c>
      <c r="O39" s="443">
        <f>+GPpcntSCH*(VLOOKUP($A39,FY15Revenue!$A$4:$H$24,8,FALSE))*VLOOKUP($A39,FY15SCHwoMapChg!$A$3:$S$23,MATCH(O$28,FY15SCHwoMapChg!$A$2:$S$2,0),FALSE)</f>
        <v>0</v>
      </c>
      <c r="P39" s="443">
        <f>+GPpcntSCH*(VLOOKUP($A39,FY15Revenue!$A$4:$H$24,8,FALSE))*VLOOKUP($A39,FY15SCHwoMapChg!$A$3:$S$23,MATCH(P$28,FY15SCHwoMapChg!$A$2:$S$2,0),FALSE)</f>
        <v>0</v>
      </c>
      <c r="Q39" s="443">
        <f>+GPpcntSCH*(VLOOKUP($A39,FY15Revenue!$A$4:$H$24,8,FALSE))*VLOOKUP($A39,FY15SCHwoMapChg!$A$3:$S$23,MATCH(Q$28,FY15SCHwoMapChg!$A$2:$S$2,0),FALSE)</f>
        <v>2781.305523111198</v>
      </c>
      <c r="R39" s="443">
        <f>+GPpcntSCH*(VLOOKUP($A39,FY15Revenue!$A$4:$H$24,8,FALSE))*VLOOKUP($A39,FY15SCHwoMapChg!$A$3:$S$23,MATCH(R$28,FY15SCHwoMapChg!$A$2:$S$2,0),FALSE)</f>
        <v>0</v>
      </c>
      <c r="S39" s="443">
        <f>+GPpcntSCH*(VLOOKUP($A39,FY15Revenue!$A$4:$H$24,8,FALSE))*VLOOKUP($A39,FY15SCHwoMapChg!$A$3:$S$23,MATCH(S$28,FY15SCHwoMapChg!$A$2:$S$2,0),FALSE)</f>
        <v>0</v>
      </c>
      <c r="T39" s="444">
        <f t="shared" si="4"/>
        <v>894259.25831832807</v>
      </c>
    </row>
    <row r="40" spans="1:91" s="18" customFormat="1" ht="20.100000000000001" customHeight="1">
      <c r="A40" s="404" t="s">
        <v>147</v>
      </c>
      <c r="B40" s="440" t="s">
        <v>208</v>
      </c>
      <c r="C40" s="410">
        <f>+GPpcntSCH*(VLOOKUP($A40,FY15Revenue!$A$4:$H$24,8,FALSE))*VLOOKUP($A40,FY15SCHwoMapChg!$A$3:$S$23,MATCH(C$28,FY15SCHwoMapChg!$A$2:$S$2,0),FALSE)</f>
        <v>0</v>
      </c>
      <c r="D40" s="410">
        <f>+GPpcntSCH*(VLOOKUP($A40,FY15Revenue!$A$4:$H$24,8,FALSE))*VLOOKUP($A40,FY15SCHwoMapChg!$A$3:$S$23,MATCH(D$28,FY15SCHwoMapChg!$A$2:$S$2,0),FALSE)</f>
        <v>823.48313729787662</v>
      </c>
      <c r="E40" s="410">
        <f>+GPpcntSCH*(VLOOKUP($A40,FY15Revenue!$A$4:$H$24,8,FALSE))*VLOOKUP($A40,FY15SCHwoMapChg!$A$3:$S$23,MATCH(E$28,FY15SCHwoMapChg!$A$2:$S$2,0),FALSE)</f>
        <v>205.87078432446916</v>
      </c>
      <c r="F40" s="410">
        <f>+GPpcntSCH*(VLOOKUP($A40,FY15Revenue!$A$4:$H$24,8,FALSE))*VLOOKUP($A40,FY15SCHwoMapChg!$A$3:$S$23,MATCH(F$28,FY15SCHwoMapChg!$A$2:$S$2,0),FALSE)</f>
        <v>0</v>
      </c>
      <c r="G40" s="410">
        <f>+GPpcntSCH*(VLOOKUP($A40,FY15Revenue!$A$4:$H$24,8,FALSE))*VLOOKUP($A40,FY15SCHwoMapChg!$A$3:$S$23,MATCH(G$28,FY15SCHwoMapChg!$A$2:$S$2,0),FALSE)</f>
        <v>220899.3515801554</v>
      </c>
      <c r="H40" s="410">
        <f>+GPpcntSCH*(VLOOKUP($A40,FY15Revenue!$A$4:$H$24,8,FALSE))*VLOOKUP($A40,FY15SCHwoMapChg!$A$3:$S$23,MATCH(H$28,FY15SCHwoMapChg!$A$2:$S$2,0),FALSE)</f>
        <v>1441.095490271284</v>
      </c>
      <c r="I40" s="410">
        <f>+GPpcntSCH*(VLOOKUP($A40,FY15Revenue!$A$4:$H$24,8,FALSE))*VLOOKUP($A40,FY15SCHwoMapChg!$A$3:$S$23,MATCH(I$28,FY15SCHwoMapChg!$A$2:$S$2,0),FALSE)</f>
        <v>1029.3539216223458</v>
      </c>
      <c r="J40" s="410">
        <f>+GPpcntSCH*(VLOOKUP($A40,FY15Revenue!$A$4:$H$24,8,FALSE))*VLOOKUP($A40,FY15SCHwoMapChg!$A$3:$S$23,MATCH(J$28,FY15SCHwoMapChg!$A$2:$S$2,0),FALSE)</f>
        <v>0</v>
      </c>
      <c r="K40" s="410">
        <f>+GPpcntSCH*(VLOOKUP($A40,FY15Revenue!$A$4:$H$24,8,FALSE))*VLOOKUP($A40,FY15SCHwoMapChg!$A$3:$S$23,MATCH(K$28,FY15SCHwoMapChg!$A$2:$S$2,0),FALSE)</f>
        <v>0</v>
      </c>
      <c r="L40" s="410">
        <f>+GPpcntSCH*(VLOOKUP($A40,FY15Revenue!$A$4:$H$24,8,FALSE))*VLOOKUP($A40,FY15SCHwoMapChg!$A$3:$S$23,MATCH(L$28,FY15SCHwoMapChg!$A$2:$S$2,0),FALSE)</f>
        <v>0</v>
      </c>
      <c r="M40" s="410">
        <f>+GPpcntSCH*(VLOOKUP($A40,FY15Revenue!$A$4:$H$24,8,FALSE))*VLOOKUP($A40,FY15SCHwoMapChg!$A$3:$S$23,MATCH(M$28,FY15SCHwoMapChg!$A$2:$S$2,0),FALSE)</f>
        <v>0</v>
      </c>
      <c r="N40" s="410">
        <f>+GPpcntSCH*(VLOOKUP($A40,FY15Revenue!$A$4:$H$24,8,FALSE))*VLOOKUP($A40,FY15SCHwoMapChg!$A$3:$S$23,MATCH(N$28,FY15SCHwoMapChg!$A$2:$S$2,0),FALSE)</f>
        <v>8646.5729416277063</v>
      </c>
      <c r="O40" s="410">
        <f>+GPpcntSCH*(VLOOKUP($A40,FY15Revenue!$A$4:$H$24,8,FALSE))*VLOOKUP($A40,FY15SCHwoMapChg!$A$3:$S$23,MATCH(O$28,FY15SCHwoMapChg!$A$2:$S$2,0),FALSE)</f>
        <v>0</v>
      </c>
      <c r="P40" s="410">
        <f>+GPpcntSCH*(VLOOKUP($A40,FY15Revenue!$A$4:$H$24,8,FALSE))*VLOOKUP($A40,FY15SCHwoMapChg!$A$3:$S$23,MATCH(P$28,FY15SCHwoMapChg!$A$2:$S$2,0),FALSE)</f>
        <v>0</v>
      </c>
      <c r="Q40" s="410">
        <f>+GPpcntSCH*(VLOOKUP($A40,FY15Revenue!$A$4:$H$24,8,FALSE))*VLOOKUP($A40,FY15SCHwoMapChg!$A$3:$S$23,MATCH(Q$28,FY15SCHwoMapChg!$A$2:$S$2,0),FALSE)</f>
        <v>308.80617648670375</v>
      </c>
      <c r="R40" s="410">
        <f>+GPpcntSCH*(VLOOKUP($A40,FY15Revenue!$A$4:$H$24,8,FALSE))*VLOOKUP($A40,FY15SCHwoMapChg!$A$3:$S$23,MATCH(R$28,FY15SCHwoMapChg!$A$2:$S$2,0),FALSE)</f>
        <v>0</v>
      </c>
      <c r="S40" s="410">
        <f>+GPpcntSCH*(VLOOKUP($A40,FY15Revenue!$A$4:$H$24,8,FALSE))*VLOOKUP($A40,FY15SCHwoMapChg!$A$3:$S$23,MATCH(S$28,FY15SCHwoMapChg!$A$2:$S$2,0),FALSE)</f>
        <v>0</v>
      </c>
      <c r="T40" s="441">
        <f t="shared" si="4"/>
        <v>233354.53403178582</v>
      </c>
    </row>
    <row r="41" spans="1:91" ht="20.100000000000001" customHeight="1">
      <c r="A41" s="404" t="s">
        <v>148</v>
      </c>
      <c r="B41" s="442" t="s">
        <v>39</v>
      </c>
      <c r="C41" s="443">
        <f>+GPpcntSCH*(VLOOKUP($A41,FY15Revenue!$A$4:$H$24,8,FALSE))*VLOOKUP($A41,FY15SCHwoMapChg!$A$3:$S$23,MATCH(C$28,FY15SCHwoMapChg!$A$2:$S$2,0),FALSE)</f>
        <v>7661.0099226667126</v>
      </c>
      <c r="D41" s="443">
        <f>+GPpcntSCH*(VLOOKUP($A41,FY15Revenue!$A$4:$H$24,8,FALSE))*VLOOKUP($A41,FY15SCHwoMapChg!$A$3:$S$23,MATCH(D$28,FY15SCHwoMapChg!$A$2:$S$2,0),FALSE)</f>
        <v>38867.325570960478</v>
      </c>
      <c r="E41" s="443">
        <f>+GPpcntSCH*(VLOOKUP($A41,FY15Revenue!$A$4:$H$24,8,FALSE))*VLOOKUP($A41,FY15SCHwoMapChg!$A$3:$S$23,MATCH(E$28,FY15SCHwoMapChg!$A$2:$S$2,0),FALSE)</f>
        <v>13283.769498935861</v>
      </c>
      <c r="F41" s="443">
        <f>+GPpcntSCH*(VLOOKUP($A41,FY15Revenue!$A$4:$H$24,8,FALSE))*VLOOKUP($A41,FY15SCHwoMapChg!$A$3:$S$23,MATCH(F$28,FY15SCHwoMapChg!$A$2:$S$2,0),FALSE)</f>
        <v>3514.2247351682167</v>
      </c>
      <c r="G41" s="443">
        <f>+GPpcntSCH*(VLOOKUP($A41,FY15Revenue!$A$4:$H$24,8,FALSE))*VLOOKUP($A41,FY15SCHwoMapChg!$A$3:$S$23,MATCH(G$28,FY15SCHwoMapChg!$A$2:$S$2,0),FALSE)</f>
        <v>1686.8278728807443</v>
      </c>
      <c r="H41" s="443">
        <f>+GPpcntSCH*(VLOOKUP($A41,FY15Revenue!$A$4:$H$24,8,FALSE))*VLOOKUP($A41,FY15SCHwoMapChg!$A$3:$S$23,MATCH(H$28,FY15SCHwoMapChg!$A$2:$S$2,0),FALSE)</f>
        <v>21717.90886333958</v>
      </c>
      <c r="I41" s="443">
        <f>+GPpcntSCH*(VLOOKUP($A41,FY15Revenue!$A$4:$H$24,8,FALSE))*VLOOKUP($A41,FY15SCHwoMapChg!$A$3:$S$23,MATCH(I$28,FY15SCHwoMapChg!$A$2:$S$2,0),FALSE)</f>
        <v>1194.8364099571938</v>
      </c>
      <c r="J41" s="443">
        <f>+GPpcntSCH*(VLOOKUP($A41,FY15Revenue!$A$4:$H$24,8,FALSE))*VLOOKUP($A41,FY15SCHwoMapChg!$A$3:$S$23,MATCH(J$28,FY15SCHwoMapChg!$A$2:$S$2,0),FALSE)</f>
        <v>4006.2161980917672</v>
      </c>
      <c r="K41" s="443">
        <f>+GPpcntSCH*(VLOOKUP($A41,FY15Revenue!$A$4:$H$24,8,FALSE))*VLOOKUP($A41,FY15SCHwoMapChg!$A$3:$S$23,MATCH(K$28,FY15SCHwoMapChg!$A$2:$S$2,0),FALSE)</f>
        <v>751481.81736837153</v>
      </c>
      <c r="L41" s="443">
        <f>+GPpcntSCH*(VLOOKUP($A41,FY15Revenue!$A$4:$H$24,8,FALSE))*VLOOKUP($A41,FY15SCHwoMapChg!$A$3:$S$23,MATCH(L$28,FY15SCHwoMapChg!$A$2:$S$2,0),FALSE)</f>
        <v>3092.5177669480313</v>
      </c>
      <c r="M41" s="443">
        <f>+GPpcntSCH*(VLOOKUP($A41,FY15Revenue!$A$4:$H$24,8,FALSE))*VLOOKUP($A41,FY15SCHwoMapChg!$A$3:$S$23,MATCH(M$28,FY15SCHwoMapChg!$A$2:$S$2,0),FALSE)</f>
        <v>0</v>
      </c>
      <c r="N41" s="443">
        <f>+GPpcntSCH*(VLOOKUP($A41,FY15Revenue!$A$4:$H$24,8,FALSE))*VLOOKUP($A41,FY15SCHwoMapChg!$A$3:$S$23,MATCH(N$28,FY15SCHwoMapChg!$A$2:$S$2,0),FALSE)</f>
        <v>4357.638671608589</v>
      </c>
      <c r="O41" s="443">
        <f>+GPpcntSCH*(VLOOKUP($A41,FY15Revenue!$A$4:$H$24,8,FALSE))*VLOOKUP($A41,FY15SCHwoMapChg!$A$3:$S$23,MATCH(O$28,FY15SCHwoMapChg!$A$2:$S$2,0),FALSE)</f>
        <v>0</v>
      </c>
      <c r="P41" s="443">
        <f>+GPpcntSCH*(VLOOKUP($A41,FY15Revenue!$A$4:$H$24,8,FALSE))*VLOOKUP($A41,FY15SCHwoMapChg!$A$3:$S$23,MATCH(P$28,FY15SCHwoMapChg!$A$2:$S$2,0),FALSE)</f>
        <v>0</v>
      </c>
      <c r="Q41" s="443">
        <f>+GPpcntSCH*(VLOOKUP($A41,FY15Revenue!$A$4:$H$24,8,FALSE))*VLOOKUP($A41,FY15SCHwoMapChg!$A$3:$S$23,MATCH(Q$28,FY15SCHwoMapChg!$A$2:$S$2,0),FALSE)</f>
        <v>19117.382559315101</v>
      </c>
      <c r="R41" s="443">
        <f>+GPpcntSCH*(VLOOKUP($A41,FY15Revenue!$A$4:$H$24,8,FALSE))*VLOOKUP($A41,FY15SCHwoMapChg!$A$3:$S$23,MATCH(R$28,FY15SCHwoMapChg!$A$2:$S$2,0),FALSE)</f>
        <v>0</v>
      </c>
      <c r="S41" s="443">
        <f>+GPpcntSCH*(VLOOKUP($A41,FY15Revenue!$A$4:$H$24,8,FALSE))*VLOOKUP($A41,FY15SCHwoMapChg!$A$3:$S$23,MATCH(S$28,FY15SCHwoMapChg!$A$2:$S$2,0),FALSE)</f>
        <v>210.85348411009304</v>
      </c>
      <c r="T41" s="444">
        <f t="shared" si="4"/>
        <v>870192.32892235392</v>
      </c>
    </row>
    <row r="42" spans="1:91" s="18" customFormat="1" ht="20.100000000000001" customHeight="1">
      <c r="A42" s="404" t="s">
        <v>149</v>
      </c>
      <c r="B42" s="440" t="s">
        <v>38</v>
      </c>
      <c r="C42" s="410">
        <f>+GPpcntSCH*(VLOOKUP($A42,FY15Revenue!$A$4:$H$24,8,FALSE))*VLOOKUP($A42,FY15SCHwoMapChg!$A$3:$S$23,MATCH(C$28,FY15SCHwoMapChg!$A$2:$S$2,0),FALSE)</f>
        <v>2555.1392110311122</v>
      </c>
      <c r="D42" s="410">
        <f>+GPpcntSCH*(VLOOKUP($A42,FY15Revenue!$A$4:$H$24,8,FALSE))*VLOOKUP($A42,FY15SCHwoMapChg!$A$3:$S$23,MATCH(D$28,FY15SCHwoMapChg!$A$2:$S$2,0),FALSE)</f>
        <v>4533.3115034422954</v>
      </c>
      <c r="E42" s="410">
        <f>+GPpcntSCH*(VLOOKUP($A42,FY15Revenue!$A$4:$H$24,8,FALSE))*VLOOKUP($A42,FY15SCHwoMapChg!$A$3:$S$23,MATCH(E$28,FY15SCHwoMapChg!$A$2:$S$2,0),FALSE)</f>
        <v>913750.75140293245</v>
      </c>
      <c r="F42" s="410">
        <f>+GPpcntSCH*(VLOOKUP($A42,FY15Revenue!$A$4:$H$24,8,FALSE))*VLOOKUP($A42,FY15SCHwoMapChg!$A$3:$S$23,MATCH(F$28,FY15SCHwoMapChg!$A$2:$S$2,0),FALSE)</f>
        <v>0</v>
      </c>
      <c r="G42" s="410">
        <f>+GPpcntSCH*(VLOOKUP($A42,FY15Revenue!$A$4:$H$24,8,FALSE))*VLOOKUP($A42,FY15SCHwoMapChg!$A$3:$S$23,MATCH(G$28,FY15SCHwoMapChg!$A$2:$S$2,0),FALSE)</f>
        <v>3956.3445848223669</v>
      </c>
      <c r="H42" s="410">
        <f>+GPpcntSCH*(VLOOKUP($A42,FY15Revenue!$A$4:$H$24,8,FALSE))*VLOOKUP($A42,FY15SCHwoMapChg!$A$3:$S$23,MATCH(H$28,FY15SCHwoMapChg!$A$2:$S$2,0),FALSE)</f>
        <v>0</v>
      </c>
      <c r="I42" s="410">
        <f>+GPpcntSCH*(VLOOKUP($A42,FY15Revenue!$A$4:$H$24,8,FALSE))*VLOOKUP($A42,FY15SCHwoMapChg!$A$3:$S$23,MATCH(I$28,FY15SCHwoMapChg!$A$2:$S$2,0),FALSE)</f>
        <v>2307.867674479714</v>
      </c>
      <c r="J42" s="410">
        <f>+GPpcntSCH*(VLOOKUP($A42,FY15Revenue!$A$4:$H$24,8,FALSE))*VLOOKUP($A42,FY15SCHwoMapChg!$A$3:$S$23,MATCH(J$28,FY15SCHwoMapChg!$A$2:$S$2,0),FALSE)</f>
        <v>824.23845517132645</v>
      </c>
      <c r="K42" s="410">
        <f>+GPpcntSCH*(VLOOKUP($A42,FY15Revenue!$A$4:$H$24,8,FALSE))*VLOOKUP($A42,FY15SCHwoMapChg!$A$3:$S$23,MATCH(K$28,FY15SCHwoMapChg!$A$2:$S$2,0),FALSE)</f>
        <v>4286.0399668908976</v>
      </c>
      <c r="L42" s="410">
        <f>+GPpcntSCH*(VLOOKUP($A42,FY15Revenue!$A$4:$H$24,8,FALSE))*VLOOKUP($A42,FY15SCHwoMapChg!$A$3:$S$23,MATCH(L$28,FY15SCHwoMapChg!$A$2:$S$2,0),FALSE)</f>
        <v>0</v>
      </c>
      <c r="M42" s="410">
        <f>+GPpcntSCH*(VLOOKUP($A42,FY15Revenue!$A$4:$H$24,8,FALSE))*VLOOKUP($A42,FY15SCHwoMapChg!$A$3:$S$23,MATCH(M$28,FY15SCHwoMapChg!$A$2:$S$2,0),FALSE)</f>
        <v>0</v>
      </c>
      <c r="N42" s="410">
        <f>+GPpcntSCH*(VLOOKUP($A42,FY15Revenue!$A$4:$H$24,8,FALSE))*VLOOKUP($A42,FY15SCHwoMapChg!$A$3:$S$23,MATCH(N$28,FY15SCHwoMapChg!$A$2:$S$2,0),FALSE)</f>
        <v>1318.7815282741221</v>
      </c>
      <c r="O42" s="410">
        <f>+GPpcntSCH*(VLOOKUP($A42,FY15Revenue!$A$4:$H$24,8,FALSE))*VLOOKUP($A42,FY15SCHwoMapChg!$A$3:$S$23,MATCH(O$28,FY15SCHwoMapChg!$A$2:$S$2,0),FALSE)</f>
        <v>0</v>
      </c>
      <c r="P42" s="410">
        <f>+GPpcntSCH*(VLOOKUP($A42,FY15Revenue!$A$4:$H$24,8,FALSE))*VLOOKUP($A42,FY15SCHwoMapChg!$A$3:$S$23,MATCH(P$28,FY15SCHwoMapChg!$A$2:$S$2,0),FALSE)</f>
        <v>0</v>
      </c>
      <c r="Q42" s="410">
        <f>+GPpcntSCH*(VLOOKUP($A42,FY15Revenue!$A$4:$H$24,8,FALSE))*VLOOKUP($A42,FY15SCHwoMapChg!$A$3:$S$23,MATCH(Q$28,FY15SCHwoMapChg!$A$2:$S$2,0),FALSE)</f>
        <v>1730.9007558597855</v>
      </c>
      <c r="R42" s="410">
        <f>+GPpcntSCH*(VLOOKUP($A42,FY15Revenue!$A$4:$H$24,8,FALSE))*VLOOKUP($A42,FY15SCHwoMapChg!$A$3:$S$23,MATCH(R$28,FY15SCHwoMapChg!$A$2:$S$2,0),FALSE)</f>
        <v>0</v>
      </c>
      <c r="S42" s="410">
        <f>+GPpcntSCH*(VLOOKUP($A42,FY15Revenue!$A$4:$H$24,8,FALSE))*VLOOKUP($A42,FY15SCHwoMapChg!$A$3:$S$23,MATCH(S$28,FY15SCHwoMapChg!$A$2:$S$2,0),FALSE)</f>
        <v>0</v>
      </c>
      <c r="T42" s="441">
        <f t="shared" si="4"/>
        <v>935263.37508290424</v>
      </c>
    </row>
    <row r="43" spans="1:91" ht="20.100000000000001" customHeight="1">
      <c r="A43" s="404" t="s">
        <v>150</v>
      </c>
      <c r="B43" s="442" t="s">
        <v>31</v>
      </c>
      <c r="C43" s="443">
        <f>+GPpcntSCH*(VLOOKUP($A43,FY15Revenue!$A$4:$H$24,8,FALSE))*VLOOKUP($A43,FY15SCHwoMapChg!$A$3:$S$23,MATCH(C$28,FY15SCHwoMapChg!$A$2:$S$2,0),FALSE)</f>
        <v>1450.3005643798811</v>
      </c>
      <c r="D43" s="443">
        <f>+GPpcntSCH*(VLOOKUP($A43,FY15Revenue!$A$4:$H$24,8,FALSE))*VLOOKUP($A43,FY15SCHwoMapChg!$A$3:$S$23,MATCH(D$28,FY15SCHwoMapChg!$A$2:$S$2,0),FALSE)</f>
        <v>13143.348864692671</v>
      </c>
      <c r="E43" s="443">
        <f>+GPpcntSCH*(VLOOKUP($A43,FY15Revenue!$A$4:$H$24,8,FALSE))*VLOOKUP($A43,FY15SCHwoMapChg!$A$3:$S$23,MATCH(E$28,FY15SCHwoMapChg!$A$2:$S$2,0),FALSE)</f>
        <v>5257.3395458770683</v>
      </c>
      <c r="F43" s="443">
        <f>+GPpcntSCH*(VLOOKUP($A43,FY15Revenue!$A$4:$H$24,8,FALSE))*VLOOKUP($A43,FY15SCHwoMapChg!$A$3:$S$23,MATCH(F$28,FY15SCHwoMapChg!$A$2:$S$2,0),FALSE)</f>
        <v>2356.7384171173067</v>
      </c>
      <c r="G43" s="443">
        <f>+GPpcntSCH*(VLOOKUP($A43,FY15Revenue!$A$4:$H$24,8,FALSE))*VLOOKUP($A43,FY15SCHwoMapChg!$A$3:$S$23,MATCH(G$28,FY15SCHwoMapChg!$A$2:$S$2,0),FALSE)</f>
        <v>362.57514109497026</v>
      </c>
      <c r="H43" s="443">
        <f>+GPpcntSCH*(VLOOKUP($A43,FY15Revenue!$A$4:$H$24,8,FALSE))*VLOOKUP($A43,FY15SCHwoMapChg!$A$3:$S$23,MATCH(H$28,FY15SCHwoMapChg!$A$2:$S$2,0),FALSE)</f>
        <v>271.93135582122767</v>
      </c>
      <c r="I43" s="443">
        <f>+GPpcntSCH*(VLOOKUP($A43,FY15Revenue!$A$4:$H$24,8,FALSE))*VLOOKUP($A43,FY15SCHwoMapChg!$A$3:$S$23,MATCH(I$28,FY15SCHwoMapChg!$A$2:$S$2,0),FALSE)</f>
        <v>7251.5028218994048</v>
      </c>
      <c r="J43" s="443">
        <f>+GPpcntSCH*(VLOOKUP($A43,FY15Revenue!$A$4:$H$24,8,FALSE))*VLOOKUP($A43,FY15SCHwoMapChg!$A$3:$S$23,MATCH(J$28,FY15SCHwoMapChg!$A$2:$S$2,0),FALSE)</f>
        <v>2013742.3336414646</v>
      </c>
      <c r="K43" s="443">
        <f>+GPpcntSCH*(VLOOKUP($A43,FY15Revenue!$A$4:$H$24,8,FALSE))*VLOOKUP($A43,FY15SCHwoMapChg!$A$3:$S$23,MATCH(K$28,FY15SCHwoMapChg!$A$2:$S$2,0),FALSE)</f>
        <v>362.57514109497026</v>
      </c>
      <c r="L43" s="443">
        <f>+GPpcntSCH*(VLOOKUP($A43,FY15Revenue!$A$4:$H$24,8,FALSE))*VLOOKUP($A43,FY15SCHwoMapChg!$A$3:$S$23,MATCH(L$28,FY15SCHwoMapChg!$A$2:$S$2,0),FALSE)</f>
        <v>271.93135582122767</v>
      </c>
      <c r="M43" s="443">
        <f>+GPpcntSCH*(VLOOKUP($A43,FY15Revenue!$A$4:$H$24,8,FALSE))*VLOOKUP($A43,FY15SCHwoMapChg!$A$3:$S$23,MATCH(M$28,FY15SCHwoMapChg!$A$2:$S$2,0),FALSE)</f>
        <v>0</v>
      </c>
      <c r="N43" s="443">
        <f>+GPpcntSCH*(VLOOKUP($A43,FY15Revenue!$A$4:$H$24,8,FALSE))*VLOOKUP($A43,FY15SCHwoMapChg!$A$3:$S$23,MATCH(N$28,FY15SCHwoMapChg!$A$2:$S$2,0),FALSE)</f>
        <v>90.643785273742566</v>
      </c>
      <c r="O43" s="443">
        <f>+GPpcntSCH*(VLOOKUP($A43,FY15Revenue!$A$4:$H$24,8,FALSE))*VLOOKUP($A43,FY15SCHwoMapChg!$A$3:$S$23,MATCH(O$28,FY15SCHwoMapChg!$A$2:$S$2,0),FALSE)</f>
        <v>0</v>
      </c>
      <c r="P43" s="443">
        <f>+GPpcntSCH*(VLOOKUP($A43,FY15Revenue!$A$4:$H$24,8,FALSE))*VLOOKUP($A43,FY15SCHwoMapChg!$A$3:$S$23,MATCH(P$28,FY15SCHwoMapChg!$A$2:$S$2,0),FALSE)</f>
        <v>271.93135582122767</v>
      </c>
      <c r="Q43" s="443">
        <f>+GPpcntSCH*(VLOOKUP($A43,FY15Revenue!$A$4:$H$24,8,FALSE))*VLOOKUP($A43,FY15SCHwoMapChg!$A$3:$S$23,MATCH(Q$28,FY15SCHwoMapChg!$A$2:$S$2,0),FALSE)</f>
        <v>3897.6827667709294</v>
      </c>
      <c r="R43" s="443">
        <f>+GPpcntSCH*(VLOOKUP($A43,FY15Revenue!$A$4:$H$24,8,FALSE))*VLOOKUP($A43,FY15SCHwoMapChg!$A$3:$S$23,MATCH(R$28,FY15SCHwoMapChg!$A$2:$S$2,0),FALSE)</f>
        <v>0</v>
      </c>
      <c r="S43" s="443">
        <f>+GPpcntSCH*(VLOOKUP($A43,FY15Revenue!$A$4:$H$24,8,FALSE))*VLOOKUP($A43,FY15SCHwoMapChg!$A$3:$S$23,MATCH(S$28,FY15SCHwoMapChg!$A$2:$S$2,0),FALSE)</f>
        <v>725.15028218994053</v>
      </c>
      <c r="T43" s="444">
        <f t="shared" si="4"/>
        <v>2049455.9850393189</v>
      </c>
    </row>
    <row r="44" spans="1:91" s="18" customFormat="1" ht="20.100000000000001" customHeight="1">
      <c r="A44" s="404" t="s">
        <v>151</v>
      </c>
      <c r="B44" s="440" t="s">
        <v>209</v>
      </c>
      <c r="C44" s="410">
        <f>+GPpcntSCH*(VLOOKUP($A44,FY15Revenue!$A$4:$H$24,8,FALSE))*VLOOKUP($A44,FY15SCHwoMapChg!$A$3:$S$23,MATCH(C$28,FY15SCHwoMapChg!$A$2:$S$2,0),FALSE)</f>
        <v>0</v>
      </c>
      <c r="D44" s="410">
        <f>+GPpcntSCH*(VLOOKUP($A44,FY15Revenue!$A$4:$H$24,8,FALSE))*VLOOKUP($A44,FY15SCHwoMapChg!$A$3:$S$23,MATCH(D$28,FY15SCHwoMapChg!$A$2:$S$2,0),FALSE)</f>
        <v>10356.982729129202</v>
      </c>
      <c r="E44" s="410">
        <f>+GPpcntSCH*(VLOOKUP($A44,FY15Revenue!$A$4:$H$24,8,FALSE))*VLOOKUP($A44,FY15SCHwoMapChg!$A$3:$S$23,MATCH(E$28,FY15SCHwoMapChg!$A$2:$S$2,0),FALSE)</f>
        <v>1129.8526613595493</v>
      </c>
      <c r="F44" s="410">
        <f>+GPpcntSCH*(VLOOKUP($A44,FY15Revenue!$A$4:$H$24,8,FALSE))*VLOOKUP($A44,FY15SCHwoMapChg!$A$3:$S$23,MATCH(F$28,FY15SCHwoMapChg!$A$2:$S$2,0),FALSE)</f>
        <v>0</v>
      </c>
      <c r="G44" s="410">
        <f>+GPpcntSCH*(VLOOKUP($A44,FY15Revenue!$A$4:$H$24,8,FALSE))*VLOOKUP($A44,FY15SCHwoMapChg!$A$3:$S$23,MATCH(G$28,FY15SCHwoMapChg!$A$2:$S$2,0),FALSE)</f>
        <v>0</v>
      </c>
      <c r="H44" s="410">
        <f>+GPpcntSCH*(VLOOKUP($A44,FY15Revenue!$A$4:$H$24,8,FALSE))*VLOOKUP($A44,FY15SCHwoMapChg!$A$3:$S$23,MATCH(H$28,FY15SCHwoMapChg!$A$2:$S$2,0),FALSE)</f>
        <v>282.46316533988733</v>
      </c>
      <c r="I44" s="410">
        <f>+GPpcntSCH*(VLOOKUP($A44,FY15Revenue!$A$4:$H$24,8,FALSE))*VLOOKUP($A44,FY15SCHwoMapChg!$A$3:$S$23,MATCH(I$28,FY15SCHwoMapChg!$A$2:$S$2,0),FALSE)</f>
        <v>0</v>
      </c>
      <c r="J44" s="410">
        <f>+GPpcntSCH*(VLOOKUP($A44,FY15Revenue!$A$4:$H$24,8,FALSE))*VLOOKUP($A44,FY15SCHwoMapChg!$A$3:$S$23,MATCH(J$28,FY15SCHwoMapChg!$A$2:$S$2,0),FALSE)</f>
        <v>217684.94608860649</v>
      </c>
      <c r="K44" s="410">
        <f>+GPpcntSCH*(VLOOKUP($A44,FY15Revenue!$A$4:$H$24,8,FALSE))*VLOOKUP($A44,FY15SCHwoMapChg!$A$3:$S$23,MATCH(K$28,FY15SCHwoMapChg!$A$2:$S$2,0),FALSE)</f>
        <v>2071.3965458258403</v>
      </c>
      <c r="L44" s="410">
        <f>+GPpcntSCH*(VLOOKUP($A44,FY15Revenue!$A$4:$H$24,8,FALSE))*VLOOKUP($A44,FY15SCHwoMapChg!$A$3:$S$23,MATCH(L$28,FY15SCHwoMapChg!$A$2:$S$2,0),FALSE)</f>
        <v>0</v>
      </c>
      <c r="M44" s="410">
        <f>+GPpcntSCH*(VLOOKUP($A44,FY15Revenue!$A$4:$H$24,8,FALSE))*VLOOKUP($A44,FY15SCHwoMapChg!$A$3:$S$23,MATCH(M$28,FY15SCHwoMapChg!$A$2:$S$2,0),FALSE)</f>
        <v>0</v>
      </c>
      <c r="N44" s="410">
        <f>+GPpcntSCH*(VLOOKUP($A44,FY15Revenue!$A$4:$H$24,8,FALSE))*VLOOKUP($A44,FY15SCHwoMapChg!$A$3:$S$23,MATCH(N$28,FY15SCHwoMapChg!$A$2:$S$2,0),FALSE)</f>
        <v>282.46316533988733</v>
      </c>
      <c r="O44" s="410">
        <f>+GPpcntSCH*(VLOOKUP($A44,FY15Revenue!$A$4:$H$24,8,FALSE))*VLOOKUP($A44,FY15SCHwoMapChg!$A$3:$S$23,MATCH(O$28,FY15SCHwoMapChg!$A$2:$S$2,0),FALSE)</f>
        <v>0</v>
      </c>
      <c r="P44" s="410">
        <f>+GPpcntSCH*(VLOOKUP($A44,FY15Revenue!$A$4:$H$24,8,FALSE))*VLOOKUP($A44,FY15SCHwoMapChg!$A$3:$S$23,MATCH(P$28,FY15SCHwoMapChg!$A$2:$S$2,0),FALSE)</f>
        <v>0</v>
      </c>
      <c r="Q44" s="410">
        <f>+GPpcntSCH*(VLOOKUP($A44,FY15Revenue!$A$4:$H$24,8,FALSE))*VLOOKUP($A44,FY15SCHwoMapChg!$A$3:$S$23,MATCH(Q$28,FY15SCHwoMapChg!$A$2:$S$2,0),FALSE)</f>
        <v>470.77194223314552</v>
      </c>
      <c r="R44" s="410">
        <f>+GPpcntSCH*(VLOOKUP($A44,FY15Revenue!$A$4:$H$24,8,FALSE))*VLOOKUP($A44,FY15SCHwoMapChg!$A$3:$S$23,MATCH(R$28,FY15SCHwoMapChg!$A$2:$S$2,0),FALSE)</f>
        <v>0</v>
      </c>
      <c r="S44" s="410">
        <f>+GPpcntSCH*(VLOOKUP($A44,FY15Revenue!$A$4:$H$24,8,FALSE))*VLOOKUP($A44,FY15SCHwoMapChg!$A$3:$S$23,MATCH(S$28,FY15SCHwoMapChg!$A$2:$S$2,0),FALSE)</f>
        <v>376.61755378651645</v>
      </c>
      <c r="T44" s="441">
        <f t="shared" si="4"/>
        <v>232655.49385162053</v>
      </c>
    </row>
    <row r="45" spans="1:91" ht="20.100000000000001" customHeight="1">
      <c r="A45" s="404" t="s">
        <v>153</v>
      </c>
      <c r="B45" s="442" t="s">
        <v>100</v>
      </c>
      <c r="C45" s="443">
        <f>+GPpcntSCH*(VLOOKUP($A45,FY15Revenue!$A$4:$H$24,8,FALSE))*VLOOKUP($A45,FY15SCHwoMapChg!$A$3:$S$23,MATCH(C$28,FY15SCHwoMapChg!$A$2:$S$2,0),FALSE)</f>
        <v>596.65179819250318</v>
      </c>
      <c r="D45" s="443">
        <f>+GPpcntSCH*(VLOOKUP($A45,FY15Revenue!$A$4:$H$24,8,FALSE))*VLOOKUP($A45,FY15SCHwoMapChg!$A$3:$S$23,MATCH(D$28,FY15SCHwoMapChg!$A$2:$S$2,0),FALSE)</f>
        <v>894.97769728875494</v>
      </c>
      <c r="E45" s="443">
        <f>+GPpcntSCH*(VLOOKUP($A45,FY15Revenue!$A$4:$H$24,8,FALSE))*VLOOKUP($A45,FY15SCHwoMapChg!$A$3:$S$23,MATCH(E$28,FY15SCHwoMapChg!$A$2:$S$2,0),FALSE)</f>
        <v>1591.0714618466752</v>
      </c>
      <c r="F45" s="443">
        <f>+GPpcntSCH*(VLOOKUP($A45,FY15Revenue!$A$4:$H$24,8,FALSE))*VLOOKUP($A45,FY15SCHwoMapChg!$A$3:$S$23,MATCH(F$28,FY15SCHwoMapChg!$A$2:$S$2,0),FALSE)</f>
        <v>0</v>
      </c>
      <c r="G45" s="443">
        <f>+GPpcntSCH*(VLOOKUP($A45,FY15Revenue!$A$4:$H$24,8,FALSE))*VLOOKUP($A45,FY15SCHwoMapChg!$A$3:$S$23,MATCH(G$28,FY15SCHwoMapChg!$A$2:$S$2,0),FALSE)</f>
        <v>0</v>
      </c>
      <c r="H45" s="443">
        <f>+GPpcntSCH*(VLOOKUP($A45,FY15Revenue!$A$4:$H$24,8,FALSE))*VLOOKUP($A45,FY15SCHwoMapChg!$A$3:$S$23,MATCH(H$28,FY15SCHwoMapChg!$A$2:$S$2,0),FALSE)</f>
        <v>0</v>
      </c>
      <c r="I45" s="443">
        <f>+GPpcntSCH*(VLOOKUP($A45,FY15Revenue!$A$4:$H$24,8,FALSE))*VLOOKUP($A45,FY15SCHwoMapChg!$A$3:$S$23,MATCH(I$28,FY15SCHwoMapChg!$A$2:$S$2,0),FALSE)</f>
        <v>298.32589909625159</v>
      </c>
      <c r="J45" s="443">
        <f>+GPpcntSCH*(VLOOKUP($A45,FY15Revenue!$A$4:$H$24,8,FALSE))*VLOOKUP($A45,FY15SCHwoMapChg!$A$3:$S$23,MATCH(J$28,FY15SCHwoMapChg!$A$2:$S$2,0),FALSE)</f>
        <v>0</v>
      </c>
      <c r="K45" s="443">
        <f>+GPpcntSCH*(VLOOKUP($A45,FY15Revenue!$A$4:$H$24,8,FALSE))*VLOOKUP($A45,FY15SCHwoMapChg!$A$3:$S$23,MATCH(K$28,FY15SCHwoMapChg!$A$2:$S$2,0),FALSE)</f>
        <v>1988.8393273083441</v>
      </c>
      <c r="L45" s="443">
        <f>+GPpcntSCH*(VLOOKUP($A45,FY15Revenue!$A$4:$H$24,8,FALSE))*VLOOKUP($A45,FY15SCHwoMapChg!$A$3:$S$23,MATCH(L$28,FY15SCHwoMapChg!$A$2:$S$2,0),FALSE)</f>
        <v>596.65179819250318</v>
      </c>
      <c r="M45" s="443">
        <f>+GPpcntSCH*(VLOOKUP($A45,FY15Revenue!$A$4:$H$24,8,FALSE))*VLOOKUP($A45,FY15SCHwoMapChg!$A$3:$S$23,MATCH(M$28,FY15SCHwoMapChg!$A$2:$S$2,0),FALSE)</f>
        <v>0</v>
      </c>
      <c r="N45" s="443">
        <f>+GPpcntSCH*(VLOOKUP($A45,FY15Revenue!$A$4:$H$24,8,FALSE))*VLOOKUP($A45,FY15SCHwoMapChg!$A$3:$S$23,MATCH(N$28,FY15SCHwoMapChg!$A$2:$S$2,0),FALSE)</f>
        <v>2784.375058231682</v>
      </c>
      <c r="O45" s="443">
        <f>+GPpcntSCH*(VLOOKUP($A45,FY15Revenue!$A$4:$H$24,8,FALSE))*VLOOKUP($A45,FY15SCHwoMapChg!$A$3:$S$23,MATCH(O$28,FY15SCHwoMapChg!$A$2:$S$2,0),FALSE)</f>
        <v>202861.61138545111</v>
      </c>
      <c r="P45" s="443">
        <f>+GPpcntSCH*(VLOOKUP($A45,FY15Revenue!$A$4:$H$24,8,FALSE))*VLOOKUP($A45,FY15SCHwoMapChg!$A$3:$S$23,MATCH(P$28,FY15SCHwoMapChg!$A$2:$S$2,0),FALSE)</f>
        <v>5568.7501164633641</v>
      </c>
      <c r="Q45" s="443">
        <f>+GPpcntSCH*(VLOOKUP($A45,FY15Revenue!$A$4:$H$24,8,FALSE))*VLOOKUP($A45,FY15SCHwoMapChg!$A$3:$S$23,MATCH(Q$28,FY15SCHwoMapChg!$A$2:$S$2,0),FALSE)</f>
        <v>4972.0983182708605</v>
      </c>
      <c r="R45" s="443">
        <f>+GPpcntSCH*(VLOOKUP($A45,FY15Revenue!$A$4:$H$24,8,FALSE))*VLOOKUP($A45,FY15SCHwoMapChg!$A$3:$S$23,MATCH(R$28,FY15SCHwoMapChg!$A$2:$S$2,0),FALSE)</f>
        <v>0</v>
      </c>
      <c r="S45" s="443">
        <f>+GPpcntSCH*(VLOOKUP($A45,FY15Revenue!$A$4:$H$24,8,FALSE))*VLOOKUP($A45,FY15SCHwoMapChg!$A$3:$S$23,MATCH(S$28,FY15SCHwoMapChg!$A$2:$S$2,0),FALSE)</f>
        <v>99.441966365417201</v>
      </c>
      <c r="T45" s="444">
        <f t="shared" si="4"/>
        <v>222252.79482670748</v>
      </c>
    </row>
    <row r="46" spans="1:91" s="18" customFormat="1" ht="20.100000000000001" customHeight="1">
      <c r="A46" s="404" t="s">
        <v>155</v>
      </c>
      <c r="B46" s="440" t="s">
        <v>42</v>
      </c>
      <c r="C46" s="410">
        <f>+GPpcntSCH*(VLOOKUP($A46,FY15Revenue!$A$4:$H$24,8,FALSE))*VLOOKUP($A46,FY15SCHwoMapChg!$A$3:$S$23,MATCH(C$28,FY15SCHwoMapChg!$A$2:$S$2,0),FALSE)</f>
        <v>0</v>
      </c>
      <c r="D46" s="410">
        <f>+GPpcntSCH*(VLOOKUP($A46,FY15Revenue!$A$4:$H$24,8,FALSE))*VLOOKUP($A46,FY15SCHwoMapChg!$A$3:$S$23,MATCH(D$28,FY15SCHwoMapChg!$A$2:$S$2,0),FALSE)</f>
        <v>1770.0456427652277</v>
      </c>
      <c r="E46" s="410">
        <f>+GPpcntSCH*(VLOOKUP($A46,FY15Revenue!$A$4:$H$24,8,FALSE))*VLOOKUP($A46,FY15SCHwoMapChg!$A$3:$S$23,MATCH(E$28,FY15SCHwoMapChg!$A$2:$S$2,0),FALSE)</f>
        <v>708.01825710609126</v>
      </c>
      <c r="F46" s="410">
        <f>+GPpcntSCH*(VLOOKUP($A46,FY15Revenue!$A$4:$H$24,8,FALSE))*VLOOKUP($A46,FY15SCHwoMapChg!$A$3:$S$23,MATCH(F$28,FY15SCHwoMapChg!$A$2:$S$2,0),FALSE)</f>
        <v>0</v>
      </c>
      <c r="G46" s="410">
        <f>+GPpcntSCH*(VLOOKUP($A46,FY15Revenue!$A$4:$H$24,8,FALSE))*VLOOKUP($A46,FY15SCHwoMapChg!$A$3:$S$23,MATCH(G$28,FY15SCHwoMapChg!$A$2:$S$2,0),FALSE)</f>
        <v>0</v>
      </c>
      <c r="H46" s="410">
        <f>+GPpcntSCH*(VLOOKUP($A46,FY15Revenue!$A$4:$H$24,8,FALSE))*VLOOKUP($A46,FY15SCHwoMapChg!$A$3:$S$23,MATCH(H$28,FY15SCHwoMapChg!$A$2:$S$2,0),FALSE)</f>
        <v>0</v>
      </c>
      <c r="I46" s="410">
        <f>+GPpcntSCH*(VLOOKUP($A46,FY15Revenue!$A$4:$H$24,8,FALSE))*VLOOKUP($A46,FY15SCHwoMapChg!$A$3:$S$23,MATCH(I$28,FY15SCHwoMapChg!$A$2:$S$2,0),FALSE)</f>
        <v>0</v>
      </c>
      <c r="J46" s="410">
        <f>+GPpcntSCH*(VLOOKUP($A46,FY15Revenue!$A$4:$H$24,8,FALSE))*VLOOKUP($A46,FY15SCHwoMapChg!$A$3:$S$23,MATCH(J$28,FY15SCHwoMapChg!$A$2:$S$2,0),FALSE)</f>
        <v>0</v>
      </c>
      <c r="K46" s="410">
        <f>+GPpcntSCH*(VLOOKUP($A46,FY15Revenue!$A$4:$H$24,8,FALSE))*VLOOKUP($A46,FY15SCHwoMapChg!$A$3:$S$23,MATCH(K$28,FY15SCHwoMapChg!$A$2:$S$2,0),FALSE)</f>
        <v>0</v>
      </c>
      <c r="L46" s="410">
        <f>+GPpcntSCH*(VLOOKUP($A46,FY15Revenue!$A$4:$H$24,8,FALSE))*VLOOKUP($A46,FY15SCHwoMapChg!$A$3:$S$23,MATCH(L$28,FY15SCHwoMapChg!$A$2:$S$2,0),FALSE)</f>
        <v>0</v>
      </c>
      <c r="M46" s="410">
        <f>+GPpcntSCH*(VLOOKUP($A46,FY15Revenue!$A$4:$H$24,8,FALSE))*VLOOKUP($A46,FY15SCHwoMapChg!$A$3:$S$23,MATCH(M$28,FY15SCHwoMapChg!$A$2:$S$2,0),FALSE)</f>
        <v>141.60365142121825</v>
      </c>
      <c r="N46" s="410">
        <f>+GPpcntSCH*(VLOOKUP($A46,FY15Revenue!$A$4:$H$24,8,FALSE))*VLOOKUP($A46,FY15SCHwoMapChg!$A$3:$S$23,MATCH(N$28,FY15SCHwoMapChg!$A$2:$S$2,0),FALSE)</f>
        <v>139621.20030132117</v>
      </c>
      <c r="O46" s="410">
        <f>+GPpcntSCH*(VLOOKUP($A46,FY15Revenue!$A$4:$H$24,8,FALSE))*VLOOKUP($A46,FY15SCHwoMapChg!$A$3:$S$23,MATCH(O$28,FY15SCHwoMapChg!$A$2:$S$2,0),FALSE)</f>
        <v>2619.6675512925372</v>
      </c>
      <c r="P46" s="410">
        <f>+GPpcntSCH*(VLOOKUP($A46,FY15Revenue!$A$4:$H$24,8,FALSE))*VLOOKUP($A46,FY15SCHwoMapChg!$A$3:$S$23,MATCH(P$28,FY15SCHwoMapChg!$A$2:$S$2,0),FALSE)</f>
        <v>1167876.1150964973</v>
      </c>
      <c r="Q46" s="410">
        <f>+GPpcntSCH*(VLOOKUP($A46,FY15Revenue!$A$4:$H$24,8,FALSE))*VLOOKUP($A46,FY15SCHwoMapChg!$A$3:$S$23,MATCH(Q$28,FY15SCHwoMapChg!$A$2:$S$2,0),FALSE)</f>
        <v>12319.517673645987</v>
      </c>
      <c r="R46" s="410">
        <f>+GPpcntSCH*(VLOOKUP($A46,FY15Revenue!$A$4:$H$24,8,FALSE))*VLOOKUP($A46,FY15SCHwoMapChg!$A$3:$S$23,MATCH(R$28,FY15SCHwoMapChg!$A$2:$S$2,0),FALSE)</f>
        <v>0</v>
      </c>
      <c r="S46" s="410">
        <f>+GPpcntSCH*(VLOOKUP($A46,FY15Revenue!$A$4:$H$24,8,FALSE))*VLOOKUP($A46,FY15SCHwoMapChg!$A$3:$S$23,MATCH(S$28,FY15SCHwoMapChg!$A$2:$S$2,0),FALSE)</f>
        <v>0</v>
      </c>
      <c r="T46" s="441">
        <f t="shared" si="4"/>
        <v>1325056.1681740498</v>
      </c>
    </row>
    <row r="47" spans="1:91" ht="20.100000000000001" customHeight="1">
      <c r="A47" s="404" t="s">
        <v>162</v>
      </c>
      <c r="B47" s="442" t="s">
        <v>76</v>
      </c>
      <c r="C47" s="443">
        <f>+GPpcntSCH*(VLOOKUP($A47,FY15Revenue!$A$4:$H$24,8,FALSE))*VLOOKUP($A47,FY15SCHwoMapChg!$A$3:$S$23,MATCH(C$28,FY15SCHwoMapChg!$A$2:$S$2,0),FALSE)</f>
        <v>0</v>
      </c>
      <c r="D47" s="443">
        <f>+GPpcntSCH*(VLOOKUP($A47,FY15Revenue!$A$4:$H$24,8,FALSE))*VLOOKUP($A47,FY15SCHwoMapChg!$A$3:$S$23,MATCH(D$28,FY15SCHwoMapChg!$A$2:$S$2,0),FALSE)</f>
        <v>788.94620279377489</v>
      </c>
      <c r="E47" s="443">
        <f>+GPpcntSCH*(VLOOKUP($A47,FY15Revenue!$A$4:$H$24,8,FALSE))*VLOOKUP($A47,FY15SCHwoMapChg!$A$3:$S$23,MATCH(E$28,FY15SCHwoMapChg!$A$2:$S$2,0),FALSE)</f>
        <v>0</v>
      </c>
      <c r="F47" s="443">
        <f>+GPpcntSCH*(VLOOKUP($A47,FY15Revenue!$A$4:$H$24,8,FALSE))*VLOOKUP($A47,FY15SCHwoMapChg!$A$3:$S$23,MATCH(F$28,FY15SCHwoMapChg!$A$2:$S$2,0),FALSE)</f>
        <v>0</v>
      </c>
      <c r="G47" s="443">
        <f>+GPpcntSCH*(VLOOKUP($A47,FY15Revenue!$A$4:$H$24,8,FALSE))*VLOOKUP($A47,FY15SCHwoMapChg!$A$3:$S$23,MATCH(G$28,FY15SCHwoMapChg!$A$2:$S$2,0),FALSE)</f>
        <v>986.18275349221858</v>
      </c>
      <c r="H47" s="443">
        <f>+GPpcntSCH*(VLOOKUP($A47,FY15Revenue!$A$4:$H$24,8,FALSE))*VLOOKUP($A47,FY15SCHwoMapChg!$A$3:$S$23,MATCH(H$28,FY15SCHwoMapChg!$A$2:$S$2,0),FALSE)</f>
        <v>197.23655069844372</v>
      </c>
      <c r="I47" s="443">
        <f>+GPpcntSCH*(VLOOKUP($A47,FY15Revenue!$A$4:$H$24,8,FALSE))*VLOOKUP($A47,FY15SCHwoMapChg!$A$3:$S$23,MATCH(I$28,FY15SCHwoMapChg!$A$2:$S$2,0),FALSE)</f>
        <v>0</v>
      </c>
      <c r="J47" s="443">
        <f>+GPpcntSCH*(VLOOKUP($A47,FY15Revenue!$A$4:$H$24,8,FALSE))*VLOOKUP($A47,FY15SCHwoMapChg!$A$3:$S$23,MATCH(J$28,FY15SCHwoMapChg!$A$2:$S$2,0),FALSE)</f>
        <v>0</v>
      </c>
      <c r="K47" s="443">
        <f>+GPpcntSCH*(VLOOKUP($A47,FY15Revenue!$A$4:$H$24,8,FALSE))*VLOOKUP($A47,FY15SCHwoMapChg!$A$3:$S$23,MATCH(K$28,FY15SCHwoMapChg!$A$2:$S$2,0),FALSE)</f>
        <v>0</v>
      </c>
      <c r="L47" s="443">
        <f>+GPpcntSCH*(VLOOKUP($A47,FY15Revenue!$A$4:$H$24,8,FALSE))*VLOOKUP($A47,FY15SCHwoMapChg!$A$3:$S$23,MATCH(L$28,FY15SCHwoMapChg!$A$2:$S$2,0),FALSE)</f>
        <v>0</v>
      </c>
      <c r="M47" s="443">
        <f>+GPpcntSCH*(VLOOKUP($A47,FY15Revenue!$A$4:$H$24,8,FALSE))*VLOOKUP($A47,FY15SCHwoMapChg!$A$3:$S$23,MATCH(M$28,FY15SCHwoMapChg!$A$2:$S$2,0),FALSE)</f>
        <v>0</v>
      </c>
      <c r="N47" s="443">
        <f>+GPpcntSCH*(VLOOKUP($A47,FY15Revenue!$A$4:$H$24,8,FALSE))*VLOOKUP($A47,FY15SCHwoMapChg!$A$3:$S$23,MATCH(N$28,FY15SCHwoMapChg!$A$2:$S$2,0),FALSE)</f>
        <v>2795433.6330490429</v>
      </c>
      <c r="O47" s="443">
        <f>+GPpcntSCH*(VLOOKUP($A47,FY15Revenue!$A$4:$H$24,8,FALSE))*VLOOKUP($A47,FY15SCHwoMapChg!$A$3:$S$23,MATCH(O$28,FY15SCHwoMapChg!$A$2:$S$2,0),FALSE)</f>
        <v>0</v>
      </c>
      <c r="P47" s="443">
        <f>+GPpcntSCH*(VLOOKUP($A47,FY15Revenue!$A$4:$H$24,8,FALSE))*VLOOKUP($A47,FY15SCHwoMapChg!$A$3:$S$23,MATCH(P$28,FY15SCHwoMapChg!$A$2:$S$2,0),FALSE)</f>
        <v>0</v>
      </c>
      <c r="Q47" s="443">
        <f>+GPpcntSCH*(VLOOKUP($A47,FY15Revenue!$A$4:$H$24,8,FALSE))*VLOOKUP($A47,FY15SCHwoMapChg!$A$3:$S$23,MATCH(Q$28,FY15SCHwoMapChg!$A$2:$S$2,0),FALSE)</f>
        <v>6311.5696223501991</v>
      </c>
      <c r="R47" s="443">
        <f>+GPpcntSCH*(VLOOKUP($A47,FY15Revenue!$A$4:$H$24,8,FALSE))*VLOOKUP($A47,FY15SCHwoMapChg!$A$3:$S$23,MATCH(R$28,FY15SCHwoMapChg!$A$2:$S$2,0),FALSE)</f>
        <v>0</v>
      </c>
      <c r="S47" s="443">
        <f>+GPpcntSCH*(VLOOKUP($A47,FY15Revenue!$A$4:$H$24,8,FALSE))*VLOOKUP($A47,FY15SCHwoMapChg!$A$3:$S$23,MATCH(S$28,FY15SCHwoMapChg!$A$2:$S$2,0),FALSE)</f>
        <v>0</v>
      </c>
      <c r="T47" s="444">
        <f t="shared" si="4"/>
        <v>2803717.5681783776</v>
      </c>
    </row>
    <row r="48" spans="1:91" s="18" customFormat="1" ht="20.100000000000001" customHeight="1">
      <c r="A48" s="404" t="s">
        <v>156</v>
      </c>
      <c r="B48" s="440" t="s">
        <v>77</v>
      </c>
      <c r="C48" s="410">
        <f>+GPpcntSCH*(VLOOKUP($A48,FY15Revenue!$A$4:$H$24,8,FALSE))*VLOOKUP($A48,FY15SCHwoMapChg!$A$3:$S$23,MATCH(C$28,FY15SCHwoMapChg!$A$2:$S$2,0),FALSE)</f>
        <v>0</v>
      </c>
      <c r="D48" s="410">
        <f>+GPpcntSCH*(VLOOKUP($A48,FY15Revenue!$A$4:$H$24,8,FALSE))*VLOOKUP($A48,FY15SCHwoMapChg!$A$3:$S$23,MATCH(D$28,FY15SCHwoMapChg!$A$2:$S$2,0),FALSE)</f>
        <v>420.15073745705581</v>
      </c>
      <c r="E48" s="410">
        <f>+GPpcntSCH*(VLOOKUP($A48,FY15Revenue!$A$4:$H$24,8,FALSE))*VLOOKUP($A48,FY15SCHwoMapChg!$A$3:$S$23,MATCH(E$28,FY15SCHwoMapChg!$A$2:$S$2,0),FALSE)</f>
        <v>0</v>
      </c>
      <c r="F48" s="410">
        <f>+GPpcntSCH*(VLOOKUP($A48,FY15Revenue!$A$4:$H$24,8,FALSE))*VLOOKUP($A48,FY15SCHwoMapChg!$A$3:$S$23,MATCH(F$28,FY15SCHwoMapChg!$A$2:$S$2,0),FALSE)</f>
        <v>0</v>
      </c>
      <c r="G48" s="410">
        <f>+GPpcntSCH*(VLOOKUP($A48,FY15Revenue!$A$4:$H$24,8,FALSE))*VLOOKUP($A48,FY15SCHwoMapChg!$A$3:$S$23,MATCH(G$28,FY15SCHwoMapChg!$A$2:$S$2,0),FALSE)</f>
        <v>0</v>
      </c>
      <c r="H48" s="410">
        <f>+GPpcntSCH*(VLOOKUP($A48,FY15Revenue!$A$4:$H$24,8,FALSE))*VLOOKUP($A48,FY15SCHwoMapChg!$A$3:$S$23,MATCH(H$28,FY15SCHwoMapChg!$A$2:$S$2,0),FALSE)</f>
        <v>0</v>
      </c>
      <c r="I48" s="410">
        <f>+GPpcntSCH*(VLOOKUP($A48,FY15Revenue!$A$4:$H$24,8,FALSE))*VLOOKUP($A48,FY15SCHwoMapChg!$A$3:$S$23,MATCH(I$28,FY15SCHwoMapChg!$A$2:$S$2,0),FALSE)</f>
        <v>0</v>
      </c>
      <c r="J48" s="410">
        <f>+GPpcntSCH*(VLOOKUP($A48,FY15Revenue!$A$4:$H$24,8,FALSE))*VLOOKUP($A48,FY15SCHwoMapChg!$A$3:$S$23,MATCH(J$28,FY15SCHwoMapChg!$A$2:$S$2,0),FALSE)</f>
        <v>0</v>
      </c>
      <c r="K48" s="410">
        <f>+GPpcntSCH*(VLOOKUP($A48,FY15Revenue!$A$4:$H$24,8,FALSE))*VLOOKUP($A48,FY15SCHwoMapChg!$A$3:$S$23,MATCH(K$28,FY15SCHwoMapChg!$A$2:$S$2,0),FALSE)</f>
        <v>0</v>
      </c>
      <c r="L48" s="410">
        <f>+GPpcntSCH*(VLOOKUP($A48,FY15Revenue!$A$4:$H$24,8,FALSE))*VLOOKUP($A48,FY15SCHwoMapChg!$A$3:$S$23,MATCH(L$28,FY15SCHwoMapChg!$A$2:$S$2,0),FALSE)</f>
        <v>0</v>
      </c>
      <c r="M48" s="410">
        <f>+GPpcntSCH*(VLOOKUP($A48,FY15Revenue!$A$4:$H$24,8,FALSE))*VLOOKUP($A48,FY15SCHwoMapChg!$A$3:$S$23,MATCH(M$28,FY15SCHwoMapChg!$A$2:$S$2,0),FALSE)</f>
        <v>998348.17732087418</v>
      </c>
      <c r="N48" s="410">
        <f>+GPpcntSCH*(VLOOKUP($A48,FY15Revenue!$A$4:$H$24,8,FALSE))*VLOOKUP($A48,FY15SCHwoMapChg!$A$3:$S$23,MATCH(N$28,FY15SCHwoMapChg!$A$2:$S$2,0),FALSE)</f>
        <v>148663.33593688824</v>
      </c>
      <c r="O48" s="410">
        <f>+GPpcntSCH*(VLOOKUP($A48,FY15Revenue!$A$4:$H$24,8,FALSE))*VLOOKUP($A48,FY15SCHwoMapChg!$A$3:$S$23,MATCH(O$28,FY15SCHwoMapChg!$A$2:$S$2,0),FALSE)</f>
        <v>0</v>
      </c>
      <c r="P48" s="410">
        <f>+GPpcntSCH*(VLOOKUP($A48,FY15Revenue!$A$4:$H$24,8,FALSE))*VLOOKUP($A48,FY15SCHwoMapChg!$A$3:$S$23,MATCH(P$28,FY15SCHwoMapChg!$A$2:$S$2,0),FALSE)</f>
        <v>0</v>
      </c>
      <c r="Q48" s="410">
        <f>+GPpcntSCH*(VLOOKUP($A48,FY15Revenue!$A$4:$H$24,8,FALSE))*VLOOKUP($A48,FY15SCHwoMapChg!$A$3:$S$23,MATCH(Q$28,FY15SCHwoMapChg!$A$2:$S$2,0),FALSE)</f>
        <v>0</v>
      </c>
      <c r="R48" s="410">
        <f>+GPpcntSCH*(VLOOKUP($A48,FY15Revenue!$A$4:$H$24,8,FALSE))*VLOOKUP($A48,FY15SCHwoMapChg!$A$3:$S$23,MATCH(R$28,FY15SCHwoMapChg!$A$2:$S$2,0),FALSE)</f>
        <v>0</v>
      </c>
      <c r="S48" s="410">
        <f>+GPpcntSCH*(VLOOKUP($A48,FY15Revenue!$A$4:$H$24,8,FALSE))*VLOOKUP($A48,FY15SCHwoMapChg!$A$3:$S$23,MATCH(S$28,FY15SCHwoMapChg!$A$2:$S$2,0),FALSE)</f>
        <v>0</v>
      </c>
      <c r="T48" s="441">
        <f t="shared" si="4"/>
        <v>1147431.6639952194</v>
      </c>
    </row>
    <row r="49" spans="1:20" ht="20.100000000000001" customHeight="1">
      <c r="A49" s="404" t="s">
        <v>163</v>
      </c>
      <c r="B49" s="445" t="s">
        <v>164</v>
      </c>
      <c r="C49" s="443">
        <f>+GPpcntSCH*(VLOOKUP($A49,FY15Revenue!$A$4:$H$24,8,FALSE))*VLOOKUP($A49,FY15SCHwoMapChg!$A$3:$S$23,MATCH(C$28,FY15SCHwoMapChg!$A$2:$S$2,0),FALSE)</f>
        <v>0</v>
      </c>
      <c r="D49" s="443">
        <f>+GPpcntSCH*(VLOOKUP($A49,FY15Revenue!$A$4:$H$24,8,FALSE))*VLOOKUP($A49,FY15SCHwoMapChg!$A$3:$S$23,MATCH(D$28,FY15SCHwoMapChg!$A$2:$S$2,0),FALSE)</f>
        <v>0</v>
      </c>
      <c r="E49" s="443">
        <f>+GPpcntSCH*(VLOOKUP($A49,FY15Revenue!$A$4:$H$24,8,FALSE))*VLOOKUP($A49,FY15SCHwoMapChg!$A$3:$S$23,MATCH(E$28,FY15SCHwoMapChg!$A$2:$S$2,0),FALSE)</f>
        <v>0</v>
      </c>
      <c r="F49" s="443">
        <f>+GPpcntSCH*(VLOOKUP($A49,FY15Revenue!$A$4:$H$24,8,FALSE))*VLOOKUP($A49,FY15SCHwoMapChg!$A$3:$S$23,MATCH(F$28,FY15SCHwoMapChg!$A$2:$S$2,0),FALSE)</f>
        <v>0</v>
      </c>
      <c r="G49" s="443">
        <f>+GPpcntSCH*(VLOOKUP($A49,FY15Revenue!$A$4:$H$24,8,FALSE))*VLOOKUP($A49,FY15SCHwoMapChg!$A$3:$S$23,MATCH(G$28,FY15SCHwoMapChg!$A$2:$S$2,0),FALSE)</f>
        <v>0</v>
      </c>
      <c r="H49" s="443">
        <f>+GPpcntSCH*(VLOOKUP($A49,FY15Revenue!$A$4:$H$24,8,FALSE))*VLOOKUP($A49,FY15SCHwoMapChg!$A$3:$S$23,MATCH(H$28,FY15SCHwoMapChg!$A$2:$S$2,0),FALSE)</f>
        <v>0</v>
      </c>
      <c r="I49" s="443">
        <f>+GPpcntSCH*(VLOOKUP($A49,FY15Revenue!$A$4:$H$24,8,FALSE))*VLOOKUP($A49,FY15SCHwoMapChg!$A$3:$S$23,MATCH(I$28,FY15SCHwoMapChg!$A$2:$S$2,0),FALSE)</f>
        <v>0</v>
      </c>
      <c r="J49" s="443">
        <f>+GPpcntSCH*(VLOOKUP($A49,FY15Revenue!$A$4:$H$24,8,FALSE))*VLOOKUP($A49,FY15SCHwoMapChg!$A$3:$S$23,MATCH(J$28,FY15SCHwoMapChg!$A$2:$S$2,0),FALSE)</f>
        <v>0</v>
      </c>
      <c r="K49" s="443">
        <f>+GPpcntSCH*(VLOOKUP($A49,FY15Revenue!$A$4:$H$24,8,FALSE))*VLOOKUP($A49,FY15SCHwoMapChg!$A$3:$S$23,MATCH(K$28,FY15SCHwoMapChg!$A$2:$S$2,0),FALSE)</f>
        <v>0</v>
      </c>
      <c r="L49" s="443">
        <f>+GPpcntSCH*(VLOOKUP($A49,FY15Revenue!$A$4:$H$24,8,FALSE))*VLOOKUP($A49,FY15SCHwoMapChg!$A$3:$S$23,MATCH(L$28,FY15SCHwoMapChg!$A$2:$S$2,0),FALSE)</f>
        <v>0</v>
      </c>
      <c r="M49" s="443">
        <f>+GPpcntSCH*(VLOOKUP($A49,FY15Revenue!$A$4:$H$24,8,FALSE))*VLOOKUP($A49,FY15SCHwoMapChg!$A$3:$S$23,MATCH(M$28,FY15SCHwoMapChg!$A$2:$S$2,0),FALSE)</f>
        <v>171574.9886797514</v>
      </c>
      <c r="N49" s="443">
        <f>+GPpcntSCH*(VLOOKUP($A49,FY15Revenue!$A$4:$H$24,8,FALSE))*VLOOKUP($A49,FY15SCHwoMapChg!$A$3:$S$23,MATCH(N$28,FY15SCHwoMapChg!$A$2:$S$2,0),FALSE)</f>
        <v>1804.5913048841167</v>
      </c>
      <c r="O49" s="443">
        <f>+GPpcntSCH*(VLOOKUP($A49,FY15Revenue!$A$4:$H$24,8,FALSE))*VLOOKUP($A49,FY15SCHwoMapChg!$A$3:$S$23,MATCH(O$28,FY15SCHwoMapChg!$A$2:$S$2,0),FALSE)</f>
        <v>0</v>
      </c>
      <c r="P49" s="443">
        <f>+GPpcntSCH*(VLOOKUP($A49,FY15Revenue!$A$4:$H$24,8,FALSE))*VLOOKUP($A49,FY15SCHwoMapChg!$A$3:$S$23,MATCH(P$28,FY15SCHwoMapChg!$A$2:$S$2,0),FALSE)</f>
        <v>0</v>
      </c>
      <c r="Q49" s="443">
        <f>+GPpcntSCH*(VLOOKUP($A49,FY15Revenue!$A$4:$H$24,8,FALSE))*VLOOKUP($A49,FY15SCHwoMapChg!$A$3:$S$23,MATCH(Q$28,FY15SCHwoMapChg!$A$2:$S$2,0),FALSE)</f>
        <v>832.8882945618999</v>
      </c>
      <c r="R49" s="443">
        <f>+GPpcntSCH*(VLOOKUP($A49,FY15Revenue!$A$4:$H$24,8,FALSE))*VLOOKUP($A49,FY15SCHwoMapChg!$A$3:$S$23,MATCH(R$28,FY15SCHwoMapChg!$A$2:$S$2,0),FALSE)</f>
        <v>0</v>
      </c>
      <c r="S49" s="443">
        <f>+GPpcntSCH*(VLOOKUP($A49,FY15Revenue!$A$4:$H$24,8,FALSE))*VLOOKUP($A49,FY15SCHwoMapChg!$A$3:$S$23,MATCH(S$28,FY15SCHwoMapChg!$A$2:$S$2,0),FALSE)</f>
        <v>0</v>
      </c>
      <c r="T49" s="446">
        <f t="shared" si="4"/>
        <v>174212.46827919743</v>
      </c>
    </row>
    <row r="50" spans="1:20" ht="20.100000000000001" customHeight="1">
      <c r="A50" s="405"/>
      <c r="B50" s="447" t="s">
        <v>17</v>
      </c>
      <c r="C50" s="448">
        <f t="shared" ref="C50:S50" si="5">SUM(C29:C49)</f>
        <v>4478211.9470508723</v>
      </c>
      <c r="D50" s="448">
        <f t="shared" si="5"/>
        <v>108798496.15081923</v>
      </c>
      <c r="E50" s="448">
        <f t="shared" si="5"/>
        <v>11509952.599983597</v>
      </c>
      <c r="F50" s="448">
        <f t="shared" si="5"/>
        <v>3104404.2924931166</v>
      </c>
      <c r="G50" s="448">
        <f t="shared" si="5"/>
        <v>17204254.405248288</v>
      </c>
      <c r="H50" s="448">
        <f t="shared" si="5"/>
        <v>10051320.318813372</v>
      </c>
      <c r="I50" s="448">
        <f t="shared" si="5"/>
        <v>2313869.8917304655</v>
      </c>
      <c r="J50" s="448">
        <f t="shared" si="5"/>
        <v>2346202.1449864418</v>
      </c>
      <c r="K50" s="448">
        <f t="shared" si="5"/>
        <v>832926.49614609301</v>
      </c>
      <c r="L50" s="448">
        <f t="shared" si="5"/>
        <v>1129824.975410074</v>
      </c>
      <c r="M50" s="448">
        <f t="shared" si="5"/>
        <v>1180157.2085607252</v>
      </c>
      <c r="N50" s="448">
        <f t="shared" si="5"/>
        <v>8177573.3506673854</v>
      </c>
      <c r="O50" s="448">
        <f t="shared" si="5"/>
        <v>1670365.7852780125</v>
      </c>
      <c r="P50" s="448">
        <f t="shared" si="5"/>
        <v>1287516.5813108543</v>
      </c>
      <c r="Q50" s="448">
        <f t="shared" si="5"/>
        <v>3441222.4033128074</v>
      </c>
      <c r="R50" s="448">
        <f t="shared" si="5"/>
        <v>2232560.8282687133</v>
      </c>
      <c r="S50" s="448">
        <f t="shared" si="5"/>
        <v>382328.58407658356</v>
      </c>
      <c r="T50" s="448">
        <f>SUM(C50:S50)</f>
        <v>180141187.96415666</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+UGpcntDeg*(VLOOKUP($A53,FY15Revenue!$A$4:$H$24,8,FALSE))*VLOOKUP($A53,FY15MajorswoMapChg!$A$3:$S$23,MATCH(C$28,FY15MajorswoMapChg!$A$2:$S$2,0),FALSE)</f>
        <v>1406609.6318976409</v>
      </c>
      <c r="D53" s="455">
        <f>+UGpcntDeg*(VLOOKUP($A53,FY15Revenue!$A$4:$H$24,8,FALSE))*VLOOKUP($A53,FY15MajorswoMapChg!$A$3:$S$23,MATCH(D$28,FY15MajorswoMapChg!$A$2:$S$2,0),FALSE)</f>
        <v>70029065.245189697</v>
      </c>
      <c r="E53" s="455">
        <f>+UGpcntDeg*(VLOOKUP($A53,FY15Revenue!$A$4:$H$24,8,FALSE))*VLOOKUP($A53,FY15MajorswoMapChg!$A$3:$S$23,MATCH(E$28,FY15MajorswoMapChg!$A$2:$S$2,0),FALSE)</f>
        <v>11177522.967758039</v>
      </c>
      <c r="F53" s="455">
        <f>+UGpcntDeg*(VLOOKUP($A53,FY15Revenue!$A$4:$H$24,8,FALSE))*VLOOKUP($A53,FY15MajorswoMapChg!$A$3:$S$23,MATCH(F$28,FY15MajorswoMapChg!$A$2:$S$2,0),FALSE)</f>
        <v>1268460.4716219797</v>
      </c>
      <c r="G53" s="455">
        <f>+UGpcntDeg*(VLOOKUP($A53,FY15Revenue!$A$4:$H$24,8,FALSE))*VLOOKUP($A53,FY15MajorswoMapChg!$A$3:$S$23,MATCH(G$28,FY15MajorswoMapChg!$A$2:$S$2,0),FALSE)</f>
        <v>11654765.521437595</v>
      </c>
      <c r="H53" s="455">
        <f>+UGpcntDeg*(VLOOKUP($A53,FY15Revenue!$A$4:$H$24,8,FALSE))*VLOOKUP($A53,FY15MajorswoMapChg!$A$3:$S$23,MATCH(H$28,FY15MajorswoMapChg!$A$2:$S$2,0),FALSE)</f>
        <v>3704909.298301822</v>
      </c>
      <c r="I53" s="455">
        <f>+UGpcntDeg*(VLOOKUP($A53,FY15Revenue!$A$4:$H$24,8,FALSE))*VLOOKUP($A53,FY15MajorswoMapChg!$A$3:$S$23,MATCH(I$28,FY15MajorswoMapChg!$A$2:$S$2,0),FALSE)</f>
        <v>1255901.4570514651</v>
      </c>
      <c r="J53" s="455">
        <f>+UGpcntDeg*(VLOOKUP($A53,FY15Revenue!$A$4:$H$24,8,FALSE))*VLOOKUP($A53,FY15MajorswoMapChg!$A$3:$S$23,MATCH(J$28,FY15MajorswoMapChg!$A$2:$S$2,0),FALSE)</f>
        <v>0</v>
      </c>
      <c r="K53" s="455">
        <f>+UGpcntDeg*(VLOOKUP($A53,FY15Revenue!$A$4:$H$24,8,FALSE))*VLOOKUP($A53,FY15MajorswoMapChg!$A$3:$S$23,MATCH(K$28,FY15MajorswoMapChg!$A$2:$S$2,0),FALSE)</f>
        <v>0</v>
      </c>
      <c r="L53" s="455">
        <f>+UGpcntDeg*(VLOOKUP($A53,FY15Revenue!$A$4:$H$24,8,FALSE))*VLOOKUP($A53,FY15MajorswoMapChg!$A$3:$S$23,MATCH(L$28,FY15MajorswoMapChg!$A$2:$S$2,0),FALSE)</f>
        <v>514919.59739110072</v>
      </c>
      <c r="M53" s="455">
        <f>+UGpcntDeg*(VLOOKUP($A53,FY15Revenue!$A$4:$H$24,8,FALSE))*VLOOKUP($A53,FY15MajorswoMapChg!$A$3:$S$23,MATCH(M$28,FY15MajorswoMapChg!$A$2:$S$2,0),FALSE)</f>
        <v>0</v>
      </c>
      <c r="N53" s="455">
        <f>+UGpcntDeg*(VLOOKUP($A53,FY15Revenue!$A$4:$H$24,8,FALSE))*VLOOKUP($A53,FY15MajorswoMapChg!$A$3:$S$23,MATCH(N$28,FY15MajorswoMapChg!$A$2:$S$2,0),FALSE)</f>
        <v>2009442.3312823442</v>
      </c>
      <c r="O53" s="455">
        <f>+UGpcntDeg*(VLOOKUP($A53,FY15Revenue!$A$4:$H$24,8,FALSE))*VLOOKUP($A53,FY15MajorswoMapChg!$A$3:$S$23,MATCH(O$28,FY15MajorswoMapChg!$A$2:$S$2,0),FALSE)</f>
        <v>1783380.0690130803</v>
      </c>
      <c r="P53" s="455">
        <f>+UGpcntDeg*(VLOOKUP($A53,FY15Revenue!$A$4:$H$24,8,FALSE))*VLOOKUP($A53,FY15MajorswoMapChg!$A$3:$S$23,MATCH(P$28,FY15MajorswoMapChg!$A$2:$S$2,0),FALSE)</f>
        <v>0</v>
      </c>
      <c r="Q53" s="455">
        <f>+UGpcntDeg*(VLOOKUP($A53,FY15Revenue!$A$4:$H$24,8,FALSE))*VLOOKUP($A53,FY15MajorswoMapChg!$A$3:$S$23,MATCH(Q$28,FY15MajorswoMapChg!$A$2:$S$2,0),FALSE)</f>
        <v>2248063.6081221225</v>
      </c>
      <c r="R53" s="455">
        <f>+UGpcntDeg*(VLOOKUP($A53,FY15Revenue!$A$4:$H$24,8,FALSE))*VLOOKUP($A53,FY15MajorswoMapChg!$A$3:$S$23,MATCH(R$28,FY15MajorswoMapChg!$A$2:$S$2,0),FALSE)</f>
        <v>163267.18941669044</v>
      </c>
      <c r="S53" s="455">
        <f>+UGpcntDeg*(VLOOKUP($A53,FY15Revenue!$A$4:$H$24,8,FALSE))*VLOOKUP($A53,FY15MajorswoMapChg!$A$3:$S$23,MATCH(S$28,FY15MajorswoMapChg!$A$2:$S$2,0),FALSE)</f>
        <v>565155.65567315929</v>
      </c>
      <c r="T53" s="455">
        <f t="shared" ref="T53:T74" si="6">SUM(C53:Q53)+R53+S53</f>
        <v>107781463.04415675</v>
      </c>
    </row>
    <row r="54" spans="1:20" s="18" customFormat="1" ht="20.100000000000001" customHeight="1">
      <c r="A54" s="404" t="s">
        <v>129</v>
      </c>
      <c r="B54" s="440" t="s">
        <v>35</v>
      </c>
      <c r="C54" s="410">
        <f>+GPpcntMjr*(VLOOKUP($A54,FY15Revenue!$A$4:$H$24,8,FALSE))*VLOOKUP($A54,FY15MajorswoMapChg!$A$3:$S$23,MATCH(C$28,FY15MajorswoMapChg!$A$2:$S$2,0),FALSE)</f>
        <v>72981.291838369099</v>
      </c>
      <c r="D54" s="410">
        <f>+GPpcntMjr*(VLOOKUP($A54,FY15Revenue!$A$4:$H$24,8,FALSE))*VLOOKUP($A54,FY15MajorswoMapChg!$A$3:$S$23,MATCH(D$28,FY15MajorswoMapChg!$A$2:$S$2,0),FALSE)</f>
        <v>7392501.5439727306</v>
      </c>
      <c r="E54" s="410">
        <f>+GPpcntMjr*(VLOOKUP($A54,FY15Revenue!$A$4:$H$24,8,FALSE))*VLOOKUP($A54,FY15MajorswoMapChg!$A$3:$S$23,MATCH(E$28,FY15MajorswoMapChg!$A$2:$S$2,0),FALSE)</f>
        <v>275567.29159660055</v>
      </c>
      <c r="F54" s="410">
        <f>+GPpcntMjr*(VLOOKUP($A54,FY15Revenue!$A$4:$H$24,8,FALSE))*VLOOKUP($A54,FY15MajorswoMapChg!$A$3:$S$23,MATCH(F$28,FY15MajorswoMapChg!$A$2:$S$2,0),FALSE)</f>
        <v>23907.664567741598</v>
      </c>
      <c r="G54" s="410">
        <f>+GPpcntMjr*(VLOOKUP($A54,FY15Revenue!$A$4:$H$24,8,FALSE))*VLOOKUP($A54,FY15MajorswoMapChg!$A$3:$S$23,MATCH(G$28,FY15MajorswoMapChg!$A$2:$S$2,0),FALSE)</f>
        <v>454245.6267870905</v>
      </c>
      <c r="H54" s="410">
        <f>+GPpcntMjr*(VLOOKUP($A54,FY15Revenue!$A$4:$H$24,8,FALSE))*VLOOKUP($A54,FY15MajorswoMapChg!$A$3:$S$23,MATCH(H$28,FY15MajorswoMapChg!$A$2:$S$2,0),FALSE)</f>
        <v>0</v>
      </c>
      <c r="I54" s="410">
        <f>+GPpcntMjr*(VLOOKUP($A54,FY15Revenue!$A$4:$H$24,8,FALSE))*VLOOKUP($A54,FY15MajorswoMapChg!$A$3:$S$23,MATCH(I$28,FY15MajorswoMapChg!$A$2:$S$2,0),FALSE)</f>
        <v>187486.42213649992</v>
      </c>
      <c r="J54" s="410">
        <f>+GPpcntMjr*(VLOOKUP($A54,FY15Revenue!$A$4:$H$24,8,FALSE))*VLOOKUP($A54,FY15MajorswoMapChg!$A$3:$S$23,MATCH(J$28,FY15MajorswoMapChg!$A$2:$S$2,0),FALSE)</f>
        <v>3774.894405432884</v>
      </c>
      <c r="K54" s="410">
        <f>+GPpcntMjr*(VLOOKUP($A54,FY15Revenue!$A$4:$H$24,8,FALSE))*VLOOKUP($A54,FY15MajorswoMapChg!$A$3:$S$23,MATCH(K$28,FY15MajorswoMapChg!$A$2:$S$2,0),FALSE)</f>
        <v>65431.50302750332</v>
      </c>
      <c r="L54" s="410">
        <f>+GPpcntMjr*(VLOOKUP($A54,FY15Revenue!$A$4:$H$24,8,FALSE))*VLOOKUP($A54,FY15MajorswoMapChg!$A$3:$S$23,MATCH(L$28,FY15MajorswoMapChg!$A$2:$S$2,0),FALSE)</f>
        <v>1258.2981351442947</v>
      </c>
      <c r="M54" s="410">
        <f>+GPpcntMjr*(VLOOKUP($A54,FY15Revenue!$A$4:$H$24,8,FALSE))*VLOOKUP($A54,FY15MajorswoMapChg!$A$3:$S$23,MATCH(M$28,FY15MajorswoMapChg!$A$2:$S$2,0),FALSE)</f>
        <v>0</v>
      </c>
      <c r="N54" s="410">
        <f>+GPpcntMjr*(VLOOKUP($A54,FY15Revenue!$A$4:$H$24,8,FALSE))*VLOOKUP($A54,FY15MajorswoMapChg!$A$3:$S$23,MATCH(N$28,FY15MajorswoMapChg!$A$2:$S$2,0),FALSE)</f>
        <v>1609363.3148495527</v>
      </c>
      <c r="O54" s="410">
        <f>+GPpcntMjr*(VLOOKUP($A54,FY15Revenue!$A$4:$H$24,8,FALSE))*VLOOKUP($A54,FY15MajorswoMapChg!$A$3:$S$23,MATCH(O$28,FY15MajorswoMapChg!$A$2:$S$2,0),FALSE)</f>
        <v>2516.5962702885895</v>
      </c>
      <c r="P54" s="410">
        <f>+GPpcntMjr*(VLOOKUP($A54,FY15Revenue!$A$4:$H$24,8,FALSE))*VLOOKUP($A54,FY15MajorswoMapChg!$A$3:$S$23,MATCH(P$28,FY15MajorswoMapChg!$A$2:$S$2,0),FALSE)</f>
        <v>261726.01211001328</v>
      </c>
      <c r="Q54" s="410">
        <f>+GPpcntMjr*(VLOOKUP($A54,FY15Revenue!$A$4:$H$24,8,FALSE))*VLOOKUP($A54,FY15MajorswoMapChg!$A$3:$S$23,MATCH(Q$28,FY15MajorswoMapChg!$A$2:$S$2,0),FALSE)</f>
        <v>2516.5962702885895</v>
      </c>
      <c r="R54" s="410">
        <f>+GPpcntMjr*(VLOOKUP($A54,FY15Revenue!$A$4:$H$24,8,FALSE))*VLOOKUP($A54,FY15MajorswoMapChg!$A$3:$S$23,MATCH(R$28,FY15MajorswoMapChg!$A$2:$S$2,0),FALSE)</f>
        <v>0</v>
      </c>
      <c r="S54" s="410">
        <f>+GPpcntMjr*(VLOOKUP($A54,FY15Revenue!$A$4:$H$24,8,FALSE))*VLOOKUP($A54,FY15MajorswoMapChg!$A$3:$S$23,MATCH(S$28,FY15MajorswoMapChg!$A$2:$S$2,0),FALSE)</f>
        <v>936173.81254735531</v>
      </c>
      <c r="T54" s="410">
        <f t="shared" si="6"/>
        <v>11289450.868514612</v>
      </c>
    </row>
    <row r="55" spans="1:20" ht="20.100000000000001" customHeight="1">
      <c r="A55" s="404" t="s">
        <v>140</v>
      </c>
      <c r="B55" s="456" t="s">
        <v>36</v>
      </c>
      <c r="C55" s="457">
        <f>+GPpcntMjr*(VLOOKUP($A55,FY15Revenue!$A$4:$H$24,8,FALSE))*VLOOKUP($A55,FY15MajorswoMapChg!$A$3:$S$23,MATCH(C$28,FY15MajorswoMapChg!$A$2:$S$2,0),FALSE)</f>
        <v>0</v>
      </c>
      <c r="D55" s="457">
        <f>+GPpcntMjr*(VLOOKUP($A55,FY15Revenue!$A$4:$H$24,8,FALSE))*VLOOKUP($A55,FY15MajorswoMapChg!$A$3:$S$23,MATCH(D$28,FY15MajorswoMapChg!$A$2:$S$2,0),FALSE)</f>
        <v>0</v>
      </c>
      <c r="E55" s="457">
        <f>+GPpcntMjr*(VLOOKUP($A55,FY15Revenue!$A$4:$H$24,8,FALSE))*VLOOKUP($A55,FY15MajorswoMapChg!$A$3:$S$23,MATCH(E$28,FY15MajorswoMapChg!$A$2:$S$2,0),FALSE)</f>
        <v>0</v>
      </c>
      <c r="F55" s="457">
        <f>+GPpcntMjr*(VLOOKUP($A55,FY15Revenue!$A$4:$H$24,8,FALSE))*VLOOKUP($A55,FY15MajorswoMapChg!$A$3:$S$23,MATCH(F$28,FY15MajorswoMapChg!$A$2:$S$2,0),FALSE)</f>
        <v>0</v>
      </c>
      <c r="G55" s="457">
        <f>+GPpcntMjr*(VLOOKUP($A55,FY15Revenue!$A$4:$H$24,8,FALSE))*VLOOKUP($A55,FY15MajorswoMapChg!$A$3:$S$23,MATCH(G$28,FY15MajorswoMapChg!$A$2:$S$2,0),FALSE)</f>
        <v>0</v>
      </c>
      <c r="H55" s="457">
        <f>+GPpcntMjr*(VLOOKUP($A55,FY15Revenue!$A$4:$H$24,8,FALSE))*VLOOKUP($A55,FY15MajorswoMapChg!$A$3:$S$23,MATCH(H$28,FY15MajorswoMapChg!$A$2:$S$2,0),FALSE)</f>
        <v>0</v>
      </c>
      <c r="I55" s="457">
        <f>+GPpcntMjr*(VLOOKUP($A55,FY15Revenue!$A$4:$H$24,8,FALSE))*VLOOKUP($A55,FY15MajorswoMapChg!$A$3:$S$23,MATCH(I$28,FY15MajorswoMapChg!$A$2:$S$2,0),FALSE)</f>
        <v>0</v>
      </c>
      <c r="J55" s="457">
        <f>+GPpcntMjr*(VLOOKUP($A55,FY15Revenue!$A$4:$H$24,8,FALSE))*VLOOKUP($A55,FY15MajorswoMapChg!$A$3:$S$23,MATCH(J$28,FY15MajorswoMapChg!$A$2:$S$2,0),FALSE)</f>
        <v>0</v>
      </c>
      <c r="K55" s="457">
        <f>+GPpcntMjr*(VLOOKUP($A55,FY15Revenue!$A$4:$H$24,8,FALSE))*VLOOKUP($A55,FY15MajorswoMapChg!$A$3:$S$23,MATCH(K$28,FY15MajorswoMapChg!$A$2:$S$2,0),FALSE)</f>
        <v>0</v>
      </c>
      <c r="L55" s="457">
        <f>+GPpcntMjr*(VLOOKUP($A55,FY15Revenue!$A$4:$H$24,8,FALSE))*VLOOKUP($A55,FY15MajorswoMapChg!$A$3:$S$23,MATCH(L$28,FY15MajorswoMapChg!$A$2:$S$2,0),FALSE)</f>
        <v>227780.1325244364</v>
      </c>
      <c r="M55" s="457">
        <f>+GPpcntMjr*(VLOOKUP($A55,FY15Revenue!$A$4:$H$24,8,FALSE))*VLOOKUP($A55,FY15MajorswoMapChg!$A$3:$S$23,MATCH(M$28,FY15MajorswoMapChg!$A$2:$S$2,0),FALSE)</f>
        <v>0</v>
      </c>
      <c r="N55" s="457">
        <f>+GPpcntMjr*(VLOOKUP($A55,FY15Revenue!$A$4:$H$24,8,FALSE))*VLOOKUP($A55,FY15MajorswoMapChg!$A$3:$S$23,MATCH(N$28,FY15MajorswoMapChg!$A$2:$S$2,0),FALSE)</f>
        <v>693137.39252059686</v>
      </c>
      <c r="O55" s="457">
        <f>+GPpcntMjr*(VLOOKUP($A55,FY15Revenue!$A$4:$H$24,8,FALSE))*VLOOKUP($A55,FY15MajorswoMapChg!$A$3:$S$23,MATCH(O$28,FY15MajorswoMapChg!$A$2:$S$2,0),FALSE)</f>
        <v>0</v>
      </c>
      <c r="P55" s="457">
        <f>+GPpcntMjr*(VLOOKUP($A55,FY15Revenue!$A$4:$H$24,8,FALSE))*VLOOKUP($A55,FY15MajorswoMapChg!$A$3:$S$23,MATCH(P$28,FY15MajorswoMapChg!$A$2:$S$2,0),FALSE)</f>
        <v>0</v>
      </c>
      <c r="Q55" s="457">
        <f>+GPpcntMjr*(VLOOKUP($A55,FY15Revenue!$A$4:$H$24,8,FALSE))*VLOOKUP($A55,FY15MajorswoMapChg!$A$3:$S$23,MATCH(Q$28,FY15MajorswoMapChg!$A$2:$S$2,0),FALSE)</f>
        <v>0</v>
      </c>
      <c r="R55" s="457">
        <f>+GPpcntMjr*(VLOOKUP($A55,FY15Revenue!$A$4:$H$24,8,FALSE))*VLOOKUP($A55,FY15MajorswoMapChg!$A$3:$S$23,MATCH(R$28,FY15MajorswoMapChg!$A$2:$S$2,0),FALSE)</f>
        <v>0</v>
      </c>
      <c r="S55" s="457">
        <f>+GPpcntMjr*(VLOOKUP($A55,FY15Revenue!$A$4:$H$24,8,FALSE))*VLOOKUP($A55,FY15MajorswoMapChg!$A$3:$S$23,MATCH(S$28,FY15MajorswoMapChg!$A$2:$S$2,0),FALSE)</f>
        <v>0</v>
      </c>
      <c r="T55" s="457">
        <f t="shared" si="6"/>
        <v>920917.52504503331</v>
      </c>
    </row>
    <row r="56" spans="1:20" s="18" customFormat="1" ht="20.100000000000001" customHeight="1">
      <c r="A56" s="404" t="s">
        <v>130</v>
      </c>
      <c r="B56" s="440" t="s">
        <v>37</v>
      </c>
      <c r="C56" s="410">
        <f>+GPpcntMjr*(VLOOKUP($A56,FY15Revenue!$A$4:$H$24,8,FALSE))*VLOOKUP($A56,FY15MajorswoMapChg!$A$3:$S$23,MATCH(C$28,FY15MajorswoMapChg!$A$2:$S$2,0),FALSE)</f>
        <v>1930.5116090897452</v>
      </c>
      <c r="D56" s="410">
        <f>+GPpcntMjr*(VLOOKUP($A56,FY15Revenue!$A$4:$H$24,8,FALSE))*VLOOKUP($A56,FY15MajorswoMapChg!$A$3:$S$23,MATCH(D$28,FY15MajorswoMapChg!$A$2:$S$2,0),FALSE)</f>
        <v>48262.790227243626</v>
      </c>
      <c r="E56" s="410">
        <f>+GPpcntMjr*(VLOOKUP($A56,FY15Revenue!$A$4:$H$24,8,FALSE))*VLOOKUP($A56,FY15MajorswoMapChg!$A$3:$S$23,MATCH(E$28,FY15MajorswoMapChg!$A$2:$S$2,0),FALSE)</f>
        <v>13513.581263628219</v>
      </c>
      <c r="F56" s="410">
        <f>+GPpcntMjr*(VLOOKUP($A56,FY15Revenue!$A$4:$H$24,8,FALSE))*VLOOKUP($A56,FY15MajorswoMapChg!$A$3:$S$23,MATCH(F$28,FY15MajorswoMapChg!$A$2:$S$2,0),FALSE)</f>
        <v>11583.069654538473</v>
      </c>
      <c r="G56" s="410">
        <f>+GPpcntMjr*(VLOOKUP($A56,FY15Revenue!$A$4:$H$24,8,FALSE))*VLOOKUP($A56,FY15MajorswoMapChg!$A$3:$S$23,MATCH(G$28,FY15MajorswoMapChg!$A$2:$S$2,0),FALSE)</f>
        <v>5772229.7111783382</v>
      </c>
      <c r="H56" s="410">
        <f>+GPpcntMjr*(VLOOKUP($A56,FY15Revenue!$A$4:$H$24,8,FALSE))*VLOOKUP($A56,FY15MajorswoMapChg!$A$3:$S$23,MATCH(H$28,FY15MajorswoMapChg!$A$2:$S$2,0),FALSE)</f>
        <v>3861.0232181794904</v>
      </c>
      <c r="I56" s="410">
        <f>+GPpcntMjr*(VLOOKUP($A56,FY15Revenue!$A$4:$H$24,8,FALSE))*VLOOKUP($A56,FY15MajorswoMapChg!$A$3:$S$23,MATCH(I$28,FY15MajorswoMapChg!$A$2:$S$2,0),FALSE)</f>
        <v>0</v>
      </c>
      <c r="J56" s="410">
        <f>+GPpcntMjr*(VLOOKUP($A56,FY15Revenue!$A$4:$H$24,8,FALSE))*VLOOKUP($A56,FY15MajorswoMapChg!$A$3:$S$23,MATCH(J$28,FY15MajorswoMapChg!$A$2:$S$2,0),FALSE)</f>
        <v>17374.60448180771</v>
      </c>
      <c r="K56" s="410">
        <f>+GPpcntMjr*(VLOOKUP($A56,FY15Revenue!$A$4:$H$24,8,FALSE))*VLOOKUP($A56,FY15MajorswoMapChg!$A$3:$S$23,MATCH(K$28,FY15MajorswoMapChg!$A$2:$S$2,0),FALSE)</f>
        <v>0</v>
      </c>
      <c r="L56" s="410">
        <f>+GPpcntMjr*(VLOOKUP($A56,FY15Revenue!$A$4:$H$24,8,FALSE))*VLOOKUP($A56,FY15MajorswoMapChg!$A$3:$S$23,MATCH(L$28,FY15MajorswoMapChg!$A$2:$S$2,0),FALSE)</f>
        <v>0</v>
      </c>
      <c r="M56" s="410">
        <f>+GPpcntMjr*(VLOOKUP($A56,FY15Revenue!$A$4:$H$24,8,FALSE))*VLOOKUP($A56,FY15MajorswoMapChg!$A$3:$S$23,MATCH(M$28,FY15MajorswoMapChg!$A$2:$S$2,0),FALSE)</f>
        <v>0</v>
      </c>
      <c r="N56" s="410">
        <f>+GPpcntMjr*(VLOOKUP($A56,FY15Revenue!$A$4:$H$24,8,FALSE))*VLOOKUP($A56,FY15MajorswoMapChg!$A$3:$S$23,MATCH(N$28,FY15MajorswoMapChg!$A$2:$S$2,0),FALSE)</f>
        <v>86873.022409038531</v>
      </c>
      <c r="O56" s="410">
        <f>+GPpcntMjr*(VLOOKUP($A56,FY15Revenue!$A$4:$H$24,8,FALSE))*VLOOKUP($A56,FY15MajorswoMapChg!$A$3:$S$23,MATCH(O$28,FY15MajorswoMapChg!$A$2:$S$2,0),FALSE)</f>
        <v>376449.76377250039</v>
      </c>
      <c r="P56" s="410">
        <f>+GPpcntMjr*(VLOOKUP($A56,FY15Revenue!$A$4:$H$24,8,FALSE))*VLOOKUP($A56,FY15MajorswoMapChg!$A$3:$S$23,MATCH(P$28,FY15MajorswoMapChg!$A$2:$S$2,0),FALSE)</f>
        <v>0</v>
      </c>
      <c r="Q56" s="410">
        <f>+GPpcntMjr*(VLOOKUP($A56,FY15Revenue!$A$4:$H$24,8,FALSE))*VLOOKUP($A56,FY15MajorswoMapChg!$A$3:$S$23,MATCH(Q$28,FY15MajorswoMapChg!$A$2:$S$2,0),FALSE)</f>
        <v>77220.464363589825</v>
      </c>
      <c r="R56" s="410">
        <f>+GPpcntMjr*(VLOOKUP($A56,FY15Revenue!$A$4:$H$24,8,FALSE))*VLOOKUP($A56,FY15MajorswoMapChg!$A$3:$S$23,MATCH(R$28,FY15MajorswoMapChg!$A$2:$S$2,0),FALSE)</f>
        <v>0</v>
      </c>
      <c r="S56" s="410">
        <f>+GPpcntMjr*(VLOOKUP($A56,FY15Revenue!$A$4:$H$24,8,FALSE))*VLOOKUP($A56,FY15MajorswoMapChg!$A$3:$S$23,MATCH(S$28,FY15MajorswoMapChg!$A$2:$S$2,0),FALSE)</f>
        <v>86873.022409038531</v>
      </c>
      <c r="T56" s="410">
        <f t="shared" si="6"/>
        <v>6496171.5645869933</v>
      </c>
    </row>
    <row r="57" spans="1:20" ht="20.100000000000001" customHeight="1">
      <c r="A57" s="404" t="s">
        <v>131</v>
      </c>
      <c r="B57" s="456" t="s">
        <v>141</v>
      </c>
      <c r="C57" s="457">
        <f>+GPpcntMjr*(VLOOKUP($A57,FY15Revenue!$A$4:$H$24,8,FALSE))*VLOOKUP($A57,FY15MajorswoMapChg!$A$3:$S$23,MATCH(C$28,FY15MajorswoMapChg!$A$2:$S$2,0),FALSE)</f>
        <v>0</v>
      </c>
      <c r="D57" s="457">
        <f>+GPpcntMjr*(VLOOKUP($A57,FY15Revenue!$A$4:$H$24,8,FALSE))*VLOOKUP($A57,FY15MajorswoMapChg!$A$3:$S$23,MATCH(D$28,FY15MajorswoMapChg!$A$2:$S$2,0),FALSE)</f>
        <v>51448.644212970983</v>
      </c>
      <c r="E57" s="457">
        <f>+GPpcntMjr*(VLOOKUP($A57,FY15Revenue!$A$4:$H$24,8,FALSE))*VLOOKUP($A57,FY15MajorswoMapChg!$A$3:$S$23,MATCH(E$28,FY15MajorswoMapChg!$A$2:$S$2,0),FALSE)</f>
        <v>0</v>
      </c>
      <c r="F57" s="457">
        <f>+GPpcntMjr*(VLOOKUP($A57,FY15Revenue!$A$4:$H$24,8,FALSE))*VLOOKUP($A57,FY15MajorswoMapChg!$A$3:$S$23,MATCH(F$28,FY15MajorswoMapChg!$A$2:$S$2,0),FALSE)</f>
        <v>0</v>
      </c>
      <c r="G57" s="457">
        <f>+GPpcntMjr*(VLOOKUP($A57,FY15Revenue!$A$4:$H$24,8,FALSE))*VLOOKUP($A57,FY15MajorswoMapChg!$A$3:$S$23,MATCH(G$28,FY15MajorswoMapChg!$A$2:$S$2,0),FALSE)</f>
        <v>0</v>
      </c>
      <c r="H57" s="457">
        <f>+GPpcntMjr*(VLOOKUP($A57,FY15Revenue!$A$4:$H$24,8,FALSE))*VLOOKUP($A57,FY15MajorswoMapChg!$A$3:$S$23,MATCH(H$28,FY15MajorswoMapChg!$A$2:$S$2,0),FALSE)</f>
        <v>2852312.8351671109</v>
      </c>
      <c r="I57" s="457">
        <f>+GPpcntMjr*(VLOOKUP($A57,FY15Revenue!$A$4:$H$24,8,FALSE))*VLOOKUP($A57,FY15MajorswoMapChg!$A$3:$S$23,MATCH(I$28,FY15MajorswoMapChg!$A$2:$S$2,0),FALSE)</f>
        <v>0</v>
      </c>
      <c r="J57" s="457">
        <f>+GPpcntMjr*(VLOOKUP($A57,FY15Revenue!$A$4:$H$24,8,FALSE))*VLOOKUP($A57,FY15MajorswoMapChg!$A$3:$S$23,MATCH(J$28,FY15MajorswoMapChg!$A$2:$S$2,0),FALSE)</f>
        <v>0</v>
      </c>
      <c r="K57" s="457">
        <f>+GPpcntMjr*(VLOOKUP($A57,FY15Revenue!$A$4:$H$24,8,FALSE))*VLOOKUP($A57,FY15MajorswoMapChg!$A$3:$S$23,MATCH(K$28,FY15MajorswoMapChg!$A$2:$S$2,0),FALSE)</f>
        <v>0</v>
      </c>
      <c r="L57" s="457">
        <f>+GPpcntMjr*(VLOOKUP($A57,FY15Revenue!$A$4:$H$24,8,FALSE))*VLOOKUP($A57,FY15MajorswoMapChg!$A$3:$S$23,MATCH(L$28,FY15MajorswoMapChg!$A$2:$S$2,0),FALSE)</f>
        <v>0</v>
      </c>
      <c r="M57" s="457">
        <f>+GPpcntMjr*(VLOOKUP($A57,FY15Revenue!$A$4:$H$24,8,FALSE))*VLOOKUP($A57,FY15MajorswoMapChg!$A$3:$S$23,MATCH(M$28,FY15MajorswoMapChg!$A$2:$S$2,0),FALSE)</f>
        <v>0</v>
      </c>
      <c r="N57" s="457">
        <f>+GPpcntMjr*(VLOOKUP($A57,FY15Revenue!$A$4:$H$24,8,FALSE))*VLOOKUP($A57,FY15MajorswoMapChg!$A$3:$S$23,MATCH(N$28,FY15MajorswoMapChg!$A$2:$S$2,0),FALSE)</f>
        <v>0</v>
      </c>
      <c r="O57" s="457">
        <f>+GPpcntMjr*(VLOOKUP($A57,FY15Revenue!$A$4:$H$24,8,FALSE))*VLOOKUP($A57,FY15MajorswoMapChg!$A$3:$S$23,MATCH(O$28,FY15MajorswoMapChg!$A$2:$S$2,0),FALSE)</f>
        <v>0</v>
      </c>
      <c r="P57" s="457">
        <f>+GPpcntMjr*(VLOOKUP($A57,FY15Revenue!$A$4:$H$24,8,FALSE))*VLOOKUP($A57,FY15MajorswoMapChg!$A$3:$S$23,MATCH(P$28,FY15MajorswoMapChg!$A$2:$S$2,0),FALSE)</f>
        <v>0</v>
      </c>
      <c r="Q57" s="457">
        <f>+GPpcntMjr*(VLOOKUP($A57,FY15Revenue!$A$4:$H$24,8,FALSE))*VLOOKUP($A57,FY15MajorswoMapChg!$A$3:$S$23,MATCH(Q$28,FY15MajorswoMapChg!$A$2:$S$2,0),FALSE)</f>
        <v>0</v>
      </c>
      <c r="R57" s="457">
        <f>+GPpcntMjr*(VLOOKUP($A57,FY15Revenue!$A$4:$H$24,8,FALSE))*VLOOKUP($A57,FY15MajorswoMapChg!$A$3:$S$23,MATCH(R$28,FY15MajorswoMapChg!$A$2:$S$2,0),FALSE)</f>
        <v>0</v>
      </c>
      <c r="S57" s="457">
        <f>+GPpcntMjr*(VLOOKUP($A57,FY15Revenue!$A$4:$H$24,8,FALSE))*VLOOKUP($A57,FY15MajorswoMapChg!$A$3:$S$23,MATCH(S$28,FY15MajorswoMapChg!$A$2:$S$2,0),FALSE)</f>
        <v>0</v>
      </c>
      <c r="T57" s="457">
        <f t="shared" si="6"/>
        <v>2903761.4793800819</v>
      </c>
    </row>
    <row r="58" spans="1:20" s="18" customFormat="1" ht="20.100000000000001" customHeight="1">
      <c r="A58" s="404" t="s">
        <v>132</v>
      </c>
      <c r="B58" s="440" t="s">
        <v>206</v>
      </c>
      <c r="C58" s="410">
        <f>+GPpcntMjr*(VLOOKUP($A58,FY15Revenue!$A$4:$H$24,8,FALSE))*VLOOKUP($A58,FY15MajorswoMapChg!$A$3:$S$23,MATCH(C$28,FY15MajorswoMapChg!$A$2:$S$2,0),FALSE)</f>
        <v>0</v>
      </c>
      <c r="D58" s="410">
        <f>+GPpcntMjr*(VLOOKUP($A58,FY15Revenue!$A$4:$H$24,8,FALSE))*VLOOKUP($A58,FY15MajorswoMapChg!$A$3:$S$23,MATCH(D$28,FY15MajorswoMapChg!$A$2:$S$2,0),FALSE)</f>
        <v>6056.2172147470174</v>
      </c>
      <c r="E58" s="410">
        <f>+GPpcntMjr*(VLOOKUP($A58,FY15Revenue!$A$4:$H$24,8,FALSE))*VLOOKUP($A58,FY15MajorswoMapChg!$A$3:$S$23,MATCH(E$28,FY15MajorswoMapChg!$A$2:$S$2,0),FALSE)</f>
        <v>0</v>
      </c>
      <c r="F58" s="410">
        <f>+GPpcntMjr*(VLOOKUP($A58,FY15Revenue!$A$4:$H$24,8,FALSE))*VLOOKUP($A58,FY15MajorswoMapChg!$A$3:$S$23,MATCH(F$28,FY15MajorswoMapChg!$A$2:$S$2,0),FALSE)</f>
        <v>3498474.8110521934</v>
      </c>
      <c r="G58" s="410">
        <f>+GPpcntMjr*(VLOOKUP($A58,FY15Revenue!$A$4:$H$24,8,FALSE))*VLOOKUP($A58,FY15MajorswoMapChg!$A$3:$S$23,MATCH(G$28,FY15MajorswoMapChg!$A$2:$S$2,0),FALSE)</f>
        <v>0</v>
      </c>
      <c r="H58" s="410">
        <f>+GPpcntMjr*(VLOOKUP($A58,FY15Revenue!$A$4:$H$24,8,FALSE))*VLOOKUP($A58,FY15MajorswoMapChg!$A$3:$S$23,MATCH(H$28,FY15MajorswoMapChg!$A$2:$S$2,0),FALSE)</f>
        <v>0</v>
      </c>
      <c r="I58" s="410">
        <f>+GPpcntMjr*(VLOOKUP($A58,FY15Revenue!$A$4:$H$24,8,FALSE))*VLOOKUP($A58,FY15MajorswoMapChg!$A$3:$S$23,MATCH(I$28,FY15MajorswoMapChg!$A$2:$S$2,0),FALSE)</f>
        <v>0</v>
      </c>
      <c r="J58" s="410">
        <f>+GPpcntMjr*(VLOOKUP($A58,FY15Revenue!$A$4:$H$24,8,FALSE))*VLOOKUP($A58,FY15MajorswoMapChg!$A$3:$S$23,MATCH(J$28,FY15MajorswoMapChg!$A$2:$S$2,0),FALSE)</f>
        <v>0</v>
      </c>
      <c r="K58" s="410">
        <f>+GPpcntMjr*(VLOOKUP($A58,FY15Revenue!$A$4:$H$24,8,FALSE))*VLOOKUP($A58,FY15MajorswoMapChg!$A$3:$S$23,MATCH(K$28,FY15MajorswoMapChg!$A$2:$S$2,0),FALSE)</f>
        <v>0</v>
      </c>
      <c r="L58" s="410">
        <f>+GPpcntMjr*(VLOOKUP($A58,FY15Revenue!$A$4:$H$24,8,FALSE))*VLOOKUP($A58,FY15MajorswoMapChg!$A$3:$S$23,MATCH(L$28,FY15MajorswoMapChg!$A$2:$S$2,0),FALSE)</f>
        <v>0</v>
      </c>
      <c r="M58" s="410">
        <f>+GPpcntMjr*(VLOOKUP($A58,FY15Revenue!$A$4:$H$24,8,FALSE))*VLOOKUP($A58,FY15MajorswoMapChg!$A$3:$S$23,MATCH(M$28,FY15MajorswoMapChg!$A$2:$S$2,0),FALSE)</f>
        <v>0</v>
      </c>
      <c r="N58" s="410">
        <f>+GPpcntMjr*(VLOOKUP($A58,FY15Revenue!$A$4:$H$24,8,FALSE))*VLOOKUP($A58,FY15MajorswoMapChg!$A$3:$S$23,MATCH(N$28,FY15MajorswoMapChg!$A$2:$S$2,0),FALSE)</f>
        <v>0</v>
      </c>
      <c r="O58" s="410">
        <f>+GPpcntMjr*(VLOOKUP($A58,FY15Revenue!$A$4:$H$24,8,FALSE))*VLOOKUP($A58,FY15MajorswoMapChg!$A$3:$S$23,MATCH(O$28,FY15MajorswoMapChg!$A$2:$S$2,0),FALSE)</f>
        <v>0</v>
      </c>
      <c r="P58" s="410">
        <f>+GPpcntMjr*(VLOOKUP($A58,FY15Revenue!$A$4:$H$24,8,FALSE))*VLOOKUP($A58,FY15MajorswoMapChg!$A$3:$S$23,MATCH(P$28,FY15MajorswoMapChg!$A$2:$S$2,0),FALSE)</f>
        <v>0</v>
      </c>
      <c r="Q58" s="410">
        <f>+GPpcntMjr*(VLOOKUP($A58,FY15Revenue!$A$4:$H$24,8,FALSE))*VLOOKUP($A58,FY15MajorswoMapChg!$A$3:$S$23,MATCH(Q$28,FY15MajorswoMapChg!$A$2:$S$2,0),FALSE)</f>
        <v>0</v>
      </c>
      <c r="R58" s="410">
        <f>+GPpcntMjr*(VLOOKUP($A58,FY15Revenue!$A$4:$H$24,8,FALSE))*VLOOKUP($A58,FY15MajorswoMapChg!$A$3:$S$23,MATCH(R$28,FY15MajorswoMapChg!$A$2:$S$2,0),FALSE)</f>
        <v>0</v>
      </c>
      <c r="S58" s="410">
        <f>+GPpcntMjr*(VLOOKUP($A58,FY15Revenue!$A$4:$H$24,8,FALSE))*VLOOKUP($A58,FY15MajorswoMapChg!$A$3:$S$23,MATCH(S$28,FY15MajorswoMapChg!$A$2:$S$2,0),FALSE)</f>
        <v>0</v>
      </c>
      <c r="T58" s="410">
        <f t="shared" si="6"/>
        <v>3504531.0282669403</v>
      </c>
    </row>
    <row r="59" spans="1:20" ht="20.100000000000001" customHeight="1">
      <c r="A59" s="404" t="s">
        <v>134</v>
      </c>
      <c r="B59" s="456" t="s">
        <v>40</v>
      </c>
      <c r="C59" s="457">
        <f>+GPpcntMjr*(VLOOKUP($A59,FY15Revenue!$A$4:$H$24,8,FALSE))*VLOOKUP($A59,FY15MajorswoMapChg!$A$3:$S$23,MATCH(C$28,FY15MajorswoMapChg!$A$2:$S$2,0),FALSE)</f>
        <v>0</v>
      </c>
      <c r="D59" s="457">
        <f>+GPpcntMjr*(VLOOKUP($A59,FY15Revenue!$A$4:$H$24,8,FALSE))*VLOOKUP($A59,FY15MajorswoMapChg!$A$3:$S$23,MATCH(D$28,FY15MajorswoMapChg!$A$2:$S$2,0),FALSE)</f>
        <v>0</v>
      </c>
      <c r="E59" s="457">
        <f>+GPpcntMjr*(VLOOKUP($A59,FY15Revenue!$A$4:$H$24,8,FALSE))*VLOOKUP($A59,FY15MajorswoMapChg!$A$3:$S$23,MATCH(E$28,FY15MajorswoMapChg!$A$2:$S$2,0),FALSE)</f>
        <v>0</v>
      </c>
      <c r="F59" s="457">
        <f>+GPpcntMjr*(VLOOKUP($A59,FY15Revenue!$A$4:$H$24,8,FALSE))*VLOOKUP($A59,FY15MajorswoMapChg!$A$3:$S$23,MATCH(F$28,FY15MajorswoMapChg!$A$2:$S$2,0),FALSE)</f>
        <v>0</v>
      </c>
      <c r="G59" s="457">
        <f>+GPpcntMjr*(VLOOKUP($A59,FY15Revenue!$A$4:$H$24,8,FALSE))*VLOOKUP($A59,FY15MajorswoMapChg!$A$3:$S$23,MATCH(G$28,FY15MajorswoMapChg!$A$2:$S$2,0),FALSE)</f>
        <v>0</v>
      </c>
      <c r="H59" s="457">
        <f>+GPpcntMjr*(VLOOKUP($A59,FY15Revenue!$A$4:$H$24,8,FALSE))*VLOOKUP($A59,FY15MajorswoMapChg!$A$3:$S$23,MATCH(H$28,FY15MajorswoMapChg!$A$2:$S$2,0),FALSE)</f>
        <v>0</v>
      </c>
      <c r="I59" s="457">
        <f>+GPpcntMjr*(VLOOKUP($A59,FY15Revenue!$A$4:$H$24,8,FALSE))*VLOOKUP($A59,FY15MajorswoMapChg!$A$3:$S$23,MATCH(I$28,FY15MajorswoMapChg!$A$2:$S$2,0),FALSE)</f>
        <v>4148.7798439493254</v>
      </c>
      <c r="J59" s="457">
        <f>+GPpcntMjr*(VLOOKUP($A59,FY15Revenue!$A$4:$H$24,8,FALSE))*VLOOKUP($A59,FY15MajorswoMapChg!$A$3:$S$23,MATCH(J$28,FY15MajorswoMapChg!$A$2:$S$2,0),FALSE)</f>
        <v>0</v>
      </c>
      <c r="K59" s="457">
        <f>+GPpcntMjr*(VLOOKUP($A59,FY15Revenue!$A$4:$H$24,8,FALSE))*VLOOKUP($A59,FY15MajorswoMapChg!$A$3:$S$23,MATCH(K$28,FY15MajorswoMapChg!$A$2:$S$2,0),FALSE)</f>
        <v>0</v>
      </c>
      <c r="L59" s="457">
        <f>+GPpcntMjr*(VLOOKUP($A59,FY15Revenue!$A$4:$H$24,8,FALSE))*VLOOKUP($A59,FY15MajorswoMapChg!$A$3:$S$23,MATCH(L$28,FY15MajorswoMapChg!$A$2:$S$2,0),FALSE)</f>
        <v>0</v>
      </c>
      <c r="M59" s="457">
        <f>+GPpcntMjr*(VLOOKUP($A59,FY15Revenue!$A$4:$H$24,8,FALSE))*VLOOKUP($A59,FY15MajorswoMapChg!$A$3:$S$23,MATCH(M$28,FY15MajorswoMapChg!$A$2:$S$2,0),FALSE)</f>
        <v>0</v>
      </c>
      <c r="N59" s="457">
        <f>+GPpcntMjr*(VLOOKUP($A59,FY15Revenue!$A$4:$H$24,8,FALSE))*VLOOKUP($A59,FY15MajorswoMapChg!$A$3:$S$23,MATCH(N$28,FY15MajorswoMapChg!$A$2:$S$2,0),FALSE)</f>
        <v>0</v>
      </c>
      <c r="O59" s="457">
        <f>+GPpcntMjr*(VLOOKUP($A59,FY15Revenue!$A$4:$H$24,8,FALSE))*VLOOKUP($A59,FY15MajorswoMapChg!$A$3:$S$23,MATCH(O$28,FY15MajorswoMapChg!$A$2:$S$2,0),FALSE)</f>
        <v>0</v>
      </c>
      <c r="P59" s="457">
        <f>+GPpcntMjr*(VLOOKUP($A59,FY15Revenue!$A$4:$H$24,8,FALSE))*VLOOKUP($A59,FY15MajorswoMapChg!$A$3:$S$23,MATCH(P$28,FY15MajorswoMapChg!$A$2:$S$2,0),FALSE)</f>
        <v>0</v>
      </c>
      <c r="Q59" s="457">
        <f>+GPpcntMjr*(VLOOKUP($A59,FY15Revenue!$A$4:$H$24,8,FALSE))*VLOOKUP($A59,FY15MajorswoMapChg!$A$3:$S$23,MATCH(Q$28,FY15MajorswoMapChg!$A$2:$S$2,0),FALSE)</f>
        <v>0</v>
      </c>
      <c r="R59" s="457">
        <f>+GPpcntMjr*(VLOOKUP($A59,FY15Revenue!$A$4:$H$24,8,FALSE))*VLOOKUP($A59,FY15MajorswoMapChg!$A$3:$S$23,MATCH(R$28,FY15MajorswoMapChg!$A$2:$S$2,0),FALSE)</f>
        <v>0</v>
      </c>
      <c r="S59" s="457">
        <f>+GPpcntMjr*(VLOOKUP($A59,FY15Revenue!$A$4:$H$24,8,FALSE))*VLOOKUP($A59,FY15MajorswoMapChg!$A$3:$S$23,MATCH(S$28,FY15MajorswoMapChg!$A$2:$S$2,0),FALSE)</f>
        <v>0</v>
      </c>
      <c r="T59" s="457">
        <f t="shared" si="6"/>
        <v>4148.7798439493254</v>
      </c>
    </row>
    <row r="60" spans="1:20" s="18" customFormat="1" ht="20.100000000000001" customHeight="1">
      <c r="A60" s="404" t="s">
        <v>135</v>
      </c>
      <c r="B60" s="440" t="s">
        <v>70</v>
      </c>
      <c r="C60" s="410">
        <f>+GPpcntMjr*(VLOOKUP($A60,FY15Revenue!$A$4:$H$24,8,FALSE))*VLOOKUP($A60,FY15MajorswoMapChg!$A$3:$S$23,MATCH(C$28,FY15MajorswoMapChg!$A$2:$S$2,0),FALSE)</f>
        <v>0</v>
      </c>
      <c r="D60" s="410">
        <f>+GPpcntMjr*(VLOOKUP($A60,FY15Revenue!$A$4:$H$24,8,FALSE))*VLOOKUP($A60,FY15MajorswoMapChg!$A$3:$S$23,MATCH(D$28,FY15MajorswoMapChg!$A$2:$S$2,0),FALSE)</f>
        <v>0</v>
      </c>
      <c r="E60" s="410">
        <f>+GPpcntMjr*(VLOOKUP($A60,FY15Revenue!$A$4:$H$24,8,FALSE))*VLOOKUP($A60,FY15MajorswoMapChg!$A$3:$S$23,MATCH(E$28,FY15MajorswoMapChg!$A$2:$S$2,0),FALSE)</f>
        <v>0</v>
      </c>
      <c r="F60" s="410">
        <f>+GPpcntMjr*(VLOOKUP($A60,FY15Revenue!$A$4:$H$24,8,FALSE))*VLOOKUP($A60,FY15MajorswoMapChg!$A$3:$S$23,MATCH(F$28,FY15MajorswoMapChg!$A$2:$S$2,0),FALSE)</f>
        <v>8771.9946715544938</v>
      </c>
      <c r="G60" s="410">
        <f>+GPpcntMjr*(VLOOKUP($A60,FY15Revenue!$A$4:$H$24,8,FALSE))*VLOOKUP($A60,FY15MajorswoMapChg!$A$3:$S$23,MATCH(G$28,FY15MajorswoMapChg!$A$2:$S$2,0),FALSE)</f>
        <v>0</v>
      </c>
      <c r="H60" s="410">
        <f>+GPpcntMjr*(VLOOKUP($A60,FY15Revenue!$A$4:$H$24,8,FALSE))*VLOOKUP($A60,FY15MajorswoMapChg!$A$3:$S$23,MATCH(H$28,FY15MajorswoMapChg!$A$2:$S$2,0),FALSE)</f>
        <v>0</v>
      </c>
      <c r="I60" s="410">
        <f>+GPpcntMjr*(VLOOKUP($A60,FY15Revenue!$A$4:$H$24,8,FALSE))*VLOOKUP($A60,FY15MajorswoMapChg!$A$3:$S$23,MATCH(I$28,FY15MajorswoMapChg!$A$2:$S$2,0),FALSE)</f>
        <v>0</v>
      </c>
      <c r="J60" s="410">
        <f>+GPpcntMjr*(VLOOKUP($A60,FY15Revenue!$A$4:$H$24,8,FALSE))*VLOOKUP($A60,FY15MajorswoMapChg!$A$3:$S$23,MATCH(J$28,FY15MajorswoMapChg!$A$2:$S$2,0),FALSE)</f>
        <v>0</v>
      </c>
      <c r="K60" s="410">
        <f>+GPpcntMjr*(VLOOKUP($A60,FY15Revenue!$A$4:$H$24,8,FALSE))*VLOOKUP($A60,FY15MajorswoMapChg!$A$3:$S$23,MATCH(K$28,FY15MajorswoMapChg!$A$2:$S$2,0),FALSE)</f>
        <v>0</v>
      </c>
      <c r="L60" s="410">
        <f>+GPpcntMjr*(VLOOKUP($A60,FY15Revenue!$A$4:$H$24,8,FALSE))*VLOOKUP($A60,FY15MajorswoMapChg!$A$3:$S$23,MATCH(L$28,FY15MajorswoMapChg!$A$2:$S$2,0),FALSE)</f>
        <v>2283642.61282802</v>
      </c>
      <c r="M60" s="410">
        <f>+GPpcntMjr*(VLOOKUP($A60,FY15Revenue!$A$4:$H$24,8,FALSE))*VLOOKUP($A60,FY15MajorswoMapChg!$A$3:$S$23,MATCH(M$28,FY15MajorswoMapChg!$A$2:$S$2,0),FALSE)</f>
        <v>0</v>
      </c>
      <c r="N60" s="410">
        <f>+GPpcntMjr*(VLOOKUP($A60,FY15Revenue!$A$4:$H$24,8,FALSE))*VLOOKUP($A60,FY15MajorswoMapChg!$A$3:$S$23,MATCH(N$28,FY15MajorswoMapChg!$A$2:$S$2,0),FALSE)</f>
        <v>11695.992895405992</v>
      </c>
      <c r="O60" s="410">
        <f>+GPpcntMjr*(VLOOKUP($A60,FY15Revenue!$A$4:$H$24,8,FALSE))*VLOOKUP($A60,FY15MajorswoMapChg!$A$3:$S$23,MATCH(O$28,FY15MajorswoMapChg!$A$2:$S$2,0),FALSE)</f>
        <v>0</v>
      </c>
      <c r="P60" s="410">
        <f>+GPpcntMjr*(VLOOKUP($A60,FY15Revenue!$A$4:$H$24,8,FALSE))*VLOOKUP($A60,FY15MajorswoMapChg!$A$3:$S$23,MATCH(P$28,FY15MajorswoMapChg!$A$2:$S$2,0),FALSE)</f>
        <v>0</v>
      </c>
      <c r="Q60" s="410">
        <f>+GPpcntMjr*(VLOOKUP($A60,FY15Revenue!$A$4:$H$24,8,FALSE))*VLOOKUP($A60,FY15MajorswoMapChg!$A$3:$S$23,MATCH(Q$28,FY15MajorswoMapChg!$A$2:$S$2,0),FALSE)</f>
        <v>73099.955596287444</v>
      </c>
      <c r="R60" s="410">
        <f>+GPpcntMjr*(VLOOKUP($A60,FY15Revenue!$A$4:$H$24,8,FALSE))*VLOOKUP($A60,FY15MajorswoMapChg!$A$3:$S$23,MATCH(R$28,FY15MajorswoMapChg!$A$2:$S$2,0),FALSE)</f>
        <v>0</v>
      </c>
      <c r="S60" s="410">
        <f>+GPpcntMjr*(VLOOKUP($A60,FY15Revenue!$A$4:$H$24,8,FALSE))*VLOOKUP($A60,FY15MajorswoMapChg!$A$3:$S$23,MATCH(S$28,FY15MajorswoMapChg!$A$2:$S$2,0),FALSE)</f>
        <v>17543.989343108988</v>
      </c>
      <c r="T60" s="410">
        <f t="shared" si="6"/>
        <v>2394754.5453343769</v>
      </c>
    </row>
    <row r="61" spans="1:20" ht="20.100000000000001" customHeight="1">
      <c r="A61" s="404" t="s">
        <v>136</v>
      </c>
      <c r="B61" s="456" t="s">
        <v>144</v>
      </c>
      <c r="C61" s="457">
        <f>+GPpcntMjr*(VLOOKUP($A61,FY15Revenue!$A$4:$H$24,8,FALSE))*VLOOKUP($A61,FY15MajorswoMapChg!$A$3:$S$23,MATCH(C$28,FY15MajorswoMapChg!$A$2:$S$2,0),FALSE)</f>
        <v>0</v>
      </c>
      <c r="D61" s="457">
        <f>+GPpcntMjr*(VLOOKUP($A61,FY15Revenue!$A$4:$H$24,8,FALSE))*VLOOKUP($A61,FY15MajorswoMapChg!$A$3:$S$23,MATCH(D$28,FY15MajorswoMapChg!$A$2:$S$2,0),FALSE)</f>
        <v>0</v>
      </c>
      <c r="E61" s="457">
        <f>+GPpcntMjr*(VLOOKUP($A61,FY15Revenue!$A$4:$H$24,8,FALSE))*VLOOKUP($A61,FY15MajorswoMapChg!$A$3:$S$23,MATCH(E$28,FY15MajorswoMapChg!$A$2:$S$2,0),FALSE)</f>
        <v>0</v>
      </c>
      <c r="F61" s="457">
        <f>+GPpcntMjr*(VLOOKUP($A61,FY15Revenue!$A$4:$H$24,8,FALSE))*VLOOKUP($A61,FY15MajorswoMapChg!$A$3:$S$23,MATCH(F$28,FY15MajorswoMapChg!$A$2:$S$2,0),FALSE)</f>
        <v>0</v>
      </c>
      <c r="G61" s="457">
        <f>+GPpcntMjr*(VLOOKUP($A61,FY15Revenue!$A$4:$H$24,8,FALSE))*VLOOKUP($A61,FY15MajorswoMapChg!$A$3:$S$23,MATCH(G$28,FY15MajorswoMapChg!$A$2:$S$2,0),FALSE)</f>
        <v>0</v>
      </c>
      <c r="H61" s="457">
        <f>+GPpcntMjr*(VLOOKUP($A61,FY15Revenue!$A$4:$H$24,8,FALSE))*VLOOKUP($A61,FY15MajorswoMapChg!$A$3:$S$23,MATCH(H$28,FY15MajorswoMapChg!$A$2:$S$2,0),FALSE)</f>
        <v>0</v>
      </c>
      <c r="I61" s="457">
        <f>+GPpcntMjr*(VLOOKUP($A61,FY15Revenue!$A$4:$H$24,8,FALSE))*VLOOKUP($A61,FY15MajorswoMapChg!$A$3:$S$23,MATCH(I$28,FY15MajorswoMapChg!$A$2:$S$2,0),FALSE)</f>
        <v>0</v>
      </c>
      <c r="J61" s="457">
        <f>+GPpcntMjr*(VLOOKUP($A61,FY15Revenue!$A$4:$H$24,8,FALSE))*VLOOKUP($A61,FY15MajorswoMapChg!$A$3:$S$23,MATCH(J$28,FY15MajorswoMapChg!$A$2:$S$2,0),FALSE)</f>
        <v>0</v>
      </c>
      <c r="K61" s="457">
        <f>+GPpcntMjr*(VLOOKUP($A61,FY15Revenue!$A$4:$H$24,8,FALSE))*VLOOKUP($A61,FY15MajorswoMapChg!$A$3:$S$23,MATCH(K$28,FY15MajorswoMapChg!$A$2:$S$2,0),FALSE)</f>
        <v>0</v>
      </c>
      <c r="L61" s="457">
        <f>+GPpcntMjr*(VLOOKUP($A61,FY15Revenue!$A$4:$H$24,8,FALSE))*VLOOKUP($A61,FY15MajorswoMapChg!$A$3:$S$23,MATCH(L$28,FY15MajorswoMapChg!$A$2:$S$2,0),FALSE)</f>
        <v>0</v>
      </c>
      <c r="M61" s="457">
        <f>+GPpcntMjr*(VLOOKUP($A61,FY15Revenue!$A$4:$H$24,8,FALSE))*VLOOKUP($A61,FY15MajorswoMapChg!$A$3:$S$23,MATCH(M$28,FY15MajorswoMapChg!$A$2:$S$2,0),FALSE)</f>
        <v>0</v>
      </c>
      <c r="N61" s="457">
        <f>+GPpcntMjr*(VLOOKUP($A61,FY15Revenue!$A$4:$H$24,8,FALSE))*VLOOKUP($A61,FY15MajorswoMapChg!$A$3:$S$23,MATCH(N$28,FY15MajorswoMapChg!$A$2:$S$2,0),FALSE)</f>
        <v>18131.597904145023</v>
      </c>
      <c r="O61" s="457">
        <f>+GPpcntMjr*(VLOOKUP($A61,FY15Revenue!$A$4:$H$24,8,FALSE))*VLOOKUP($A61,FY15MajorswoMapChg!$A$3:$S$23,MATCH(O$28,FY15MajorswoMapChg!$A$2:$S$2,0),FALSE)</f>
        <v>0</v>
      </c>
      <c r="P61" s="457">
        <f>+GPpcntMjr*(VLOOKUP($A61,FY15Revenue!$A$4:$H$24,8,FALSE))*VLOOKUP($A61,FY15MajorswoMapChg!$A$3:$S$23,MATCH(P$28,FY15MajorswoMapChg!$A$2:$S$2,0),FALSE)</f>
        <v>0</v>
      </c>
      <c r="Q61" s="457">
        <f>+GPpcntMjr*(VLOOKUP($A61,FY15Revenue!$A$4:$H$24,8,FALSE))*VLOOKUP($A61,FY15MajorswoMapChg!$A$3:$S$23,MATCH(Q$28,FY15MajorswoMapChg!$A$2:$S$2,0),FALSE)</f>
        <v>1807115.924446454</v>
      </c>
      <c r="R61" s="457">
        <f>+GPpcntMjr*(VLOOKUP($A61,FY15Revenue!$A$4:$H$24,8,FALSE))*VLOOKUP($A61,FY15MajorswoMapChg!$A$3:$S$23,MATCH(R$28,FY15MajorswoMapChg!$A$2:$S$2,0),FALSE)</f>
        <v>0</v>
      </c>
      <c r="S61" s="457">
        <f>+GPpcntMjr*(VLOOKUP($A61,FY15Revenue!$A$4:$H$24,8,FALSE))*VLOOKUP($A61,FY15MajorswoMapChg!$A$3:$S$23,MATCH(S$28,FY15MajorswoMapChg!$A$2:$S$2,0),FALSE)</f>
        <v>0</v>
      </c>
      <c r="T61" s="457">
        <f t="shared" si="6"/>
        <v>1825247.5223505991</v>
      </c>
    </row>
    <row r="62" spans="1:20" s="18" customFormat="1" ht="20.100000000000001" customHeight="1">
      <c r="A62" s="404" t="s">
        <v>137</v>
      </c>
      <c r="B62" s="440" t="s">
        <v>49</v>
      </c>
      <c r="C62" s="410">
        <f>+GPpcntMjr*(VLOOKUP($A62,FY15Revenue!$A$4:$H$24,8,FALSE))*VLOOKUP($A62,FY15MajorswoMapChg!$A$3:$S$23,MATCH(C$28,FY15MajorswoMapChg!$A$2:$S$2,0),FALSE)</f>
        <v>1693.4428239937245</v>
      </c>
      <c r="D62" s="410">
        <f>+GPpcntMjr*(VLOOKUP($A62,FY15Revenue!$A$4:$H$24,8,FALSE))*VLOOKUP($A62,FY15MajorswoMapChg!$A$3:$S$23,MATCH(D$28,FY15MajorswoMapChg!$A$2:$S$2,0),FALSE)</f>
        <v>30481.970831887036</v>
      </c>
      <c r="E62" s="410">
        <f>+GPpcntMjr*(VLOOKUP($A62,FY15Revenue!$A$4:$H$24,8,FALSE))*VLOOKUP($A62,FY15MajorswoMapChg!$A$3:$S$23,MATCH(E$28,FY15MajorswoMapChg!$A$2:$S$2,0),FALSE)</f>
        <v>0</v>
      </c>
      <c r="F62" s="410">
        <f>+GPpcntMjr*(VLOOKUP($A62,FY15Revenue!$A$4:$H$24,8,FALSE))*VLOOKUP($A62,FY15MajorswoMapChg!$A$3:$S$23,MATCH(F$28,FY15MajorswoMapChg!$A$2:$S$2,0),FALSE)</f>
        <v>0</v>
      </c>
      <c r="G62" s="410">
        <f>+GPpcntMjr*(VLOOKUP($A62,FY15Revenue!$A$4:$H$24,8,FALSE))*VLOOKUP($A62,FY15MajorswoMapChg!$A$3:$S$23,MATCH(G$28,FY15MajorswoMapChg!$A$2:$S$2,0),FALSE)</f>
        <v>5080.3284719811736</v>
      </c>
      <c r="H62" s="410">
        <f>+GPpcntMjr*(VLOOKUP($A62,FY15Revenue!$A$4:$H$24,8,FALSE))*VLOOKUP($A62,FY15MajorswoMapChg!$A$3:$S$23,MATCH(H$28,FY15MajorswoMapChg!$A$2:$S$2,0),FALSE)</f>
        <v>0</v>
      </c>
      <c r="I62" s="410">
        <f>+GPpcntMjr*(VLOOKUP($A62,FY15Revenue!$A$4:$H$24,8,FALSE))*VLOOKUP($A62,FY15MajorswoMapChg!$A$3:$S$23,MATCH(I$28,FY15MajorswoMapChg!$A$2:$S$2,0),FALSE)</f>
        <v>0</v>
      </c>
      <c r="J62" s="410">
        <f>+GPpcntMjr*(VLOOKUP($A62,FY15Revenue!$A$4:$H$24,8,FALSE))*VLOOKUP($A62,FY15MajorswoMapChg!$A$3:$S$23,MATCH(J$28,FY15MajorswoMapChg!$A$2:$S$2,0),FALSE)</f>
        <v>0</v>
      </c>
      <c r="K62" s="410">
        <f>+GPpcntMjr*(VLOOKUP($A62,FY15Revenue!$A$4:$H$24,8,FALSE))*VLOOKUP($A62,FY15MajorswoMapChg!$A$3:$S$23,MATCH(K$28,FY15MajorswoMapChg!$A$2:$S$2,0),FALSE)</f>
        <v>0</v>
      </c>
      <c r="L62" s="410">
        <f>+GPpcntMjr*(VLOOKUP($A62,FY15Revenue!$A$4:$H$24,8,FALSE))*VLOOKUP($A62,FY15MajorswoMapChg!$A$3:$S$23,MATCH(L$28,FY15MajorswoMapChg!$A$2:$S$2,0),FALSE)</f>
        <v>15240.985415943522</v>
      </c>
      <c r="M62" s="410">
        <f>+GPpcntMjr*(VLOOKUP($A62,FY15Revenue!$A$4:$H$24,8,FALSE))*VLOOKUP($A62,FY15MajorswoMapChg!$A$3:$S$23,MATCH(M$28,FY15MajorswoMapChg!$A$2:$S$2,0),FALSE)</f>
        <v>1693.4428239937245</v>
      </c>
      <c r="N62" s="410">
        <f>+GPpcntMjr*(VLOOKUP($A62,FY15Revenue!$A$4:$H$24,8,FALSE))*VLOOKUP($A62,FY15MajorswoMapChg!$A$3:$S$23,MATCH(N$28,FY15MajorswoMapChg!$A$2:$S$2,0),FALSE)</f>
        <v>237081.99535912141</v>
      </c>
      <c r="O62" s="410">
        <f>+GPpcntMjr*(VLOOKUP($A62,FY15Revenue!$A$4:$H$24,8,FALSE))*VLOOKUP($A62,FY15MajorswoMapChg!$A$3:$S$23,MATCH(O$28,FY15MajorswoMapChg!$A$2:$S$2,0),FALSE)</f>
        <v>1693.4428239937245</v>
      </c>
      <c r="P62" s="410">
        <f>+GPpcntMjr*(VLOOKUP($A62,FY15Revenue!$A$4:$H$24,8,FALSE))*VLOOKUP($A62,FY15MajorswoMapChg!$A$3:$S$23,MATCH(P$28,FY15MajorswoMapChg!$A$2:$S$2,0),FALSE)</f>
        <v>0</v>
      </c>
      <c r="Q62" s="410">
        <f>+GPpcntMjr*(VLOOKUP($A62,FY15Revenue!$A$4:$H$24,8,FALSE))*VLOOKUP($A62,FY15MajorswoMapChg!$A$3:$S$23,MATCH(Q$28,FY15MajorswoMapChg!$A$2:$S$2,0),FALSE)</f>
        <v>692618.11501343339</v>
      </c>
      <c r="R62" s="410">
        <f>+GPpcntMjr*(VLOOKUP($A62,FY15Revenue!$A$4:$H$24,8,FALSE))*VLOOKUP($A62,FY15MajorswoMapChg!$A$3:$S$23,MATCH(R$28,FY15MajorswoMapChg!$A$2:$S$2,0),FALSE)</f>
        <v>0</v>
      </c>
      <c r="S62" s="410">
        <f>+GPpcntMjr*(VLOOKUP($A62,FY15Revenue!$A$4:$H$24,8,FALSE))*VLOOKUP($A62,FY15MajorswoMapChg!$A$3:$S$23,MATCH(S$28,FY15MajorswoMapChg!$A$2:$S$2,0),FALSE)</f>
        <v>0</v>
      </c>
      <c r="T62" s="410">
        <f t="shared" si="6"/>
        <v>985583.72356434772</v>
      </c>
    </row>
    <row r="63" spans="1:20" ht="20.100000000000001" customHeight="1">
      <c r="A63" s="553" t="s">
        <v>145</v>
      </c>
      <c r="B63" s="456" t="s">
        <v>207</v>
      </c>
      <c r="C63" s="457">
        <f>+GPpcntMjr*(VLOOKUP($A63,FY15Revenue!$A$4:$H$24,8,FALSE))*VLOOKUP($A63,FY15MajorswoMapChg!$A$3:$S$23,MATCH(C$28,FY15MajorswoMapChg!$A$2:$S$2,0),FALSE)</f>
        <v>3510301.2677271678</v>
      </c>
      <c r="D63" s="457">
        <f>+GPpcntMjr*(VLOOKUP($A63,FY15Revenue!$A$4:$H$24,8,FALSE))*VLOOKUP($A63,FY15MajorswoMapChg!$A$3:$S$23,MATCH(D$28,FY15MajorswoMapChg!$A$2:$S$2,0),FALSE)</f>
        <v>0</v>
      </c>
      <c r="E63" s="457">
        <f>+GPpcntMjr*(VLOOKUP($A63,FY15Revenue!$A$4:$H$24,8,FALSE))*VLOOKUP($A63,FY15MajorswoMapChg!$A$3:$S$23,MATCH(E$28,FY15MajorswoMapChg!$A$2:$S$2,0),FALSE)</f>
        <v>0</v>
      </c>
      <c r="F63" s="457">
        <f>+GPpcntMjr*(VLOOKUP($A63,FY15Revenue!$A$4:$H$24,8,FALSE))*VLOOKUP($A63,FY15MajorswoMapChg!$A$3:$S$23,MATCH(F$28,FY15MajorswoMapChg!$A$2:$S$2,0),FALSE)</f>
        <v>0</v>
      </c>
      <c r="G63" s="457">
        <f>+GPpcntMjr*(VLOOKUP($A63,FY15Revenue!$A$4:$H$24,8,FALSE))*VLOOKUP($A63,FY15MajorswoMapChg!$A$3:$S$23,MATCH(G$28,FY15MajorswoMapChg!$A$2:$S$2,0),FALSE)</f>
        <v>10010.364831921581</v>
      </c>
      <c r="H63" s="457">
        <f>+GPpcntMjr*(VLOOKUP($A63,FY15Revenue!$A$4:$H$24,8,FALSE))*VLOOKUP($A63,FY15MajorswoMapChg!$A$3:$S$23,MATCH(H$28,FY15MajorswoMapChg!$A$2:$S$2,0),FALSE)</f>
        <v>0</v>
      </c>
      <c r="I63" s="457">
        <f>+GPpcntMjr*(VLOOKUP($A63,FY15Revenue!$A$4:$H$24,8,FALSE))*VLOOKUP($A63,FY15MajorswoMapChg!$A$3:$S$23,MATCH(I$28,FY15MajorswoMapChg!$A$2:$S$2,0),FALSE)</f>
        <v>0</v>
      </c>
      <c r="J63" s="457">
        <f>+GPpcntMjr*(VLOOKUP($A63,FY15Revenue!$A$4:$H$24,8,FALSE))*VLOOKUP($A63,FY15MajorswoMapChg!$A$3:$S$23,MATCH(J$28,FY15MajorswoMapChg!$A$2:$S$2,0),FALSE)</f>
        <v>0</v>
      </c>
      <c r="K63" s="457">
        <f>+GPpcntMjr*(VLOOKUP($A63,FY15Revenue!$A$4:$H$24,8,FALSE))*VLOOKUP($A63,FY15MajorswoMapChg!$A$3:$S$23,MATCH(K$28,FY15MajorswoMapChg!$A$2:$S$2,0),FALSE)</f>
        <v>0</v>
      </c>
      <c r="L63" s="457">
        <f>+GPpcntMjr*(VLOOKUP($A63,FY15Revenue!$A$4:$H$24,8,FALSE))*VLOOKUP($A63,FY15MajorswoMapChg!$A$3:$S$23,MATCH(L$28,FY15MajorswoMapChg!$A$2:$S$2,0),FALSE)</f>
        <v>0</v>
      </c>
      <c r="M63" s="457">
        <f>+GPpcntMjr*(VLOOKUP($A63,FY15Revenue!$A$4:$H$24,8,FALSE))*VLOOKUP($A63,FY15MajorswoMapChg!$A$3:$S$23,MATCH(M$28,FY15MajorswoMapChg!$A$2:$S$2,0),FALSE)</f>
        <v>0</v>
      </c>
      <c r="N63" s="457">
        <f>+GPpcntMjr*(VLOOKUP($A63,FY15Revenue!$A$4:$H$24,8,FALSE))*VLOOKUP($A63,FY15MajorswoMapChg!$A$3:$S$23,MATCH(N$28,FY15MajorswoMapChg!$A$2:$S$2,0),FALSE)</f>
        <v>0</v>
      </c>
      <c r="O63" s="457">
        <f>+GPpcntMjr*(VLOOKUP($A63,FY15Revenue!$A$4:$H$24,8,FALSE))*VLOOKUP($A63,FY15MajorswoMapChg!$A$3:$S$23,MATCH(O$28,FY15MajorswoMapChg!$A$2:$S$2,0),FALSE)</f>
        <v>0</v>
      </c>
      <c r="P63" s="457">
        <f>+GPpcntMjr*(VLOOKUP($A63,FY15Revenue!$A$4:$H$24,8,FALSE))*VLOOKUP($A63,FY15MajorswoMapChg!$A$3:$S$23,MATCH(P$28,FY15MajorswoMapChg!$A$2:$S$2,0),FALSE)</f>
        <v>0</v>
      </c>
      <c r="Q63" s="457">
        <f>+GPpcntMjr*(VLOOKUP($A63,FY15Revenue!$A$4:$H$24,8,FALSE))*VLOOKUP($A63,FY15MajorswoMapChg!$A$3:$S$23,MATCH(Q$28,FY15MajorswoMapChg!$A$2:$S$2,0),FALSE)</f>
        <v>0</v>
      </c>
      <c r="R63" s="457">
        <f>+GPpcntMjr*(VLOOKUP($A63,FY15Revenue!$A$4:$H$24,8,FALSE))*VLOOKUP($A63,FY15MajorswoMapChg!$A$3:$S$23,MATCH(R$28,FY15MajorswoMapChg!$A$2:$S$2,0),FALSE)</f>
        <v>0</v>
      </c>
      <c r="S63" s="457">
        <f>+GPpcntMjr*(VLOOKUP($A63,FY15Revenue!$A$4:$H$24,8,FALSE))*VLOOKUP($A63,FY15MajorswoMapChg!$A$3:$S$23,MATCH(S$28,FY15MajorswoMapChg!$A$2:$S$2,0),FALSE)</f>
        <v>56725.400714222298</v>
      </c>
      <c r="T63" s="457">
        <f t="shared" si="6"/>
        <v>3577037.0332733118</v>
      </c>
    </row>
    <row r="64" spans="1:20" s="18" customFormat="1" ht="20.100000000000001" customHeight="1">
      <c r="A64" s="404" t="s">
        <v>147</v>
      </c>
      <c r="B64" s="440" t="s">
        <v>208</v>
      </c>
      <c r="C64" s="410">
        <f>+GPpcntMjr*(VLOOKUP($A64,FY15Revenue!$A$4:$H$24,8,FALSE))*VLOOKUP($A64,FY15MajorswoMapChg!$A$3:$S$23,MATCH(C$28,FY15MajorswoMapChg!$A$2:$S$2,0),FALSE)</f>
        <v>0</v>
      </c>
      <c r="D64" s="410">
        <f>+GPpcntMjr*(VLOOKUP($A64,FY15Revenue!$A$4:$H$24,8,FALSE))*VLOOKUP($A64,FY15MajorswoMapChg!$A$3:$S$23,MATCH(D$28,FY15MajorswoMapChg!$A$2:$S$2,0),FALSE)</f>
        <v>0</v>
      </c>
      <c r="E64" s="410">
        <f>+GPpcntMjr*(VLOOKUP($A64,FY15Revenue!$A$4:$H$24,8,FALSE))*VLOOKUP($A64,FY15MajorswoMapChg!$A$3:$S$23,MATCH(E$28,FY15MajorswoMapChg!$A$2:$S$2,0),FALSE)</f>
        <v>0</v>
      </c>
      <c r="F64" s="410">
        <f>+GPpcntMjr*(VLOOKUP($A64,FY15Revenue!$A$4:$H$24,8,FALSE))*VLOOKUP($A64,FY15MajorswoMapChg!$A$3:$S$23,MATCH(F$28,FY15MajorswoMapChg!$A$2:$S$2,0),FALSE)</f>
        <v>0</v>
      </c>
      <c r="G64" s="410">
        <f>+GPpcntMjr*(VLOOKUP($A64,FY15Revenue!$A$4:$H$24,8,FALSE))*VLOOKUP($A64,FY15MajorswoMapChg!$A$3:$S$23,MATCH(G$28,FY15MajorswoMapChg!$A$2:$S$2,0),FALSE)</f>
        <v>922770.78096219478</v>
      </c>
      <c r="H64" s="410">
        <f>+GPpcntMjr*(VLOOKUP($A64,FY15Revenue!$A$4:$H$24,8,FALSE))*VLOOKUP($A64,FY15MajorswoMapChg!$A$3:$S$23,MATCH(H$28,FY15MajorswoMapChg!$A$2:$S$2,0),FALSE)</f>
        <v>10647.355164948402</v>
      </c>
      <c r="I64" s="410">
        <f>+GPpcntMjr*(VLOOKUP($A64,FY15Revenue!$A$4:$H$24,8,FALSE))*VLOOKUP($A64,FY15MajorswoMapChg!$A$3:$S$23,MATCH(I$28,FY15MajorswoMapChg!$A$2:$S$2,0),FALSE)</f>
        <v>0</v>
      </c>
      <c r="J64" s="410">
        <f>+GPpcntMjr*(VLOOKUP($A64,FY15Revenue!$A$4:$H$24,8,FALSE))*VLOOKUP($A64,FY15MajorswoMapChg!$A$3:$S$23,MATCH(J$28,FY15MajorswoMapChg!$A$2:$S$2,0),FALSE)</f>
        <v>0</v>
      </c>
      <c r="K64" s="410">
        <f>+GPpcntMjr*(VLOOKUP($A64,FY15Revenue!$A$4:$H$24,8,FALSE))*VLOOKUP($A64,FY15MajorswoMapChg!$A$3:$S$23,MATCH(K$28,FY15MajorswoMapChg!$A$2:$S$2,0),FALSE)</f>
        <v>0</v>
      </c>
      <c r="L64" s="410">
        <f>+GPpcntMjr*(VLOOKUP($A64,FY15Revenue!$A$4:$H$24,8,FALSE))*VLOOKUP($A64,FY15MajorswoMapChg!$A$3:$S$23,MATCH(L$28,FY15MajorswoMapChg!$A$2:$S$2,0),FALSE)</f>
        <v>0</v>
      </c>
      <c r="M64" s="410">
        <f>+GPpcntMjr*(VLOOKUP($A64,FY15Revenue!$A$4:$H$24,8,FALSE))*VLOOKUP($A64,FY15MajorswoMapChg!$A$3:$S$23,MATCH(M$28,FY15MajorswoMapChg!$A$2:$S$2,0),FALSE)</f>
        <v>0</v>
      </c>
      <c r="N64" s="410">
        <f>+GPpcntMjr*(VLOOKUP($A64,FY15Revenue!$A$4:$H$24,8,FALSE))*VLOOKUP($A64,FY15MajorswoMapChg!$A$3:$S$23,MATCH(N$28,FY15MajorswoMapChg!$A$2:$S$2,0),FALSE)</f>
        <v>0</v>
      </c>
      <c r="O64" s="410">
        <f>+GPpcntMjr*(VLOOKUP($A64,FY15Revenue!$A$4:$H$24,8,FALSE))*VLOOKUP($A64,FY15MajorswoMapChg!$A$3:$S$23,MATCH(O$28,FY15MajorswoMapChg!$A$2:$S$2,0),FALSE)</f>
        <v>0</v>
      </c>
      <c r="P64" s="410">
        <f>+GPpcntMjr*(VLOOKUP($A64,FY15Revenue!$A$4:$H$24,8,FALSE))*VLOOKUP($A64,FY15MajorswoMapChg!$A$3:$S$23,MATCH(P$28,FY15MajorswoMapChg!$A$2:$S$2,0),FALSE)</f>
        <v>0</v>
      </c>
      <c r="Q64" s="410">
        <f>+GPpcntMjr*(VLOOKUP($A64,FY15Revenue!$A$4:$H$24,8,FALSE))*VLOOKUP($A64,FY15MajorswoMapChg!$A$3:$S$23,MATCH(Q$28,FY15MajorswoMapChg!$A$2:$S$2,0),FALSE)</f>
        <v>0</v>
      </c>
      <c r="R64" s="410">
        <f>+GPpcntMjr*(VLOOKUP($A64,FY15Revenue!$A$4:$H$24,8,FALSE))*VLOOKUP($A64,FY15MajorswoMapChg!$A$3:$S$23,MATCH(R$28,FY15MajorswoMapChg!$A$2:$S$2,0),FALSE)</f>
        <v>0</v>
      </c>
      <c r="S64" s="410">
        <f>+GPpcntMjr*(VLOOKUP($A64,FY15Revenue!$A$4:$H$24,8,FALSE))*VLOOKUP($A64,FY15MajorswoMapChg!$A$3:$S$23,MATCH(S$28,FY15MajorswoMapChg!$A$2:$S$2,0),FALSE)</f>
        <v>0</v>
      </c>
      <c r="T64" s="410">
        <f t="shared" si="6"/>
        <v>933418.13612714317</v>
      </c>
    </row>
    <row r="65" spans="1:20" ht="20.100000000000001" customHeight="1">
      <c r="A65" s="404" t="s">
        <v>148</v>
      </c>
      <c r="B65" s="456" t="s">
        <v>39</v>
      </c>
      <c r="C65" s="457">
        <f>+GPpcntMjr*(VLOOKUP($A65,FY15Revenue!$A$4:$H$24,8,FALSE))*VLOOKUP($A65,FY15MajorswoMapChg!$A$3:$S$23,MATCH(C$28,FY15MajorswoMapChg!$A$2:$S$2,0),FALSE)</f>
        <v>52927.619290447292</v>
      </c>
      <c r="D65" s="457">
        <f>+GPpcntMjr*(VLOOKUP($A65,FY15Revenue!$A$4:$H$24,8,FALSE))*VLOOKUP($A65,FY15MajorswoMapChg!$A$3:$S$23,MATCH(D$28,FY15MajorswoMapChg!$A$2:$S$2,0),FALSE)</f>
        <v>127648.96417107877</v>
      </c>
      <c r="E65" s="457">
        <f>+GPpcntMjr*(VLOOKUP($A65,FY15Revenue!$A$4:$H$24,8,FALSE))*VLOOKUP($A65,FY15MajorswoMapChg!$A$3:$S$23,MATCH(E$28,FY15MajorswoMapChg!$A$2:$S$2,0),FALSE)</f>
        <v>0</v>
      </c>
      <c r="F65" s="457">
        <f>+GPpcntMjr*(VLOOKUP($A65,FY15Revenue!$A$4:$H$24,8,FALSE))*VLOOKUP($A65,FY15MajorswoMapChg!$A$3:$S$23,MATCH(F$28,FY15MajorswoMapChg!$A$2:$S$2,0),FALSE)</f>
        <v>0</v>
      </c>
      <c r="G65" s="457">
        <f>+GPpcntMjr*(VLOOKUP($A65,FY15Revenue!$A$4:$H$24,8,FALSE))*VLOOKUP($A65,FY15MajorswoMapChg!$A$3:$S$23,MATCH(G$28,FY15MajorswoMapChg!$A$2:$S$2,0),FALSE)</f>
        <v>0</v>
      </c>
      <c r="H65" s="457">
        <f>+GPpcntMjr*(VLOOKUP($A65,FY15Revenue!$A$4:$H$24,8,FALSE))*VLOOKUP($A65,FY15MajorswoMapChg!$A$3:$S$23,MATCH(H$28,FY15MajorswoMapChg!$A$2:$S$2,0),FALSE)</f>
        <v>84061.512990710398</v>
      </c>
      <c r="I65" s="457">
        <f>+GPpcntMjr*(VLOOKUP($A65,FY15Revenue!$A$4:$H$24,8,FALSE))*VLOOKUP($A65,FY15MajorswoMapChg!$A$3:$S$23,MATCH(I$28,FY15MajorswoMapChg!$A$2:$S$2,0),FALSE)</f>
        <v>9340.1681100789338</v>
      </c>
      <c r="J65" s="457">
        <f>+GPpcntMjr*(VLOOKUP($A65,FY15Revenue!$A$4:$H$24,8,FALSE))*VLOOKUP($A65,FY15MajorswoMapChg!$A$3:$S$23,MATCH(J$28,FY15MajorswoMapChg!$A$2:$S$2,0),FALSE)</f>
        <v>9340.1681100789338</v>
      </c>
      <c r="K65" s="457">
        <f>+GPpcntMjr*(VLOOKUP($A65,FY15Revenue!$A$4:$H$24,8,FALSE))*VLOOKUP($A65,FY15MajorswoMapChg!$A$3:$S$23,MATCH(K$28,FY15MajorswoMapChg!$A$2:$S$2,0),FALSE)</f>
        <v>3107162.5912862588</v>
      </c>
      <c r="L65" s="457">
        <f>+GPpcntMjr*(VLOOKUP($A65,FY15Revenue!$A$4:$H$24,8,FALSE))*VLOOKUP($A65,FY15MajorswoMapChg!$A$3:$S$23,MATCH(L$28,FY15MajorswoMapChg!$A$2:$S$2,0),FALSE)</f>
        <v>21793.725590184178</v>
      </c>
      <c r="M65" s="457">
        <f>+GPpcntMjr*(VLOOKUP($A65,FY15Revenue!$A$4:$H$24,8,FALSE))*VLOOKUP($A65,FY15MajorswoMapChg!$A$3:$S$23,MATCH(M$28,FY15MajorswoMapChg!$A$2:$S$2,0),FALSE)</f>
        <v>0</v>
      </c>
      <c r="N65" s="457">
        <f>+GPpcntMjr*(VLOOKUP($A65,FY15Revenue!$A$4:$H$24,8,FALSE))*VLOOKUP($A65,FY15MajorswoMapChg!$A$3:$S$23,MATCH(N$28,FY15MajorswoMapChg!$A$2:$S$2,0),FALSE)</f>
        <v>0</v>
      </c>
      <c r="O65" s="457">
        <f>+GPpcntMjr*(VLOOKUP($A65,FY15Revenue!$A$4:$H$24,8,FALSE))*VLOOKUP($A65,FY15MajorswoMapChg!$A$3:$S$23,MATCH(O$28,FY15MajorswoMapChg!$A$2:$S$2,0),FALSE)</f>
        <v>0</v>
      </c>
      <c r="P65" s="457">
        <f>+GPpcntMjr*(VLOOKUP($A65,FY15Revenue!$A$4:$H$24,8,FALSE))*VLOOKUP($A65,FY15MajorswoMapChg!$A$3:$S$23,MATCH(P$28,FY15MajorswoMapChg!$A$2:$S$2,0),FALSE)</f>
        <v>0</v>
      </c>
      <c r="Q65" s="457">
        <f>+GPpcntMjr*(VLOOKUP($A65,FY15Revenue!$A$4:$H$24,8,FALSE))*VLOOKUP($A65,FY15MajorswoMapChg!$A$3:$S$23,MATCH(Q$28,FY15MajorswoMapChg!$A$2:$S$2,0),FALSE)</f>
        <v>68494.566140578856</v>
      </c>
      <c r="R65" s="457">
        <f>+GPpcntMjr*(VLOOKUP($A65,FY15Revenue!$A$4:$H$24,8,FALSE))*VLOOKUP($A65,FY15MajorswoMapChg!$A$3:$S$23,MATCH(R$28,FY15MajorswoMapChg!$A$2:$S$2,0),FALSE)</f>
        <v>0</v>
      </c>
      <c r="S65" s="457">
        <f>+GPpcntMjr*(VLOOKUP($A65,FY15Revenue!$A$4:$H$24,8,FALSE))*VLOOKUP($A65,FY15MajorswoMapChg!$A$3:$S$23,MATCH(S$28,FY15MajorswoMapChg!$A$2:$S$2,0),FALSE)</f>
        <v>0</v>
      </c>
      <c r="T65" s="457">
        <f t="shared" si="6"/>
        <v>3480769.3156894166</v>
      </c>
    </row>
    <row r="66" spans="1:20" s="18" customFormat="1" ht="20.100000000000001" customHeight="1">
      <c r="A66" s="404" t="s">
        <v>149</v>
      </c>
      <c r="B66" s="440" t="s">
        <v>38</v>
      </c>
      <c r="C66" s="410">
        <f>+GPpcntMjr*(VLOOKUP($A66,FY15Revenue!$A$4:$H$24,8,FALSE))*VLOOKUP($A66,FY15MajorswoMapChg!$A$3:$S$23,MATCH(C$28,FY15MajorswoMapChg!$A$2:$S$2,0),FALSE)</f>
        <v>0</v>
      </c>
      <c r="D66" s="410">
        <f>+GPpcntMjr*(VLOOKUP($A66,FY15Revenue!$A$4:$H$24,8,FALSE))*VLOOKUP($A66,FY15MajorswoMapChg!$A$3:$S$23,MATCH(D$28,FY15MajorswoMapChg!$A$2:$S$2,0),FALSE)</f>
        <v>24775.188743917992</v>
      </c>
      <c r="E66" s="410">
        <f>+GPpcntMjr*(VLOOKUP($A66,FY15Revenue!$A$4:$H$24,8,FALSE))*VLOOKUP($A66,FY15MajorswoMapChg!$A$3:$S$23,MATCH(E$28,FY15MajorswoMapChg!$A$2:$S$2,0),FALSE)</f>
        <v>3641952.7453559451</v>
      </c>
      <c r="F66" s="410">
        <f>+GPpcntMjr*(VLOOKUP($A66,FY15Revenue!$A$4:$H$24,8,FALSE))*VLOOKUP($A66,FY15MajorswoMapChg!$A$3:$S$23,MATCH(F$28,FY15MajorswoMapChg!$A$2:$S$2,0),FALSE)</f>
        <v>0</v>
      </c>
      <c r="G66" s="410">
        <f>+GPpcntMjr*(VLOOKUP($A66,FY15Revenue!$A$4:$H$24,8,FALSE))*VLOOKUP($A66,FY15MajorswoMapChg!$A$3:$S$23,MATCH(G$28,FY15MajorswoMapChg!$A$2:$S$2,0),FALSE)</f>
        <v>9910.0754975671971</v>
      </c>
      <c r="H66" s="410">
        <f>+GPpcntMjr*(VLOOKUP($A66,FY15Revenue!$A$4:$H$24,8,FALSE))*VLOOKUP($A66,FY15MajorswoMapChg!$A$3:$S$23,MATCH(H$28,FY15MajorswoMapChg!$A$2:$S$2,0),FALSE)</f>
        <v>0</v>
      </c>
      <c r="I66" s="410">
        <f>+GPpcntMjr*(VLOOKUP($A66,FY15Revenue!$A$4:$H$24,8,FALSE))*VLOOKUP($A66,FY15MajorswoMapChg!$A$3:$S$23,MATCH(I$28,FY15MajorswoMapChg!$A$2:$S$2,0),FALSE)</f>
        <v>0</v>
      </c>
      <c r="J66" s="410">
        <f>+GPpcntMjr*(VLOOKUP($A66,FY15Revenue!$A$4:$H$24,8,FALSE))*VLOOKUP($A66,FY15MajorswoMapChg!$A$3:$S$23,MATCH(J$28,FY15MajorswoMapChg!$A$2:$S$2,0),FALSE)</f>
        <v>9910.0754975671971</v>
      </c>
      <c r="K66" s="410">
        <f>+GPpcntMjr*(VLOOKUP($A66,FY15Revenue!$A$4:$H$24,8,FALSE))*VLOOKUP($A66,FY15MajorswoMapChg!$A$3:$S$23,MATCH(K$28,FY15MajorswoMapChg!$A$2:$S$2,0),FALSE)</f>
        <v>0</v>
      </c>
      <c r="L66" s="410">
        <f>+GPpcntMjr*(VLOOKUP($A66,FY15Revenue!$A$4:$H$24,8,FALSE))*VLOOKUP($A66,FY15MajorswoMapChg!$A$3:$S$23,MATCH(L$28,FY15MajorswoMapChg!$A$2:$S$2,0),FALSE)</f>
        <v>0</v>
      </c>
      <c r="M66" s="410">
        <f>+GPpcntMjr*(VLOOKUP($A66,FY15Revenue!$A$4:$H$24,8,FALSE))*VLOOKUP($A66,FY15MajorswoMapChg!$A$3:$S$23,MATCH(M$28,FY15MajorswoMapChg!$A$2:$S$2,0),FALSE)</f>
        <v>0</v>
      </c>
      <c r="N66" s="410">
        <f>+GPpcntMjr*(VLOOKUP($A66,FY15Revenue!$A$4:$H$24,8,FALSE))*VLOOKUP($A66,FY15MajorswoMapChg!$A$3:$S$23,MATCH(N$28,FY15MajorswoMapChg!$A$2:$S$2,0),FALSE)</f>
        <v>9910.0754975671971</v>
      </c>
      <c r="O66" s="410">
        <f>+GPpcntMjr*(VLOOKUP($A66,FY15Revenue!$A$4:$H$24,8,FALSE))*VLOOKUP($A66,FY15MajorswoMapChg!$A$3:$S$23,MATCH(O$28,FY15MajorswoMapChg!$A$2:$S$2,0),FALSE)</f>
        <v>0</v>
      </c>
      <c r="P66" s="410">
        <f>+GPpcntMjr*(VLOOKUP($A66,FY15Revenue!$A$4:$H$24,8,FALSE))*VLOOKUP($A66,FY15MajorswoMapChg!$A$3:$S$23,MATCH(P$28,FY15MajorswoMapChg!$A$2:$S$2,0),FALSE)</f>
        <v>9910.0754975671971</v>
      </c>
      <c r="Q66" s="410">
        <f>+GPpcntMjr*(VLOOKUP($A66,FY15Revenue!$A$4:$H$24,8,FALSE))*VLOOKUP($A66,FY15MajorswoMapChg!$A$3:$S$23,MATCH(Q$28,FY15MajorswoMapChg!$A$2:$S$2,0),FALSE)</f>
        <v>29730.226492701593</v>
      </c>
      <c r="R66" s="410">
        <f>+GPpcntMjr*(VLOOKUP($A66,FY15Revenue!$A$4:$H$24,8,FALSE))*VLOOKUP($A66,FY15MajorswoMapChg!$A$3:$S$23,MATCH(R$28,FY15MajorswoMapChg!$A$2:$S$2,0),FALSE)</f>
        <v>0</v>
      </c>
      <c r="S66" s="410">
        <f>+GPpcntMjr*(VLOOKUP($A66,FY15Revenue!$A$4:$H$24,8,FALSE))*VLOOKUP($A66,FY15MajorswoMapChg!$A$3:$S$23,MATCH(S$28,FY15MajorswoMapChg!$A$2:$S$2,0),FALSE)</f>
        <v>4955.0377487835985</v>
      </c>
      <c r="T66" s="410">
        <f t="shared" si="6"/>
        <v>3741053.5003316174</v>
      </c>
    </row>
    <row r="67" spans="1:20" ht="20.100000000000001" customHeight="1">
      <c r="A67" s="404" t="s">
        <v>150</v>
      </c>
      <c r="B67" s="456" t="s">
        <v>31</v>
      </c>
      <c r="C67" s="457">
        <f>+GPpcntMjr*(VLOOKUP($A67,FY15Revenue!$A$4:$H$24,8,FALSE))*VLOOKUP($A67,FY15MajorswoMapChg!$A$3:$S$23,MATCH(C$28,FY15MajorswoMapChg!$A$2:$S$2,0),FALSE)</f>
        <v>0</v>
      </c>
      <c r="D67" s="457">
        <f>+GPpcntMjr*(VLOOKUP($A67,FY15Revenue!$A$4:$H$24,8,FALSE))*VLOOKUP($A67,FY15MajorswoMapChg!$A$3:$S$23,MATCH(D$28,FY15MajorswoMapChg!$A$2:$S$2,0),FALSE)</f>
        <v>31329.263465569213</v>
      </c>
      <c r="E67" s="457">
        <f>+GPpcntMjr*(VLOOKUP($A67,FY15Revenue!$A$4:$H$24,8,FALSE))*VLOOKUP($A67,FY15MajorswoMapChg!$A$3:$S$23,MATCH(E$28,FY15MajorswoMapChg!$A$2:$S$2,0),FALSE)</f>
        <v>20886.17564371281</v>
      </c>
      <c r="F67" s="457">
        <f>+GPpcntMjr*(VLOOKUP($A67,FY15Revenue!$A$4:$H$24,8,FALSE))*VLOOKUP($A67,FY15MajorswoMapChg!$A$3:$S$23,MATCH(F$28,FY15MajorswoMapChg!$A$2:$S$2,0),FALSE)</f>
        <v>26107.719554641015</v>
      </c>
      <c r="G67" s="457">
        <f>+GPpcntMjr*(VLOOKUP($A67,FY15Revenue!$A$4:$H$24,8,FALSE))*VLOOKUP($A67,FY15MajorswoMapChg!$A$3:$S$23,MATCH(G$28,FY15MajorswoMapChg!$A$2:$S$2,0),FALSE)</f>
        <v>15664.631732784606</v>
      </c>
      <c r="H67" s="457">
        <f>+GPpcntMjr*(VLOOKUP($A67,FY15Revenue!$A$4:$H$24,8,FALSE))*VLOOKUP($A67,FY15MajorswoMapChg!$A$3:$S$23,MATCH(H$28,FY15MajorswoMapChg!$A$2:$S$2,0),FALSE)</f>
        <v>15664.631732784606</v>
      </c>
      <c r="I67" s="457">
        <f>+GPpcntMjr*(VLOOKUP($A67,FY15Revenue!$A$4:$H$24,8,FALSE))*VLOOKUP($A67,FY15MajorswoMapChg!$A$3:$S$23,MATCH(I$28,FY15MajorswoMapChg!$A$2:$S$2,0),FALSE)</f>
        <v>15664.631732784606</v>
      </c>
      <c r="J67" s="457">
        <f>+GPpcntMjr*(VLOOKUP($A67,FY15Revenue!$A$4:$H$24,8,FALSE))*VLOOKUP($A67,FY15MajorswoMapChg!$A$3:$S$23,MATCH(J$28,FY15MajorswoMapChg!$A$2:$S$2,0),FALSE)</f>
        <v>8041177.6228294307</v>
      </c>
      <c r="K67" s="457">
        <f>+GPpcntMjr*(VLOOKUP($A67,FY15Revenue!$A$4:$H$24,8,FALSE))*VLOOKUP($A67,FY15MajorswoMapChg!$A$3:$S$23,MATCH(K$28,FY15MajorswoMapChg!$A$2:$S$2,0),FALSE)</f>
        <v>15664.631732784606</v>
      </c>
      <c r="L67" s="457">
        <f>+GPpcntMjr*(VLOOKUP($A67,FY15Revenue!$A$4:$H$24,8,FALSE))*VLOOKUP($A67,FY15MajorswoMapChg!$A$3:$S$23,MATCH(L$28,FY15MajorswoMapChg!$A$2:$S$2,0),FALSE)</f>
        <v>0</v>
      </c>
      <c r="M67" s="457">
        <f>+GPpcntMjr*(VLOOKUP($A67,FY15Revenue!$A$4:$H$24,8,FALSE))*VLOOKUP($A67,FY15MajorswoMapChg!$A$3:$S$23,MATCH(M$28,FY15MajorswoMapChg!$A$2:$S$2,0),FALSE)</f>
        <v>0</v>
      </c>
      <c r="N67" s="457">
        <f>+GPpcntMjr*(VLOOKUP($A67,FY15Revenue!$A$4:$H$24,8,FALSE))*VLOOKUP($A67,FY15MajorswoMapChg!$A$3:$S$23,MATCH(N$28,FY15MajorswoMapChg!$A$2:$S$2,0),FALSE)</f>
        <v>0</v>
      </c>
      <c r="O67" s="457">
        <f>+GPpcntMjr*(VLOOKUP($A67,FY15Revenue!$A$4:$H$24,8,FALSE))*VLOOKUP($A67,FY15MajorswoMapChg!$A$3:$S$23,MATCH(O$28,FY15MajorswoMapChg!$A$2:$S$2,0),FALSE)</f>
        <v>0</v>
      </c>
      <c r="P67" s="457">
        <f>+GPpcntMjr*(VLOOKUP($A67,FY15Revenue!$A$4:$H$24,8,FALSE))*VLOOKUP($A67,FY15MajorswoMapChg!$A$3:$S$23,MATCH(P$28,FY15MajorswoMapChg!$A$2:$S$2,0),FALSE)</f>
        <v>0</v>
      </c>
      <c r="Q67" s="457">
        <f>+GPpcntMjr*(VLOOKUP($A67,FY15Revenue!$A$4:$H$24,8,FALSE))*VLOOKUP($A67,FY15MajorswoMapChg!$A$3:$S$23,MATCH(Q$28,FY15MajorswoMapChg!$A$2:$S$2,0),FALSE)</f>
        <v>15664.631732784606</v>
      </c>
      <c r="R67" s="457">
        <f>+GPpcntMjr*(VLOOKUP($A67,FY15Revenue!$A$4:$H$24,8,FALSE))*VLOOKUP($A67,FY15MajorswoMapChg!$A$3:$S$23,MATCH(R$28,FY15MajorswoMapChg!$A$2:$S$2,0),FALSE)</f>
        <v>0</v>
      </c>
      <c r="S67" s="457">
        <f>+GPpcntMjr*(VLOOKUP($A67,FY15Revenue!$A$4:$H$24,8,FALSE))*VLOOKUP($A67,FY15MajorswoMapChg!$A$3:$S$23,MATCH(S$28,FY15MajorswoMapChg!$A$2:$S$2,0),FALSE)</f>
        <v>0</v>
      </c>
      <c r="T67" s="457">
        <f t="shared" si="6"/>
        <v>8197823.9401572756</v>
      </c>
    </row>
    <row r="68" spans="1:20" s="18" customFormat="1" ht="20.100000000000001" customHeight="1">
      <c r="A68" s="404" t="s">
        <v>151</v>
      </c>
      <c r="B68" s="440" t="s">
        <v>209</v>
      </c>
      <c r="C68" s="410">
        <f>+GPpcntMjr*(VLOOKUP($A68,FY15Revenue!$A$4:$H$24,8,FALSE))*VLOOKUP($A68,FY15MajorswoMapChg!$A$3:$S$23,MATCH(C$28,FY15MajorswoMapChg!$A$2:$S$2,0),FALSE)</f>
        <v>0</v>
      </c>
      <c r="D68" s="410">
        <f>+GPpcntMjr*(VLOOKUP($A68,FY15Revenue!$A$4:$H$24,8,FALSE))*VLOOKUP($A68,FY15MajorswoMapChg!$A$3:$S$23,MATCH(D$28,FY15MajorswoMapChg!$A$2:$S$2,0),FALSE)</f>
        <v>0</v>
      </c>
      <c r="E68" s="410">
        <f>+GPpcntMjr*(VLOOKUP($A68,FY15Revenue!$A$4:$H$24,8,FALSE))*VLOOKUP($A68,FY15MajorswoMapChg!$A$3:$S$23,MATCH(E$28,FY15MajorswoMapChg!$A$2:$S$2,0),FALSE)</f>
        <v>0</v>
      </c>
      <c r="F68" s="410">
        <f>+GPpcntMjr*(VLOOKUP($A68,FY15Revenue!$A$4:$H$24,8,FALSE))*VLOOKUP($A68,FY15MajorswoMapChg!$A$3:$S$23,MATCH(F$28,FY15MajorswoMapChg!$A$2:$S$2,0),FALSE)</f>
        <v>0</v>
      </c>
      <c r="G68" s="410">
        <f>+GPpcntMjr*(VLOOKUP($A68,FY15Revenue!$A$4:$H$24,8,FALSE))*VLOOKUP($A68,FY15MajorswoMapChg!$A$3:$S$23,MATCH(G$28,FY15MajorswoMapChg!$A$2:$S$2,0),FALSE)</f>
        <v>0</v>
      </c>
      <c r="H68" s="410">
        <f>+GPpcntMjr*(VLOOKUP($A68,FY15Revenue!$A$4:$H$24,8,FALSE))*VLOOKUP($A68,FY15MajorswoMapChg!$A$3:$S$23,MATCH(H$28,FY15MajorswoMapChg!$A$2:$S$2,0),FALSE)</f>
        <v>0</v>
      </c>
      <c r="I68" s="410">
        <f>+GPpcntMjr*(VLOOKUP($A68,FY15Revenue!$A$4:$H$24,8,FALSE))*VLOOKUP($A68,FY15MajorswoMapChg!$A$3:$S$23,MATCH(I$28,FY15MajorswoMapChg!$A$2:$S$2,0),FALSE)</f>
        <v>0</v>
      </c>
      <c r="J68" s="410">
        <f>+GPpcntMjr*(VLOOKUP($A68,FY15Revenue!$A$4:$H$24,8,FALSE))*VLOOKUP($A68,FY15MajorswoMapChg!$A$3:$S$23,MATCH(J$28,FY15MajorswoMapChg!$A$2:$S$2,0),FALSE)</f>
        <v>930621.97540648212</v>
      </c>
      <c r="K68" s="410">
        <f>+GPpcntMjr*(VLOOKUP($A68,FY15Revenue!$A$4:$H$24,8,FALSE))*VLOOKUP($A68,FY15MajorswoMapChg!$A$3:$S$23,MATCH(K$28,FY15MajorswoMapChg!$A$2:$S$2,0),FALSE)</f>
        <v>0</v>
      </c>
      <c r="L68" s="410">
        <f>+GPpcntMjr*(VLOOKUP($A68,FY15Revenue!$A$4:$H$24,8,FALSE))*VLOOKUP($A68,FY15MajorswoMapChg!$A$3:$S$23,MATCH(L$28,FY15MajorswoMapChg!$A$2:$S$2,0),FALSE)</f>
        <v>0</v>
      </c>
      <c r="M68" s="410">
        <f>+GPpcntMjr*(VLOOKUP($A68,FY15Revenue!$A$4:$H$24,8,FALSE))*VLOOKUP($A68,FY15MajorswoMapChg!$A$3:$S$23,MATCH(M$28,FY15MajorswoMapChg!$A$2:$S$2,0),FALSE)</f>
        <v>0</v>
      </c>
      <c r="N68" s="410">
        <f>+GPpcntMjr*(VLOOKUP($A68,FY15Revenue!$A$4:$H$24,8,FALSE))*VLOOKUP($A68,FY15MajorswoMapChg!$A$3:$S$23,MATCH(N$28,FY15MajorswoMapChg!$A$2:$S$2,0),FALSE)</f>
        <v>0</v>
      </c>
      <c r="O68" s="410">
        <f>+GPpcntMjr*(VLOOKUP($A68,FY15Revenue!$A$4:$H$24,8,FALSE))*VLOOKUP($A68,FY15MajorswoMapChg!$A$3:$S$23,MATCH(O$28,FY15MajorswoMapChg!$A$2:$S$2,0),FALSE)</f>
        <v>0</v>
      </c>
      <c r="P68" s="410">
        <f>+GPpcntMjr*(VLOOKUP($A68,FY15Revenue!$A$4:$H$24,8,FALSE))*VLOOKUP($A68,FY15MajorswoMapChg!$A$3:$S$23,MATCH(P$28,FY15MajorswoMapChg!$A$2:$S$2,0),FALSE)</f>
        <v>0</v>
      </c>
      <c r="Q68" s="410">
        <f>+GPpcntMjr*(VLOOKUP($A68,FY15Revenue!$A$4:$H$24,8,FALSE))*VLOOKUP($A68,FY15MajorswoMapChg!$A$3:$S$23,MATCH(Q$28,FY15MajorswoMapChg!$A$2:$S$2,0),FALSE)</f>
        <v>0</v>
      </c>
      <c r="R68" s="410">
        <f>+GPpcntMjr*(VLOOKUP($A68,FY15Revenue!$A$4:$H$24,8,FALSE))*VLOOKUP($A68,FY15MajorswoMapChg!$A$3:$S$23,MATCH(R$28,FY15MajorswoMapChg!$A$2:$S$2,0),FALSE)</f>
        <v>0</v>
      </c>
      <c r="S68" s="410">
        <f>+GPpcntMjr*(VLOOKUP($A68,FY15Revenue!$A$4:$H$24,8,FALSE))*VLOOKUP($A68,FY15MajorswoMapChg!$A$3:$S$23,MATCH(S$28,FY15MajorswoMapChg!$A$2:$S$2,0),FALSE)</f>
        <v>0</v>
      </c>
      <c r="T68" s="410">
        <f t="shared" si="6"/>
        <v>930621.97540648212</v>
      </c>
    </row>
    <row r="69" spans="1:20" ht="20.100000000000001" customHeight="1">
      <c r="A69" s="404" t="s">
        <v>153</v>
      </c>
      <c r="B69" s="456" t="s">
        <v>100</v>
      </c>
      <c r="C69" s="457">
        <f>+GPpcntMjr*(VLOOKUP($A69,FY15Revenue!$A$4:$H$24,8,FALSE))*VLOOKUP($A69,FY15MajorswoMapChg!$A$3:$S$23,MATCH(C$28,FY15MajorswoMapChg!$A$2:$S$2,0),FALSE)</f>
        <v>0</v>
      </c>
      <c r="D69" s="457">
        <f>+GPpcntMjr*(VLOOKUP($A69,FY15Revenue!$A$4:$H$24,8,FALSE))*VLOOKUP($A69,FY15MajorswoMapChg!$A$3:$S$23,MATCH(D$28,FY15MajorswoMapChg!$A$2:$S$2,0),FALSE)</f>
        <v>0</v>
      </c>
      <c r="E69" s="457">
        <f>+GPpcntMjr*(VLOOKUP($A69,FY15Revenue!$A$4:$H$24,8,FALSE))*VLOOKUP($A69,FY15MajorswoMapChg!$A$3:$S$23,MATCH(E$28,FY15MajorswoMapChg!$A$2:$S$2,0),FALSE)</f>
        <v>0</v>
      </c>
      <c r="F69" s="457">
        <f>+GPpcntMjr*(VLOOKUP($A69,FY15Revenue!$A$4:$H$24,8,FALSE))*VLOOKUP($A69,FY15MajorswoMapChg!$A$3:$S$23,MATCH(F$28,FY15MajorswoMapChg!$A$2:$S$2,0),FALSE)</f>
        <v>0</v>
      </c>
      <c r="G69" s="457">
        <f>+GPpcntMjr*(VLOOKUP($A69,FY15Revenue!$A$4:$H$24,8,FALSE))*VLOOKUP($A69,FY15MajorswoMapChg!$A$3:$S$23,MATCH(G$28,FY15MajorswoMapChg!$A$2:$S$2,0),FALSE)</f>
        <v>0</v>
      </c>
      <c r="H69" s="457">
        <f>+GPpcntMjr*(VLOOKUP($A69,FY15Revenue!$A$4:$H$24,8,FALSE))*VLOOKUP($A69,FY15MajorswoMapChg!$A$3:$S$23,MATCH(H$28,FY15MajorswoMapChg!$A$2:$S$2,0),FALSE)</f>
        <v>0</v>
      </c>
      <c r="I69" s="457">
        <f>+GPpcntMjr*(VLOOKUP($A69,FY15Revenue!$A$4:$H$24,8,FALSE))*VLOOKUP($A69,FY15MajorswoMapChg!$A$3:$S$23,MATCH(I$28,FY15MajorswoMapChg!$A$2:$S$2,0),FALSE)</f>
        <v>0</v>
      </c>
      <c r="J69" s="457">
        <f>+GPpcntMjr*(VLOOKUP($A69,FY15Revenue!$A$4:$H$24,8,FALSE))*VLOOKUP($A69,FY15MajorswoMapChg!$A$3:$S$23,MATCH(J$28,FY15MajorswoMapChg!$A$2:$S$2,0),FALSE)</f>
        <v>0</v>
      </c>
      <c r="K69" s="457">
        <f>+GPpcntMjr*(VLOOKUP($A69,FY15Revenue!$A$4:$H$24,8,FALSE))*VLOOKUP($A69,FY15MajorswoMapChg!$A$3:$S$23,MATCH(K$28,FY15MajorswoMapChg!$A$2:$S$2,0),FALSE)</f>
        <v>0</v>
      </c>
      <c r="L69" s="457">
        <f>+GPpcntMjr*(VLOOKUP($A69,FY15Revenue!$A$4:$H$24,8,FALSE))*VLOOKUP($A69,FY15MajorswoMapChg!$A$3:$S$23,MATCH(L$28,FY15MajorswoMapChg!$A$2:$S$2,0),FALSE)</f>
        <v>0</v>
      </c>
      <c r="M69" s="457">
        <f>+GPpcntMjr*(VLOOKUP($A69,FY15Revenue!$A$4:$H$24,8,FALSE))*VLOOKUP($A69,FY15MajorswoMapChg!$A$3:$S$23,MATCH(M$28,FY15MajorswoMapChg!$A$2:$S$2,0),FALSE)</f>
        <v>0</v>
      </c>
      <c r="N69" s="457">
        <f>+GPpcntMjr*(VLOOKUP($A69,FY15Revenue!$A$4:$H$24,8,FALSE))*VLOOKUP($A69,FY15MajorswoMapChg!$A$3:$S$23,MATCH(N$28,FY15MajorswoMapChg!$A$2:$S$2,0),FALSE)</f>
        <v>0</v>
      </c>
      <c r="O69" s="457">
        <f>+GPpcntMjr*(VLOOKUP($A69,FY15Revenue!$A$4:$H$24,8,FALSE))*VLOOKUP($A69,FY15MajorswoMapChg!$A$3:$S$23,MATCH(O$28,FY15MajorswoMapChg!$A$2:$S$2,0),FALSE)</f>
        <v>889011.17930682981</v>
      </c>
      <c r="P69" s="457">
        <f>+GPpcntMjr*(VLOOKUP($A69,FY15Revenue!$A$4:$H$24,8,FALSE))*VLOOKUP($A69,FY15MajorswoMapChg!$A$3:$S$23,MATCH(P$28,FY15MajorswoMapChg!$A$2:$S$2,0),FALSE)</f>
        <v>0</v>
      </c>
      <c r="Q69" s="457">
        <f>+GPpcntMjr*(VLOOKUP($A69,FY15Revenue!$A$4:$H$24,8,FALSE))*VLOOKUP($A69,FY15MajorswoMapChg!$A$3:$S$23,MATCH(Q$28,FY15MajorswoMapChg!$A$2:$S$2,0),FALSE)</f>
        <v>0</v>
      </c>
      <c r="R69" s="457">
        <f>+GPpcntMjr*(VLOOKUP($A69,FY15Revenue!$A$4:$H$24,8,FALSE))*VLOOKUP($A69,FY15MajorswoMapChg!$A$3:$S$23,MATCH(R$28,FY15MajorswoMapChg!$A$2:$S$2,0),FALSE)</f>
        <v>0</v>
      </c>
      <c r="S69" s="457">
        <f>+GPpcntMjr*(VLOOKUP($A69,FY15Revenue!$A$4:$H$24,8,FALSE))*VLOOKUP($A69,FY15MajorswoMapChg!$A$3:$S$23,MATCH(S$28,FY15MajorswoMapChg!$A$2:$S$2,0),FALSE)</f>
        <v>0</v>
      </c>
      <c r="T69" s="457">
        <f t="shared" si="6"/>
        <v>889011.17930682981</v>
      </c>
    </row>
    <row r="70" spans="1:20" s="18" customFormat="1" ht="20.100000000000001" customHeight="1">
      <c r="A70" s="404" t="s">
        <v>155</v>
      </c>
      <c r="B70" s="440" t="s">
        <v>42</v>
      </c>
      <c r="C70" s="410">
        <f>+GPpcntMjr*(VLOOKUP($A70,FY15Revenue!$A$4:$H$24,8,FALSE))*VLOOKUP($A70,FY15MajorswoMapChg!$A$3:$S$23,MATCH(C$28,FY15MajorswoMapChg!$A$2:$S$2,0),FALSE)</f>
        <v>0</v>
      </c>
      <c r="D70" s="410">
        <f>+GPpcntMjr*(VLOOKUP($A70,FY15Revenue!$A$4:$H$24,8,FALSE))*VLOOKUP($A70,FY15MajorswoMapChg!$A$3:$S$23,MATCH(D$28,FY15MajorswoMapChg!$A$2:$S$2,0),FALSE)</f>
        <v>0</v>
      </c>
      <c r="E70" s="410">
        <f>+GPpcntMjr*(VLOOKUP($A70,FY15Revenue!$A$4:$H$24,8,FALSE))*VLOOKUP($A70,FY15MajorswoMapChg!$A$3:$S$23,MATCH(E$28,FY15MajorswoMapChg!$A$2:$S$2,0),FALSE)</f>
        <v>0</v>
      </c>
      <c r="F70" s="410">
        <f>+GPpcntMjr*(VLOOKUP($A70,FY15Revenue!$A$4:$H$24,8,FALSE))*VLOOKUP($A70,FY15MajorswoMapChg!$A$3:$S$23,MATCH(F$28,FY15MajorswoMapChg!$A$2:$S$2,0),FALSE)</f>
        <v>0</v>
      </c>
      <c r="G70" s="410">
        <f>+GPpcntMjr*(VLOOKUP($A70,FY15Revenue!$A$4:$H$24,8,FALSE))*VLOOKUP($A70,FY15MajorswoMapChg!$A$3:$S$23,MATCH(G$28,FY15MajorswoMapChg!$A$2:$S$2,0),FALSE)</f>
        <v>0</v>
      </c>
      <c r="H70" s="410">
        <f>+GPpcntMjr*(VLOOKUP($A70,FY15Revenue!$A$4:$H$24,8,FALSE))*VLOOKUP($A70,FY15MajorswoMapChg!$A$3:$S$23,MATCH(H$28,FY15MajorswoMapChg!$A$2:$S$2,0),FALSE)</f>
        <v>0</v>
      </c>
      <c r="I70" s="410">
        <f>+GPpcntMjr*(VLOOKUP($A70,FY15Revenue!$A$4:$H$24,8,FALSE))*VLOOKUP($A70,FY15MajorswoMapChg!$A$3:$S$23,MATCH(I$28,FY15MajorswoMapChg!$A$2:$S$2,0),FALSE)</f>
        <v>0</v>
      </c>
      <c r="J70" s="410">
        <f>+GPpcntMjr*(VLOOKUP($A70,FY15Revenue!$A$4:$H$24,8,FALSE))*VLOOKUP($A70,FY15MajorswoMapChg!$A$3:$S$23,MATCH(J$28,FY15MajorswoMapChg!$A$2:$S$2,0),FALSE)</f>
        <v>0</v>
      </c>
      <c r="K70" s="410">
        <f>+GPpcntMjr*(VLOOKUP($A70,FY15Revenue!$A$4:$H$24,8,FALSE))*VLOOKUP($A70,FY15MajorswoMapChg!$A$3:$S$23,MATCH(K$28,FY15MajorswoMapChg!$A$2:$S$2,0),FALSE)</f>
        <v>0</v>
      </c>
      <c r="L70" s="410">
        <f>+GPpcntMjr*(VLOOKUP($A70,FY15Revenue!$A$4:$H$24,8,FALSE))*VLOOKUP($A70,FY15MajorswoMapChg!$A$3:$S$23,MATCH(L$28,FY15MajorswoMapChg!$A$2:$S$2,0),FALSE)</f>
        <v>0</v>
      </c>
      <c r="M70" s="410">
        <f>+GPpcntMjr*(VLOOKUP($A70,FY15Revenue!$A$4:$H$24,8,FALSE))*VLOOKUP($A70,FY15MajorswoMapChg!$A$3:$S$23,MATCH(M$28,FY15MajorswoMapChg!$A$2:$S$2,0),FALSE)</f>
        <v>0</v>
      </c>
      <c r="N70" s="410">
        <f>+GPpcntMjr*(VLOOKUP($A70,FY15Revenue!$A$4:$H$24,8,FALSE))*VLOOKUP($A70,FY15MajorswoMapChg!$A$3:$S$23,MATCH(N$28,FY15MajorswoMapChg!$A$2:$S$2,0),FALSE)</f>
        <v>0</v>
      </c>
      <c r="O70" s="410">
        <f>+GPpcntMjr*(VLOOKUP($A70,FY15Revenue!$A$4:$H$24,8,FALSE))*VLOOKUP($A70,FY15MajorswoMapChg!$A$3:$S$23,MATCH(O$28,FY15MajorswoMapChg!$A$2:$S$2,0),FALSE)</f>
        <v>0</v>
      </c>
      <c r="P70" s="410">
        <f>+GPpcntMjr*(VLOOKUP($A70,FY15Revenue!$A$4:$H$24,8,FALSE))*VLOOKUP($A70,FY15MajorswoMapChg!$A$3:$S$23,MATCH(P$28,FY15MajorswoMapChg!$A$2:$S$2,0),FALSE)</f>
        <v>5300224.6726961983</v>
      </c>
      <c r="Q70" s="410">
        <f>+GPpcntMjr*(VLOOKUP($A70,FY15Revenue!$A$4:$H$24,8,FALSE))*VLOOKUP($A70,FY15MajorswoMapChg!$A$3:$S$23,MATCH(Q$28,FY15MajorswoMapChg!$A$2:$S$2,0),FALSE)</f>
        <v>0</v>
      </c>
      <c r="R70" s="410">
        <f>+GPpcntMjr*(VLOOKUP($A70,FY15Revenue!$A$4:$H$24,8,FALSE))*VLOOKUP($A70,FY15MajorswoMapChg!$A$3:$S$23,MATCH(R$28,FY15MajorswoMapChg!$A$2:$S$2,0),FALSE)</f>
        <v>0</v>
      </c>
      <c r="S70" s="410">
        <f>+GPpcntMjr*(VLOOKUP($A70,FY15Revenue!$A$4:$H$24,8,FALSE))*VLOOKUP($A70,FY15MajorswoMapChg!$A$3:$S$23,MATCH(S$28,FY15MajorswoMapChg!$A$2:$S$2,0),FALSE)</f>
        <v>0</v>
      </c>
      <c r="T70" s="410">
        <f t="shared" si="6"/>
        <v>5300224.6726961983</v>
      </c>
    </row>
    <row r="71" spans="1:20" ht="20.100000000000001" customHeight="1">
      <c r="A71" s="404" t="s">
        <v>162</v>
      </c>
      <c r="B71" s="456" t="s">
        <v>76</v>
      </c>
      <c r="C71" s="457">
        <f>+GPpcntMjr*(VLOOKUP($A71,FY15Revenue!$A$4:$H$24,8,FALSE))*VLOOKUP($A71,FY15MajorswoMapChg!$A$3:$S$23,MATCH(C$28,FY15MajorswoMapChg!$A$2:$S$2,0),FALSE)</f>
        <v>0</v>
      </c>
      <c r="D71" s="457">
        <f>+GPpcntMjr*(VLOOKUP($A71,FY15Revenue!$A$4:$H$24,8,FALSE))*VLOOKUP($A71,FY15MajorswoMapChg!$A$3:$S$23,MATCH(D$28,FY15MajorswoMapChg!$A$2:$S$2,0),FALSE)</f>
        <v>0</v>
      </c>
      <c r="E71" s="457">
        <f>+GPpcntMjr*(VLOOKUP($A71,FY15Revenue!$A$4:$H$24,8,FALSE))*VLOOKUP($A71,FY15MajorswoMapChg!$A$3:$S$23,MATCH(E$28,FY15MajorswoMapChg!$A$2:$S$2,0),FALSE)</f>
        <v>0</v>
      </c>
      <c r="F71" s="457">
        <f>+GPpcntMjr*(VLOOKUP($A71,FY15Revenue!$A$4:$H$24,8,FALSE))*VLOOKUP($A71,FY15MajorswoMapChg!$A$3:$S$23,MATCH(F$28,FY15MajorswoMapChg!$A$2:$S$2,0),FALSE)</f>
        <v>0</v>
      </c>
      <c r="G71" s="457">
        <f>+GPpcntMjr*(VLOOKUP($A71,FY15Revenue!$A$4:$H$24,8,FALSE))*VLOOKUP($A71,FY15MajorswoMapChg!$A$3:$S$23,MATCH(G$28,FY15MajorswoMapChg!$A$2:$S$2,0),FALSE)</f>
        <v>27771.036581213808</v>
      </c>
      <c r="H71" s="457">
        <f>+GPpcntMjr*(VLOOKUP($A71,FY15Revenue!$A$4:$H$24,8,FALSE))*VLOOKUP($A71,FY15MajorswoMapChg!$A$3:$S$23,MATCH(H$28,FY15MajorswoMapChg!$A$2:$S$2,0),FALSE)</f>
        <v>0</v>
      </c>
      <c r="I71" s="457">
        <f>+GPpcntMjr*(VLOOKUP($A71,FY15Revenue!$A$4:$H$24,8,FALSE))*VLOOKUP($A71,FY15MajorswoMapChg!$A$3:$S$23,MATCH(I$28,FY15MajorswoMapChg!$A$2:$S$2,0),FALSE)</f>
        <v>0</v>
      </c>
      <c r="J71" s="457">
        <f>+GPpcntMjr*(VLOOKUP($A71,FY15Revenue!$A$4:$H$24,8,FALSE))*VLOOKUP($A71,FY15MajorswoMapChg!$A$3:$S$23,MATCH(J$28,FY15MajorswoMapChg!$A$2:$S$2,0),FALSE)</f>
        <v>0</v>
      </c>
      <c r="K71" s="457">
        <f>+GPpcntMjr*(VLOOKUP($A71,FY15Revenue!$A$4:$H$24,8,FALSE))*VLOOKUP($A71,FY15MajorswoMapChg!$A$3:$S$23,MATCH(K$28,FY15MajorswoMapChg!$A$2:$S$2,0),FALSE)</f>
        <v>0</v>
      </c>
      <c r="L71" s="457">
        <f>+GPpcntMjr*(VLOOKUP($A71,FY15Revenue!$A$4:$H$24,8,FALSE))*VLOOKUP($A71,FY15MajorswoMapChg!$A$3:$S$23,MATCH(L$28,FY15MajorswoMapChg!$A$2:$S$2,0),FALSE)</f>
        <v>0</v>
      </c>
      <c r="M71" s="457">
        <f>+GPpcntMjr*(VLOOKUP($A71,FY15Revenue!$A$4:$H$24,8,FALSE))*VLOOKUP($A71,FY15MajorswoMapChg!$A$3:$S$23,MATCH(M$28,FY15MajorswoMapChg!$A$2:$S$2,0),FALSE)</f>
        <v>0</v>
      </c>
      <c r="N71" s="457">
        <f>+GPpcntMjr*(VLOOKUP($A71,FY15Revenue!$A$4:$H$24,8,FALSE))*VLOOKUP($A71,FY15MajorswoMapChg!$A$3:$S$23,MATCH(N$28,FY15MajorswoMapChg!$A$2:$S$2,0),FALSE)</f>
        <v>10941788.41299824</v>
      </c>
      <c r="O71" s="457">
        <f>+GPpcntMjr*(VLOOKUP($A71,FY15Revenue!$A$4:$H$24,8,FALSE))*VLOOKUP($A71,FY15MajorswoMapChg!$A$3:$S$23,MATCH(O$28,FY15MajorswoMapChg!$A$2:$S$2,0),FALSE)</f>
        <v>0</v>
      </c>
      <c r="P71" s="457">
        <f>+GPpcntMjr*(VLOOKUP($A71,FY15Revenue!$A$4:$H$24,8,FALSE))*VLOOKUP($A71,FY15MajorswoMapChg!$A$3:$S$23,MATCH(P$28,FY15MajorswoMapChg!$A$2:$S$2,0),FALSE)</f>
        <v>0</v>
      </c>
      <c r="Q71" s="457">
        <f>+GPpcntMjr*(VLOOKUP($A71,FY15Revenue!$A$4:$H$24,8,FALSE))*VLOOKUP($A71,FY15MajorswoMapChg!$A$3:$S$23,MATCH(Q$28,FY15MajorswoMapChg!$A$2:$S$2,0),FALSE)</f>
        <v>171254.72558415181</v>
      </c>
      <c r="R71" s="457">
        <f>+GPpcntMjr*(VLOOKUP($A71,FY15Revenue!$A$4:$H$24,8,FALSE))*VLOOKUP($A71,FY15MajorswoMapChg!$A$3:$S$23,MATCH(R$28,FY15MajorswoMapChg!$A$2:$S$2,0),FALSE)</f>
        <v>0</v>
      </c>
      <c r="S71" s="457">
        <f>+GPpcntMjr*(VLOOKUP($A71,FY15Revenue!$A$4:$H$24,8,FALSE))*VLOOKUP($A71,FY15MajorswoMapChg!$A$3:$S$23,MATCH(S$28,FY15MajorswoMapChg!$A$2:$S$2,0),FALSE)</f>
        <v>74056.097549903498</v>
      </c>
      <c r="T71" s="457">
        <f t="shared" si="6"/>
        <v>11214870.27271351</v>
      </c>
    </row>
    <row r="72" spans="1:20" s="18" customFormat="1" ht="20.100000000000001" customHeight="1">
      <c r="A72" s="404" t="s">
        <v>156</v>
      </c>
      <c r="B72" s="440" t="s">
        <v>77</v>
      </c>
      <c r="C72" s="410">
        <f>+GPpcntMjr*(VLOOKUP($A72,FY15Revenue!$A$4:$H$24,8,FALSE))*VLOOKUP($A72,FY15MajorswoMapChg!$A$3:$S$23,MATCH(C$28,FY15MajorswoMapChg!$A$2:$S$2,0),FALSE)</f>
        <v>0</v>
      </c>
      <c r="D72" s="410">
        <f>+GPpcntMjr*(VLOOKUP($A72,FY15Revenue!$A$4:$H$24,8,FALSE))*VLOOKUP($A72,FY15MajorswoMapChg!$A$3:$S$23,MATCH(D$28,FY15MajorswoMapChg!$A$2:$S$2,0),FALSE)</f>
        <v>0</v>
      </c>
      <c r="E72" s="410">
        <f>+GPpcntMjr*(VLOOKUP($A72,FY15Revenue!$A$4:$H$24,8,FALSE))*VLOOKUP($A72,FY15MajorswoMapChg!$A$3:$S$23,MATCH(E$28,FY15MajorswoMapChg!$A$2:$S$2,0),FALSE)</f>
        <v>0</v>
      </c>
      <c r="F72" s="410">
        <f>+GPpcntMjr*(VLOOKUP($A72,FY15Revenue!$A$4:$H$24,8,FALSE))*VLOOKUP($A72,FY15MajorswoMapChg!$A$3:$S$23,MATCH(F$28,FY15MajorswoMapChg!$A$2:$S$2,0),FALSE)</f>
        <v>0</v>
      </c>
      <c r="G72" s="410">
        <f>+GPpcntMjr*(VLOOKUP($A72,FY15Revenue!$A$4:$H$24,8,FALSE))*VLOOKUP($A72,FY15MajorswoMapChg!$A$3:$S$23,MATCH(G$28,FY15MajorswoMapChg!$A$2:$S$2,0),FALSE)</f>
        <v>0</v>
      </c>
      <c r="H72" s="410">
        <f>+GPpcntMjr*(VLOOKUP($A72,FY15Revenue!$A$4:$H$24,8,FALSE))*VLOOKUP($A72,FY15MajorswoMapChg!$A$3:$S$23,MATCH(H$28,FY15MajorswoMapChg!$A$2:$S$2,0),FALSE)</f>
        <v>0</v>
      </c>
      <c r="I72" s="410">
        <f>+GPpcntMjr*(VLOOKUP($A72,FY15Revenue!$A$4:$H$24,8,FALSE))*VLOOKUP($A72,FY15MajorswoMapChg!$A$3:$S$23,MATCH(I$28,FY15MajorswoMapChg!$A$2:$S$2,0),FALSE)</f>
        <v>0</v>
      </c>
      <c r="J72" s="410">
        <f>+GPpcntMjr*(VLOOKUP($A72,FY15Revenue!$A$4:$H$24,8,FALSE))*VLOOKUP($A72,FY15MajorswoMapChg!$A$3:$S$23,MATCH(J$28,FY15MajorswoMapChg!$A$2:$S$2,0),FALSE)</f>
        <v>0</v>
      </c>
      <c r="K72" s="410">
        <f>+GPpcntMjr*(VLOOKUP($A72,FY15Revenue!$A$4:$H$24,8,FALSE))*VLOOKUP($A72,FY15MajorswoMapChg!$A$3:$S$23,MATCH(K$28,FY15MajorswoMapChg!$A$2:$S$2,0),FALSE)</f>
        <v>0</v>
      </c>
      <c r="L72" s="410">
        <f>+GPpcntMjr*(VLOOKUP($A72,FY15Revenue!$A$4:$H$24,8,FALSE))*VLOOKUP($A72,FY15MajorswoMapChg!$A$3:$S$23,MATCH(L$28,FY15MajorswoMapChg!$A$2:$S$2,0),FALSE)</f>
        <v>0</v>
      </c>
      <c r="M72" s="410">
        <f>+GPpcntMjr*(VLOOKUP($A72,FY15Revenue!$A$4:$H$24,8,FALSE))*VLOOKUP($A72,FY15MajorswoMapChg!$A$3:$S$23,MATCH(M$28,FY15MajorswoMapChg!$A$2:$S$2,0),FALSE)</f>
        <v>4589726.6559808776</v>
      </c>
      <c r="N72" s="410">
        <f>+GPpcntMjr*(VLOOKUP($A72,FY15Revenue!$A$4:$H$24,8,FALSE))*VLOOKUP($A72,FY15MajorswoMapChg!$A$3:$S$23,MATCH(N$28,FY15MajorswoMapChg!$A$2:$S$2,0),FALSE)</f>
        <v>0</v>
      </c>
      <c r="O72" s="410">
        <f>+GPpcntMjr*(VLOOKUP($A72,FY15Revenue!$A$4:$H$24,8,FALSE))*VLOOKUP($A72,FY15MajorswoMapChg!$A$3:$S$23,MATCH(O$28,FY15MajorswoMapChg!$A$2:$S$2,0),FALSE)</f>
        <v>0</v>
      </c>
      <c r="P72" s="410">
        <f>+GPpcntMjr*(VLOOKUP($A72,FY15Revenue!$A$4:$H$24,8,FALSE))*VLOOKUP($A72,FY15MajorswoMapChg!$A$3:$S$23,MATCH(P$28,FY15MajorswoMapChg!$A$2:$S$2,0),FALSE)</f>
        <v>0</v>
      </c>
      <c r="Q72" s="410">
        <f>+GPpcntMjr*(VLOOKUP($A72,FY15Revenue!$A$4:$H$24,8,FALSE))*VLOOKUP($A72,FY15MajorswoMapChg!$A$3:$S$23,MATCH(Q$28,FY15MajorswoMapChg!$A$2:$S$2,0),FALSE)</f>
        <v>0</v>
      </c>
      <c r="R72" s="410">
        <f>+GPpcntMjr*(VLOOKUP($A72,FY15Revenue!$A$4:$H$24,8,FALSE))*VLOOKUP($A72,FY15MajorswoMapChg!$A$3:$S$23,MATCH(R$28,FY15MajorswoMapChg!$A$2:$S$2,0),FALSE)</f>
        <v>0</v>
      </c>
      <c r="S72" s="410">
        <f>+GPpcntMjr*(VLOOKUP($A72,FY15Revenue!$A$4:$H$24,8,FALSE))*VLOOKUP($A72,FY15MajorswoMapChg!$A$3:$S$23,MATCH(S$28,FY15MajorswoMapChg!$A$2:$S$2,0),FALSE)</f>
        <v>0</v>
      </c>
      <c r="T72" s="410">
        <f t="shared" si="6"/>
        <v>4589726.6559808776</v>
      </c>
    </row>
    <row r="73" spans="1:20" ht="20.100000000000001" customHeight="1">
      <c r="A73" s="406" t="s">
        <v>163</v>
      </c>
      <c r="B73" s="458" t="s">
        <v>164</v>
      </c>
      <c r="C73" s="457">
        <f>+GPpcntMjr*(VLOOKUP($A73,FY15Revenue!$A$4:$H$24,8,FALSE))*VLOOKUP($A73,FY15MajorswoMapChg!$A$3:$S$23,MATCH(C$28,FY15MajorswoMapChg!$A$2:$S$2,0),FALSE)</f>
        <v>0</v>
      </c>
      <c r="D73" s="457">
        <f>+GPpcntMjr*(VLOOKUP($A73,FY15Revenue!$A$4:$H$24,8,FALSE))*VLOOKUP($A73,FY15MajorswoMapChg!$A$3:$S$23,MATCH(D$28,FY15MajorswoMapChg!$A$2:$S$2,0),FALSE)</f>
        <v>0</v>
      </c>
      <c r="E73" s="457">
        <f>+GPpcntMjr*(VLOOKUP($A73,FY15Revenue!$A$4:$H$24,8,FALSE))*VLOOKUP($A73,FY15MajorswoMapChg!$A$3:$S$23,MATCH(E$28,FY15MajorswoMapChg!$A$2:$S$2,0),FALSE)</f>
        <v>0</v>
      </c>
      <c r="F73" s="457">
        <f>+GPpcntMjr*(VLOOKUP($A73,FY15Revenue!$A$4:$H$24,8,FALSE))*VLOOKUP($A73,FY15MajorswoMapChg!$A$3:$S$23,MATCH(F$28,FY15MajorswoMapChg!$A$2:$S$2,0),FALSE)</f>
        <v>0</v>
      </c>
      <c r="G73" s="457">
        <f>+GPpcntMjr*(VLOOKUP($A73,FY15Revenue!$A$4:$H$24,8,FALSE))*VLOOKUP($A73,FY15MajorswoMapChg!$A$3:$S$23,MATCH(G$28,FY15MajorswoMapChg!$A$2:$S$2,0),FALSE)</f>
        <v>0</v>
      </c>
      <c r="H73" s="457">
        <f>+GPpcntMjr*(VLOOKUP($A73,FY15Revenue!$A$4:$H$24,8,FALSE))*VLOOKUP($A73,FY15MajorswoMapChg!$A$3:$S$23,MATCH(H$28,FY15MajorswoMapChg!$A$2:$S$2,0),FALSE)</f>
        <v>0</v>
      </c>
      <c r="I73" s="457">
        <f>+GPpcntMjr*(VLOOKUP($A73,FY15Revenue!$A$4:$H$24,8,FALSE))*VLOOKUP($A73,FY15MajorswoMapChg!$A$3:$S$23,MATCH(I$28,FY15MajorswoMapChg!$A$2:$S$2,0),FALSE)</f>
        <v>0</v>
      </c>
      <c r="J73" s="457">
        <f>+GPpcntMjr*(VLOOKUP($A73,FY15Revenue!$A$4:$H$24,8,FALSE))*VLOOKUP($A73,FY15MajorswoMapChg!$A$3:$S$23,MATCH(J$28,FY15MajorswoMapChg!$A$2:$S$2,0),FALSE)</f>
        <v>0</v>
      </c>
      <c r="K73" s="457">
        <f>+GPpcntMjr*(VLOOKUP($A73,FY15Revenue!$A$4:$H$24,8,FALSE))*VLOOKUP($A73,FY15MajorswoMapChg!$A$3:$S$23,MATCH(K$28,FY15MajorswoMapChg!$A$2:$S$2,0),FALSE)</f>
        <v>0</v>
      </c>
      <c r="L73" s="457">
        <f>+GPpcntMjr*(VLOOKUP($A73,FY15Revenue!$A$4:$H$24,8,FALSE))*VLOOKUP($A73,FY15MajorswoMapChg!$A$3:$S$23,MATCH(L$28,FY15MajorswoMapChg!$A$2:$S$2,0),FALSE)</f>
        <v>0</v>
      </c>
      <c r="M73" s="457">
        <f>+GPpcntMjr*(VLOOKUP($A73,FY15Revenue!$A$4:$H$24,8,FALSE))*VLOOKUP($A73,FY15MajorswoMapChg!$A$3:$S$23,MATCH(M$28,FY15MajorswoMapChg!$A$2:$S$2,0),FALSE)</f>
        <v>696849.87311678962</v>
      </c>
      <c r="N73" s="457">
        <f>+GPpcntMjr*(VLOOKUP($A73,FY15Revenue!$A$4:$H$24,8,FALSE))*VLOOKUP($A73,FY15MajorswoMapChg!$A$3:$S$23,MATCH(N$28,FY15MajorswoMapChg!$A$2:$S$2,0),FALSE)</f>
        <v>0</v>
      </c>
      <c r="O73" s="457">
        <f>+GPpcntMjr*(VLOOKUP($A73,FY15Revenue!$A$4:$H$24,8,FALSE))*VLOOKUP($A73,FY15MajorswoMapChg!$A$3:$S$23,MATCH(O$28,FY15MajorswoMapChg!$A$2:$S$2,0),FALSE)</f>
        <v>0</v>
      </c>
      <c r="P73" s="457">
        <f>+GPpcntMjr*(VLOOKUP($A73,FY15Revenue!$A$4:$H$24,8,FALSE))*VLOOKUP($A73,FY15MajorswoMapChg!$A$3:$S$23,MATCH(P$28,FY15MajorswoMapChg!$A$2:$S$2,0),FALSE)</f>
        <v>0</v>
      </c>
      <c r="Q73" s="457">
        <f>+GPpcntMjr*(VLOOKUP($A73,FY15Revenue!$A$4:$H$24,8,FALSE))*VLOOKUP($A73,FY15MajorswoMapChg!$A$3:$S$23,MATCH(Q$28,FY15MajorswoMapChg!$A$2:$S$2,0),FALSE)</f>
        <v>0</v>
      </c>
      <c r="R73" s="457">
        <f>+GPpcntMjr*(VLOOKUP($A73,FY15Revenue!$A$4:$H$24,8,FALSE))*VLOOKUP($A73,FY15MajorswoMapChg!$A$3:$S$23,MATCH(R$28,FY15MajorswoMapChg!$A$2:$S$2,0),FALSE)</f>
        <v>0</v>
      </c>
      <c r="S73" s="457">
        <f>+GPpcntMjr*(VLOOKUP($A73,FY15Revenue!$A$4:$H$24,8,FALSE))*VLOOKUP($A73,FY15MajorswoMapChg!$A$3:$S$23,MATCH(S$28,FY15MajorswoMapChg!$A$2:$S$2,0),FALSE)</f>
        <v>0</v>
      </c>
      <c r="T73" s="457">
        <f t="shared" si="6"/>
        <v>696849.87311678962</v>
      </c>
    </row>
    <row r="74" spans="1:20" ht="20.100000000000001" customHeight="1">
      <c r="B74" s="459" t="s">
        <v>17</v>
      </c>
      <c r="C74" s="460">
        <f t="shared" ref="C74:S74" si="7">SUM(C53:C73)</f>
        <v>5046443.7651867084</v>
      </c>
      <c r="D74" s="460">
        <f t="shared" si="7"/>
        <v>77741569.828029856</v>
      </c>
      <c r="E74" s="460">
        <f t="shared" si="7"/>
        <v>15129442.761617925</v>
      </c>
      <c r="F74" s="460">
        <f t="shared" si="7"/>
        <v>4837305.7311226483</v>
      </c>
      <c r="G74" s="460">
        <f t="shared" si="7"/>
        <v>18872448.077480685</v>
      </c>
      <c r="H74" s="460">
        <f t="shared" si="7"/>
        <v>6671456.6565755559</v>
      </c>
      <c r="I74" s="460">
        <f t="shared" si="7"/>
        <v>1472541.4588747779</v>
      </c>
      <c r="J74" s="460">
        <f t="shared" si="7"/>
        <v>9012199.3407307994</v>
      </c>
      <c r="K74" s="460">
        <f t="shared" si="7"/>
        <v>3188258.7260465468</v>
      </c>
      <c r="L74" s="460">
        <f t="shared" si="7"/>
        <v>3064635.3518848293</v>
      </c>
      <c r="M74" s="460">
        <f t="shared" si="7"/>
        <v>5288269.9719216609</v>
      </c>
      <c r="N74" s="460">
        <f t="shared" si="7"/>
        <v>15617424.135716014</v>
      </c>
      <c r="O74" s="460">
        <f t="shared" si="7"/>
        <v>3053051.0511866924</v>
      </c>
      <c r="P74" s="460">
        <f t="shared" si="7"/>
        <v>5571860.7603037786</v>
      </c>
      <c r="Q74" s="460">
        <f t="shared" si="7"/>
        <v>5185778.8137623938</v>
      </c>
      <c r="R74" s="460">
        <f t="shared" si="7"/>
        <v>163267.18941669044</v>
      </c>
      <c r="S74" s="460">
        <f t="shared" si="7"/>
        <v>1741483.0159855718</v>
      </c>
      <c r="T74" s="460">
        <f t="shared" si="6"/>
        <v>181657436.6358431</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8"/>
  <sheetViews>
    <sheetView topLeftCell="B1" workbookViewId="0">
      <selection activeCell="B2" sqref="B2"/>
    </sheetView>
  </sheetViews>
  <sheetFormatPr defaultColWidth="8.85546875" defaultRowHeight="18" customHeight="1"/>
  <cols>
    <col min="1" max="1" width="9.140625" style="32" hidden="1" customWidth="1"/>
    <col min="2" max="2" width="28.42578125" style="32" customWidth="1"/>
    <col min="3" max="3" width="16" style="32" customWidth="1"/>
    <col min="4" max="14" width="16" style="576" customWidth="1"/>
    <col min="15" max="20" width="16" style="32" customWidth="1"/>
    <col min="21" max="21" width="12.7109375" style="32" customWidth="1"/>
    <col min="22" max="16384" width="8.85546875" style="32"/>
  </cols>
  <sheetData>
    <row r="1" spans="1:21" s="315" customFormat="1" ht="33.75" customHeight="1">
      <c r="B1" s="499" t="s">
        <v>419</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282</v>
      </c>
      <c r="S2" s="317">
        <v>266</v>
      </c>
      <c r="T2" s="318"/>
      <c r="U2" s="268"/>
    </row>
    <row r="3" spans="1:21" s="6" customFormat="1" ht="18" customHeight="1">
      <c r="A3" s="319" t="s">
        <v>128</v>
      </c>
      <c r="B3" s="320" t="s">
        <v>21</v>
      </c>
      <c r="C3" s="321">
        <f>+C26/$T26</f>
        <v>2.219718007988741E-2</v>
      </c>
      <c r="D3" s="321">
        <f t="shared" ref="D3:T3" si="0">+D26/$T26</f>
        <v>0.65919253602761485</v>
      </c>
      <c r="E3" s="321">
        <f t="shared" si="0"/>
        <v>6.4932172724920897E-2</v>
      </c>
      <c r="F3" s="321">
        <f t="shared" si="0"/>
        <v>1.387438872567775E-2</v>
      </c>
      <c r="G3" s="321">
        <f t="shared" si="0"/>
        <v>9.5700798120611399E-2</v>
      </c>
      <c r="H3" s="321">
        <f t="shared" si="0"/>
        <v>5.7637485966121109E-2</v>
      </c>
      <c r="I3" s="321">
        <f t="shared" si="0"/>
        <v>1.3935505692668727E-2</v>
      </c>
      <c r="J3" s="321">
        <f t="shared" si="0"/>
        <v>5.910764204880818E-4</v>
      </c>
      <c r="K3" s="321">
        <f t="shared" si="0"/>
        <v>1.741414949879901E-4</v>
      </c>
      <c r="L3" s="321">
        <f t="shared" si="0"/>
        <v>3.1454307532205713E-3</v>
      </c>
      <c r="M3" s="321">
        <f t="shared" si="0"/>
        <v>5.94425295391697E-5</v>
      </c>
      <c r="N3" s="321">
        <f t="shared" si="0"/>
        <v>2.751770508300605E-2</v>
      </c>
      <c r="O3" s="321">
        <f t="shared" si="0"/>
        <v>8.6970281246886594E-3</v>
      </c>
      <c r="P3" s="321">
        <f t="shared" si="0"/>
        <v>3.4242245889465361E-4</v>
      </c>
      <c r="Q3" s="321">
        <f t="shared" si="0"/>
        <v>1.6785398235645257E-2</v>
      </c>
      <c r="R3" s="321">
        <f t="shared" si="0"/>
        <v>1.3807411227605445E-2</v>
      </c>
      <c r="S3" s="321">
        <f t="shared" si="0"/>
        <v>1.4098763344219968E-3</v>
      </c>
      <c r="T3" s="321">
        <f t="shared" si="0"/>
        <v>1</v>
      </c>
    </row>
    <row r="4" spans="1:21" ht="18" customHeight="1">
      <c r="A4" s="322" t="s">
        <v>129</v>
      </c>
      <c r="B4" s="323" t="s">
        <v>71</v>
      </c>
      <c r="C4" s="393">
        <f t="shared" ref="C4:T17" si="1">+C27/$T27</f>
        <v>8.387040774255148E-3</v>
      </c>
      <c r="D4" s="393">
        <f t="shared" si="1"/>
        <v>0.68133585053056445</v>
      </c>
      <c r="E4" s="393">
        <f t="shared" si="1"/>
        <v>2.2383525378122084E-2</v>
      </c>
      <c r="F4" s="393">
        <f t="shared" si="1"/>
        <v>5.6202938176768006E-3</v>
      </c>
      <c r="G4" s="393">
        <f t="shared" si="1"/>
        <v>4.6220949156955925E-2</v>
      </c>
      <c r="H4" s="393">
        <f t="shared" si="1"/>
        <v>5.4249940325065641E-3</v>
      </c>
      <c r="I4" s="393">
        <f t="shared" si="1"/>
        <v>1.5450383004578695E-2</v>
      </c>
      <c r="J4" s="393">
        <f t="shared" si="1"/>
        <v>2.1808476010676389E-3</v>
      </c>
      <c r="K4" s="393">
        <f t="shared" si="1"/>
        <v>5.1862942950762752E-3</v>
      </c>
      <c r="L4" s="393">
        <f t="shared" si="1"/>
        <v>1.1609487229564048E-3</v>
      </c>
      <c r="M4" s="393">
        <f t="shared" si="1"/>
        <v>1.0849988065013128E-5</v>
      </c>
      <c r="N4" s="393">
        <f t="shared" si="1"/>
        <v>0.12533906212703166</v>
      </c>
      <c r="O4" s="393">
        <f t="shared" si="1"/>
        <v>1.9529978517023632E-4</v>
      </c>
      <c r="P4" s="393">
        <f t="shared" si="1"/>
        <v>1.9226178851203264E-2</v>
      </c>
      <c r="Q4" s="393">
        <f t="shared" si="1"/>
        <v>9.9602890436820517E-3</v>
      </c>
      <c r="R4" s="393">
        <f t="shared" si="1"/>
        <v>5.4249940325065644E-5</v>
      </c>
      <c r="S4" s="393">
        <f t="shared" si="1"/>
        <v>5.1862942950762755E-2</v>
      </c>
      <c r="T4" s="393">
        <f t="shared" si="1"/>
        <v>1</v>
      </c>
    </row>
    <row r="5" spans="1:21" ht="18" customHeight="1">
      <c r="A5" s="322" t="s">
        <v>140</v>
      </c>
      <c r="B5" s="323" t="s">
        <v>72</v>
      </c>
      <c r="C5" s="393">
        <f t="shared" si="1"/>
        <v>0</v>
      </c>
      <c r="D5" s="393">
        <f t="shared" si="1"/>
        <v>4.8555161671500695E-2</v>
      </c>
      <c r="E5" s="393">
        <f t="shared" si="1"/>
        <v>0</v>
      </c>
      <c r="F5" s="393">
        <f t="shared" si="1"/>
        <v>5.8008378988076053E-3</v>
      </c>
      <c r="G5" s="393">
        <f t="shared" si="1"/>
        <v>2.1484584810398539E-4</v>
      </c>
      <c r="H5" s="393">
        <f t="shared" si="1"/>
        <v>0</v>
      </c>
      <c r="I5" s="393">
        <f t="shared" si="1"/>
        <v>8.5938339241594156E-4</v>
      </c>
      <c r="J5" s="393">
        <f t="shared" si="1"/>
        <v>1.2890750886239124E-3</v>
      </c>
      <c r="K5" s="393">
        <f t="shared" si="1"/>
        <v>8.5938339241594156E-4</v>
      </c>
      <c r="L5" s="393">
        <f t="shared" si="1"/>
        <v>0.15168116876141369</v>
      </c>
      <c r="M5" s="393">
        <f t="shared" si="1"/>
        <v>0</v>
      </c>
      <c r="N5" s="393">
        <f t="shared" si="1"/>
        <v>0.7769900096680632</v>
      </c>
      <c r="O5" s="393">
        <f t="shared" si="1"/>
        <v>0</v>
      </c>
      <c r="P5" s="393">
        <f t="shared" si="1"/>
        <v>8.5938339241594156E-4</v>
      </c>
      <c r="Q5" s="393">
        <f t="shared" si="1"/>
        <v>1.2246213341927168E-2</v>
      </c>
      <c r="R5" s="393">
        <f t="shared" si="1"/>
        <v>0</v>
      </c>
      <c r="S5" s="393">
        <f t="shared" si="1"/>
        <v>6.4453754431195622E-4</v>
      </c>
      <c r="T5" s="393">
        <f t="shared" si="1"/>
        <v>1</v>
      </c>
    </row>
    <row r="6" spans="1:21" ht="18" customHeight="1">
      <c r="A6" s="322" t="s">
        <v>130</v>
      </c>
      <c r="B6" s="323" t="s">
        <v>73</v>
      </c>
      <c r="C6" s="393">
        <f t="shared" si="1"/>
        <v>5.3900118080155591E-3</v>
      </c>
      <c r="D6" s="393">
        <f t="shared" si="1"/>
        <v>5.9734666944502329E-2</v>
      </c>
      <c r="E6" s="393">
        <f t="shared" si="1"/>
        <v>4.3064527332083071E-3</v>
      </c>
      <c r="F6" s="393">
        <f t="shared" si="1"/>
        <v>3.1395429603389593E-3</v>
      </c>
      <c r="G6" s="393">
        <f t="shared" si="1"/>
        <v>0.83778564978815029</v>
      </c>
      <c r="H6" s="393">
        <f t="shared" si="1"/>
        <v>8.1128012780440368E-3</v>
      </c>
      <c r="I6" s="393">
        <f t="shared" si="1"/>
        <v>1.7781482253247205E-3</v>
      </c>
      <c r="J6" s="393">
        <f t="shared" si="1"/>
        <v>3.3340279224838508E-3</v>
      </c>
      <c r="K6" s="393">
        <f t="shared" si="1"/>
        <v>4.4453705633118012E-4</v>
      </c>
      <c r="L6" s="393">
        <f t="shared" si="1"/>
        <v>6.112384524553726E-4</v>
      </c>
      <c r="M6" s="393">
        <f t="shared" si="1"/>
        <v>0</v>
      </c>
      <c r="N6" s="393">
        <f t="shared" si="1"/>
        <v>1.7906508300340348E-2</v>
      </c>
      <c r="O6" s="393">
        <f t="shared" si="1"/>
        <v>3.5173994582204625E-2</v>
      </c>
      <c r="P6" s="393">
        <f t="shared" si="1"/>
        <v>3.3340279224838506E-4</v>
      </c>
      <c r="Q6" s="393">
        <f t="shared" si="1"/>
        <v>2.0615405987358476E-2</v>
      </c>
      <c r="R6" s="393">
        <f t="shared" si="1"/>
        <v>0</v>
      </c>
      <c r="S6" s="393">
        <f t="shared" si="1"/>
        <v>1.3336111689935403E-3</v>
      </c>
      <c r="T6" s="393">
        <f t="shared" si="1"/>
        <v>1</v>
      </c>
    </row>
    <row r="7" spans="1:21" ht="18" customHeight="1">
      <c r="A7" s="322" t="s">
        <v>131</v>
      </c>
      <c r="B7" s="323" t="s">
        <v>141</v>
      </c>
      <c r="C7" s="393">
        <f t="shared" si="1"/>
        <v>8.5653104925053529E-4</v>
      </c>
      <c r="D7" s="393">
        <f t="shared" si="1"/>
        <v>5.8672376873661669E-2</v>
      </c>
      <c r="E7" s="393">
        <f t="shared" si="1"/>
        <v>1.5907005200367084E-3</v>
      </c>
      <c r="F7" s="393">
        <f t="shared" si="1"/>
        <v>9.177118384827164E-4</v>
      </c>
      <c r="G7" s="393">
        <f t="shared" si="1"/>
        <v>6.4851636586111963E-3</v>
      </c>
      <c r="H7" s="393">
        <f t="shared" si="1"/>
        <v>0.91397981033955333</v>
      </c>
      <c r="I7" s="393">
        <f t="shared" si="1"/>
        <v>0</v>
      </c>
      <c r="J7" s="393">
        <f t="shared" si="1"/>
        <v>1.5295197308045274E-3</v>
      </c>
      <c r="K7" s="393">
        <f t="shared" si="1"/>
        <v>9.2994799632915258E-3</v>
      </c>
      <c r="L7" s="393">
        <f t="shared" si="1"/>
        <v>0</v>
      </c>
      <c r="M7" s="393">
        <f t="shared" si="1"/>
        <v>0</v>
      </c>
      <c r="N7" s="393">
        <f t="shared" si="1"/>
        <v>1.896604466197614E-3</v>
      </c>
      <c r="O7" s="393">
        <f t="shared" si="1"/>
        <v>0</v>
      </c>
      <c r="P7" s="393">
        <f t="shared" si="1"/>
        <v>0</v>
      </c>
      <c r="Q7" s="393">
        <f t="shared" si="1"/>
        <v>2.1413276231263384E-3</v>
      </c>
      <c r="R7" s="393">
        <f t="shared" si="1"/>
        <v>1.835423676965433E-4</v>
      </c>
      <c r="S7" s="393">
        <f t="shared" si="1"/>
        <v>2.4472315692872439E-3</v>
      </c>
      <c r="T7" s="393">
        <f t="shared" si="1"/>
        <v>1</v>
      </c>
    </row>
    <row r="8" spans="1:21" ht="18" customHeight="1">
      <c r="A8" s="322" t="s">
        <v>132</v>
      </c>
      <c r="B8" s="331" t="s">
        <v>206</v>
      </c>
      <c r="C8" s="393">
        <f>+IF($T31&gt;0,C31/$T31,0)</f>
        <v>0</v>
      </c>
      <c r="D8" s="393">
        <f t="shared" si="1"/>
        <v>3.0773872378941018E-2</v>
      </c>
      <c r="E8" s="393">
        <f t="shared" si="1"/>
        <v>2.0113642077739227E-4</v>
      </c>
      <c r="F8" s="393">
        <f t="shared" si="1"/>
        <v>0.94871021270176492</v>
      </c>
      <c r="G8" s="393">
        <f t="shared" si="1"/>
        <v>3.5198873636043646E-4</v>
      </c>
      <c r="H8" s="393">
        <f t="shared" si="1"/>
        <v>4.3244330467139339E-3</v>
      </c>
      <c r="I8" s="393">
        <f t="shared" si="1"/>
        <v>8.5482978830391714E-4</v>
      </c>
      <c r="J8" s="393">
        <f t="shared" si="1"/>
        <v>0</v>
      </c>
      <c r="K8" s="393">
        <f t="shared" si="1"/>
        <v>6.6375018856539448E-3</v>
      </c>
      <c r="L8" s="393">
        <f t="shared" si="1"/>
        <v>3.0673304168552322E-3</v>
      </c>
      <c r="M8" s="393">
        <f t="shared" si="1"/>
        <v>0</v>
      </c>
      <c r="N8" s="393">
        <f t="shared" si="1"/>
        <v>1.3576708402473978E-3</v>
      </c>
      <c r="O8" s="393">
        <f t="shared" si="1"/>
        <v>5.0284105194348062E-4</v>
      </c>
      <c r="P8" s="393">
        <f t="shared" si="1"/>
        <v>0</v>
      </c>
      <c r="Q8" s="393">
        <f t="shared" si="1"/>
        <v>1.8102277869965304E-3</v>
      </c>
      <c r="R8" s="393">
        <f t="shared" si="1"/>
        <v>0</v>
      </c>
      <c r="S8" s="393">
        <f t="shared" si="1"/>
        <v>1.4079549454417458E-3</v>
      </c>
      <c r="T8" s="393">
        <f t="shared" si="1"/>
        <v>1</v>
      </c>
    </row>
    <row r="9" spans="1:21" ht="18" customHeight="1">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c r="A10" s="322" t="s">
        <v>135</v>
      </c>
      <c r="B10" s="323" t="s">
        <v>70</v>
      </c>
      <c r="C10" s="393">
        <f t="shared" si="1"/>
        <v>1.9415590719347637E-4</v>
      </c>
      <c r="D10" s="393">
        <f t="shared" si="1"/>
        <v>9.5136394524803422E-3</v>
      </c>
      <c r="E10" s="393">
        <f t="shared" si="1"/>
        <v>0</v>
      </c>
      <c r="F10" s="393">
        <f t="shared" si="1"/>
        <v>1.4561693039510726E-3</v>
      </c>
      <c r="G10" s="393">
        <f t="shared" si="1"/>
        <v>0</v>
      </c>
      <c r="H10" s="393">
        <f t="shared" si="1"/>
        <v>2.9123386079021456E-4</v>
      </c>
      <c r="I10" s="393">
        <f t="shared" si="1"/>
        <v>0</v>
      </c>
      <c r="J10" s="393">
        <f t="shared" si="1"/>
        <v>0</v>
      </c>
      <c r="K10" s="393">
        <f t="shared" si="1"/>
        <v>3.106494515095622E-3</v>
      </c>
      <c r="L10" s="393">
        <f t="shared" si="1"/>
        <v>0.9554412192990972</v>
      </c>
      <c r="M10" s="393">
        <f t="shared" si="1"/>
        <v>0</v>
      </c>
      <c r="N10" s="393">
        <f t="shared" si="1"/>
        <v>1.1552276478011844E-2</v>
      </c>
      <c r="O10" s="393">
        <f t="shared" si="1"/>
        <v>1.9415590719347637E-4</v>
      </c>
      <c r="P10" s="393">
        <f t="shared" si="1"/>
        <v>0</v>
      </c>
      <c r="Q10" s="393">
        <f t="shared" si="1"/>
        <v>1.8250655276186779E-2</v>
      </c>
      <c r="R10" s="393">
        <f t="shared" si="1"/>
        <v>0</v>
      </c>
      <c r="S10" s="393">
        <f t="shared" si="1"/>
        <v>0</v>
      </c>
      <c r="T10" s="393">
        <f t="shared" si="1"/>
        <v>1</v>
      </c>
    </row>
    <row r="11" spans="1:21" ht="18" customHeight="1">
      <c r="A11" s="322" t="s">
        <v>136</v>
      </c>
      <c r="B11" s="323" t="s">
        <v>144</v>
      </c>
      <c r="C11" s="393">
        <f t="shared" si="1"/>
        <v>3.0699959066721243E-4</v>
      </c>
      <c r="D11" s="393">
        <f t="shared" si="1"/>
        <v>5.5362259516987311E-2</v>
      </c>
      <c r="E11" s="393">
        <f t="shared" si="1"/>
        <v>6.1399918133442485E-4</v>
      </c>
      <c r="F11" s="393">
        <f t="shared" si="1"/>
        <v>6.1399918133442485E-4</v>
      </c>
      <c r="G11" s="393">
        <f t="shared" si="1"/>
        <v>4.8096602537863282E-3</v>
      </c>
      <c r="H11" s="393">
        <f t="shared" si="1"/>
        <v>2.9676627097830538E-3</v>
      </c>
      <c r="I11" s="393">
        <f t="shared" si="1"/>
        <v>4.0933278755628325E-4</v>
      </c>
      <c r="J11" s="393">
        <f t="shared" si="1"/>
        <v>5.1166598444535403E-4</v>
      </c>
      <c r="K11" s="393">
        <f t="shared" si="1"/>
        <v>3.274662300450266E-3</v>
      </c>
      <c r="L11" s="393">
        <f t="shared" si="1"/>
        <v>9.2099877200163733E-4</v>
      </c>
      <c r="M11" s="393">
        <f t="shared" si="1"/>
        <v>2.0466639377814163E-4</v>
      </c>
      <c r="N11" s="393">
        <f t="shared" si="1"/>
        <v>2.573679901760131E-2</v>
      </c>
      <c r="O11" s="393">
        <f t="shared" si="1"/>
        <v>4.0933278755628325E-4</v>
      </c>
      <c r="P11" s="393">
        <f t="shared" si="1"/>
        <v>5.5259926320098242E-3</v>
      </c>
      <c r="Q11" s="393">
        <f t="shared" si="1"/>
        <v>0.89648997134670483</v>
      </c>
      <c r="R11" s="393">
        <f t="shared" si="1"/>
        <v>0</v>
      </c>
      <c r="S11" s="393">
        <f t="shared" si="1"/>
        <v>1.8419975440032747E-3</v>
      </c>
      <c r="T11" s="393">
        <f t="shared" si="1"/>
        <v>1</v>
      </c>
    </row>
    <row r="12" spans="1:21" ht="18" customHeight="1">
      <c r="A12" s="322" t="s">
        <v>137</v>
      </c>
      <c r="B12" s="323" t="s">
        <v>49</v>
      </c>
      <c r="C12" s="393">
        <f t="shared" si="1"/>
        <v>4.1999838462159758E-3</v>
      </c>
      <c r="D12" s="393">
        <f t="shared" si="1"/>
        <v>2.7946046361360149E-2</v>
      </c>
      <c r="E12" s="393">
        <f t="shared" si="1"/>
        <v>0</v>
      </c>
      <c r="F12" s="393">
        <f t="shared" si="1"/>
        <v>4.8461352071722802E-4</v>
      </c>
      <c r="G12" s="393">
        <f t="shared" si="1"/>
        <v>5.0076730474113559E-3</v>
      </c>
      <c r="H12" s="393">
        <f t="shared" si="1"/>
        <v>1.61537840239076E-3</v>
      </c>
      <c r="I12" s="393">
        <f t="shared" si="1"/>
        <v>0</v>
      </c>
      <c r="J12" s="393">
        <f t="shared" si="1"/>
        <v>3.069218964542444E-3</v>
      </c>
      <c r="K12" s="393">
        <f t="shared" si="1"/>
        <v>5.492286568128584E-3</v>
      </c>
      <c r="L12" s="393">
        <f t="shared" si="1"/>
        <v>1.2276875858169776E-2</v>
      </c>
      <c r="M12" s="393">
        <f t="shared" si="1"/>
        <v>1.453840562151684E-3</v>
      </c>
      <c r="N12" s="393">
        <f t="shared" si="1"/>
        <v>0.17163395525401826</v>
      </c>
      <c r="O12" s="393">
        <f t="shared" si="1"/>
        <v>1.61537840239076E-3</v>
      </c>
      <c r="P12" s="393">
        <f t="shared" si="1"/>
        <v>3.7153703254987481E-3</v>
      </c>
      <c r="Q12" s="393">
        <f t="shared" si="1"/>
        <v>0.75971246264437442</v>
      </c>
      <c r="R12" s="393">
        <f t="shared" si="1"/>
        <v>0</v>
      </c>
      <c r="S12" s="393">
        <f t="shared" si="1"/>
        <v>1.7769162426298361E-3</v>
      </c>
      <c r="T12" s="393">
        <f t="shared" si="1"/>
        <v>1</v>
      </c>
    </row>
    <row r="13" spans="1:21" ht="18" customHeight="1">
      <c r="A13" s="555" t="s">
        <v>145</v>
      </c>
      <c r="B13" s="331" t="s">
        <v>207</v>
      </c>
      <c r="C13" s="393">
        <f t="shared" si="1"/>
        <v>0.94261721483554939</v>
      </c>
      <c r="D13" s="393">
        <f t="shared" si="1"/>
        <v>1.7028224865873572E-2</v>
      </c>
      <c r="E13" s="393">
        <f t="shared" si="1"/>
        <v>5.0540393437524299E-3</v>
      </c>
      <c r="F13" s="393">
        <f t="shared" si="1"/>
        <v>0</v>
      </c>
      <c r="G13" s="393">
        <f t="shared" si="1"/>
        <v>5.2095482466371201E-3</v>
      </c>
      <c r="H13" s="393">
        <f t="shared" si="1"/>
        <v>1.2673975585102247E-2</v>
      </c>
      <c r="I13" s="393">
        <f t="shared" si="1"/>
        <v>1.5550890288469014E-4</v>
      </c>
      <c r="J13" s="393">
        <f t="shared" si="1"/>
        <v>4.6652670865407047E-4</v>
      </c>
      <c r="K13" s="393">
        <f t="shared" si="1"/>
        <v>1.3140502293756318E-2</v>
      </c>
      <c r="L13" s="393">
        <f t="shared" si="1"/>
        <v>0</v>
      </c>
      <c r="M13" s="393">
        <f t="shared" si="1"/>
        <v>0</v>
      </c>
      <c r="N13" s="393">
        <f t="shared" si="1"/>
        <v>5.4428116009641548E-4</v>
      </c>
      <c r="O13" s="393">
        <f t="shared" si="1"/>
        <v>0</v>
      </c>
      <c r="P13" s="393">
        <f t="shared" si="1"/>
        <v>0</v>
      </c>
      <c r="Q13" s="393">
        <f t="shared" si="1"/>
        <v>3.1101780576938028E-3</v>
      </c>
      <c r="R13" s="393">
        <f t="shared" si="1"/>
        <v>0</v>
      </c>
      <c r="S13" s="393">
        <f t="shared" si="1"/>
        <v>0</v>
      </c>
      <c r="T13" s="393">
        <f t="shared" si="1"/>
        <v>1</v>
      </c>
    </row>
    <row r="14" spans="1:21" ht="18" customHeight="1">
      <c r="A14" s="322" t="s">
        <v>147</v>
      </c>
      <c r="B14" s="331" t="s">
        <v>208</v>
      </c>
      <c r="C14" s="393">
        <f t="shared" si="1"/>
        <v>0</v>
      </c>
      <c r="D14" s="393">
        <f t="shared" si="1"/>
        <v>3.5288928098808998E-3</v>
      </c>
      <c r="E14" s="393">
        <f t="shared" si="1"/>
        <v>8.8222320247022495E-4</v>
      </c>
      <c r="F14" s="393">
        <f t="shared" si="1"/>
        <v>0</v>
      </c>
      <c r="G14" s="393">
        <f t="shared" si="1"/>
        <v>0.94662549625055137</v>
      </c>
      <c r="H14" s="393">
        <f t="shared" si="1"/>
        <v>6.1755624172915745E-3</v>
      </c>
      <c r="I14" s="393">
        <f t="shared" si="1"/>
        <v>4.411116012351125E-3</v>
      </c>
      <c r="J14" s="393">
        <f t="shared" si="1"/>
        <v>0</v>
      </c>
      <c r="K14" s="393">
        <f t="shared" si="1"/>
        <v>0</v>
      </c>
      <c r="L14" s="393">
        <f t="shared" si="1"/>
        <v>0</v>
      </c>
      <c r="M14" s="393">
        <f t="shared" si="1"/>
        <v>0</v>
      </c>
      <c r="N14" s="393">
        <f t="shared" si="1"/>
        <v>3.7053374503749452E-2</v>
      </c>
      <c r="O14" s="393">
        <f t="shared" si="1"/>
        <v>0</v>
      </c>
      <c r="P14" s="393">
        <f t="shared" si="1"/>
        <v>0</v>
      </c>
      <c r="Q14" s="393">
        <f t="shared" si="1"/>
        <v>1.3233348037053375E-3</v>
      </c>
      <c r="R14" s="393">
        <f t="shared" si="1"/>
        <v>0</v>
      </c>
      <c r="S14" s="393">
        <f t="shared" si="1"/>
        <v>0</v>
      </c>
      <c r="T14" s="393">
        <f t="shared" si="1"/>
        <v>1</v>
      </c>
    </row>
    <row r="15" spans="1:21" ht="18" customHeight="1">
      <c r="A15" s="322" t="s">
        <v>148</v>
      </c>
      <c r="B15" s="324" t="s">
        <v>39</v>
      </c>
      <c r="C15" s="393">
        <f t="shared" si="1"/>
        <v>8.8038122930296416E-3</v>
      </c>
      <c r="D15" s="393">
        <f t="shared" si="1"/>
        <v>4.4665212826104514E-2</v>
      </c>
      <c r="E15" s="393">
        <f t="shared" si="1"/>
        <v>1.5265325902592683E-2</v>
      </c>
      <c r="F15" s="393">
        <f t="shared" si="1"/>
        <v>4.0384460059768998E-3</v>
      </c>
      <c r="G15" s="393">
        <f t="shared" si="1"/>
        <v>1.9384540828689121E-3</v>
      </c>
      <c r="H15" s="393">
        <f t="shared" si="1"/>
        <v>2.4957596316937242E-2</v>
      </c>
      <c r="I15" s="393">
        <f t="shared" si="1"/>
        <v>1.373071642032146E-3</v>
      </c>
      <c r="J15" s="393">
        <f t="shared" si="1"/>
        <v>4.6038284468136658E-3</v>
      </c>
      <c r="K15" s="393">
        <f t="shared" si="1"/>
        <v>0.86358129391810035</v>
      </c>
      <c r="L15" s="393">
        <f t="shared" si="1"/>
        <v>3.5538324852596721E-3</v>
      </c>
      <c r="M15" s="393">
        <f t="shared" si="1"/>
        <v>0</v>
      </c>
      <c r="N15" s="393">
        <f t="shared" si="1"/>
        <v>5.0076730474113559E-3</v>
      </c>
      <c r="O15" s="393">
        <f t="shared" si="1"/>
        <v>0</v>
      </c>
      <c r="P15" s="393">
        <f t="shared" si="1"/>
        <v>0</v>
      </c>
      <c r="Q15" s="393">
        <f t="shared" si="1"/>
        <v>2.1969146272514336E-2</v>
      </c>
      <c r="R15" s="393">
        <f t="shared" si="1"/>
        <v>0</v>
      </c>
      <c r="S15" s="393">
        <f t="shared" si="1"/>
        <v>2.4230676035861401E-4</v>
      </c>
      <c r="T15" s="393">
        <f t="shared" si="1"/>
        <v>1</v>
      </c>
    </row>
    <row r="16" spans="1:21" ht="18" customHeight="1">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c r="A17" s="322" t="s">
        <v>150</v>
      </c>
      <c r="B17" s="324" t="s">
        <v>31</v>
      </c>
      <c r="C17" s="393">
        <f>+C40/$T40</f>
        <v>7.0765148164528974E-4</v>
      </c>
      <c r="D17" s="393">
        <f>+D40/$T40</f>
        <v>6.4130915524104378E-3</v>
      </c>
      <c r="E17" s="393">
        <f>+E40/$T40</f>
        <v>2.5652366209641753E-3</v>
      </c>
      <c r="F17" s="393">
        <f t="shared" si="1"/>
        <v>1.1499336576735958E-3</v>
      </c>
      <c r="G17" s="393">
        <f t="shared" si="1"/>
        <v>1.7691287041132243E-4</v>
      </c>
      <c r="H17" s="393">
        <f t="shared" si="1"/>
        <v>1.3268465280849183E-4</v>
      </c>
      <c r="I17" s="393">
        <f t="shared" si="1"/>
        <v>3.5382574082264487E-3</v>
      </c>
      <c r="J17" s="393">
        <f t="shared" si="1"/>
        <v>0.98257408226448473</v>
      </c>
      <c r="K17" s="393">
        <f t="shared" si="1"/>
        <v>1.7691287041132243E-4</v>
      </c>
      <c r="L17" s="393">
        <f t="shared" si="1"/>
        <v>1.3268465280849183E-4</v>
      </c>
      <c r="M17" s="393">
        <f t="shared" si="1"/>
        <v>0</v>
      </c>
      <c r="N17" s="393">
        <f t="shared" si="1"/>
        <v>4.4228217602830609E-5</v>
      </c>
      <c r="O17" s="393">
        <f t="shared" si="1"/>
        <v>0</v>
      </c>
      <c r="P17" s="393">
        <f t="shared" si="1"/>
        <v>1.3268465280849183E-4</v>
      </c>
      <c r="Q17" s="393">
        <f t="shared" si="1"/>
        <v>1.901813356921716E-3</v>
      </c>
      <c r="R17" s="393">
        <f t="shared" si="1"/>
        <v>0</v>
      </c>
      <c r="S17" s="393">
        <f t="shared" si="1"/>
        <v>3.5382574082264487E-4</v>
      </c>
      <c r="T17" s="393">
        <f t="shared" si="1"/>
        <v>1</v>
      </c>
    </row>
    <row r="18" spans="1:20" ht="18" customHeight="1">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c r="A19" s="322" t="s">
        <v>153</v>
      </c>
      <c r="B19" s="324" t="s">
        <v>100</v>
      </c>
      <c r="C19" s="393">
        <f t="shared" si="3"/>
        <v>2.6845637583892616E-3</v>
      </c>
      <c r="D19" s="393">
        <f t="shared" si="3"/>
        <v>4.0268456375838931E-3</v>
      </c>
      <c r="E19" s="393">
        <f t="shared" si="3"/>
        <v>7.1588366890380315E-3</v>
      </c>
      <c r="F19" s="393">
        <f t="shared" si="3"/>
        <v>0</v>
      </c>
      <c r="G19" s="393">
        <f t="shared" si="3"/>
        <v>0</v>
      </c>
      <c r="H19" s="393">
        <f t="shared" si="3"/>
        <v>0</v>
      </c>
      <c r="I19" s="393">
        <f t="shared" si="3"/>
        <v>1.3422818791946308E-3</v>
      </c>
      <c r="J19" s="393">
        <f t="shared" si="3"/>
        <v>0</v>
      </c>
      <c r="K19" s="393">
        <f t="shared" si="3"/>
        <v>8.948545861297539E-3</v>
      </c>
      <c r="L19" s="393">
        <f t="shared" si="3"/>
        <v>2.6845637583892616E-3</v>
      </c>
      <c r="M19" s="393">
        <f t="shared" si="3"/>
        <v>0</v>
      </c>
      <c r="N19" s="393">
        <f t="shared" si="3"/>
        <v>1.2527964205816556E-2</v>
      </c>
      <c r="O19" s="393">
        <f t="shared" si="3"/>
        <v>0.91275167785234901</v>
      </c>
      <c r="P19" s="393">
        <f t="shared" si="3"/>
        <v>2.5055928411633111E-2</v>
      </c>
      <c r="Q19" s="393">
        <f t="shared" si="3"/>
        <v>2.2371364653243849E-2</v>
      </c>
      <c r="R19" s="393">
        <f t="shared" si="3"/>
        <v>0</v>
      </c>
      <c r="S19" s="393">
        <f t="shared" si="3"/>
        <v>4.4742729306487697E-4</v>
      </c>
      <c r="T19" s="393">
        <f t="shared" si="3"/>
        <v>1</v>
      </c>
    </row>
    <row r="20" spans="1:20" ht="18" customHeight="1">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c r="A21" s="322" t="s">
        <v>162</v>
      </c>
      <c r="B21" s="324" t="s">
        <v>76</v>
      </c>
      <c r="C21" s="393">
        <f t="shared" si="3"/>
        <v>0</v>
      </c>
      <c r="D21" s="393">
        <f t="shared" si="3"/>
        <v>2.8139289482940555E-4</v>
      </c>
      <c r="E21" s="393">
        <f t="shared" si="3"/>
        <v>0</v>
      </c>
      <c r="F21" s="393">
        <f t="shared" si="3"/>
        <v>0</v>
      </c>
      <c r="G21" s="393">
        <f t="shared" si="3"/>
        <v>3.5174111853675694E-4</v>
      </c>
      <c r="H21" s="393">
        <f t="shared" si="3"/>
        <v>7.0348223707351388E-5</v>
      </c>
      <c r="I21" s="393">
        <f t="shared" si="3"/>
        <v>0</v>
      </c>
      <c r="J21" s="393">
        <f t="shared" si="3"/>
        <v>0</v>
      </c>
      <c r="K21" s="393">
        <f t="shared" si="3"/>
        <v>0</v>
      </c>
      <c r="L21" s="393">
        <f t="shared" si="3"/>
        <v>0</v>
      </c>
      <c r="M21" s="393">
        <f t="shared" si="3"/>
        <v>0</v>
      </c>
      <c r="N21" s="393">
        <f t="shared" si="3"/>
        <v>0.99704537460429121</v>
      </c>
      <c r="O21" s="393">
        <f t="shared" si="3"/>
        <v>0</v>
      </c>
      <c r="P21" s="393">
        <f t="shared" si="3"/>
        <v>0</v>
      </c>
      <c r="Q21" s="393">
        <f t="shared" si="3"/>
        <v>2.2511431586352444E-3</v>
      </c>
      <c r="R21" s="393">
        <f t="shared" si="3"/>
        <v>0</v>
      </c>
      <c r="S21" s="393">
        <f t="shared" si="3"/>
        <v>0</v>
      </c>
      <c r="T21" s="393">
        <f t="shared" si="3"/>
        <v>1</v>
      </c>
    </row>
    <row r="22" spans="1:20" ht="19.5" customHeight="1">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c r="A26" s="319" t="s">
        <v>128</v>
      </c>
      <c r="B26" s="320" t="s">
        <v>21</v>
      </c>
      <c r="C26" s="329">
        <v>26513</v>
      </c>
      <c r="D26" s="329">
        <v>787360</v>
      </c>
      <c r="E26" s="329">
        <v>77557</v>
      </c>
      <c r="F26" s="329">
        <v>16572</v>
      </c>
      <c r="G26" s="329">
        <v>114308</v>
      </c>
      <c r="H26" s="329">
        <v>68844</v>
      </c>
      <c r="I26" s="329">
        <v>16645</v>
      </c>
      <c r="J26" s="329">
        <v>706</v>
      </c>
      <c r="K26" s="329">
        <v>208</v>
      </c>
      <c r="L26" s="329">
        <v>3757</v>
      </c>
      <c r="M26" s="329">
        <v>71</v>
      </c>
      <c r="N26" s="329">
        <v>32868</v>
      </c>
      <c r="O26" s="329">
        <v>10388</v>
      </c>
      <c r="P26" s="329">
        <v>409</v>
      </c>
      <c r="Q26" s="329">
        <v>20049</v>
      </c>
      <c r="R26" s="329">
        <v>16492</v>
      </c>
      <c r="S26" s="329">
        <v>1684</v>
      </c>
      <c r="T26" s="330">
        <f t="shared" ref="T26:T46" si="4">SUM(C26:S26)</f>
        <v>1194431</v>
      </c>
    </row>
    <row r="27" spans="1:20" s="6" customFormat="1" ht="18" customHeight="1">
      <c r="A27" s="331" t="s">
        <v>129</v>
      </c>
      <c r="B27" s="323" t="s">
        <v>71</v>
      </c>
      <c r="C27" s="332">
        <v>773</v>
      </c>
      <c r="D27" s="332">
        <v>62796</v>
      </c>
      <c r="E27" s="332">
        <v>2063</v>
      </c>
      <c r="F27" s="332">
        <v>518</v>
      </c>
      <c r="G27" s="332">
        <v>4260</v>
      </c>
      <c r="H27" s="332">
        <v>500</v>
      </c>
      <c r="I27" s="332">
        <v>1424</v>
      </c>
      <c r="J27" s="332">
        <v>201</v>
      </c>
      <c r="K27" s="332">
        <v>478</v>
      </c>
      <c r="L27" s="332">
        <v>107</v>
      </c>
      <c r="M27" s="332">
        <v>1</v>
      </c>
      <c r="N27" s="332">
        <v>11552</v>
      </c>
      <c r="O27" s="332">
        <v>18</v>
      </c>
      <c r="P27" s="332">
        <v>1772</v>
      </c>
      <c r="Q27" s="332">
        <v>918</v>
      </c>
      <c r="R27" s="333">
        <v>5</v>
      </c>
      <c r="S27" s="332">
        <v>4780</v>
      </c>
      <c r="T27" s="334">
        <f t="shared" si="4"/>
        <v>92166</v>
      </c>
    </row>
    <row r="28" spans="1:20" s="6" customFormat="1" ht="18" customHeight="1">
      <c r="A28" s="331" t="s">
        <v>140</v>
      </c>
      <c r="B28" s="323" t="s">
        <v>72</v>
      </c>
      <c r="C28" s="333"/>
      <c r="D28" s="332">
        <v>226</v>
      </c>
      <c r="E28" s="333"/>
      <c r="F28" s="332">
        <v>27</v>
      </c>
      <c r="G28" s="333">
        <v>1</v>
      </c>
      <c r="H28" s="332"/>
      <c r="I28" s="332">
        <v>4</v>
      </c>
      <c r="J28" s="333">
        <v>6</v>
      </c>
      <c r="K28" s="332">
        <v>4</v>
      </c>
      <c r="L28" s="332">
        <v>706</v>
      </c>
      <c r="M28" s="332"/>
      <c r="N28" s="332">
        <v>3616.5</v>
      </c>
      <c r="O28" s="332"/>
      <c r="P28" s="332">
        <v>4</v>
      </c>
      <c r="Q28" s="332">
        <v>57</v>
      </c>
      <c r="R28" s="333"/>
      <c r="S28" s="332">
        <v>3</v>
      </c>
      <c r="T28" s="334">
        <f t="shared" si="4"/>
        <v>4654.5</v>
      </c>
    </row>
    <row r="29" spans="1:20" s="6" customFormat="1" ht="18" customHeight="1">
      <c r="A29" s="331" t="s">
        <v>130</v>
      </c>
      <c r="B29" s="323" t="s">
        <v>73</v>
      </c>
      <c r="C29" s="332">
        <v>194</v>
      </c>
      <c r="D29" s="332">
        <v>2150</v>
      </c>
      <c r="E29" s="332">
        <v>155</v>
      </c>
      <c r="F29" s="332">
        <v>113</v>
      </c>
      <c r="G29" s="332">
        <v>30154</v>
      </c>
      <c r="H29" s="332">
        <v>292</v>
      </c>
      <c r="I29" s="332">
        <v>64</v>
      </c>
      <c r="J29" s="332">
        <v>120</v>
      </c>
      <c r="K29" s="332">
        <v>16</v>
      </c>
      <c r="L29" s="332">
        <v>22</v>
      </c>
      <c r="M29" s="332"/>
      <c r="N29" s="332">
        <v>644.5</v>
      </c>
      <c r="O29" s="332">
        <v>1266</v>
      </c>
      <c r="P29" s="332">
        <v>12</v>
      </c>
      <c r="Q29" s="332">
        <v>742</v>
      </c>
      <c r="R29" s="333"/>
      <c r="S29" s="332">
        <v>48</v>
      </c>
      <c r="T29" s="334">
        <f t="shared" si="4"/>
        <v>35992.5</v>
      </c>
    </row>
    <row r="30" spans="1:20" s="6" customFormat="1" ht="18" customHeight="1">
      <c r="A30" s="331" t="s">
        <v>131</v>
      </c>
      <c r="B30" s="323" t="s">
        <v>141</v>
      </c>
      <c r="C30" s="332">
        <v>14</v>
      </c>
      <c r="D30" s="332">
        <v>959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16345</v>
      </c>
    </row>
    <row r="31" spans="1:20" s="6" customFormat="1" ht="18" customHeight="1">
      <c r="A31" s="331" t="s">
        <v>132</v>
      </c>
      <c r="B31" s="331" t="s">
        <v>206</v>
      </c>
      <c r="C31" s="333"/>
      <c r="D31" s="332">
        <v>612</v>
      </c>
      <c r="E31" s="333">
        <v>4</v>
      </c>
      <c r="F31" s="332">
        <v>18867</v>
      </c>
      <c r="G31" s="332">
        <v>7</v>
      </c>
      <c r="H31" s="333">
        <v>86</v>
      </c>
      <c r="I31" s="332">
        <v>17</v>
      </c>
      <c r="J31" s="333"/>
      <c r="K31" s="332">
        <v>132</v>
      </c>
      <c r="L31" s="333">
        <v>61</v>
      </c>
      <c r="M31" s="333"/>
      <c r="N31" s="332">
        <v>27</v>
      </c>
      <c r="O31" s="333">
        <v>10</v>
      </c>
      <c r="P31" s="333"/>
      <c r="Q31" s="332">
        <v>36</v>
      </c>
      <c r="R31" s="333"/>
      <c r="S31" s="332">
        <v>28</v>
      </c>
      <c r="T31" s="334">
        <f>SUM(C31:S31)</f>
        <v>19887</v>
      </c>
    </row>
    <row r="32" spans="1:20" s="6" customFormat="1" ht="18" customHeight="1">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c r="A33" s="331" t="s">
        <v>135</v>
      </c>
      <c r="B33" s="323" t="s">
        <v>70</v>
      </c>
      <c r="C33" s="332">
        <v>2</v>
      </c>
      <c r="D33" s="332">
        <v>98</v>
      </c>
      <c r="E33" s="333"/>
      <c r="F33" s="332">
        <v>15</v>
      </c>
      <c r="G33" s="333"/>
      <c r="H33" s="332">
        <v>3</v>
      </c>
      <c r="I33" s="332"/>
      <c r="J33" s="333"/>
      <c r="K33" s="332">
        <v>32</v>
      </c>
      <c r="L33" s="332">
        <v>9842</v>
      </c>
      <c r="M33" s="333"/>
      <c r="N33" s="332">
        <v>119</v>
      </c>
      <c r="O33" s="332">
        <v>2</v>
      </c>
      <c r="P33" s="332"/>
      <c r="Q33" s="332">
        <v>188</v>
      </c>
      <c r="R33" s="333"/>
      <c r="S33" s="333"/>
      <c r="T33" s="334">
        <f t="shared" si="4"/>
        <v>10301</v>
      </c>
    </row>
    <row r="34" spans="1:20" s="6" customFormat="1" ht="18" customHeight="1">
      <c r="A34" s="331" t="s">
        <v>136</v>
      </c>
      <c r="B34" s="323" t="s">
        <v>144</v>
      </c>
      <c r="C34" s="333">
        <v>3</v>
      </c>
      <c r="D34" s="332">
        <v>541</v>
      </c>
      <c r="E34" s="333">
        <v>6</v>
      </c>
      <c r="F34" s="333">
        <v>6</v>
      </c>
      <c r="G34" s="332">
        <v>47</v>
      </c>
      <c r="H34" s="332">
        <v>29</v>
      </c>
      <c r="I34" s="333">
        <v>4</v>
      </c>
      <c r="J34" s="333">
        <v>5</v>
      </c>
      <c r="K34" s="333">
        <v>32</v>
      </c>
      <c r="L34" s="333">
        <v>9</v>
      </c>
      <c r="M34" s="333">
        <v>2</v>
      </c>
      <c r="N34" s="332">
        <v>251.5</v>
      </c>
      <c r="O34" s="332">
        <v>4</v>
      </c>
      <c r="P34" s="332">
        <v>54</v>
      </c>
      <c r="Q34" s="332">
        <v>8760.5</v>
      </c>
      <c r="R34" s="333"/>
      <c r="S34" s="333">
        <v>18</v>
      </c>
      <c r="T34" s="334">
        <f t="shared" si="4"/>
        <v>9772</v>
      </c>
    </row>
    <row r="35" spans="1:20" s="6" customFormat="1" ht="18" customHeight="1">
      <c r="A35" s="331" t="s">
        <v>137</v>
      </c>
      <c r="B35" s="323" t="s">
        <v>49</v>
      </c>
      <c r="C35" s="332">
        <v>26</v>
      </c>
      <c r="D35" s="332">
        <v>173</v>
      </c>
      <c r="E35" s="332"/>
      <c r="F35" s="332">
        <v>3</v>
      </c>
      <c r="G35" s="333">
        <v>31</v>
      </c>
      <c r="H35" s="333">
        <v>10</v>
      </c>
      <c r="I35" s="332"/>
      <c r="J35" s="332">
        <v>19</v>
      </c>
      <c r="K35" s="332">
        <v>34</v>
      </c>
      <c r="L35" s="333">
        <v>76</v>
      </c>
      <c r="M35" s="333">
        <v>9</v>
      </c>
      <c r="N35" s="332">
        <v>1062.5</v>
      </c>
      <c r="O35" s="333">
        <v>10</v>
      </c>
      <c r="P35" s="333">
        <v>23</v>
      </c>
      <c r="Q35" s="332">
        <v>4703</v>
      </c>
      <c r="R35" s="333"/>
      <c r="S35" s="333">
        <v>11</v>
      </c>
      <c r="T35" s="334">
        <f t="shared" si="4"/>
        <v>6190.5</v>
      </c>
    </row>
    <row r="36" spans="1:20" s="6" customFormat="1" ht="18" customHeight="1">
      <c r="A36" s="554" t="s">
        <v>145</v>
      </c>
      <c r="B36" s="331" t="s">
        <v>207</v>
      </c>
      <c r="C36" s="333">
        <v>12123</v>
      </c>
      <c r="D36" s="333">
        <v>219</v>
      </c>
      <c r="E36" s="333">
        <v>65</v>
      </c>
      <c r="F36" s="333"/>
      <c r="G36" s="333">
        <v>67</v>
      </c>
      <c r="H36" s="333">
        <v>163</v>
      </c>
      <c r="I36" s="333">
        <v>2</v>
      </c>
      <c r="J36" s="333">
        <v>6</v>
      </c>
      <c r="K36" s="333">
        <v>169</v>
      </c>
      <c r="L36" s="333"/>
      <c r="M36" s="333"/>
      <c r="N36" s="333">
        <v>7</v>
      </c>
      <c r="O36" s="333"/>
      <c r="P36" s="333"/>
      <c r="Q36" s="333">
        <v>40</v>
      </c>
      <c r="R36" s="333"/>
      <c r="S36" s="333"/>
      <c r="T36" s="334">
        <f>SUM(C36:S36)</f>
        <v>12861</v>
      </c>
    </row>
    <row r="37" spans="1:20" s="6" customFormat="1" ht="18" customHeight="1">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c r="T37" s="334">
        <f>SUM(C37:S37)</f>
        <v>2267</v>
      </c>
    </row>
    <row r="38" spans="1:20" s="6" customFormat="1" ht="18" customHeight="1">
      <c r="A38" s="331" t="s">
        <v>148</v>
      </c>
      <c r="B38" s="324" t="s">
        <v>39</v>
      </c>
      <c r="C38" s="332">
        <v>109</v>
      </c>
      <c r="D38" s="332">
        <v>553</v>
      </c>
      <c r="E38" s="332">
        <v>189</v>
      </c>
      <c r="F38" s="332">
        <v>50</v>
      </c>
      <c r="G38" s="332">
        <v>24</v>
      </c>
      <c r="H38" s="332">
        <v>309</v>
      </c>
      <c r="I38" s="332">
        <v>17</v>
      </c>
      <c r="J38" s="332">
        <v>57</v>
      </c>
      <c r="K38" s="332">
        <v>10692</v>
      </c>
      <c r="L38" s="332">
        <v>44</v>
      </c>
      <c r="M38" s="333"/>
      <c r="N38" s="332">
        <v>62</v>
      </c>
      <c r="O38" s="333"/>
      <c r="P38" s="332"/>
      <c r="Q38" s="332">
        <v>272</v>
      </c>
      <c r="R38" s="333"/>
      <c r="S38" s="332">
        <v>3</v>
      </c>
      <c r="T38" s="334">
        <f t="shared" si="4"/>
        <v>12381</v>
      </c>
    </row>
    <row r="39" spans="1:20" s="6" customFormat="1" ht="18" customHeight="1">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c r="A40" s="331" t="s">
        <v>150</v>
      </c>
      <c r="B40" s="324" t="s">
        <v>31</v>
      </c>
      <c r="C40" s="333">
        <v>16</v>
      </c>
      <c r="D40" s="333">
        <v>145</v>
      </c>
      <c r="E40" s="333">
        <v>58</v>
      </c>
      <c r="F40" s="333">
        <v>26</v>
      </c>
      <c r="G40" s="332">
        <v>4</v>
      </c>
      <c r="H40" s="333">
        <v>3</v>
      </c>
      <c r="I40" s="333">
        <v>80</v>
      </c>
      <c r="J40" s="333">
        <v>22216</v>
      </c>
      <c r="K40" s="333">
        <v>4</v>
      </c>
      <c r="L40" s="333">
        <v>3</v>
      </c>
      <c r="M40" s="333"/>
      <c r="N40" s="332">
        <v>1</v>
      </c>
      <c r="O40" s="333"/>
      <c r="P40" s="333">
        <v>3</v>
      </c>
      <c r="Q40" s="333">
        <v>43</v>
      </c>
      <c r="R40" s="333"/>
      <c r="S40" s="333">
        <v>8</v>
      </c>
      <c r="T40" s="334">
        <f t="shared" si="4"/>
        <v>22610</v>
      </c>
    </row>
    <row r="41" spans="1:20" s="6" customFormat="1" ht="18" customHeight="1">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c r="A42" s="331" t="s">
        <v>153</v>
      </c>
      <c r="B42" s="324" t="s">
        <v>100</v>
      </c>
      <c r="C42" s="332">
        <v>6</v>
      </c>
      <c r="D42" s="332">
        <v>9</v>
      </c>
      <c r="E42" s="332">
        <v>16</v>
      </c>
      <c r="F42" s="332"/>
      <c r="G42" s="332"/>
      <c r="H42" s="332"/>
      <c r="I42" s="332">
        <v>3</v>
      </c>
      <c r="J42" s="332"/>
      <c r="K42" s="332">
        <v>20</v>
      </c>
      <c r="L42" s="332">
        <v>6</v>
      </c>
      <c r="M42" s="333"/>
      <c r="N42" s="332">
        <v>28</v>
      </c>
      <c r="O42" s="333">
        <v>2040</v>
      </c>
      <c r="P42" s="332">
        <v>56</v>
      </c>
      <c r="Q42" s="332">
        <v>50</v>
      </c>
      <c r="R42" s="333"/>
      <c r="S42" s="332">
        <v>1</v>
      </c>
      <c r="T42" s="334">
        <f t="shared" si="4"/>
        <v>2235</v>
      </c>
    </row>
    <row r="43" spans="1:20" s="6" customFormat="1" ht="18" customHeight="1">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c r="A44" s="331" t="s">
        <v>162</v>
      </c>
      <c r="B44" s="324" t="s">
        <v>76</v>
      </c>
      <c r="C44" s="333"/>
      <c r="D44" s="332">
        <v>12</v>
      </c>
      <c r="E44" s="333"/>
      <c r="F44" s="332"/>
      <c r="G44" s="333">
        <v>15</v>
      </c>
      <c r="H44" s="333">
        <v>3</v>
      </c>
      <c r="I44" s="333"/>
      <c r="J44" s="333"/>
      <c r="K44" s="332"/>
      <c r="L44" s="333"/>
      <c r="M44" s="333"/>
      <c r="N44" s="333">
        <v>42519</v>
      </c>
      <c r="O44" s="333"/>
      <c r="P44" s="333"/>
      <c r="Q44" s="333">
        <v>96</v>
      </c>
      <c r="R44" s="333"/>
      <c r="S44" s="333"/>
      <c r="T44" s="334">
        <f t="shared" si="4"/>
        <v>42645</v>
      </c>
    </row>
    <row r="45" spans="1:20" s="6" customFormat="1" ht="18" customHeight="1">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c r="A47" s="339"/>
      <c r="B47" s="467" t="s">
        <v>17</v>
      </c>
      <c r="C47" s="468">
        <f t="shared" ref="C47:T47" si="5">SUM(C26:C46)</f>
        <v>39810</v>
      </c>
      <c r="D47" s="469">
        <f t="shared" si="5"/>
        <v>856057</v>
      </c>
      <c r="E47" s="468">
        <f t="shared" si="5"/>
        <v>91249</v>
      </c>
      <c r="F47" s="468">
        <f t="shared" si="5"/>
        <v>36212</v>
      </c>
      <c r="G47" s="469">
        <f t="shared" si="5"/>
        <v>151218</v>
      </c>
      <c r="H47" s="468">
        <f t="shared" si="5"/>
        <v>85198</v>
      </c>
      <c r="I47" s="468">
        <f t="shared" si="5"/>
        <v>18310</v>
      </c>
      <c r="J47" s="468">
        <f t="shared" si="5"/>
        <v>25683</v>
      </c>
      <c r="K47" s="468">
        <f t="shared" si="5"/>
        <v>12047</v>
      </c>
      <c r="L47" s="468">
        <f t="shared" si="5"/>
        <v>14633</v>
      </c>
      <c r="M47" s="468">
        <f t="shared" si="5"/>
        <v>16814</v>
      </c>
      <c r="N47" s="469">
        <f t="shared" si="5"/>
        <v>97013</v>
      </c>
      <c r="O47" s="468">
        <f t="shared" si="5"/>
        <v>13775</v>
      </c>
      <c r="P47" s="468">
        <f t="shared" si="5"/>
        <v>18828</v>
      </c>
      <c r="Q47" s="468">
        <f t="shared" si="5"/>
        <v>36204.5</v>
      </c>
      <c r="R47" s="468">
        <f t="shared" si="5"/>
        <v>16500</v>
      </c>
      <c r="S47" s="468">
        <f t="shared" si="5"/>
        <v>6628</v>
      </c>
      <c r="T47" s="342">
        <f t="shared" si="5"/>
        <v>1536179.5</v>
      </c>
    </row>
    <row r="48" spans="1:20" ht="18" customHeight="1">
      <c r="C48" s="7"/>
      <c r="D48" s="7"/>
      <c r="E48" s="7"/>
      <c r="F48" s="7"/>
      <c r="G48" s="7"/>
      <c r="H48" s="7"/>
      <c r="I48" s="7"/>
      <c r="J48" s="7"/>
      <c r="K48" s="7"/>
      <c r="L48" s="7"/>
      <c r="M48" s="7"/>
      <c r="N48" s="7"/>
      <c r="O48" s="7"/>
      <c r="P48" s="7"/>
      <c r="Q48" s="7"/>
      <c r="R48" s="7"/>
      <c r="S48" s="7"/>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9"/>
  <sheetViews>
    <sheetView topLeftCell="C3" workbookViewId="0">
      <selection sqref="A1:B1"/>
    </sheetView>
  </sheetViews>
  <sheetFormatPr defaultColWidth="8.85546875" defaultRowHeight="50.25" customHeight="1"/>
  <cols>
    <col min="1" max="1" width="8.42578125" style="502" hidden="1" customWidth="1"/>
    <col min="2" max="2" width="34.42578125" style="502" customWidth="1"/>
    <col min="3" max="19" width="25" style="502" customWidth="1"/>
    <col min="20" max="20" width="18.140625" style="502" customWidth="1"/>
    <col min="21" max="21" width="13.7109375" style="502" customWidth="1"/>
    <col min="22" max="16384" width="8.85546875" style="502"/>
  </cols>
  <sheetData>
    <row r="1" spans="1:38" ht="74.25" customHeight="1">
      <c r="A1" s="637" t="s">
        <v>418</v>
      </c>
      <c r="B1" s="638"/>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c r="V2" s="32"/>
      <c r="W2" s="32"/>
      <c r="X2" s="32"/>
      <c r="Y2" s="32"/>
      <c r="Z2" s="32"/>
      <c r="AA2" s="32"/>
      <c r="AB2" s="32"/>
      <c r="AC2" s="32"/>
      <c r="AD2" s="32"/>
      <c r="AE2" s="32"/>
      <c r="AF2" s="32"/>
      <c r="AG2" s="32"/>
      <c r="AH2" s="32"/>
      <c r="AI2" s="32"/>
      <c r="AJ2" s="32"/>
      <c r="AK2" s="32"/>
      <c r="AL2" s="32"/>
    </row>
    <row r="3" spans="1:38" s="507" customFormat="1" ht="24" customHeight="1">
      <c r="A3" s="505" t="s">
        <v>128</v>
      </c>
      <c r="B3" s="533" t="s">
        <v>173</v>
      </c>
      <c r="C3" s="506">
        <f>+C26/$T26</f>
        <v>1.3050570962479609E-2</v>
      </c>
      <c r="D3" s="506">
        <f t="shared" ref="D3:T3" si="0">+D26/$T26</f>
        <v>0.6497319972034491</v>
      </c>
      <c r="E3" s="506">
        <f t="shared" si="0"/>
        <v>0.10370542996970403</v>
      </c>
      <c r="F3" s="506">
        <f t="shared" si="0"/>
        <v>1.1768818457236076E-2</v>
      </c>
      <c r="G3" s="506">
        <f t="shared" si="0"/>
        <v>0.10813330226054532</v>
      </c>
      <c r="H3" s="506">
        <f t="shared" si="0"/>
        <v>3.4374271731531111E-2</v>
      </c>
      <c r="I3" s="506">
        <f t="shared" si="0"/>
        <v>1.1652295502213935E-2</v>
      </c>
      <c r="J3" s="506">
        <f t="shared" si="0"/>
        <v>0</v>
      </c>
      <c r="K3" s="506">
        <f t="shared" si="0"/>
        <v>0</v>
      </c>
      <c r="L3" s="506">
        <f t="shared" si="0"/>
        <v>4.7774411559077141E-3</v>
      </c>
      <c r="M3" s="506">
        <f t="shared" si="0"/>
        <v>0</v>
      </c>
      <c r="N3" s="506">
        <f t="shared" si="0"/>
        <v>1.8643672803542299E-2</v>
      </c>
      <c r="O3" s="506">
        <f t="shared" si="0"/>
        <v>1.654625961314379E-2</v>
      </c>
      <c r="P3" s="506">
        <f t="shared" si="0"/>
        <v>0</v>
      </c>
      <c r="Q3" s="506">
        <f t="shared" si="0"/>
        <v>2.0857608948962946E-2</v>
      </c>
      <c r="R3" s="506">
        <f t="shared" si="0"/>
        <v>1.5147984152878117E-3</v>
      </c>
      <c r="S3" s="506">
        <f t="shared" si="0"/>
        <v>5.2435329759962712E-3</v>
      </c>
      <c r="T3" s="506">
        <f t="shared" si="0"/>
        <v>1</v>
      </c>
      <c r="V3" s="32"/>
      <c r="W3" s="32"/>
      <c r="X3" s="32"/>
      <c r="Y3" s="32"/>
      <c r="Z3" s="32"/>
      <c r="AA3" s="32"/>
      <c r="AB3" s="32"/>
      <c r="AC3" s="32"/>
      <c r="AD3" s="32"/>
      <c r="AE3" s="32"/>
      <c r="AF3" s="32"/>
      <c r="AG3" s="32"/>
      <c r="AH3" s="32"/>
      <c r="AI3" s="32"/>
      <c r="AJ3" s="32"/>
      <c r="AK3" s="32"/>
      <c r="AL3" s="32"/>
    </row>
    <row r="4" spans="1:38" s="507" customFormat="1" ht="24" customHeight="1">
      <c r="A4" s="508" t="s">
        <v>129</v>
      </c>
      <c r="B4" s="534" t="s">
        <v>71</v>
      </c>
      <c r="C4" s="509">
        <f t="shared" ref="C4:T17" si="1">+C27/$T27</f>
        <v>6.4645563976816773E-3</v>
      </c>
      <c r="D4" s="509">
        <f t="shared" si="1"/>
        <v>0.65481497993758353</v>
      </c>
      <c r="E4" s="509">
        <f t="shared" si="1"/>
        <v>2.4409273294694608E-2</v>
      </c>
      <c r="F4" s="509">
        <f t="shared" si="1"/>
        <v>2.1176995095853767E-3</v>
      </c>
      <c r="G4" s="509">
        <f t="shared" si="1"/>
        <v>4.0236290682122165E-2</v>
      </c>
      <c r="H4" s="509">
        <f t="shared" si="1"/>
        <v>0</v>
      </c>
      <c r="I4" s="509">
        <f t="shared" si="1"/>
        <v>1.6607222469906376E-2</v>
      </c>
      <c r="J4" s="509">
        <f t="shared" si="1"/>
        <v>3.3437360677663843E-4</v>
      </c>
      <c r="K4" s="509">
        <f t="shared" si="1"/>
        <v>5.795809184128399E-3</v>
      </c>
      <c r="L4" s="509">
        <f t="shared" si="1"/>
        <v>1.1145786892554614E-4</v>
      </c>
      <c r="M4" s="509">
        <f t="shared" si="1"/>
        <v>0</v>
      </c>
      <c r="N4" s="509">
        <f t="shared" si="1"/>
        <v>0.14255461435577349</v>
      </c>
      <c r="O4" s="509">
        <f t="shared" si="1"/>
        <v>2.2291573785109228E-4</v>
      </c>
      <c r="P4" s="509">
        <f t="shared" si="1"/>
        <v>2.3183236736513596E-2</v>
      </c>
      <c r="Q4" s="509">
        <f t="shared" si="1"/>
        <v>2.2291573785109228E-4</v>
      </c>
      <c r="R4" s="509">
        <f t="shared" si="1"/>
        <v>0</v>
      </c>
      <c r="S4" s="509">
        <f t="shared" si="1"/>
        <v>8.2924654480606333E-2</v>
      </c>
      <c r="T4" s="509">
        <f t="shared" si="1"/>
        <v>1</v>
      </c>
      <c r="V4" s="32"/>
      <c r="W4" s="32"/>
      <c r="X4" s="32"/>
      <c r="Y4" s="32"/>
      <c r="Z4" s="32"/>
      <c r="AA4" s="32"/>
      <c r="AB4" s="32"/>
      <c r="AC4" s="32"/>
      <c r="AD4" s="32"/>
      <c r="AE4" s="32"/>
      <c r="AF4" s="32"/>
      <c r="AG4" s="32"/>
      <c r="AH4" s="32"/>
      <c r="AI4" s="32"/>
      <c r="AJ4" s="32"/>
      <c r="AK4" s="32"/>
      <c r="AL4" s="32"/>
    </row>
    <row r="5" spans="1:38" s="507" customFormat="1" ht="24" customHeight="1">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c r="A6" s="508" t="s">
        <v>130</v>
      </c>
      <c r="B6" s="534" t="s">
        <v>73</v>
      </c>
      <c r="C6" s="509">
        <f t="shared" si="1"/>
        <v>2.971768202080238E-4</v>
      </c>
      <c r="D6" s="509">
        <f t="shared" si="1"/>
        <v>7.429420505200594E-3</v>
      </c>
      <c r="E6" s="509">
        <f t="shared" si="1"/>
        <v>2.0802377414561668E-3</v>
      </c>
      <c r="F6" s="509">
        <f t="shared" si="1"/>
        <v>1.7830609212481428E-3</v>
      </c>
      <c r="G6" s="509">
        <f t="shared" si="1"/>
        <v>0.88855869242199115</v>
      </c>
      <c r="H6" s="509">
        <f t="shared" si="1"/>
        <v>5.9435364041604761E-4</v>
      </c>
      <c r="I6" s="509">
        <f t="shared" si="1"/>
        <v>0</v>
      </c>
      <c r="J6" s="509">
        <f t="shared" si="1"/>
        <v>2.6745913818722144E-3</v>
      </c>
      <c r="K6" s="509">
        <f t="shared" si="1"/>
        <v>0</v>
      </c>
      <c r="L6" s="509">
        <f t="shared" si="1"/>
        <v>0</v>
      </c>
      <c r="M6" s="509">
        <f t="shared" si="1"/>
        <v>0</v>
      </c>
      <c r="N6" s="509">
        <f t="shared" si="1"/>
        <v>1.3372956909361071E-2</v>
      </c>
      <c r="O6" s="509">
        <f t="shared" si="1"/>
        <v>5.7949479940564645E-2</v>
      </c>
      <c r="P6" s="509">
        <f t="shared" si="1"/>
        <v>0</v>
      </c>
      <c r="Q6" s="509">
        <f t="shared" si="1"/>
        <v>1.1887072808320954E-2</v>
      </c>
      <c r="R6" s="509">
        <f t="shared" si="1"/>
        <v>0</v>
      </c>
      <c r="S6" s="509">
        <f t="shared" si="1"/>
        <v>1.3372956909361071E-2</v>
      </c>
      <c r="T6" s="509">
        <f t="shared" si="1"/>
        <v>1</v>
      </c>
      <c r="V6" s="32"/>
      <c r="W6" s="32"/>
      <c r="X6" s="32"/>
      <c r="Y6" s="32"/>
      <c r="Z6" s="32"/>
      <c r="AA6" s="32"/>
      <c r="AB6" s="32"/>
      <c r="AC6" s="32"/>
      <c r="AD6" s="32"/>
      <c r="AE6" s="32"/>
      <c r="AF6" s="32"/>
      <c r="AG6" s="32"/>
      <c r="AH6" s="32"/>
      <c r="AI6" s="32"/>
      <c r="AJ6" s="32"/>
      <c r="AK6" s="32"/>
      <c r="AL6" s="32"/>
    </row>
    <row r="7" spans="1:38" s="507" customFormat="1" ht="24" customHeight="1">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3.0525030525030528E-2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c r="A13" s="556" t="s">
        <v>145</v>
      </c>
      <c r="B13" s="508" t="s">
        <v>211</v>
      </c>
      <c r="C13" s="509">
        <f t="shared" si="1"/>
        <v>0.98134328358208955</v>
      </c>
      <c r="D13" s="509">
        <f t="shared" si="1"/>
        <v>0</v>
      </c>
      <c r="E13" s="509">
        <f t="shared" si="1"/>
        <v>0</v>
      </c>
      <c r="F13" s="509">
        <f t="shared" si="1"/>
        <v>0</v>
      </c>
      <c r="G13" s="509">
        <f t="shared" si="1"/>
        <v>2.798507462686567E-3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1.5858208955223881E-2</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c r="A16" s="508" t="s">
        <v>149</v>
      </c>
      <c r="B16" s="535" t="s">
        <v>38</v>
      </c>
      <c r="C16" s="509">
        <f t="shared" si="1"/>
        <v>0</v>
      </c>
      <c r="D16" s="509">
        <f t="shared" si="1"/>
        <v>6.6225165562913907E-3</v>
      </c>
      <c r="E16" s="509">
        <f t="shared" si="1"/>
        <v>0.97350993377483463</v>
      </c>
      <c r="F16" s="509">
        <f t="shared" si="1"/>
        <v>0</v>
      </c>
      <c r="G16" s="509">
        <f t="shared" si="1"/>
        <v>2.6490066225165567E-3</v>
      </c>
      <c r="H16" s="509">
        <f t="shared" si="1"/>
        <v>0</v>
      </c>
      <c r="I16" s="509">
        <f t="shared" si="1"/>
        <v>0</v>
      </c>
      <c r="J16" s="509">
        <f t="shared" si="1"/>
        <v>2.6490066225165567E-3</v>
      </c>
      <c r="K16" s="509">
        <f t="shared" si="1"/>
        <v>0</v>
      </c>
      <c r="L16" s="509">
        <f t="shared" si="1"/>
        <v>0</v>
      </c>
      <c r="M16" s="509">
        <f t="shared" si="1"/>
        <v>0</v>
      </c>
      <c r="N16" s="509">
        <f t="shared" si="1"/>
        <v>2.6490066225165567E-3</v>
      </c>
      <c r="O16" s="509">
        <f t="shared" si="1"/>
        <v>0</v>
      </c>
      <c r="P16" s="509">
        <f t="shared" si="1"/>
        <v>2.6490066225165567E-3</v>
      </c>
      <c r="Q16" s="509">
        <f t="shared" si="1"/>
        <v>7.9470198675496706E-3</v>
      </c>
      <c r="R16" s="509">
        <f t="shared" si="1"/>
        <v>0</v>
      </c>
      <c r="S16" s="509">
        <f t="shared" si="1"/>
        <v>1.3245033112582784E-3</v>
      </c>
      <c r="T16" s="509">
        <f t="shared" si="1"/>
        <v>1</v>
      </c>
    </row>
    <row r="17" spans="1:21" s="507" customFormat="1" ht="24" customHeight="1">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c r="B24" s="537"/>
    </row>
    <row r="25" spans="1:21" ht="60" customHeight="1">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c r="A26" s="505" t="s">
        <v>128</v>
      </c>
      <c r="B26" s="533" t="s">
        <v>173</v>
      </c>
      <c r="C26" s="515">
        <v>112</v>
      </c>
      <c r="D26" s="515">
        <v>5576</v>
      </c>
      <c r="E26" s="515">
        <v>890</v>
      </c>
      <c r="F26" s="515">
        <v>101</v>
      </c>
      <c r="G26" s="515">
        <v>928</v>
      </c>
      <c r="H26" s="515">
        <v>295</v>
      </c>
      <c r="I26" s="515">
        <v>100</v>
      </c>
      <c r="J26" s="515"/>
      <c r="K26" s="515"/>
      <c r="L26" s="515">
        <v>41</v>
      </c>
      <c r="M26" s="515"/>
      <c r="N26" s="515">
        <v>160</v>
      </c>
      <c r="O26" s="515">
        <v>142</v>
      </c>
      <c r="P26" s="515"/>
      <c r="Q26" s="515">
        <v>179</v>
      </c>
      <c r="R26" s="515">
        <v>13</v>
      </c>
      <c r="S26" s="515">
        <v>45</v>
      </c>
      <c r="T26" s="517">
        <f>SUM(C26:S26)</f>
        <v>8582</v>
      </c>
      <c r="U26" s="32"/>
    </row>
    <row r="27" spans="1:21" s="507" customFormat="1" ht="24" customHeight="1">
      <c r="A27" s="508" t="s">
        <v>129</v>
      </c>
      <c r="B27" s="534" t="s">
        <v>35</v>
      </c>
      <c r="C27" s="518">
        <v>19.333333333333336</v>
      </c>
      <c r="D27" s="518">
        <v>1958.333333333333</v>
      </c>
      <c r="E27" s="518">
        <v>73</v>
      </c>
      <c r="F27" s="518">
        <v>6.333333333333333</v>
      </c>
      <c r="G27" s="518">
        <v>120.33333333333334</v>
      </c>
      <c r="H27" s="518"/>
      <c r="I27" s="518">
        <v>49.666666666666664</v>
      </c>
      <c r="J27" s="518">
        <v>1</v>
      </c>
      <c r="K27" s="518">
        <v>17.333333333333332</v>
      </c>
      <c r="L27" s="518">
        <v>0.33333333333333331</v>
      </c>
      <c r="M27" s="518"/>
      <c r="N27" s="518">
        <v>426.33333333333326</v>
      </c>
      <c r="O27" s="518">
        <v>0.66666666666666663</v>
      </c>
      <c r="P27" s="518">
        <v>69.333333333333329</v>
      </c>
      <c r="Q27" s="518">
        <v>0.66666666666666663</v>
      </c>
      <c r="R27" s="519"/>
      <c r="S27" s="518">
        <v>248</v>
      </c>
      <c r="T27" s="520">
        <f t="shared" ref="T27:T46" si="4">SUM(C27:S27)</f>
        <v>2990.6666666666665</v>
      </c>
      <c r="U27" s="32"/>
    </row>
    <row r="28" spans="1:21" s="507" customFormat="1" ht="24" customHeight="1">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c r="A29" s="508" t="s">
        <v>130</v>
      </c>
      <c r="B29" s="534" t="s">
        <v>37</v>
      </c>
      <c r="C29" s="518">
        <v>0.33333333333333331</v>
      </c>
      <c r="D29" s="518">
        <v>8.3333333333333321</v>
      </c>
      <c r="E29" s="518">
        <v>2.3333333333333335</v>
      </c>
      <c r="F29" s="518">
        <v>2</v>
      </c>
      <c r="G29" s="518">
        <v>996.66666666666663</v>
      </c>
      <c r="H29" s="518">
        <v>0.66666666666666663</v>
      </c>
      <c r="I29" s="518"/>
      <c r="J29" s="518">
        <v>3</v>
      </c>
      <c r="K29" s="518"/>
      <c r="L29" s="518"/>
      <c r="M29" s="518"/>
      <c r="N29" s="518">
        <v>15</v>
      </c>
      <c r="O29" s="518">
        <v>65</v>
      </c>
      <c r="P29" s="518"/>
      <c r="Q29" s="518">
        <v>13.333333333333334</v>
      </c>
      <c r="R29" s="519"/>
      <c r="S29" s="518">
        <v>15</v>
      </c>
      <c r="T29" s="520">
        <f t="shared" si="4"/>
        <v>1121.6666666666665</v>
      </c>
      <c r="U29" s="32"/>
    </row>
    <row r="30" spans="1:21" s="507" customFormat="1" ht="24" customHeight="1">
      <c r="A30" s="508" t="s">
        <v>131</v>
      </c>
      <c r="B30" s="534" t="s">
        <v>141</v>
      </c>
      <c r="C30" s="518"/>
      <c r="D30" s="518">
        <v>8.3333333333333339</v>
      </c>
      <c r="E30" s="518"/>
      <c r="F30" s="518"/>
      <c r="G30" s="518"/>
      <c r="H30" s="518">
        <v>461.99999999999994</v>
      </c>
      <c r="I30" s="519"/>
      <c r="J30" s="518"/>
      <c r="K30" s="518"/>
      <c r="L30" s="519"/>
      <c r="M30" s="519"/>
      <c r="N30" s="519"/>
      <c r="O30" s="519"/>
      <c r="P30" s="519"/>
      <c r="Q30" s="518"/>
      <c r="R30" s="519"/>
      <c r="S30" s="519"/>
      <c r="T30" s="520">
        <f t="shared" si="4"/>
        <v>470.33333333333326</v>
      </c>
      <c r="U30" s="32"/>
    </row>
    <row r="31" spans="1:21" s="507" customFormat="1" ht="24" customHeight="1">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8.3333333333333321</v>
      </c>
      <c r="R33" s="519"/>
      <c r="S33" s="519">
        <v>2</v>
      </c>
      <c r="T33" s="520">
        <f t="shared" si="4"/>
        <v>272.99999999999994</v>
      </c>
      <c r="U33" s="32"/>
    </row>
    <row r="34" spans="1:21" s="507" customFormat="1" ht="24" customHeight="1">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c r="A36" s="556" t="s">
        <v>145</v>
      </c>
      <c r="B36" s="508" t="s">
        <v>207</v>
      </c>
      <c r="C36" s="519">
        <v>350.66666666666669</v>
      </c>
      <c r="D36" s="519"/>
      <c r="E36" s="519"/>
      <c r="F36" s="519"/>
      <c r="G36" s="519">
        <v>1</v>
      </c>
      <c r="H36" s="519"/>
      <c r="I36" s="519"/>
      <c r="J36" s="519"/>
      <c r="K36" s="519"/>
      <c r="L36" s="519"/>
      <c r="M36" s="518"/>
      <c r="N36" s="518"/>
      <c r="O36" s="519"/>
      <c r="P36" s="519"/>
      <c r="Q36" s="518"/>
      <c r="R36" s="519"/>
      <c r="S36" s="519">
        <v>5.666666666666667</v>
      </c>
      <c r="T36" s="520">
        <f>SUM(C36:S36)</f>
        <v>357.33333333333337</v>
      </c>
      <c r="U36" s="32"/>
    </row>
    <row r="37" spans="1:21" s="507" customFormat="1" ht="24" customHeight="1">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v>0.33333333333333331</v>
      </c>
      <c r="T39" s="520">
        <f t="shared" si="4"/>
        <v>251.66666666666663</v>
      </c>
      <c r="U39" s="32"/>
    </row>
    <row r="40" spans="1:21" s="507" customFormat="1" ht="24" customHeight="1">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c r="A46" s="511" t="s">
        <v>163</v>
      </c>
      <c r="B46" s="536" t="s">
        <v>212</v>
      </c>
      <c r="C46" s="521"/>
      <c r="D46" s="522"/>
      <c r="E46" s="521"/>
      <c r="F46" s="521"/>
      <c r="G46" s="522"/>
      <c r="H46" s="521"/>
      <c r="I46" s="521"/>
      <c r="J46" s="521"/>
      <c r="K46" s="521"/>
      <c r="L46" s="521"/>
      <c r="M46" s="521">
        <v>70.666666666666657</v>
      </c>
      <c r="N46" s="522"/>
      <c r="O46" s="521"/>
      <c r="P46" s="521"/>
      <c r="Q46" s="521"/>
      <c r="R46" s="521"/>
      <c r="S46" s="521"/>
      <c r="T46" s="523">
        <f t="shared" si="4"/>
        <v>70.666666666666657</v>
      </c>
      <c r="U46" s="32"/>
    </row>
    <row r="47" spans="1:21" ht="24" customHeight="1">
      <c r="B47" s="539" t="s">
        <v>17</v>
      </c>
      <c r="C47" s="524">
        <f t="shared" ref="C47:T47" si="5">SUM(C26:C46)</f>
        <v>488.33333333333343</v>
      </c>
      <c r="D47" s="525">
        <f t="shared" si="5"/>
        <v>7575.333333333333</v>
      </c>
      <c r="E47" s="524">
        <f t="shared" si="5"/>
        <v>1211.6666666666667</v>
      </c>
      <c r="F47" s="524">
        <f t="shared" si="5"/>
        <v>689.66666666666663</v>
      </c>
      <c r="G47" s="525">
        <f t="shared" si="5"/>
        <v>2137.333333333333</v>
      </c>
      <c r="H47" s="524">
        <f t="shared" si="5"/>
        <v>768.66666666666663</v>
      </c>
      <c r="I47" s="524">
        <f t="shared" si="5"/>
        <v>152.66666666666666</v>
      </c>
      <c r="J47" s="524">
        <f t="shared" si="5"/>
        <v>586.33333333333326</v>
      </c>
      <c r="K47" s="524">
        <f t="shared" si="5"/>
        <v>351</v>
      </c>
      <c r="L47" s="524">
        <f t="shared" si="5"/>
        <v>337.99999999999994</v>
      </c>
      <c r="M47" s="524">
        <f t="shared" si="5"/>
        <v>314.66666666666669</v>
      </c>
      <c r="N47" s="525">
        <f t="shared" si="5"/>
        <v>1535.3333333333333</v>
      </c>
      <c r="O47" s="524">
        <f t="shared" si="5"/>
        <v>284</v>
      </c>
      <c r="P47" s="524">
        <f t="shared" si="5"/>
        <v>436.33333333333331</v>
      </c>
      <c r="Q47" s="524">
        <f t="shared" si="5"/>
        <v>659.33333333333348</v>
      </c>
      <c r="R47" s="524">
        <f t="shared" si="5"/>
        <v>13</v>
      </c>
      <c r="S47" s="524">
        <f t="shared" si="5"/>
        <v>321.33333333333331</v>
      </c>
      <c r="T47" s="526">
        <f t="shared" si="5"/>
        <v>17863.000000000004</v>
      </c>
      <c r="U47" s="32"/>
    </row>
    <row r="48" spans="1:21" ht="43.5" customHeight="1">
      <c r="U48" s="32"/>
    </row>
    <row r="49" spans="2:19" ht="50.25" customHeight="1">
      <c r="B49" s="578" t="s">
        <v>127</v>
      </c>
      <c r="C49" s="578" t="s">
        <v>222</v>
      </c>
      <c r="D49" s="578" t="s">
        <v>223</v>
      </c>
      <c r="E49" s="578" t="s">
        <v>224</v>
      </c>
      <c r="F49" s="578" t="s">
        <v>225</v>
      </c>
      <c r="G49" s="578" t="s">
        <v>226</v>
      </c>
      <c r="H49" s="578" t="s">
        <v>227</v>
      </c>
      <c r="I49" s="578" t="s">
        <v>228</v>
      </c>
      <c r="J49" s="578" t="s">
        <v>229</v>
      </c>
      <c r="K49" s="578" t="s">
        <v>230</v>
      </c>
      <c r="L49" s="578" t="s">
        <v>231</v>
      </c>
      <c r="M49" s="578" t="s">
        <v>232</v>
      </c>
      <c r="N49" s="578" t="s">
        <v>233</v>
      </c>
      <c r="O49" s="578" t="s">
        <v>234</v>
      </c>
      <c r="P49" s="578" t="s">
        <v>235</v>
      </c>
      <c r="Q49" s="578" t="s">
        <v>236</v>
      </c>
      <c r="R49" s="578" t="s">
        <v>294</v>
      </c>
    </row>
    <row r="50" spans="2:19" ht="50.25" customHeight="1">
      <c r="B50" s="579" t="s">
        <v>35</v>
      </c>
      <c r="C50" s="580">
        <v>19.333333333333336</v>
      </c>
      <c r="D50" s="580">
        <v>1958.333333333333</v>
      </c>
      <c r="E50" s="580">
        <v>73</v>
      </c>
      <c r="F50" s="580">
        <v>6.333333333333333</v>
      </c>
      <c r="G50" s="580">
        <v>120.33333333333334</v>
      </c>
      <c r="H50" s="581"/>
      <c r="I50" s="580">
        <v>49.666666666666664</v>
      </c>
      <c r="J50" s="580">
        <v>1</v>
      </c>
      <c r="K50" s="580">
        <v>17.333333333333332</v>
      </c>
      <c r="L50" s="580">
        <v>0.33333333333333331</v>
      </c>
      <c r="M50" s="581"/>
      <c r="N50" s="580">
        <v>426.33333333333326</v>
      </c>
      <c r="O50" s="580">
        <v>0.66666666666666663</v>
      </c>
      <c r="P50" s="580">
        <v>69.333333333333329</v>
      </c>
      <c r="Q50" s="580">
        <v>0.66666666666666663</v>
      </c>
      <c r="S50" s="580">
        <v>248</v>
      </c>
    </row>
    <row r="51" spans="2:19" ht="50.25" customHeight="1">
      <c r="B51" s="579" t="s">
        <v>36</v>
      </c>
      <c r="C51" s="581"/>
      <c r="D51" s="581"/>
      <c r="E51" s="581"/>
      <c r="F51" s="581"/>
      <c r="G51" s="581"/>
      <c r="H51" s="581"/>
      <c r="I51" s="581"/>
      <c r="J51" s="581"/>
      <c r="K51" s="581"/>
      <c r="L51" s="580">
        <v>31</v>
      </c>
      <c r="M51" s="581"/>
      <c r="N51" s="580">
        <v>94.333333333333343</v>
      </c>
      <c r="O51" s="581"/>
      <c r="P51" s="581"/>
      <c r="Q51" s="581"/>
      <c r="S51" s="581"/>
    </row>
    <row r="52" spans="2:19" ht="50.25" customHeight="1">
      <c r="B52" s="579" t="s">
        <v>37</v>
      </c>
      <c r="C52" s="580">
        <v>0.33333333333333331</v>
      </c>
      <c r="D52" s="580">
        <v>8.3333333333333321</v>
      </c>
      <c r="E52" s="580">
        <v>2.3333333333333335</v>
      </c>
      <c r="F52" s="580">
        <v>2</v>
      </c>
      <c r="G52" s="580">
        <v>996.66666666666663</v>
      </c>
      <c r="H52" s="580">
        <v>0.66666666666666663</v>
      </c>
      <c r="I52" s="581"/>
      <c r="J52" s="580">
        <v>3</v>
      </c>
      <c r="K52" s="581"/>
      <c r="L52" s="581"/>
      <c r="M52" s="581"/>
      <c r="N52" s="580">
        <v>15</v>
      </c>
      <c r="O52" s="580">
        <v>65</v>
      </c>
      <c r="P52" s="581"/>
      <c r="Q52" s="580">
        <v>13.333333333333334</v>
      </c>
      <c r="S52" s="580">
        <v>15</v>
      </c>
    </row>
    <row r="53" spans="2:19" ht="50.25" customHeight="1">
      <c r="B53" s="579" t="s">
        <v>141</v>
      </c>
      <c r="C53" s="581"/>
      <c r="D53" s="580">
        <v>8.3333333333333339</v>
      </c>
      <c r="E53" s="581"/>
      <c r="F53" s="581"/>
      <c r="G53" s="581"/>
      <c r="H53" s="580">
        <v>461.99999999999994</v>
      </c>
      <c r="I53" s="581"/>
      <c r="J53" s="581"/>
      <c r="K53" s="581"/>
      <c r="L53" s="581"/>
      <c r="M53" s="581"/>
      <c r="N53" s="581"/>
      <c r="O53" s="581"/>
      <c r="P53" s="581"/>
      <c r="Q53" s="581"/>
      <c r="S53" s="581"/>
    </row>
    <row r="54" spans="2:19" ht="50.25" customHeight="1">
      <c r="B54" s="579" t="s">
        <v>206</v>
      </c>
      <c r="C54" s="581"/>
      <c r="D54" s="580">
        <v>1</v>
      </c>
      <c r="E54" s="581"/>
      <c r="F54" s="580">
        <v>577.66666666666663</v>
      </c>
      <c r="G54" s="581"/>
      <c r="H54" s="581"/>
      <c r="I54" s="581"/>
      <c r="J54" s="581"/>
      <c r="K54" s="581"/>
      <c r="L54" s="581"/>
      <c r="M54" s="581"/>
      <c r="N54" s="581"/>
      <c r="O54" s="581"/>
      <c r="P54" s="581"/>
      <c r="Q54" s="581"/>
      <c r="S54" s="581"/>
    </row>
    <row r="55" spans="2:19" ht="50.25" customHeight="1">
      <c r="B55" s="579" t="s">
        <v>40</v>
      </c>
      <c r="C55" s="581"/>
      <c r="D55" s="581"/>
      <c r="E55" s="581"/>
      <c r="F55" s="581"/>
      <c r="G55" s="581"/>
      <c r="H55" s="581"/>
      <c r="I55" s="580">
        <v>1</v>
      </c>
      <c r="J55" s="581"/>
      <c r="K55" s="581"/>
      <c r="L55" s="581"/>
      <c r="M55" s="581"/>
      <c r="N55" s="581"/>
      <c r="O55" s="581"/>
      <c r="P55" s="581"/>
      <c r="Q55" s="581"/>
      <c r="S55" s="581"/>
    </row>
    <row r="56" spans="2:19" ht="50.25" customHeight="1">
      <c r="B56" s="579" t="s">
        <v>70</v>
      </c>
      <c r="C56" s="581"/>
      <c r="D56" s="581"/>
      <c r="E56" s="581"/>
      <c r="F56" s="580">
        <v>1</v>
      </c>
      <c r="G56" s="581"/>
      <c r="H56" s="581"/>
      <c r="I56" s="581"/>
      <c r="J56" s="581"/>
      <c r="K56" s="581"/>
      <c r="L56" s="580">
        <v>260.33333333333331</v>
      </c>
      <c r="M56" s="581"/>
      <c r="N56" s="580">
        <v>1.3333333333333333</v>
      </c>
      <c r="O56" s="581"/>
      <c r="P56" s="581"/>
      <c r="Q56" s="580">
        <v>8.3333333333333321</v>
      </c>
      <c r="S56" s="580">
        <v>2</v>
      </c>
    </row>
    <row r="57" spans="2:19" ht="50.25" customHeight="1">
      <c r="B57" s="579" t="s">
        <v>144</v>
      </c>
      <c r="C57" s="581"/>
      <c r="D57" s="581"/>
      <c r="E57" s="581"/>
      <c r="F57" s="581"/>
      <c r="G57" s="581"/>
      <c r="H57" s="581"/>
      <c r="I57" s="581"/>
      <c r="J57" s="581"/>
      <c r="K57" s="581"/>
      <c r="L57" s="581"/>
      <c r="M57" s="581"/>
      <c r="N57" s="580">
        <v>3</v>
      </c>
      <c r="O57" s="581"/>
      <c r="P57" s="581"/>
      <c r="Q57" s="580">
        <v>299</v>
      </c>
      <c r="S57" s="581"/>
    </row>
    <row r="58" spans="2:19" ht="50.25" customHeight="1">
      <c r="B58" s="579" t="s">
        <v>49</v>
      </c>
      <c r="C58" s="580">
        <v>0.33333333333333331</v>
      </c>
      <c r="D58" s="580">
        <v>5.9999999999999991</v>
      </c>
      <c r="E58" s="581"/>
      <c r="F58" s="581"/>
      <c r="G58" s="580">
        <v>1</v>
      </c>
      <c r="H58" s="581"/>
      <c r="I58" s="581"/>
      <c r="J58" s="581"/>
      <c r="K58" s="581"/>
      <c r="L58" s="580">
        <v>3</v>
      </c>
      <c r="M58" s="580">
        <v>0.33333333333333331</v>
      </c>
      <c r="N58" s="580">
        <v>46.666666666666664</v>
      </c>
      <c r="O58" s="580">
        <v>0.33333333333333331</v>
      </c>
      <c r="P58" s="581"/>
      <c r="Q58" s="580">
        <v>136.33333333333334</v>
      </c>
      <c r="S58" s="581"/>
    </row>
    <row r="59" spans="2:19" ht="50.25" customHeight="1">
      <c r="B59" s="579" t="s">
        <v>207</v>
      </c>
      <c r="C59" s="580">
        <v>350.66666666666669</v>
      </c>
      <c r="D59" s="581"/>
      <c r="E59" s="581"/>
      <c r="F59" s="581"/>
      <c r="G59" s="580">
        <v>1</v>
      </c>
      <c r="H59" s="581"/>
      <c r="I59" s="581"/>
      <c r="J59" s="581"/>
      <c r="K59" s="581"/>
      <c r="L59" s="581"/>
      <c r="M59" s="581"/>
      <c r="N59" s="581"/>
      <c r="O59" s="581"/>
      <c r="P59" s="581"/>
      <c r="Q59" s="581"/>
      <c r="S59" s="580">
        <v>5.666666666666667</v>
      </c>
    </row>
    <row r="60" spans="2:19" ht="50.25" customHeight="1">
      <c r="B60" s="579" t="s">
        <v>208</v>
      </c>
      <c r="C60" s="581"/>
      <c r="D60" s="581"/>
      <c r="E60" s="581"/>
      <c r="F60" s="581"/>
      <c r="G60" s="580">
        <v>86.666666666666657</v>
      </c>
      <c r="H60" s="580">
        <v>1</v>
      </c>
      <c r="I60" s="581"/>
      <c r="J60" s="581"/>
      <c r="K60" s="581"/>
      <c r="L60" s="581"/>
      <c r="M60" s="581"/>
      <c r="N60" s="581"/>
      <c r="O60" s="581"/>
      <c r="P60" s="581"/>
      <c r="Q60" s="581"/>
      <c r="S60" s="581"/>
    </row>
    <row r="61" spans="2:19" ht="50.25" customHeight="1">
      <c r="B61" s="579" t="s">
        <v>39</v>
      </c>
      <c r="C61" s="580">
        <v>5.666666666666667</v>
      </c>
      <c r="D61" s="580">
        <v>13.666666666666668</v>
      </c>
      <c r="E61" s="581"/>
      <c r="F61" s="581"/>
      <c r="G61" s="581"/>
      <c r="H61" s="580">
        <v>9</v>
      </c>
      <c r="I61" s="580">
        <v>1</v>
      </c>
      <c r="J61" s="580">
        <v>1</v>
      </c>
      <c r="K61" s="580">
        <v>332.66666666666669</v>
      </c>
      <c r="L61" s="580">
        <v>2.333333333333333</v>
      </c>
      <c r="M61" s="581"/>
      <c r="N61" s="581"/>
      <c r="O61" s="581"/>
      <c r="P61" s="581"/>
      <c r="Q61" s="580">
        <v>7.3333333333333339</v>
      </c>
      <c r="S61" s="581"/>
    </row>
    <row r="62" spans="2:19" ht="50.25" customHeight="1">
      <c r="B62" s="579" t="s">
        <v>38</v>
      </c>
      <c r="C62" s="581"/>
      <c r="D62" s="580">
        <v>1.6666666666666665</v>
      </c>
      <c r="E62" s="580">
        <v>245</v>
      </c>
      <c r="F62" s="581"/>
      <c r="G62" s="580">
        <v>0.66666666666666663</v>
      </c>
      <c r="H62" s="581"/>
      <c r="I62" s="581"/>
      <c r="J62" s="580">
        <v>0.66666666666666663</v>
      </c>
      <c r="K62" s="581"/>
      <c r="L62" s="581"/>
      <c r="M62" s="581"/>
      <c r="N62" s="580">
        <v>0.66666666666666663</v>
      </c>
      <c r="O62" s="581"/>
      <c r="P62" s="580">
        <v>0.66666666666666663</v>
      </c>
      <c r="Q62" s="580">
        <v>2</v>
      </c>
      <c r="S62" s="580">
        <v>0.33333333333333331</v>
      </c>
    </row>
    <row r="63" spans="2:19" ht="50.25" customHeight="1">
      <c r="B63" s="579" t="s">
        <v>31</v>
      </c>
      <c r="C63" s="581"/>
      <c r="D63" s="580">
        <v>2</v>
      </c>
      <c r="E63" s="580">
        <v>1.3333333333333333</v>
      </c>
      <c r="F63" s="580">
        <v>1.6666666666666667</v>
      </c>
      <c r="G63" s="580">
        <v>1</v>
      </c>
      <c r="H63" s="580">
        <v>1</v>
      </c>
      <c r="I63" s="580">
        <v>1</v>
      </c>
      <c r="J63" s="580">
        <v>513.33333333333326</v>
      </c>
      <c r="K63" s="580">
        <v>1</v>
      </c>
      <c r="L63" s="581"/>
      <c r="M63" s="581"/>
      <c r="N63" s="581"/>
      <c r="O63" s="581"/>
      <c r="P63" s="581"/>
      <c r="Q63" s="580">
        <v>1</v>
      </c>
      <c r="S63" s="581"/>
    </row>
    <row r="64" spans="2:19" ht="50.25" customHeight="1">
      <c r="B64" s="579" t="s">
        <v>209</v>
      </c>
      <c r="C64" s="581"/>
      <c r="D64" s="581"/>
      <c r="E64" s="581"/>
      <c r="F64" s="581"/>
      <c r="G64" s="581"/>
      <c r="H64" s="581"/>
      <c r="I64" s="581"/>
      <c r="J64" s="580">
        <v>67.333333333333329</v>
      </c>
      <c r="K64" s="581"/>
      <c r="L64" s="581"/>
      <c r="M64" s="581"/>
      <c r="N64" s="581"/>
      <c r="O64" s="581"/>
      <c r="P64" s="581"/>
      <c r="Q64" s="581"/>
      <c r="S64" s="581"/>
    </row>
    <row r="65" spans="2:19" ht="50.25" customHeight="1">
      <c r="B65" s="579" t="s">
        <v>210</v>
      </c>
      <c r="C65" s="581"/>
      <c r="D65" s="581"/>
      <c r="E65" s="581"/>
      <c r="F65" s="581"/>
      <c r="G65" s="581"/>
      <c r="H65" s="581"/>
      <c r="I65" s="581"/>
      <c r="J65" s="581"/>
      <c r="K65" s="581"/>
      <c r="L65" s="581"/>
      <c r="M65" s="581"/>
      <c r="N65" s="581"/>
      <c r="O65" s="580">
        <v>76</v>
      </c>
      <c r="P65" s="581"/>
      <c r="Q65" s="581"/>
      <c r="S65" s="581"/>
    </row>
    <row r="66" spans="2:19" ht="50.25" customHeight="1">
      <c r="B66" s="579" t="s">
        <v>42</v>
      </c>
      <c r="C66" s="581"/>
      <c r="D66" s="581"/>
      <c r="E66" s="581"/>
      <c r="F66" s="581"/>
      <c r="G66" s="581"/>
      <c r="H66" s="581"/>
      <c r="I66" s="581"/>
      <c r="J66" s="581"/>
      <c r="K66" s="581"/>
      <c r="L66" s="581"/>
      <c r="M66" s="581"/>
      <c r="N66" s="581"/>
      <c r="O66" s="581"/>
      <c r="P66" s="580">
        <v>366.33333333333331</v>
      </c>
      <c r="Q66" s="581"/>
      <c r="S66" s="581"/>
    </row>
    <row r="67" spans="2:19" ht="50.25" customHeight="1">
      <c r="B67" s="579" t="s">
        <v>76</v>
      </c>
      <c r="C67" s="581"/>
      <c r="D67" s="581"/>
      <c r="E67" s="581"/>
      <c r="F67" s="581"/>
      <c r="G67" s="580">
        <v>2</v>
      </c>
      <c r="H67" s="581"/>
      <c r="I67" s="581"/>
      <c r="J67" s="581"/>
      <c r="K67" s="581"/>
      <c r="L67" s="581"/>
      <c r="M67" s="581"/>
      <c r="N67" s="580">
        <v>788</v>
      </c>
      <c r="O67" s="581"/>
      <c r="P67" s="581"/>
      <c r="Q67" s="580">
        <v>12.333333333333332</v>
      </c>
      <c r="S67" s="580">
        <v>5.3333333333333339</v>
      </c>
    </row>
    <row r="68" spans="2:19" ht="50.25" customHeight="1">
      <c r="B68" s="579" t="s">
        <v>77</v>
      </c>
      <c r="C68" s="581"/>
      <c r="D68" s="581"/>
      <c r="E68" s="581"/>
      <c r="F68" s="581"/>
      <c r="G68" s="581"/>
      <c r="H68" s="581"/>
      <c r="I68" s="581"/>
      <c r="J68" s="581"/>
      <c r="K68" s="581"/>
      <c r="L68" s="581"/>
      <c r="M68" s="580">
        <v>243.66666666666669</v>
      </c>
      <c r="N68" s="581"/>
      <c r="O68" s="581"/>
      <c r="P68" s="581"/>
      <c r="Q68" s="581"/>
      <c r="R68" s="581"/>
    </row>
    <row r="69" spans="2:19" ht="50.25" customHeight="1">
      <c r="B69" s="579" t="s">
        <v>212</v>
      </c>
      <c r="C69" s="581"/>
      <c r="D69" s="581"/>
      <c r="E69" s="581"/>
      <c r="F69" s="581"/>
      <c r="G69" s="581"/>
      <c r="H69" s="581"/>
      <c r="I69" s="581"/>
      <c r="J69" s="581"/>
      <c r="K69" s="581"/>
      <c r="L69" s="581"/>
      <c r="M69" s="580">
        <v>70.666666666666657</v>
      </c>
      <c r="N69" s="581"/>
      <c r="O69" s="581"/>
      <c r="P69" s="581"/>
      <c r="Q69" s="581"/>
      <c r="R69" s="581"/>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B13" workbookViewId="0">
      <selection activeCell="B13" sqref="B13:K13"/>
    </sheetView>
  </sheetViews>
  <sheetFormatPr defaultColWidth="8.85546875" defaultRowHeight="15"/>
  <cols>
    <col min="1" max="1" width="2.85546875" style="32" hidden="1" customWidth="1"/>
    <col min="2" max="2" width="41.85546875" style="32" customWidth="1"/>
    <col min="3" max="16" width="13.7109375" style="32" customWidth="1"/>
    <col min="17" max="17" width="14.85546875" style="32" customWidth="1"/>
    <col min="18" max="18" width="12.7109375" style="32" customWidth="1"/>
    <col min="19" max="19" width="14.42578125" style="32" customWidth="1"/>
    <col min="20" max="20" width="16.28515625" style="32" customWidth="1"/>
    <col min="21" max="16384" width="8.85546875" style="32"/>
  </cols>
  <sheetData>
    <row r="1" spans="1:23" ht="15.95" hidden="1" customHeight="1">
      <c r="B1" s="639" t="s">
        <v>257</v>
      </c>
      <c r="C1" s="639"/>
      <c r="D1" s="639"/>
      <c r="E1" s="639"/>
    </row>
    <row r="2" spans="1:23" ht="60" hidden="1"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5" t="s">
        <v>17</v>
      </c>
      <c r="W2" s="32">
        <v>2802000</v>
      </c>
    </row>
    <row r="3" spans="1:23" ht="18.75" hidden="1"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row>
    <row r="4" spans="1:23" ht="24.75" hidden="1" customHeight="1">
      <c r="A4" s="400"/>
      <c r="B4" s="631" t="s">
        <v>111</v>
      </c>
      <c r="C4" s="631"/>
      <c r="D4" s="631"/>
      <c r="E4" s="631"/>
      <c r="F4" s="631"/>
      <c r="G4" s="631"/>
      <c r="H4" s="631"/>
      <c r="I4" s="631"/>
      <c r="J4" s="631"/>
      <c r="K4" s="631"/>
      <c r="L4" s="631"/>
      <c r="M4" s="631"/>
      <c r="N4" s="631"/>
      <c r="O4" s="631"/>
      <c r="P4" s="631"/>
      <c r="Q4" s="631"/>
    </row>
    <row r="5" spans="1:23" ht="20.100000000000001" hidden="1" customHeight="1">
      <c r="A5" s="481" t="s">
        <v>128</v>
      </c>
      <c r="B5" s="482" t="s">
        <v>21</v>
      </c>
      <c r="C5" s="483">
        <f t="shared" ref="C5:Q5" si="0">+C7+C9</f>
        <v>51391.476715485122</v>
      </c>
      <c r="D5" s="483">
        <f t="shared" si="0"/>
        <v>1897681.9328144146</v>
      </c>
      <c r="E5" s="483">
        <f t="shared" si="0"/>
        <v>215354.83384796977</v>
      </c>
      <c r="F5" s="483">
        <f t="shared" si="0"/>
        <v>33480.676929973568</v>
      </c>
      <c r="G5" s="483">
        <f t="shared" si="0"/>
        <v>259404.41581773953</v>
      </c>
      <c r="H5" s="483">
        <f t="shared" si="0"/>
        <v>136344.06230447715</v>
      </c>
      <c r="I5" s="483">
        <f t="shared" si="0"/>
        <v>33649.34004041311</v>
      </c>
      <c r="J5" s="483">
        <f t="shared" si="0"/>
        <v>220.82685286628197</v>
      </c>
      <c r="K5" s="483">
        <f t="shared" si="0"/>
        <v>157.73346633305854</v>
      </c>
      <c r="L5" s="483">
        <f t="shared" si="0"/>
        <v>10952.527970926087</v>
      </c>
      <c r="M5" s="483">
        <f t="shared" si="0"/>
        <v>130.48859487553025</v>
      </c>
      <c r="N5" s="483">
        <f t="shared" si="0"/>
        <v>64209.225838389488</v>
      </c>
      <c r="O5" s="483">
        <f t="shared" si="0"/>
        <v>30736.99626947262</v>
      </c>
      <c r="P5" s="483">
        <f t="shared" si="0"/>
        <v>603.68899387470594</v>
      </c>
      <c r="Q5" s="483">
        <f t="shared" si="0"/>
        <v>34765.10631254586</v>
      </c>
      <c r="R5" s="483">
        <f>+R7+R9</f>
        <v>23536.590600716641</v>
      </c>
      <c r="S5" s="483">
        <f>+S7+S9</f>
        <v>9380.0766295266658</v>
      </c>
      <c r="T5" s="483">
        <f>+T7+T9</f>
        <v>2801999.9999999995</v>
      </c>
    </row>
    <row r="6" spans="1:23" s="18" customFormat="1" ht="22.5" hidden="1" customHeight="1">
      <c r="A6" s="292"/>
      <c r="B6" s="632" t="s">
        <v>202</v>
      </c>
      <c r="C6" s="633"/>
      <c r="D6" s="633"/>
      <c r="E6" s="633"/>
      <c r="F6" s="633"/>
      <c r="G6" s="633"/>
      <c r="H6" s="633"/>
      <c r="I6" s="633"/>
      <c r="J6" s="633"/>
      <c r="K6" s="633"/>
      <c r="L6" s="633"/>
      <c r="M6" s="633"/>
      <c r="N6" s="633"/>
      <c r="O6" s="633"/>
      <c r="P6" s="633"/>
      <c r="Q6" s="633"/>
      <c r="R6" s="3"/>
    </row>
    <row r="7" spans="1:23" ht="20.100000000000001" hidden="1" customHeight="1">
      <c r="A7" s="403" t="s">
        <v>128</v>
      </c>
      <c r="B7" s="479" t="s">
        <v>21</v>
      </c>
      <c r="C7" s="480">
        <f>+UGpcntSCH*$W$2*FY15ProjSCH!C3</f>
        <v>34361.51867035529</v>
      </c>
      <c r="D7" s="480">
        <f>+UGpcntSCH*$W$2*FY15ProjSCH!D3</f>
        <v>1127012.7866527184</v>
      </c>
      <c r="E7" s="480">
        <f>+UGpcntSCH*$W$2*FY15ProjSCH!E3</f>
        <v>111777.10394662042</v>
      </c>
      <c r="F7" s="480">
        <f>+UGpcntSCH*$W$2*FY15ProjSCH!F3</f>
        <v>23440.627037695529</v>
      </c>
      <c r="G7" s="480">
        <f>+UGpcntSCH*$W$2*FY15ProjSCH!G3</f>
        <v>152141.09798125012</v>
      </c>
      <c r="H7" s="480">
        <f>+UGpcntSCH*$W$2*FY15ProjSCH!H3</f>
        <v>100504.89686621886</v>
      </c>
      <c r="I7" s="480">
        <f>+UGpcntSCH*$W$2*FY15ProjSCH!I3</f>
        <v>20050.791452137797</v>
      </c>
      <c r="J7" s="480">
        <f>+UGpcntSCH*$W$2*FY15ProjSCH!J3</f>
        <v>220.82685286628197</v>
      </c>
      <c r="K7" s="480">
        <f>+UGpcntSCH*$W$2*FY15ProjSCH!K3</f>
        <v>157.73346633305854</v>
      </c>
      <c r="L7" s="480">
        <f>+UGpcntSCH*$W$2*FY15ProjSCH!L3</f>
        <v>5487.6906877874098</v>
      </c>
      <c r="M7" s="480">
        <f>+UGpcntSCH*$W$2*FY15ProjSCH!M3</f>
        <v>130.48859487553025</v>
      </c>
      <c r="N7" s="480">
        <f>+UGpcntSCH*$W$2*FY15ProjSCH!N3</f>
        <v>44891.661488689977</v>
      </c>
      <c r="O7" s="480">
        <f>+UGpcntSCH*$W$2*FY15ProjSCH!O3</f>
        <v>13707.038224342787</v>
      </c>
      <c r="P7" s="480">
        <f>+UGpcntSCH*$W$2*FY15ProjSCH!P3</f>
        <v>603.68899387470594</v>
      </c>
      <c r="Q7" s="480">
        <f>+UGpcntSCH*$W$2*FY15ProjSCH!Q3</f>
        <v>21547.825441698827</v>
      </c>
      <c r="R7" s="480">
        <f>+UGpcntSCH*$W$2*FY15ProjSCH!R3</f>
        <v>22138.608970146281</v>
      </c>
      <c r="S7" s="480">
        <f>+UGpcntSCH*$W$2*FY15ProjSCH!S3</f>
        <v>3025.6146723886686</v>
      </c>
      <c r="T7" s="480">
        <f>SUM(C7:S7)</f>
        <v>1681199.9999999998</v>
      </c>
    </row>
    <row r="8" spans="1:23" hidden="1">
      <c r="B8" s="643" t="s">
        <v>216</v>
      </c>
      <c r="C8" s="643"/>
      <c r="D8" s="643"/>
      <c r="E8" s="643"/>
      <c r="F8" s="643"/>
      <c r="G8" s="643"/>
      <c r="H8" s="643"/>
      <c r="I8" s="643"/>
      <c r="J8" s="643"/>
      <c r="K8" s="643"/>
      <c r="L8" s="643"/>
      <c r="M8" s="643"/>
      <c r="N8" s="643"/>
      <c r="O8" s="643"/>
      <c r="P8" s="643"/>
      <c r="Q8" s="643"/>
    </row>
    <row r="9" spans="1:23" hidden="1">
      <c r="A9" s="403" t="s">
        <v>128</v>
      </c>
      <c r="B9" s="494" t="s">
        <v>21</v>
      </c>
      <c r="C9" s="485">
        <f>+UGpcntDeg*$W$2*FY15ProjMajors!C3</f>
        <v>17029.958045129832</v>
      </c>
      <c r="D9" s="485">
        <f>+UGpcntDeg*$W$2*FY15ProjMajors!D3</f>
        <v>770669.14616169629</v>
      </c>
      <c r="E9" s="485">
        <f>+UGpcntDeg*$W$2*FY15ProjMajors!E3</f>
        <v>103577.72990134936</v>
      </c>
      <c r="F9" s="485">
        <f>+UGpcntDeg*$W$2*FY15ProjMajors!F3</f>
        <v>10040.049892278037</v>
      </c>
      <c r="G9" s="485">
        <f>+UGpcntDeg*$W$2*FY15ProjMajors!G3</f>
        <v>107263.31783648941</v>
      </c>
      <c r="H9" s="485">
        <f>+UGpcntDeg*$W$2*FY15ProjMajors!H3</f>
        <v>35839.165438258307</v>
      </c>
      <c r="I9" s="485">
        <f>+UGpcntDeg*$W$2*FY15ProjMajors!I3</f>
        <v>13598.548588275315</v>
      </c>
      <c r="J9" s="485">
        <f>+UGpcntDeg*$W$2*FY15ProjMajors!J3</f>
        <v>0</v>
      </c>
      <c r="K9" s="485">
        <f>+UGpcntDeg*$W$2*FY15ProjMajors!K3</f>
        <v>0</v>
      </c>
      <c r="L9" s="485">
        <f>+UGpcntDeg*$W$2*FY15ProjMajors!L3</f>
        <v>5464.8372831386778</v>
      </c>
      <c r="M9" s="485">
        <f>+UGpcntDeg*$W$2*FY15ProjMajors!M3</f>
        <v>0</v>
      </c>
      <c r="N9" s="485">
        <f>+UGpcntDeg*$W$2*FY15ProjMajors!N3</f>
        <v>19317.564349699511</v>
      </c>
      <c r="O9" s="485">
        <f>+UGpcntDeg*$W$2*FY15ProjMajors!O3</f>
        <v>17029.958045129832</v>
      </c>
      <c r="P9" s="485">
        <f>+UGpcntDeg*$W$2*FY15ProjMajors!P3</f>
        <v>0</v>
      </c>
      <c r="Q9" s="485">
        <f>+UGpcntDeg*$W$2*FY15ProjMajors!Q3</f>
        <v>13217.280870847035</v>
      </c>
      <c r="R9" s="485">
        <f>+UGpcntDeg*$W$2*FY15ProjMajors!R3</f>
        <v>1397.9816305703594</v>
      </c>
      <c r="S9" s="485">
        <f>+UGpcntDeg*$W$2*FY15ProjMajors!S3</f>
        <v>6354.4619571379972</v>
      </c>
      <c r="T9" s="485">
        <f>SUM(C9:S9)</f>
        <v>1120799.9999999998</v>
      </c>
    </row>
    <row r="10" spans="1:23" hidden="1"/>
    <row r="11" spans="1:23" hidden="1"/>
    <row r="12" spans="1:23" hidden="1"/>
    <row r="13" spans="1:23">
      <c r="B13" s="644" t="s">
        <v>417</v>
      </c>
      <c r="C13" s="644"/>
      <c r="D13" s="644"/>
      <c r="E13" s="644"/>
      <c r="F13" s="644"/>
      <c r="G13" s="644"/>
      <c r="H13" s="644"/>
      <c r="I13" s="644"/>
      <c r="J13" s="644"/>
      <c r="K13" s="644"/>
    </row>
    <row r="14" spans="1:23">
      <c r="C14" s="642" t="s">
        <v>177</v>
      </c>
      <c r="D14" s="642"/>
      <c r="E14" s="642"/>
      <c r="F14" s="642" t="s">
        <v>264</v>
      </c>
      <c r="G14" s="642"/>
      <c r="H14" s="642"/>
      <c r="I14" s="642" t="s">
        <v>265</v>
      </c>
      <c r="J14" s="642"/>
      <c r="K14" s="642"/>
    </row>
    <row r="15" spans="1:23" s="267" customFormat="1" ht="30">
      <c r="B15" s="488" t="s">
        <v>105</v>
      </c>
      <c r="C15" s="491" t="s">
        <v>262</v>
      </c>
      <c r="D15" s="492" t="s">
        <v>263</v>
      </c>
      <c r="E15" s="493" t="s">
        <v>17</v>
      </c>
      <c r="F15" s="491" t="s">
        <v>262</v>
      </c>
      <c r="G15" s="492" t="s">
        <v>263</v>
      </c>
      <c r="H15" s="493" t="s">
        <v>17</v>
      </c>
      <c r="I15" s="491" t="s">
        <v>262</v>
      </c>
      <c r="J15" s="492" t="s">
        <v>263</v>
      </c>
      <c r="K15" s="493" t="s">
        <v>17</v>
      </c>
    </row>
    <row r="16" spans="1:23">
      <c r="B16" s="425" t="s">
        <v>0</v>
      </c>
      <c r="C16" s="484">
        <v>34361.51867035529</v>
      </c>
      <c r="D16" s="485">
        <v>17029.958045129832</v>
      </c>
      <c r="E16" s="486">
        <f t="shared" ref="E16:E33" si="1">SUM(C16:D16)</f>
        <v>51391.476715485122</v>
      </c>
      <c r="F16" s="484">
        <v>27004.554650312442</v>
      </c>
      <c r="G16" s="485">
        <v>16285.594989561587</v>
      </c>
      <c r="H16" s="486">
        <v>43290.149639874027</v>
      </c>
      <c r="I16" s="484">
        <f t="shared" ref="I16:I32" si="2">+C16-F16</f>
        <v>7356.9640200428476</v>
      </c>
      <c r="J16" s="485">
        <f t="shared" ref="J16:J32" si="3">+D16-G16</f>
        <v>744.36305556824482</v>
      </c>
      <c r="K16" s="486">
        <f t="shared" ref="K16:K32" si="4">+E16-H16</f>
        <v>8101.3270756110942</v>
      </c>
      <c r="L16"/>
      <c r="M16"/>
    </row>
    <row r="17" spans="2:13">
      <c r="B17" s="425" t="s">
        <v>1</v>
      </c>
      <c r="C17" s="484">
        <v>1127012.7866527184</v>
      </c>
      <c r="D17" s="485">
        <v>770669.14616169629</v>
      </c>
      <c r="E17" s="486">
        <f t="shared" si="1"/>
        <v>1897681.9328144146</v>
      </c>
      <c r="F17" s="484">
        <v>1159161.8390488003</v>
      </c>
      <c r="G17" s="485">
        <v>753790.39665970777</v>
      </c>
      <c r="H17" s="486">
        <v>1912952.2357085082</v>
      </c>
      <c r="I17" s="484">
        <f t="shared" si="2"/>
        <v>-32149.052396081854</v>
      </c>
      <c r="J17" s="485">
        <f t="shared" si="3"/>
        <v>16878.749501988525</v>
      </c>
      <c r="K17" s="486">
        <f t="shared" si="4"/>
        <v>-15270.302894093562</v>
      </c>
      <c r="L17"/>
      <c r="M17"/>
    </row>
    <row r="18" spans="2:13">
      <c r="B18" s="425" t="s">
        <v>6</v>
      </c>
      <c r="C18" s="484">
        <v>111777.10394662042</v>
      </c>
      <c r="D18" s="485">
        <v>103577.72990134936</v>
      </c>
      <c r="E18" s="486">
        <f t="shared" si="1"/>
        <v>215354.83384796977</v>
      </c>
      <c r="F18" s="484">
        <v>107783.63711324391</v>
      </c>
      <c r="G18" s="485">
        <v>112162.44368750688</v>
      </c>
      <c r="H18" s="486">
        <v>219946.08080075079</v>
      </c>
      <c r="I18" s="484">
        <f t="shared" si="2"/>
        <v>3993.4668333765148</v>
      </c>
      <c r="J18" s="485">
        <f t="shared" si="3"/>
        <v>-8584.7137861575175</v>
      </c>
      <c r="K18" s="486">
        <f t="shared" si="4"/>
        <v>-4591.2469527810172</v>
      </c>
      <c r="L18"/>
      <c r="M18"/>
    </row>
    <row r="19" spans="2:13">
      <c r="B19" s="426" t="s">
        <v>2</v>
      </c>
      <c r="C19" s="484">
        <v>23440.627037695529</v>
      </c>
      <c r="D19" s="485">
        <v>10040.049892278037</v>
      </c>
      <c r="E19" s="486">
        <f t="shared" si="1"/>
        <v>33480.676929973568</v>
      </c>
      <c r="F19" s="484">
        <v>21457.649527093519</v>
      </c>
      <c r="G19" s="485">
        <v>9061.1581144929132</v>
      </c>
      <c r="H19" s="486">
        <v>30518.807641586434</v>
      </c>
      <c r="I19" s="484">
        <f t="shared" si="2"/>
        <v>1982.9775106020097</v>
      </c>
      <c r="J19" s="485">
        <f t="shared" si="3"/>
        <v>978.89177778512385</v>
      </c>
      <c r="K19" s="486">
        <f t="shared" si="4"/>
        <v>2961.8692883871336</v>
      </c>
      <c r="L19"/>
      <c r="M19"/>
    </row>
    <row r="20" spans="2:13">
      <c r="B20" s="425" t="s">
        <v>3</v>
      </c>
      <c r="C20" s="484">
        <v>152141.09798125012</v>
      </c>
      <c r="D20" s="485">
        <v>107263.31783648941</v>
      </c>
      <c r="E20" s="486">
        <f t="shared" si="1"/>
        <v>259404.41581773953</v>
      </c>
      <c r="F20" s="484">
        <v>136962.80586820678</v>
      </c>
      <c r="G20" s="485">
        <v>101754.35666410284</v>
      </c>
      <c r="H20" s="486">
        <v>238717.16253230962</v>
      </c>
      <c r="I20" s="484">
        <f t="shared" si="2"/>
        <v>15178.292113043339</v>
      </c>
      <c r="J20" s="485">
        <f t="shared" si="3"/>
        <v>5508.9611723865673</v>
      </c>
      <c r="K20" s="486">
        <f t="shared" si="4"/>
        <v>20687.253285429906</v>
      </c>
      <c r="L20"/>
      <c r="M20"/>
    </row>
    <row r="21" spans="2:13">
      <c r="B21" s="425" t="s">
        <v>4</v>
      </c>
      <c r="C21" s="484">
        <v>100504.89686621886</v>
      </c>
      <c r="D21" s="485">
        <v>35839.165438258307</v>
      </c>
      <c r="E21" s="486">
        <f t="shared" si="1"/>
        <v>136344.06230447715</v>
      </c>
      <c r="F21" s="484">
        <v>95665.536270109747</v>
      </c>
      <c r="G21" s="485">
        <v>34652.807383803978</v>
      </c>
      <c r="H21" s="486">
        <v>130318.34365391373</v>
      </c>
      <c r="I21" s="484">
        <f t="shared" si="2"/>
        <v>4839.3605961091089</v>
      </c>
      <c r="J21" s="485">
        <f t="shared" si="3"/>
        <v>1186.3580544543292</v>
      </c>
      <c r="K21" s="486">
        <f t="shared" si="4"/>
        <v>6025.7186505634163</v>
      </c>
      <c r="L21"/>
      <c r="M21"/>
    </row>
    <row r="22" spans="2:13">
      <c r="B22" s="425" t="s">
        <v>14</v>
      </c>
      <c r="C22" s="484">
        <v>20050.791452137797</v>
      </c>
      <c r="D22" s="485">
        <v>13598.548588275315</v>
      </c>
      <c r="E22" s="486">
        <f t="shared" si="1"/>
        <v>33649.34004041311</v>
      </c>
      <c r="F22" s="484">
        <v>17168.159460700954</v>
      </c>
      <c r="G22" s="485">
        <v>9550.9504450060431</v>
      </c>
      <c r="H22" s="486">
        <v>26719.109905706995</v>
      </c>
      <c r="I22" s="484">
        <f t="shared" si="2"/>
        <v>2882.6319914368432</v>
      </c>
      <c r="J22" s="485">
        <f t="shared" si="3"/>
        <v>4047.5981432692715</v>
      </c>
      <c r="K22" s="486">
        <f t="shared" si="4"/>
        <v>6930.2301347061148</v>
      </c>
      <c r="L22"/>
      <c r="M22"/>
    </row>
    <row r="23" spans="2:13">
      <c r="B23" s="425" t="s">
        <v>9</v>
      </c>
      <c r="C23" s="484">
        <v>220.82685286628197</v>
      </c>
      <c r="D23" s="487">
        <v>0</v>
      </c>
      <c r="E23" s="486">
        <f t="shared" si="1"/>
        <v>220.82685286628197</v>
      </c>
      <c r="F23" s="484">
        <v>71.394365914821918</v>
      </c>
      <c r="G23" s="487">
        <v>0</v>
      </c>
      <c r="H23" s="486">
        <v>71.394365914821918</v>
      </c>
      <c r="I23" s="484">
        <f t="shared" si="2"/>
        <v>149.43248695146005</v>
      </c>
      <c r="J23" s="487">
        <f t="shared" si="3"/>
        <v>0</v>
      </c>
      <c r="K23" s="486">
        <f t="shared" si="4"/>
        <v>149.43248695146005</v>
      </c>
      <c r="L23"/>
      <c r="M23"/>
    </row>
    <row r="24" spans="2:13">
      <c r="B24" s="425" t="s">
        <v>5</v>
      </c>
      <c r="C24" s="484">
        <v>157.73346633305854</v>
      </c>
      <c r="D24" s="485">
        <v>0</v>
      </c>
      <c r="E24" s="486">
        <f t="shared" si="1"/>
        <v>157.73346633305854</v>
      </c>
      <c r="F24" s="484">
        <v>134.04656457476767</v>
      </c>
      <c r="G24" s="485">
        <v>0</v>
      </c>
      <c r="H24" s="486">
        <v>134.04656457476767</v>
      </c>
      <c r="I24" s="484">
        <f t="shared" si="2"/>
        <v>23.686901758290873</v>
      </c>
      <c r="J24" s="485">
        <f t="shared" si="3"/>
        <v>0</v>
      </c>
      <c r="K24" s="486">
        <f t="shared" si="4"/>
        <v>23.686901758290873</v>
      </c>
      <c r="L24"/>
      <c r="M24"/>
    </row>
    <row r="25" spans="2:13">
      <c r="B25" s="425" t="s">
        <v>13</v>
      </c>
      <c r="C25" s="484">
        <v>5487.6906877874098</v>
      </c>
      <c r="D25" s="485">
        <v>5464.8372831386778</v>
      </c>
      <c r="E25" s="486">
        <f t="shared" si="1"/>
        <v>10952.527970926087</v>
      </c>
      <c r="F25" s="484">
        <v>4891.2425791032074</v>
      </c>
      <c r="G25" s="485">
        <v>6367.3002966706954</v>
      </c>
      <c r="H25" s="486">
        <v>11258.542875773903</v>
      </c>
      <c r="I25" s="484">
        <f t="shared" si="2"/>
        <v>596.44810868420245</v>
      </c>
      <c r="J25" s="485">
        <f t="shared" si="3"/>
        <v>-902.46301353201761</v>
      </c>
      <c r="K25" s="486">
        <f t="shared" si="4"/>
        <v>-306.01490484781607</v>
      </c>
      <c r="L25"/>
      <c r="M25"/>
    </row>
    <row r="26" spans="2:13">
      <c r="B26" s="425" t="s">
        <v>8</v>
      </c>
      <c r="C26" s="484">
        <v>130.48859487553025</v>
      </c>
      <c r="D26" s="485">
        <v>0</v>
      </c>
      <c r="E26" s="486">
        <f t="shared" si="1"/>
        <v>130.48859487553025</v>
      </c>
      <c r="F26" s="484">
        <v>142.78873182964384</v>
      </c>
      <c r="G26" s="485">
        <v>0</v>
      </c>
      <c r="H26" s="486">
        <v>142.78873182964384</v>
      </c>
      <c r="I26" s="484">
        <f t="shared" si="2"/>
        <v>-12.300136954113583</v>
      </c>
      <c r="J26" s="485">
        <f t="shared" si="3"/>
        <v>0</v>
      </c>
      <c r="K26" s="486">
        <f t="shared" si="4"/>
        <v>-12.300136954113583</v>
      </c>
      <c r="L26"/>
      <c r="M26"/>
    </row>
    <row r="27" spans="2:13">
      <c r="B27" s="425" t="s">
        <v>10</v>
      </c>
      <c r="C27" s="484">
        <v>44891.661488689977</v>
      </c>
      <c r="D27" s="485">
        <v>19317.564349699511</v>
      </c>
      <c r="E27" s="486">
        <f t="shared" si="1"/>
        <v>64209.225838389488</v>
      </c>
      <c r="F27" s="484">
        <v>44935.468204001329</v>
      </c>
      <c r="G27" s="485">
        <v>21305.966377321176</v>
      </c>
      <c r="H27" s="486">
        <v>66241.434581322508</v>
      </c>
      <c r="I27" s="484">
        <f t="shared" si="2"/>
        <v>-43.806715311351581</v>
      </c>
      <c r="J27" s="485">
        <f t="shared" si="3"/>
        <v>-1988.4020276216652</v>
      </c>
      <c r="K27" s="486">
        <f t="shared" si="4"/>
        <v>-2032.2087429330204</v>
      </c>
      <c r="L27"/>
      <c r="M27"/>
    </row>
    <row r="28" spans="2:13">
      <c r="B28" s="425" t="s">
        <v>11</v>
      </c>
      <c r="C28" s="484">
        <v>13707.038224342787</v>
      </c>
      <c r="D28" s="485">
        <v>17029.958045129832</v>
      </c>
      <c r="E28" s="486">
        <f t="shared" si="1"/>
        <v>30736.99626947262</v>
      </c>
      <c r="F28" s="484">
        <v>13688.776893260241</v>
      </c>
      <c r="G28" s="485">
        <v>17387.627733216133</v>
      </c>
      <c r="H28" s="486">
        <v>31076.404626476375</v>
      </c>
      <c r="I28" s="484">
        <f t="shared" si="2"/>
        <v>18.261331082545439</v>
      </c>
      <c r="J28" s="485">
        <f t="shared" si="3"/>
        <v>-357.6696880863019</v>
      </c>
      <c r="K28" s="486">
        <f t="shared" si="4"/>
        <v>-339.40835700375465</v>
      </c>
      <c r="L28"/>
      <c r="M28"/>
    </row>
    <row r="29" spans="2:13">
      <c r="B29" s="425" t="s">
        <v>12</v>
      </c>
      <c r="C29" s="484">
        <v>603.68899387470594</v>
      </c>
      <c r="D29" s="485">
        <v>0</v>
      </c>
      <c r="E29" s="486">
        <f t="shared" si="1"/>
        <v>603.68899387470594</v>
      </c>
      <c r="F29" s="484">
        <v>593.01034545576579</v>
      </c>
      <c r="G29" s="485">
        <v>0</v>
      </c>
      <c r="H29" s="486">
        <v>593.01034545576579</v>
      </c>
      <c r="I29" s="484">
        <f t="shared" si="2"/>
        <v>10.678648418940156</v>
      </c>
      <c r="J29" s="485">
        <f t="shared" si="3"/>
        <v>0</v>
      </c>
      <c r="K29" s="486">
        <f t="shared" si="4"/>
        <v>10.678648418940156</v>
      </c>
      <c r="L29"/>
      <c r="M29"/>
    </row>
    <row r="30" spans="2:13">
      <c r="B30" s="425" t="s">
        <v>7</v>
      </c>
      <c r="C30" s="484">
        <v>21547.825441698827</v>
      </c>
      <c r="D30" s="485">
        <v>13217.280870847035</v>
      </c>
      <c r="E30" s="486">
        <f t="shared" si="1"/>
        <v>34765.10631254586</v>
      </c>
      <c r="F30" s="484">
        <v>17746.59952739859</v>
      </c>
      <c r="G30" s="485">
        <v>20816.174046808042</v>
      </c>
      <c r="H30" s="486">
        <v>38562.773574206629</v>
      </c>
      <c r="I30" s="484">
        <f t="shared" si="2"/>
        <v>3801.2259143002375</v>
      </c>
      <c r="J30" s="485">
        <f t="shared" si="3"/>
        <v>-7598.8931759610077</v>
      </c>
      <c r="K30" s="486">
        <f t="shared" si="4"/>
        <v>-3797.6672616607684</v>
      </c>
      <c r="L30"/>
      <c r="M30"/>
    </row>
    <row r="31" spans="2:13">
      <c r="B31" s="425" t="s">
        <v>16</v>
      </c>
      <c r="C31" s="484">
        <v>22138.608970146281</v>
      </c>
      <c r="D31" s="485">
        <v>1397.9816305703594</v>
      </c>
      <c r="E31" s="486">
        <f t="shared" si="1"/>
        <v>23536.590600716641</v>
      </c>
      <c r="F31" s="484">
        <v>21735.94185137374</v>
      </c>
      <c r="G31" s="485">
        <v>5265.2675530161523</v>
      </c>
      <c r="H31" s="486">
        <v>27001.209404389891</v>
      </c>
      <c r="I31" s="484">
        <f t="shared" si="2"/>
        <v>402.66711877254056</v>
      </c>
      <c r="J31" s="485">
        <f t="shared" si="3"/>
        <v>-3867.2859224457929</v>
      </c>
      <c r="K31" s="486">
        <f t="shared" si="4"/>
        <v>-3464.6188036732492</v>
      </c>
      <c r="L31"/>
      <c r="M31"/>
    </row>
    <row r="32" spans="2:13">
      <c r="B32" s="425" t="s">
        <v>15</v>
      </c>
      <c r="C32" s="484">
        <v>3025.6146723886686</v>
      </c>
      <c r="D32" s="485">
        <v>6354.4619571379972</v>
      </c>
      <c r="E32" s="486">
        <f t="shared" si="1"/>
        <v>9380.0766295266658</v>
      </c>
      <c r="F32" s="484">
        <v>2456.5489986201992</v>
      </c>
      <c r="G32" s="485">
        <v>5999.956048785848</v>
      </c>
      <c r="H32" s="486">
        <v>8456.5050474060481</v>
      </c>
      <c r="I32" s="484">
        <f t="shared" si="2"/>
        <v>569.06567376846942</v>
      </c>
      <c r="J32" s="485">
        <f t="shared" si="3"/>
        <v>354.50590835214916</v>
      </c>
      <c r="K32" s="486">
        <f t="shared" si="4"/>
        <v>923.57158212061768</v>
      </c>
      <c r="L32"/>
      <c r="M32"/>
    </row>
    <row r="33" spans="2:13">
      <c r="B33" s="427" t="s">
        <v>34</v>
      </c>
      <c r="C33" s="484">
        <f>SUM(C16:C32)</f>
        <v>1681199.9999999998</v>
      </c>
      <c r="D33" s="489">
        <f>SUM(D16:D32)</f>
        <v>1120799.9999999998</v>
      </c>
      <c r="E33" s="490">
        <f t="shared" si="1"/>
        <v>2801999.9999999995</v>
      </c>
      <c r="F33" s="484">
        <f t="shared" ref="F33:K33" si="5">SUM(F16:F32)</f>
        <v>1671600.0000000002</v>
      </c>
      <c r="G33" s="489">
        <f t="shared" si="5"/>
        <v>1114400.0000000002</v>
      </c>
      <c r="H33" s="490">
        <f t="shared" si="5"/>
        <v>2786000</v>
      </c>
      <c r="I33" s="484">
        <f t="shared" si="5"/>
        <v>9600.0000000000309</v>
      </c>
      <c r="J33" s="489">
        <f t="shared" si="5"/>
        <v>6399.9999999999081</v>
      </c>
      <c r="K33" s="486">
        <f t="shared" si="5"/>
        <v>15999.999999999673</v>
      </c>
      <c r="L33"/>
      <c r="M33"/>
    </row>
    <row r="34" spans="2:13">
      <c r="K34"/>
      <c r="L34"/>
      <c r="M34"/>
    </row>
    <row r="35" spans="2:13">
      <c r="K35"/>
      <c r="L35"/>
      <c r="M35"/>
    </row>
    <row r="36" spans="2:13">
      <c r="K36"/>
      <c r="L36"/>
      <c r="M36"/>
    </row>
    <row r="37" spans="2:13">
      <c r="K37"/>
      <c r="L37"/>
      <c r="M37"/>
    </row>
    <row r="38" spans="2:13">
      <c r="K38"/>
      <c r="L38"/>
      <c r="M38"/>
    </row>
    <row r="39" spans="2:13">
      <c r="K39"/>
      <c r="L39"/>
      <c r="M39"/>
    </row>
    <row r="40" spans="2:13">
      <c r="K40"/>
      <c r="L40"/>
      <c r="M40"/>
    </row>
    <row r="41" spans="2:13">
      <c r="K41"/>
      <c r="L41"/>
      <c r="M41"/>
    </row>
    <row r="42" spans="2:13">
      <c r="K42"/>
      <c r="L42"/>
      <c r="M42"/>
    </row>
    <row r="43" spans="2:13">
      <c r="K43"/>
      <c r="L43"/>
      <c r="M43"/>
    </row>
    <row r="44" spans="2:13">
      <c r="K44"/>
      <c r="L44"/>
      <c r="M44"/>
    </row>
    <row r="45" spans="2:13">
      <c r="K45"/>
      <c r="L45"/>
      <c r="M45"/>
    </row>
    <row r="46" spans="2:13">
      <c r="K46"/>
      <c r="L46"/>
      <c r="M46"/>
    </row>
    <row r="47" spans="2:13">
      <c r="K47"/>
      <c r="L47"/>
      <c r="M47"/>
    </row>
    <row r="48" spans="2:13">
      <c r="K48"/>
      <c r="L48"/>
      <c r="M48"/>
    </row>
    <row r="49" spans="11:13">
      <c r="K49"/>
      <c r="L49"/>
      <c r="M49"/>
    </row>
    <row r="50" spans="11:13">
      <c r="K50"/>
      <c r="L50"/>
      <c r="M50"/>
    </row>
    <row r="51" spans="11:13">
      <c r="K51"/>
      <c r="L51"/>
      <c r="M51"/>
    </row>
    <row r="52" spans="11:13">
      <c r="K52"/>
      <c r="L52"/>
      <c r="M52"/>
    </row>
    <row r="53" spans="11:13">
      <c r="K53"/>
      <c r="L53"/>
      <c r="M53"/>
    </row>
  </sheetData>
  <mergeCells count="9">
    <mergeCell ref="C14:E14"/>
    <mergeCell ref="F14:H14"/>
    <mergeCell ref="I14:K14"/>
    <mergeCell ref="B1:E1"/>
    <mergeCell ref="A2:A3"/>
    <mergeCell ref="B4:Q4"/>
    <mergeCell ref="B6:Q6"/>
    <mergeCell ref="B8:Q8"/>
    <mergeCell ref="B13:K1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B1" workbookViewId="0">
      <selection activeCell="B1" sqref="B1:F1"/>
    </sheetView>
  </sheetViews>
  <sheetFormatPr defaultColWidth="8.85546875" defaultRowHeight="1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c r="B1" s="645" t="s">
        <v>425</v>
      </c>
      <c r="C1" s="645"/>
      <c r="D1" s="645"/>
      <c r="E1" s="645"/>
      <c r="F1" s="645"/>
    </row>
    <row r="2" spans="1:20" ht="60"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0" ht="24.75" customHeight="1">
      <c r="A4" s="400"/>
      <c r="B4" s="631" t="s">
        <v>111</v>
      </c>
      <c r="C4" s="631"/>
      <c r="D4" s="631"/>
      <c r="E4" s="631"/>
      <c r="F4" s="631"/>
      <c r="G4" s="631"/>
      <c r="H4" s="631"/>
      <c r="I4" s="631"/>
      <c r="J4" s="631"/>
      <c r="K4" s="631"/>
      <c r="L4" s="631"/>
      <c r="M4" s="631"/>
      <c r="N4" s="631"/>
      <c r="O4" s="631"/>
      <c r="P4" s="631"/>
      <c r="Q4" s="631"/>
      <c r="R4" s="631"/>
      <c r="S4" s="631"/>
      <c r="T4" s="631"/>
    </row>
    <row r="5" spans="1:20" ht="20.100000000000001" customHeight="1">
      <c r="A5" s="411" t="s">
        <v>128</v>
      </c>
      <c r="B5" s="412" t="s">
        <v>21</v>
      </c>
      <c r="C5" s="413">
        <f t="shared" ref="C5:S19" si="0">+C29+C53</f>
        <v>250834.58533583698</v>
      </c>
      <c r="D5" s="413">
        <f t="shared" si="0"/>
        <v>9262319.1847956032</v>
      </c>
      <c r="E5" s="413">
        <f t="shared" si="0"/>
        <v>1051116.7201398388</v>
      </c>
      <c r="F5" s="413">
        <f t="shared" si="0"/>
        <v>163414.48526546336</v>
      </c>
      <c r="G5" s="413">
        <f t="shared" si="0"/>
        <v>1266116.5476165768</v>
      </c>
      <c r="H5" s="413">
        <f t="shared" si="0"/>
        <v>665476.23296534037</v>
      </c>
      <c r="I5" s="413">
        <f t="shared" si="0"/>
        <v>164237.70623657433</v>
      </c>
      <c r="J5" s="413">
        <f t="shared" si="0"/>
        <v>1077.8248770003011</v>
      </c>
      <c r="K5" s="413">
        <f t="shared" si="0"/>
        <v>769.87491214307556</v>
      </c>
      <c r="L5" s="413">
        <f t="shared" si="0"/>
        <v>53457.751898742397</v>
      </c>
      <c r="M5" s="413">
        <f t="shared" si="0"/>
        <v>636.89651822745327</v>
      </c>
      <c r="N5" s="413">
        <f t="shared" si="0"/>
        <v>313396.21990380646</v>
      </c>
      <c r="O5" s="413">
        <f t="shared" si="0"/>
        <v>150022.96502212016</v>
      </c>
      <c r="P5" s="413">
        <f t="shared" si="0"/>
        <v>2946.5212546566763</v>
      </c>
      <c r="Q5" s="413">
        <f t="shared" si="0"/>
        <v>169683.60481916554</v>
      </c>
      <c r="R5" s="413">
        <f t="shared" si="0"/>
        <v>114878.79549044397</v>
      </c>
      <c r="S5" s="413">
        <f t="shared" si="0"/>
        <v>45782.837586310226</v>
      </c>
      <c r="T5" s="413">
        <f t="shared" ref="T5:T26" si="1">SUM(C5:S5)</f>
        <v>13676168.75463785</v>
      </c>
    </row>
    <row r="6" spans="1:20" ht="20.100000000000001" customHeight="1">
      <c r="A6" s="401" t="s">
        <v>129</v>
      </c>
      <c r="B6" s="408" t="s">
        <v>35</v>
      </c>
      <c r="C6" s="410">
        <f t="shared" si="0"/>
        <v>5567.3769983815546</v>
      </c>
      <c r="D6" s="410">
        <f t="shared" si="0"/>
        <v>582960.10403792537</v>
      </c>
      <c r="E6" s="410">
        <f t="shared" si="0"/>
        <v>20289.432214191424</v>
      </c>
      <c r="F6" s="410">
        <f t="shared" si="0"/>
        <v>561.11793636386028</v>
      </c>
      <c r="G6" s="410">
        <f t="shared" si="0"/>
        <v>33722.756500892967</v>
      </c>
      <c r="H6" s="410">
        <f t="shared" si="0"/>
        <v>748.76451897904917</v>
      </c>
      <c r="I6" s="410">
        <f t="shared" si="0"/>
        <v>12542.64717471382</v>
      </c>
      <c r="J6" s="410">
        <f t="shared" si="0"/>
        <v>556.77440957856152</v>
      </c>
      <c r="K6" s="410">
        <f t="shared" si="0"/>
        <v>5049.7492363045567</v>
      </c>
      <c r="L6" s="410">
        <f t="shared" si="0"/>
        <v>65.585213341230428</v>
      </c>
      <c r="M6" s="410">
        <f t="shared" si="0"/>
        <v>1.8218114817008448</v>
      </c>
      <c r="N6" s="410">
        <f t="shared" si="0"/>
        <v>117733.94134762877</v>
      </c>
      <c r="O6" s="410">
        <f t="shared" si="0"/>
        <v>274.62693118889615</v>
      </c>
      <c r="P6" s="410">
        <f t="shared" si="0"/>
        <v>16403.964618547594</v>
      </c>
      <c r="Q6" s="410">
        <f t="shared" si="0"/>
        <v>1974.143742341827</v>
      </c>
      <c r="R6" s="410">
        <f t="shared" si="0"/>
        <v>0</v>
      </c>
      <c r="S6" s="410">
        <f t="shared" si="0"/>
        <v>72791.905318637699</v>
      </c>
      <c r="T6" s="410">
        <f t="shared" si="1"/>
        <v>871244.71201049874</v>
      </c>
    </row>
    <row r="7" spans="1:20" ht="20.100000000000001" customHeight="1">
      <c r="A7" s="401" t="s">
        <v>140</v>
      </c>
      <c r="B7" s="414" t="s">
        <v>36</v>
      </c>
      <c r="C7" s="415">
        <f t="shared" si="0"/>
        <v>7.6872358861407122</v>
      </c>
      <c r="D7" s="415">
        <f t="shared" si="0"/>
        <v>573.98027949850621</v>
      </c>
      <c r="E7" s="415">
        <f t="shared" si="0"/>
        <v>0</v>
      </c>
      <c r="F7" s="415">
        <f t="shared" si="0"/>
        <v>58.935475127078689</v>
      </c>
      <c r="G7" s="415">
        <f t="shared" si="0"/>
        <v>0</v>
      </c>
      <c r="H7" s="415">
        <f t="shared" si="0"/>
        <v>0</v>
      </c>
      <c r="I7" s="415">
        <f t="shared" si="0"/>
        <v>30.748943544562849</v>
      </c>
      <c r="J7" s="415">
        <f t="shared" si="0"/>
        <v>7.6872358861407122</v>
      </c>
      <c r="K7" s="415">
        <f t="shared" si="0"/>
        <v>10.249647848187607</v>
      </c>
      <c r="L7" s="415">
        <f t="shared" si="0"/>
        <v>15416.220969198417</v>
      </c>
      <c r="M7" s="415">
        <f t="shared" si="0"/>
        <v>0</v>
      </c>
      <c r="N7" s="415">
        <f t="shared" si="0"/>
        <v>47569.146263895498</v>
      </c>
      <c r="O7" s="415">
        <f t="shared" si="0"/>
        <v>0</v>
      </c>
      <c r="P7" s="415">
        <f t="shared" si="0"/>
        <v>0</v>
      </c>
      <c r="Q7" s="415">
        <f t="shared" si="0"/>
        <v>194.74330911556444</v>
      </c>
      <c r="R7" s="415">
        <f t="shared" si="0"/>
        <v>0</v>
      </c>
      <c r="S7" s="415">
        <f t="shared" si="0"/>
        <v>5.1248239240938034</v>
      </c>
      <c r="T7" s="415">
        <f t="shared" si="1"/>
        <v>63874.524183924186</v>
      </c>
    </row>
    <row r="8" spans="1:20" ht="20.100000000000001" customHeight="1">
      <c r="A8" s="401" t="s">
        <v>130</v>
      </c>
      <c r="B8" s="408" t="s">
        <v>37</v>
      </c>
      <c r="C8" s="410">
        <f t="shared" si="0"/>
        <v>406.64737875241372</v>
      </c>
      <c r="D8" s="410">
        <f t="shared" si="0"/>
        <v>8121.7100569681133</v>
      </c>
      <c r="E8" s="410">
        <f t="shared" si="0"/>
        <v>1311.5880799748929</v>
      </c>
      <c r="F8" s="410">
        <f t="shared" si="0"/>
        <v>647.03800078675613</v>
      </c>
      <c r="G8" s="410">
        <f t="shared" si="0"/>
        <v>383352.47638834827</v>
      </c>
      <c r="H8" s="410">
        <f t="shared" si="0"/>
        <v>1034.8999408561504</v>
      </c>
      <c r="I8" s="410">
        <f t="shared" si="0"/>
        <v>223.14401449879529</v>
      </c>
      <c r="J8" s="410">
        <f t="shared" si="0"/>
        <v>1896.3529139647735</v>
      </c>
      <c r="K8" s="410">
        <f t="shared" si="0"/>
        <v>158.80107482278061</v>
      </c>
      <c r="L8" s="410">
        <f t="shared" si="0"/>
        <v>284.14382101403362</v>
      </c>
      <c r="M8" s="410">
        <f t="shared" si="0"/>
        <v>0</v>
      </c>
      <c r="N8" s="410">
        <f t="shared" si="0"/>
        <v>4908.4259004235173</v>
      </c>
      <c r="O8" s="410">
        <f t="shared" si="0"/>
        <v>23246.064718736234</v>
      </c>
      <c r="P8" s="410">
        <f t="shared" si="0"/>
        <v>30.884611044487087</v>
      </c>
      <c r="Q8" s="410">
        <f t="shared" si="0"/>
        <v>4620.673475382875</v>
      </c>
      <c r="R8" s="410">
        <f t="shared" si="0"/>
        <v>214.65344616393759</v>
      </c>
      <c r="S8" s="410">
        <f t="shared" si="0"/>
        <v>4484.0414679395217</v>
      </c>
      <c r="T8" s="410">
        <f t="shared" si="1"/>
        <v>434941.54528967745</v>
      </c>
    </row>
    <row r="9" spans="1:20" ht="20.100000000000001" customHeight="1">
      <c r="A9" s="416" t="s">
        <v>131</v>
      </c>
      <c r="B9" s="414" t="s">
        <v>141</v>
      </c>
      <c r="C9" s="415">
        <f t="shared" si="0"/>
        <v>29.559694868745055</v>
      </c>
      <c r="D9" s="415">
        <f t="shared" si="0"/>
        <v>3807.2240877394543</v>
      </c>
      <c r="E9" s="415">
        <f t="shared" si="0"/>
        <v>19.706463245830037</v>
      </c>
      <c r="F9" s="415">
        <f t="shared" si="0"/>
        <v>83.752468794777769</v>
      </c>
      <c r="G9" s="415">
        <f t="shared" si="0"/>
        <v>354.95863100583142</v>
      </c>
      <c r="H9" s="415">
        <f t="shared" si="0"/>
        <v>201874.09980689653</v>
      </c>
      <c r="I9" s="415">
        <f t="shared" si="0"/>
        <v>2.4633079057287546</v>
      </c>
      <c r="J9" s="415">
        <f t="shared" si="0"/>
        <v>194.84361713346289</v>
      </c>
      <c r="K9" s="415">
        <f t="shared" si="0"/>
        <v>757.20469738229258</v>
      </c>
      <c r="L9" s="415">
        <f t="shared" si="0"/>
        <v>0</v>
      </c>
      <c r="M9" s="415">
        <f t="shared" si="0"/>
        <v>0</v>
      </c>
      <c r="N9" s="415">
        <f t="shared" si="0"/>
        <v>93.60570041769256</v>
      </c>
      <c r="O9" s="415">
        <f t="shared" si="0"/>
        <v>0</v>
      </c>
      <c r="P9" s="415">
        <f t="shared" si="0"/>
        <v>0</v>
      </c>
      <c r="Q9" s="415">
        <f t="shared" si="0"/>
        <v>51.729466020303789</v>
      </c>
      <c r="R9" s="415">
        <f t="shared" si="0"/>
        <v>0</v>
      </c>
      <c r="S9" s="415">
        <f t="shared" si="0"/>
        <v>535.50698586670501</v>
      </c>
      <c r="T9" s="415">
        <f t="shared" si="1"/>
        <v>207804.65492727736</v>
      </c>
    </row>
    <row r="10" spans="1:20" ht="20.100000000000001" customHeight="1">
      <c r="A10" s="401" t="s">
        <v>132</v>
      </c>
      <c r="B10" s="408" t="s">
        <v>206</v>
      </c>
      <c r="C10" s="410">
        <f t="shared" si="0"/>
        <v>10.842492521516135</v>
      </c>
      <c r="D10" s="410">
        <f t="shared" si="0"/>
        <v>1837.8295435264081</v>
      </c>
      <c r="E10" s="410">
        <f t="shared" si="0"/>
        <v>7.2283283476774045</v>
      </c>
      <c r="F10" s="410">
        <f t="shared" si="0"/>
        <v>186604.69048042421</v>
      </c>
      <c r="G10" s="410">
        <f t="shared" si="0"/>
        <v>9.0354104345967698</v>
      </c>
      <c r="H10" s="410">
        <f t="shared" si="0"/>
        <v>336.11726816699957</v>
      </c>
      <c r="I10" s="410">
        <f t="shared" si="0"/>
        <v>23.492067129951579</v>
      </c>
      <c r="J10" s="410">
        <f t="shared" si="0"/>
        <v>0</v>
      </c>
      <c r="K10" s="410">
        <f t="shared" si="0"/>
        <v>272.8693951248224</v>
      </c>
      <c r="L10" s="410">
        <f t="shared" si="0"/>
        <v>126.49574608435478</v>
      </c>
      <c r="M10" s="410">
        <f t="shared" si="0"/>
        <v>0</v>
      </c>
      <c r="N10" s="410">
        <f t="shared" si="0"/>
        <v>54.212462607580619</v>
      </c>
      <c r="O10" s="410">
        <f t="shared" si="0"/>
        <v>10.842492521516135</v>
      </c>
      <c r="P10" s="410">
        <f t="shared" si="0"/>
        <v>0</v>
      </c>
      <c r="Q10" s="410">
        <f t="shared" si="0"/>
        <v>39.75580591222581</v>
      </c>
      <c r="R10" s="410">
        <f t="shared" si="0"/>
        <v>0</v>
      </c>
      <c r="S10" s="410">
        <f t="shared" si="0"/>
        <v>57.826626781419236</v>
      </c>
      <c r="T10" s="410">
        <f t="shared" si="1"/>
        <v>189391.23811958326</v>
      </c>
    </row>
    <row r="11" spans="1:20"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-8000.5757445728259</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-8000.5757445728259</v>
      </c>
    </row>
    <row r="12" spans="1:20" ht="20.100000000000001" customHeight="1">
      <c r="A12" s="401" t="s">
        <v>135</v>
      </c>
      <c r="B12" s="408" t="s">
        <v>70</v>
      </c>
      <c r="C12" s="410">
        <f t="shared" si="0"/>
        <v>0</v>
      </c>
      <c r="D12" s="410">
        <f t="shared" si="0"/>
        <v>107.15298689868723</v>
      </c>
      <c r="E12" s="410">
        <f t="shared" si="0"/>
        <v>0</v>
      </c>
      <c r="F12" s="410">
        <f t="shared" si="0"/>
        <v>6.1819030903088503</v>
      </c>
      <c r="G12" s="410">
        <f t="shared" si="0"/>
        <v>0</v>
      </c>
      <c r="H12" s="410">
        <f t="shared" si="0"/>
        <v>0</v>
      </c>
      <c r="I12" s="410">
        <f t="shared" si="0"/>
        <v>0</v>
      </c>
      <c r="J12" s="410">
        <f t="shared" si="0"/>
        <v>2.0606343634362929</v>
      </c>
      <c r="K12" s="410">
        <f t="shared" si="0"/>
        <v>273.79449189379375</v>
      </c>
      <c r="L12" s="410">
        <f t="shared" si="0"/>
        <v>96454.001798465324</v>
      </c>
      <c r="M12" s="410">
        <f t="shared" si="0"/>
        <v>16.485074907490343</v>
      </c>
      <c r="N12" s="410">
        <f t="shared" si="0"/>
        <v>327.37098534313736</v>
      </c>
      <c r="O12" s="410">
        <f t="shared" si="0"/>
        <v>0</v>
      </c>
      <c r="P12" s="410">
        <f t="shared" si="0"/>
        <v>0</v>
      </c>
      <c r="Q12" s="410">
        <f t="shared" si="0"/>
        <v>637.71713889231705</v>
      </c>
      <c r="R12" s="410">
        <f t="shared" si="0"/>
        <v>0</v>
      </c>
      <c r="S12" s="410">
        <f t="shared" si="0"/>
        <v>106.88310845545402</v>
      </c>
      <c r="T12" s="410">
        <f t="shared" si="1"/>
        <v>97931.64812230994</v>
      </c>
    </row>
    <row r="13" spans="1:20" ht="20.100000000000001" customHeight="1">
      <c r="A13" s="416" t="s">
        <v>136</v>
      </c>
      <c r="B13" s="414" t="s">
        <v>144</v>
      </c>
      <c r="C13" s="415">
        <f t="shared" si="0"/>
        <v>11.059084295405256</v>
      </c>
      <c r="D13" s="415">
        <f t="shared" si="0"/>
        <v>1708.6285236401127</v>
      </c>
      <c r="E13" s="415">
        <f t="shared" si="0"/>
        <v>5.5295421477026281</v>
      </c>
      <c r="F13" s="415">
        <f t="shared" si="0"/>
        <v>8.2943132215539492</v>
      </c>
      <c r="G13" s="415">
        <f t="shared" si="0"/>
        <v>129.94424047101211</v>
      </c>
      <c r="H13" s="415">
        <f t="shared" si="0"/>
        <v>88.472674363242049</v>
      </c>
      <c r="I13" s="415">
        <f t="shared" si="0"/>
        <v>2.764771073851314</v>
      </c>
      <c r="J13" s="415">
        <f t="shared" si="0"/>
        <v>8.2943132215539492</v>
      </c>
      <c r="K13" s="415">
        <f t="shared" si="0"/>
        <v>99.531758658647504</v>
      </c>
      <c r="L13" s="415">
        <f t="shared" si="0"/>
        <v>30.41248181236449</v>
      </c>
      <c r="M13" s="415">
        <f t="shared" si="0"/>
        <v>2.764771073851314</v>
      </c>
      <c r="N13" s="415">
        <f t="shared" si="0"/>
        <v>2354.929300920594</v>
      </c>
      <c r="O13" s="415">
        <f t="shared" si="0"/>
        <v>8.2943132215539492</v>
      </c>
      <c r="P13" s="415">
        <f t="shared" si="0"/>
        <v>259.88848094202422</v>
      </c>
      <c r="Q13" s="415">
        <f t="shared" si="0"/>
        <v>133702.79008522228</v>
      </c>
      <c r="R13" s="415">
        <f t="shared" si="0"/>
        <v>0</v>
      </c>
      <c r="S13" s="415">
        <f t="shared" si="0"/>
        <v>390.64503610419843</v>
      </c>
      <c r="T13" s="415">
        <f t="shared" si="1"/>
        <v>138812.24369038994</v>
      </c>
    </row>
    <row r="14" spans="1:20" ht="20.100000000000001" customHeight="1">
      <c r="A14" s="401" t="s">
        <v>137</v>
      </c>
      <c r="B14" s="408" t="s">
        <v>49</v>
      </c>
      <c r="C14" s="410">
        <f t="shared" si="0"/>
        <v>172.18333075212263</v>
      </c>
      <c r="D14" s="410">
        <f t="shared" si="0"/>
        <v>780.97696280130913</v>
      </c>
      <c r="E14" s="410">
        <f t="shared" si="0"/>
        <v>9.0180989501041608</v>
      </c>
      <c r="F14" s="410">
        <f t="shared" si="0"/>
        <v>0</v>
      </c>
      <c r="G14" s="410">
        <f t="shared" si="0"/>
        <v>245.26351027597207</v>
      </c>
      <c r="H14" s="410">
        <f t="shared" si="0"/>
        <v>4.5090494750520804</v>
      </c>
      <c r="I14" s="410">
        <f t="shared" si="0"/>
        <v>0</v>
      </c>
      <c r="J14" s="410">
        <f t="shared" si="0"/>
        <v>158.65618232696613</v>
      </c>
      <c r="K14" s="410">
        <f t="shared" si="0"/>
        <v>110.37577491590309</v>
      </c>
      <c r="L14" s="410">
        <f t="shared" si="0"/>
        <v>959.7319933202607</v>
      </c>
      <c r="M14" s="410">
        <f t="shared" si="0"/>
        <v>4.5090494750520804</v>
      </c>
      <c r="N14" s="410">
        <f t="shared" si="0"/>
        <v>7747.4823860625256</v>
      </c>
      <c r="O14" s="410">
        <f t="shared" si="0"/>
        <v>67.539804902907917</v>
      </c>
      <c r="P14" s="410">
        <f t="shared" si="0"/>
        <v>24.799772112786513</v>
      </c>
      <c r="Q14" s="410">
        <f t="shared" si="0"/>
        <v>26093.053845731978</v>
      </c>
      <c r="R14" s="410">
        <f t="shared" si="0"/>
        <v>0</v>
      </c>
      <c r="S14" s="410">
        <f t="shared" si="0"/>
        <v>629.92380538706493</v>
      </c>
      <c r="T14" s="410">
        <f t="shared" si="1"/>
        <v>37008.023566490003</v>
      </c>
    </row>
    <row r="15" spans="1:20" ht="20.100000000000001" customHeight="1">
      <c r="A15" s="401" t="s">
        <v>138</v>
      </c>
      <c r="B15" s="414" t="s">
        <v>207</v>
      </c>
      <c r="C15" s="415">
        <f t="shared" si="0"/>
        <v>162608.79798447969</v>
      </c>
      <c r="D15" s="415">
        <f t="shared" si="0"/>
        <v>736.35414802241667</v>
      </c>
      <c r="E15" s="415">
        <f t="shared" si="0"/>
        <v>417.530124856763</v>
      </c>
      <c r="F15" s="415">
        <f t="shared" si="0"/>
        <v>7.9336704600606822</v>
      </c>
      <c r="G15" s="415">
        <f t="shared" si="0"/>
        <v>663.16405641221172</v>
      </c>
      <c r="H15" s="415">
        <f t="shared" si="0"/>
        <v>889.42859087715988</v>
      </c>
      <c r="I15" s="415">
        <f t="shared" si="0"/>
        <v>0</v>
      </c>
      <c r="J15" s="415">
        <f t="shared" si="0"/>
        <v>0</v>
      </c>
      <c r="K15" s="415">
        <f t="shared" si="0"/>
        <v>1154.7417722295449</v>
      </c>
      <c r="L15" s="415">
        <f t="shared" si="0"/>
        <v>0</v>
      </c>
      <c r="M15" s="415">
        <f t="shared" si="0"/>
        <v>0</v>
      </c>
      <c r="N15" s="415">
        <f t="shared" si="0"/>
        <v>47.602022760364207</v>
      </c>
      <c r="O15" s="415">
        <f t="shared" si="0"/>
        <v>0</v>
      </c>
      <c r="P15" s="415">
        <f t="shared" si="0"/>
        <v>0</v>
      </c>
      <c r="Q15" s="415">
        <f t="shared" si="0"/>
        <v>44.957465940343809</v>
      </c>
      <c r="R15" s="415">
        <f t="shared" si="0"/>
        <v>0</v>
      </c>
      <c r="S15" s="415">
        <f t="shared" si="0"/>
        <v>2456.3393155544836</v>
      </c>
      <c r="T15" s="415">
        <f t="shared" si="1"/>
        <v>169026.84915159305</v>
      </c>
    </row>
    <row r="16" spans="1:20" ht="20.100000000000001" customHeight="1">
      <c r="A16" s="401" t="s">
        <v>147</v>
      </c>
      <c r="B16" s="408" t="s">
        <v>208</v>
      </c>
      <c r="C16" s="410">
        <f t="shared" si="0"/>
        <v>0</v>
      </c>
      <c r="D16" s="410">
        <f t="shared" si="0"/>
        <v>148.09306545848676</v>
      </c>
      <c r="E16" s="410">
        <f t="shared" si="0"/>
        <v>0</v>
      </c>
      <c r="F16" s="410">
        <f t="shared" si="0"/>
        <v>0</v>
      </c>
      <c r="G16" s="410">
        <f t="shared" si="0"/>
        <v>21801.70074465884</v>
      </c>
      <c r="H16" s="410">
        <f t="shared" si="0"/>
        <v>32.020122261294432</v>
      </c>
      <c r="I16" s="410">
        <f t="shared" si="0"/>
        <v>0</v>
      </c>
      <c r="J16" s="410">
        <f t="shared" si="0"/>
        <v>0</v>
      </c>
      <c r="K16" s="410">
        <f t="shared" si="0"/>
        <v>0</v>
      </c>
      <c r="L16" s="410">
        <f t="shared" si="0"/>
        <v>0</v>
      </c>
      <c r="M16" s="410">
        <f t="shared" si="0"/>
        <v>0</v>
      </c>
      <c r="N16" s="410">
        <f t="shared" si="0"/>
        <v>352.22134487423955</v>
      </c>
      <c r="O16" s="410">
        <f t="shared" si="0"/>
        <v>0</v>
      </c>
      <c r="P16" s="410">
        <f t="shared" si="0"/>
        <v>0</v>
      </c>
      <c r="Q16" s="410">
        <f t="shared" si="0"/>
        <v>36.022637543956193</v>
      </c>
      <c r="R16" s="410">
        <f t="shared" si="0"/>
        <v>0</v>
      </c>
      <c r="S16" s="410">
        <f t="shared" si="0"/>
        <v>4.002515282661804</v>
      </c>
      <c r="T16" s="410">
        <f t="shared" si="1"/>
        <v>22374.06043007948</v>
      </c>
    </row>
    <row r="17" spans="1:21" ht="20.100000000000001" customHeight="1">
      <c r="A17" s="416" t="s">
        <v>148</v>
      </c>
      <c r="B17" s="414" t="s">
        <v>39</v>
      </c>
      <c r="C17" s="415">
        <f t="shared" si="0"/>
        <v>3047.4908065038126</v>
      </c>
      <c r="D17" s="415">
        <f t="shared" si="0"/>
        <v>12359.195101744874</v>
      </c>
      <c r="E17" s="415">
        <f t="shared" si="0"/>
        <v>936.99711683327041</v>
      </c>
      <c r="F17" s="415">
        <f t="shared" si="0"/>
        <v>278.47816409380539</v>
      </c>
      <c r="G17" s="415">
        <f t="shared" si="0"/>
        <v>91.733983466194786</v>
      </c>
      <c r="H17" s="415">
        <f t="shared" si="0"/>
        <v>6741.1498685807783</v>
      </c>
      <c r="I17" s="415">
        <f t="shared" si="0"/>
        <v>1136.5865690048661</v>
      </c>
      <c r="J17" s="415">
        <f t="shared" si="0"/>
        <v>111.39126563752188</v>
      </c>
      <c r="K17" s="415">
        <f t="shared" si="0"/>
        <v>176263.86265684094</v>
      </c>
      <c r="L17" s="415">
        <f t="shared" si="0"/>
        <v>1365.9215276703526</v>
      </c>
      <c r="M17" s="415">
        <f t="shared" si="0"/>
        <v>0</v>
      </c>
      <c r="N17" s="415">
        <f t="shared" si="0"/>
        <v>623.23475970661366</v>
      </c>
      <c r="O17" s="415">
        <f t="shared" si="0"/>
        <v>0</v>
      </c>
      <c r="P17" s="415">
        <f t="shared" si="0"/>
        <v>0</v>
      </c>
      <c r="Q17" s="415">
        <f t="shared" si="0"/>
        <v>3700.5885682747085</v>
      </c>
      <c r="R17" s="415">
        <f t="shared" si="0"/>
        <v>0</v>
      </c>
      <c r="S17" s="415">
        <f t="shared" si="0"/>
        <v>137.97805400658171</v>
      </c>
      <c r="T17" s="415">
        <f t="shared" si="1"/>
        <v>206794.60844236435</v>
      </c>
    </row>
    <row r="18" spans="1:21" ht="20.100000000000001" customHeight="1">
      <c r="A18" s="401" t="s">
        <v>149</v>
      </c>
      <c r="B18" s="408" t="s">
        <v>38</v>
      </c>
      <c r="C18" s="410">
        <f t="shared" si="0"/>
        <v>32.15915079419085</v>
      </c>
      <c r="D18" s="410">
        <f t="shared" si="0"/>
        <v>1110.6902174669804</v>
      </c>
      <c r="E18" s="410">
        <f t="shared" si="0"/>
        <v>186611.1807594432</v>
      </c>
      <c r="F18" s="410">
        <f t="shared" si="0"/>
        <v>0</v>
      </c>
      <c r="G18" s="410">
        <f t="shared" si="0"/>
        <v>100.05069135970507</v>
      </c>
      <c r="H18" s="410">
        <f t="shared" si="0"/>
        <v>665.96874091930022</v>
      </c>
      <c r="I18" s="410">
        <f t="shared" si="0"/>
        <v>28.585911817058559</v>
      </c>
      <c r="J18" s="410">
        <f t="shared" si="0"/>
        <v>216.03418201121258</v>
      </c>
      <c r="K18" s="410">
        <f t="shared" si="0"/>
        <v>110.77040829110229</v>
      </c>
      <c r="L18" s="410">
        <f t="shared" si="0"/>
        <v>0</v>
      </c>
      <c r="M18" s="410">
        <f t="shared" si="0"/>
        <v>0</v>
      </c>
      <c r="N18" s="410">
        <f t="shared" si="0"/>
        <v>17.866194885661628</v>
      </c>
      <c r="O18" s="410">
        <f t="shared" si="0"/>
        <v>0</v>
      </c>
      <c r="P18" s="410">
        <f t="shared" si="0"/>
        <v>0</v>
      </c>
      <c r="Q18" s="410">
        <f t="shared" si="0"/>
        <v>28.585911817058559</v>
      </c>
      <c r="R18" s="410">
        <f t="shared" si="0"/>
        <v>0</v>
      </c>
      <c r="S18" s="410">
        <f t="shared" si="0"/>
        <v>1728.2734560897006</v>
      </c>
      <c r="T18" s="410">
        <f t="shared" si="1"/>
        <v>190650.16562489519</v>
      </c>
    </row>
    <row r="19" spans="1:21" ht="20.100000000000001" customHeight="1">
      <c r="A19" s="401" t="s">
        <v>150</v>
      </c>
      <c r="B19" s="414" t="s">
        <v>31</v>
      </c>
      <c r="C19" s="415">
        <f t="shared" si="0"/>
        <v>-17.88533363596116</v>
      </c>
      <c r="D19" s="415">
        <f t="shared" si="0"/>
        <v>-181.43211701090331</v>
      </c>
      <c r="E19" s="415">
        <f t="shared" si="0"/>
        <v>-310.77093560335925</v>
      </c>
      <c r="F19" s="415">
        <f t="shared" si="0"/>
        <v>0</v>
      </c>
      <c r="G19" s="415">
        <f t="shared" si="0"/>
        <v>-100.03975463412985</v>
      </c>
      <c r="H19" s="415">
        <f t="shared" si="0"/>
        <v>-60.271227084017937</v>
      </c>
      <c r="I19" s="415">
        <f t="shared" si="0"/>
        <v>-114.18124753236225</v>
      </c>
      <c r="J19" s="415">
        <f t="shared" si="0"/>
        <v>-49253.132731827907</v>
      </c>
      <c r="K19" s="415">
        <f t="shared" si="0"/>
        <v>-155.07624992225328</v>
      </c>
      <c r="L19" s="415">
        <f t="shared" si="0"/>
        <v>-1.3086829489727734</v>
      </c>
      <c r="M19" s="415">
        <f t="shared" si="0"/>
        <v>0</v>
      </c>
      <c r="N19" s="415">
        <f t="shared" si="0"/>
        <v>-5.2347317958910935</v>
      </c>
      <c r="O19" s="415">
        <f t="shared" si="0"/>
        <v>0</v>
      </c>
      <c r="P19" s="415">
        <f t="shared" si="0"/>
        <v>0</v>
      </c>
      <c r="Q19" s="415">
        <f t="shared" si="0"/>
        <v>-30.09970782637356</v>
      </c>
      <c r="R19" s="415">
        <f t="shared" si="0"/>
        <v>0</v>
      </c>
      <c r="S19" s="415">
        <f t="shared" si="0"/>
        <v>0</v>
      </c>
      <c r="T19" s="415">
        <f t="shared" si="1"/>
        <v>-50229.432719822129</v>
      </c>
    </row>
    <row r="20" spans="1:21" ht="20.100000000000001" customHeight="1">
      <c r="A20" s="401" t="s">
        <v>151</v>
      </c>
      <c r="B20" s="408" t="s">
        <v>209</v>
      </c>
      <c r="C20" s="410">
        <f t="shared" ref="C20:S25" si="2">+C44+C68</f>
        <v>0</v>
      </c>
      <c r="D20" s="410">
        <f t="shared" si="2"/>
        <v>-43.0078820040344</v>
      </c>
      <c r="E20" s="410">
        <f t="shared" si="2"/>
        <v>0</v>
      </c>
      <c r="F20" s="410">
        <f t="shared" si="2"/>
        <v>0</v>
      </c>
      <c r="G20" s="410">
        <f t="shared" si="2"/>
        <v>0</v>
      </c>
      <c r="H20" s="410">
        <f t="shared" si="2"/>
        <v>0</v>
      </c>
      <c r="I20" s="410">
        <f t="shared" si="2"/>
        <v>-1.4497038877765362</v>
      </c>
      <c r="J20" s="410">
        <f t="shared" si="2"/>
        <v>-5778.5196966770454</v>
      </c>
      <c r="K20" s="410">
        <f t="shared" si="2"/>
        <v>-13.530569619247217</v>
      </c>
      <c r="L20" s="410">
        <f t="shared" si="2"/>
        <v>0</v>
      </c>
      <c r="M20" s="410">
        <f t="shared" si="2"/>
        <v>0</v>
      </c>
      <c r="N20" s="410">
        <f t="shared" si="2"/>
        <v>0</v>
      </c>
      <c r="O20" s="410">
        <f t="shared" si="2"/>
        <v>0</v>
      </c>
      <c r="P20" s="410">
        <f t="shared" si="2"/>
        <v>0</v>
      </c>
      <c r="Q20" s="410">
        <f t="shared" si="2"/>
        <v>-0.96646925851763399</v>
      </c>
      <c r="R20" s="410">
        <f t="shared" si="2"/>
        <v>0</v>
      </c>
      <c r="S20" s="410">
        <f t="shared" si="2"/>
        <v>0</v>
      </c>
      <c r="T20" s="410">
        <f t="shared" si="1"/>
        <v>-5837.4743214466207</v>
      </c>
    </row>
    <row r="21" spans="1:21" ht="20.100000000000001" customHeight="1">
      <c r="A21" s="416" t="s">
        <v>153</v>
      </c>
      <c r="B21" s="414" t="s">
        <v>210</v>
      </c>
      <c r="C21" s="415">
        <f t="shared" si="2"/>
        <v>0</v>
      </c>
      <c r="D21" s="415">
        <f t="shared" si="2"/>
        <v>96.271111473675091</v>
      </c>
      <c r="E21" s="415">
        <f t="shared" si="2"/>
        <v>0</v>
      </c>
      <c r="F21" s="415">
        <f t="shared" si="2"/>
        <v>0</v>
      </c>
      <c r="G21" s="415">
        <f t="shared" si="2"/>
        <v>0</v>
      </c>
      <c r="H21" s="415">
        <f t="shared" si="2"/>
        <v>6.8765079624053698</v>
      </c>
      <c r="I21" s="415">
        <f t="shared" si="2"/>
        <v>0</v>
      </c>
      <c r="J21" s="415">
        <f t="shared" si="2"/>
        <v>0</v>
      </c>
      <c r="K21" s="415">
        <f t="shared" si="2"/>
        <v>137.53015924810711</v>
      </c>
      <c r="L21" s="415">
        <f t="shared" si="2"/>
        <v>82.518095548864494</v>
      </c>
      <c r="M21" s="415">
        <f t="shared" si="2"/>
        <v>13.75301592481074</v>
      </c>
      <c r="N21" s="415">
        <f t="shared" si="2"/>
        <v>206.29523887216055</v>
      </c>
      <c r="O21" s="415">
        <f t="shared" si="2"/>
        <v>79024.079339457472</v>
      </c>
      <c r="P21" s="415">
        <f t="shared" si="2"/>
        <v>405.7139697819166</v>
      </c>
      <c r="Q21" s="415">
        <f t="shared" si="2"/>
        <v>1444.8168366101145</v>
      </c>
      <c r="R21" s="415">
        <f t="shared" si="2"/>
        <v>0</v>
      </c>
      <c r="S21" s="415">
        <f t="shared" si="2"/>
        <v>0</v>
      </c>
      <c r="T21" s="415">
        <f t="shared" si="1"/>
        <v>81417.85427487953</v>
      </c>
    </row>
    <row r="22" spans="1:21" ht="20.100000000000001" customHeight="1">
      <c r="A22" s="401" t="s">
        <v>155</v>
      </c>
      <c r="B22" s="408" t="s">
        <v>42</v>
      </c>
      <c r="C22" s="410">
        <f t="shared" si="2"/>
        <v>0</v>
      </c>
      <c r="D22" s="410">
        <f t="shared" si="2"/>
        <v>111.45164167984512</v>
      </c>
      <c r="E22" s="410">
        <f t="shared" si="2"/>
        <v>0</v>
      </c>
      <c r="F22" s="410">
        <f t="shared" si="2"/>
        <v>0</v>
      </c>
      <c r="G22" s="410">
        <f t="shared" si="2"/>
        <v>0</v>
      </c>
      <c r="H22" s="410">
        <f t="shared" si="2"/>
        <v>18.575273613307445</v>
      </c>
      <c r="I22" s="410">
        <f t="shared" si="2"/>
        <v>0</v>
      </c>
      <c r="J22" s="410">
        <f t="shared" si="2"/>
        <v>3.0958789355512408</v>
      </c>
      <c r="K22" s="410">
        <f t="shared" si="2"/>
        <v>0</v>
      </c>
      <c r="L22" s="410">
        <f t="shared" si="2"/>
        <v>0</v>
      </c>
      <c r="M22" s="410">
        <f t="shared" si="2"/>
        <v>3.0958789355512408</v>
      </c>
      <c r="N22" s="410">
        <f t="shared" si="2"/>
        <v>6609.7015274019213</v>
      </c>
      <c r="O22" s="410">
        <f t="shared" si="2"/>
        <v>269.34146739295829</v>
      </c>
      <c r="P22" s="410">
        <f t="shared" si="2"/>
        <v>285746.52987244423</v>
      </c>
      <c r="Q22" s="410">
        <f t="shared" si="2"/>
        <v>479.86123501044312</v>
      </c>
      <c r="R22" s="410">
        <f t="shared" si="2"/>
        <v>0</v>
      </c>
      <c r="S22" s="410">
        <f t="shared" si="2"/>
        <v>0</v>
      </c>
      <c r="T22" s="410">
        <f t="shared" si="1"/>
        <v>293241.65277541382</v>
      </c>
    </row>
    <row r="23" spans="1:21" ht="20.100000000000001" customHeight="1">
      <c r="A23" s="401" t="s">
        <v>162</v>
      </c>
      <c r="B23" s="414" t="s">
        <v>76</v>
      </c>
      <c r="C23" s="415">
        <f t="shared" si="2"/>
        <v>0</v>
      </c>
      <c r="D23" s="415">
        <f t="shared" si="2"/>
        <v>54.475002042047436</v>
      </c>
      <c r="E23" s="415">
        <f t="shared" si="2"/>
        <v>0</v>
      </c>
      <c r="F23" s="415">
        <f t="shared" si="2"/>
        <v>0</v>
      </c>
      <c r="G23" s="415">
        <f t="shared" si="2"/>
        <v>1253.930406175703</v>
      </c>
      <c r="H23" s="415">
        <f t="shared" si="2"/>
        <v>0</v>
      </c>
      <c r="I23" s="415">
        <f t="shared" si="2"/>
        <v>0</v>
      </c>
      <c r="J23" s="415">
        <f t="shared" si="2"/>
        <v>0</v>
      </c>
      <c r="K23" s="415">
        <f t="shared" si="2"/>
        <v>0</v>
      </c>
      <c r="L23" s="415">
        <f t="shared" si="2"/>
        <v>0</v>
      </c>
      <c r="M23" s="415">
        <f t="shared" si="2"/>
        <v>9.0791670070078965</v>
      </c>
      <c r="N23" s="415">
        <f t="shared" si="2"/>
        <v>602020.09120017709</v>
      </c>
      <c r="O23" s="415">
        <f t="shared" si="2"/>
        <v>0</v>
      </c>
      <c r="P23" s="415">
        <f t="shared" si="2"/>
        <v>0</v>
      </c>
      <c r="Q23" s="415">
        <f t="shared" si="2"/>
        <v>6272.5108600127405</v>
      </c>
      <c r="R23" s="415">
        <f t="shared" si="2"/>
        <v>0</v>
      </c>
      <c r="S23" s="415">
        <f t="shared" si="2"/>
        <v>3770.8703855341205</v>
      </c>
      <c r="T23" s="415">
        <f t="shared" si="1"/>
        <v>613380.95702094876</v>
      </c>
    </row>
    <row r="24" spans="1:21" ht="20.100000000000001" customHeight="1">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557892.75000930531</v>
      </c>
      <c r="N24" s="410">
        <f t="shared" si="2"/>
        <v>15130.93111483258</v>
      </c>
      <c r="O24" s="410">
        <f t="shared" si="2"/>
        <v>0</v>
      </c>
      <c r="P24" s="410">
        <f t="shared" si="2"/>
        <v>0</v>
      </c>
      <c r="Q24" s="410">
        <f t="shared" si="2"/>
        <v>0</v>
      </c>
      <c r="R24" s="410">
        <f t="shared" si="2"/>
        <v>0</v>
      </c>
      <c r="S24" s="410">
        <f t="shared" si="2"/>
        <v>0</v>
      </c>
      <c r="T24" s="410">
        <f t="shared" si="1"/>
        <v>573023.68112413795</v>
      </c>
    </row>
    <row r="25" spans="1:21" ht="20.100000000000001" customHeight="1">
      <c r="A25" s="417" t="s">
        <v>163</v>
      </c>
      <c r="B25" s="418" t="s">
        <v>164</v>
      </c>
      <c r="C25" s="419">
        <f t="shared" si="2"/>
        <v>0</v>
      </c>
      <c r="D25" s="419">
        <f t="shared" si="2"/>
        <v>75.170255561911972</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42453.153531145479</v>
      </c>
      <c r="N25" s="419">
        <f t="shared" si="2"/>
        <v>156.35413156877712</v>
      </c>
      <c r="O25" s="419">
        <f t="shared" si="2"/>
        <v>0</v>
      </c>
      <c r="P25" s="419">
        <f t="shared" si="2"/>
        <v>0</v>
      </c>
      <c r="Q25" s="419">
        <f t="shared" si="2"/>
        <v>54.122584004576538</v>
      </c>
      <c r="R25" s="419">
        <f t="shared" si="2"/>
        <v>0</v>
      </c>
      <c r="S25" s="419">
        <f t="shared" si="2"/>
        <v>3.0068102224764814</v>
      </c>
      <c r="T25" s="420">
        <f t="shared" si="1"/>
        <v>42741.807312503217</v>
      </c>
    </row>
    <row r="26" spans="1:21" ht="20.100000000000001" customHeight="1">
      <c r="A26" s="402"/>
      <c r="B26" s="421" t="s">
        <v>17</v>
      </c>
      <c r="C26" s="422">
        <f t="shared" ref="C26:S26" si="3">SUM(C5:C25)</f>
        <v>422710.50415943662</v>
      </c>
      <c r="D26" s="422">
        <f t="shared" si="3"/>
        <v>9876684.0518190395</v>
      </c>
      <c r="E26" s="422">
        <f t="shared" si="3"/>
        <v>1260414.1599322264</v>
      </c>
      <c r="F26" s="422">
        <f t="shared" si="3"/>
        <v>351670.90767782577</v>
      </c>
      <c r="G26" s="422">
        <f t="shared" si="3"/>
        <v>1707741.5224254443</v>
      </c>
      <c r="H26" s="422">
        <f t="shared" si="3"/>
        <v>877856.84410120756</v>
      </c>
      <c r="I26" s="422">
        <f t="shared" si="3"/>
        <v>170111.93230027004</v>
      </c>
      <c r="J26" s="422">
        <f t="shared" si="3"/>
        <v>-50798.636918445474</v>
      </c>
      <c r="K26" s="422">
        <f t="shared" si="3"/>
        <v>185000.74916616228</v>
      </c>
      <c r="L26" s="422">
        <f t="shared" si="3"/>
        <v>168241.47486224861</v>
      </c>
      <c r="M26" s="422">
        <f t="shared" si="3"/>
        <v>601034.30882748379</v>
      </c>
      <c r="N26" s="422">
        <f t="shared" si="3"/>
        <v>1119344.3970543894</v>
      </c>
      <c r="O26" s="422">
        <f t="shared" si="3"/>
        <v>252923.7540895417</v>
      </c>
      <c r="P26" s="422">
        <f t="shared" si="3"/>
        <v>305818.3025795297</v>
      </c>
      <c r="Q26" s="422">
        <f t="shared" si="3"/>
        <v>349028.61160991393</v>
      </c>
      <c r="R26" s="423">
        <f t="shared" si="3"/>
        <v>115093.44893660791</v>
      </c>
      <c r="S26" s="423">
        <f t="shared" si="3"/>
        <v>132885.16529609641</v>
      </c>
      <c r="T26" s="422">
        <f t="shared" si="1"/>
        <v>17845761.497918975</v>
      </c>
    </row>
    <row r="27" spans="1:2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row>
    <row r="28" spans="1:21" ht="17.10000000000000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c r="A29" s="403" t="s">
        <v>128</v>
      </c>
      <c r="B29" s="437" t="s">
        <v>21</v>
      </c>
      <c r="C29" s="438">
        <f>+FY15ProjRevToColl!C29-FY14RevToColl!C29</f>
        <v>167713.75017894991</v>
      </c>
      <c r="D29" s="438">
        <f>+FY15ProjRevToColl!D29-FY14RevToColl!D29</f>
        <v>5500791.241576463</v>
      </c>
      <c r="E29" s="438">
        <f>+FY15ProjRevToColl!E29-FY14RevToColl!E29</f>
        <v>545568.35705877095</v>
      </c>
      <c r="F29" s="438">
        <f>+FY15ProjRevToColl!F29-FY14RevToColl!F29</f>
        <v>114410.4108072985</v>
      </c>
      <c r="G29" s="438">
        <f>+FY15ProjRevToColl!G29-FY14RevToColl!G29</f>
        <v>742579.34707618318</v>
      </c>
      <c r="H29" s="438">
        <f>+FY15ProjRevToColl!H29-FY14RevToColl!H29</f>
        <v>490550.29629189149</v>
      </c>
      <c r="I29" s="438">
        <f>+FY15ProjRevToColl!I29-FY14RevToColl!I29</f>
        <v>97865.099059059983</v>
      </c>
      <c r="J29" s="438">
        <f>+FY15ProjRevToColl!J29-FY14RevToColl!J29</f>
        <v>1077.8248770003011</v>
      </c>
      <c r="K29" s="438">
        <f>+FY15ProjRevToColl!K29-FY14RevToColl!K29</f>
        <v>769.87491214307556</v>
      </c>
      <c r="L29" s="438">
        <f>+FY15ProjRevToColl!L29-FY14RevToColl!L29</f>
        <v>26784.648079741281</v>
      </c>
      <c r="M29" s="438">
        <f>+FY15ProjRevToColl!M29-FY14RevToColl!M29</f>
        <v>636.89651822745327</v>
      </c>
      <c r="N29" s="438">
        <f>+FY15ProjRevToColl!N29-FY14RevToColl!N29</f>
        <v>219109.89942733757</v>
      </c>
      <c r="O29" s="438">
        <f>+FY15ProjRevToColl!O29-FY14RevToColl!O29</f>
        <v>66902.129865233088</v>
      </c>
      <c r="P29" s="438">
        <f>+FY15ProjRevToColl!P29-FY14RevToColl!P29</f>
        <v>2946.5212546566763</v>
      </c>
      <c r="Q29" s="438">
        <f>+FY15ProjRevToColl!Q29-FY14RevToColl!Q29</f>
        <v>105171.9118615815</v>
      </c>
      <c r="R29" s="438">
        <f>+FY15ProjRevToColl!R29-FY14RevToColl!R29</f>
        <v>108055.4433506995</v>
      </c>
      <c r="S29" s="438">
        <f>+FY15ProjRevToColl!S29-FY14RevToColl!S29</f>
        <v>14767.600587471738</v>
      </c>
      <c r="T29" s="439">
        <f t="shared" ref="T29:T49" si="4">SUM(C29:Q29)+R29+S29</f>
        <v>8205701.252782709</v>
      </c>
    </row>
    <row r="30" spans="1:21" s="18" customFormat="1" ht="20.100000000000001" customHeight="1">
      <c r="A30" s="404" t="s">
        <v>129</v>
      </c>
      <c r="B30" s="440" t="s">
        <v>35</v>
      </c>
      <c r="C30" s="410">
        <f>+FY15ProjRevToColl!C30-FY14RevToColl!C30</f>
        <v>1371.8240457207394</v>
      </c>
      <c r="D30" s="410">
        <f>+FY15ProjRevToColl!D30-FY14RevToColl!D30</f>
        <v>119389.64415938291</v>
      </c>
      <c r="E30" s="410">
        <f>+FY15ProjRevToColl!E30-FY14RevToColl!E30</f>
        <v>3583.503184505571</v>
      </c>
      <c r="F30" s="410">
        <f>+FY15ProjRevToColl!F30-FY14RevToColl!F30</f>
        <v>561.11793636386028</v>
      </c>
      <c r="G30" s="410">
        <f>+FY15ProjRevToColl!G30-FY14RevToColl!G30</f>
        <v>7252.6315086510585</v>
      </c>
      <c r="H30" s="410">
        <f>+FY15ProjRevToColl!H30-FY14RevToColl!H30</f>
        <v>748.76451897904917</v>
      </c>
      <c r="I30" s="410">
        <f>+FY15ProjRevToColl!I30-FY14RevToColl!I30</f>
        <v>2244.4717454554411</v>
      </c>
      <c r="J30" s="410">
        <f>+FY15ProjRevToColl!J30-FY14RevToColl!J30</f>
        <v>327.9260667061526</v>
      </c>
      <c r="K30" s="410">
        <f>+FY15ProjRevToColl!K30-FY14RevToColl!K30</f>
        <v>777.91350268626047</v>
      </c>
      <c r="L30" s="410">
        <f>+FY15ProjRevToColl!L30-FY14RevToColl!L30</f>
        <v>65.585213341230428</v>
      </c>
      <c r="M30" s="410">
        <f>+FY15ProjRevToColl!M30-FY14RevToColl!M30</f>
        <v>1.8218114817008448</v>
      </c>
      <c r="N30" s="410">
        <f>+FY15ProjRevToColl!N30-FY14RevToColl!N30</f>
        <v>21922.768465047178</v>
      </c>
      <c r="O30" s="410">
        <f>+FY15ProjRevToColl!O30-FY14RevToColl!O30</f>
        <v>122.06136927395687</v>
      </c>
      <c r="P30" s="410">
        <f>+FY15ProjRevToColl!P30-FY14RevToColl!P30</f>
        <v>2825.6296081180117</v>
      </c>
      <c r="Q30" s="410">
        <f>+FY15ProjRevToColl!Q30-FY14RevToColl!Q30</f>
        <v>1745.295399469418</v>
      </c>
      <c r="R30" s="410">
        <f>+FY15ProjRevToColl!R30-FY14RevToColl!R30</f>
        <v>0</v>
      </c>
      <c r="S30" s="410">
        <f>+FY15ProjRevToColl!S30-FY14RevToColl!S30</f>
        <v>11307.983866917173</v>
      </c>
      <c r="T30" s="441">
        <f t="shared" si="4"/>
        <v>174248.9424020997</v>
      </c>
    </row>
    <row r="31" spans="1:21" ht="20.100000000000001" customHeight="1">
      <c r="A31" s="404" t="s">
        <v>140</v>
      </c>
      <c r="B31" s="442" t="s">
        <v>36</v>
      </c>
      <c r="C31" s="443">
        <f>+FY15ProjRevToColl!C31-FY14RevToColl!C31</f>
        <v>7.6872358861407122</v>
      </c>
      <c r="D31" s="443">
        <f>+FY15ProjRevToColl!D31-FY14RevToColl!D31</f>
        <v>573.98027949850621</v>
      </c>
      <c r="E31" s="443">
        <f>+FY15ProjRevToColl!E31-FY14RevToColl!E31</f>
        <v>0</v>
      </c>
      <c r="F31" s="443">
        <f>+FY15ProjRevToColl!F31-FY14RevToColl!F31</f>
        <v>58.935475127078689</v>
      </c>
      <c r="G31" s="443">
        <f>+FY15ProjRevToColl!G31-FY14RevToColl!G31</f>
        <v>0</v>
      </c>
      <c r="H31" s="443">
        <f>+FY15ProjRevToColl!H31-FY14RevToColl!H31</f>
        <v>0</v>
      </c>
      <c r="I31" s="443">
        <f>+FY15ProjRevToColl!I31-FY14RevToColl!I31</f>
        <v>30.748943544562849</v>
      </c>
      <c r="J31" s="443">
        <f>+FY15ProjRevToColl!J31-FY14RevToColl!J31</f>
        <v>7.6872358861407122</v>
      </c>
      <c r="K31" s="443">
        <f>+FY15ProjRevToColl!K31-FY14RevToColl!K31</f>
        <v>10.249647848187607</v>
      </c>
      <c r="L31" s="443">
        <f>+FY15ProjRevToColl!L31-FY14RevToColl!L31</f>
        <v>1996.1189184345421</v>
      </c>
      <c r="M31" s="443">
        <f>+FY15ProjRevToColl!M31-FY14RevToColl!M31</f>
        <v>0</v>
      </c>
      <c r="N31" s="443">
        <f>+FY15ProjRevToColl!N31-FY14RevToColl!N31</f>
        <v>9889.6289675200242</v>
      </c>
      <c r="O31" s="443">
        <f>+FY15ProjRevToColl!O31-FY14RevToColl!O31</f>
        <v>0</v>
      </c>
      <c r="P31" s="443">
        <f>+FY15ProjRevToColl!P31-FY14RevToColl!P31</f>
        <v>0</v>
      </c>
      <c r="Q31" s="443">
        <f>+FY15ProjRevToColl!Q31-FY14RevToColl!Q31</f>
        <v>194.74330911556444</v>
      </c>
      <c r="R31" s="443">
        <f>+FY15ProjRevToColl!R31-FY14RevToColl!R31</f>
        <v>0</v>
      </c>
      <c r="S31" s="443">
        <f>+FY15ProjRevToColl!S31-FY14RevToColl!S31</f>
        <v>5.1248239240938034</v>
      </c>
      <c r="T31" s="444">
        <f t="shared" si="4"/>
        <v>12774.904836784843</v>
      </c>
    </row>
    <row r="32" spans="1:21" s="18" customFormat="1" ht="20.100000000000001" customHeight="1">
      <c r="A32" s="404" t="s">
        <v>130</v>
      </c>
      <c r="B32" s="440" t="s">
        <v>37</v>
      </c>
      <c r="C32" s="410">
        <f>+FY15ProjRevToColl!C32-FY14RevToColl!C32</f>
        <v>406.64737875241372</v>
      </c>
      <c r="D32" s="410">
        <f>+FY15ProjRevToColl!D32-FY14RevToColl!D32</f>
        <v>4687.2549183451192</v>
      </c>
      <c r="E32" s="410">
        <f>+FY15ProjRevToColl!E32-FY14RevToColl!E32</f>
        <v>452.97429531914258</v>
      </c>
      <c r="F32" s="410">
        <f>+FY15ProjRevToColl!F32-FY14RevToColl!F32</f>
        <v>432.38455462281854</v>
      </c>
      <c r="G32" s="410">
        <f>+FY15ProjRevToColl!G32-FY14RevToColl!G32</f>
        <v>73500.226850705221</v>
      </c>
      <c r="H32" s="410">
        <f>+FY15ProjRevToColl!H32-FY14RevToColl!H32</f>
        <v>712.91977161024442</v>
      </c>
      <c r="I32" s="410">
        <f>+FY15ProjRevToColl!I32-FY14RevToColl!I32</f>
        <v>115.81729141682649</v>
      </c>
      <c r="J32" s="410">
        <f>+FY15ProjRevToColl!J32-FY14RevToColl!J32</f>
        <v>393.7787908172113</v>
      </c>
      <c r="K32" s="410">
        <f>+FY15ProjRevToColl!K32-FY14RevToColl!K32</f>
        <v>51.474351740811812</v>
      </c>
      <c r="L32" s="410">
        <f>+FY15ProjRevToColl!L32-FY14RevToColl!L32</f>
        <v>69.490374850096032</v>
      </c>
      <c r="M32" s="410">
        <f>+FY15ProjRevToColl!M32-FY14RevToColl!M32</f>
        <v>0</v>
      </c>
      <c r="N32" s="410">
        <f>+FY15ProjRevToColl!N32-FY14RevToColl!N32</f>
        <v>1366.6440387185539</v>
      </c>
      <c r="O32" s="410">
        <f>+FY15ProjRevToColl!O32-FY14RevToColl!O32</f>
        <v>3175.9675024080934</v>
      </c>
      <c r="P32" s="410">
        <f>+FY15ProjRevToColl!P32-FY14RevToColl!P32</f>
        <v>30.884611044487087</v>
      </c>
      <c r="Q32" s="410">
        <f>+FY15ProjRevToColl!Q32-FY14RevToColl!Q32</f>
        <v>1508.1985060057887</v>
      </c>
      <c r="R32" s="410">
        <f>+FY15ProjRevToColl!R32-FY14RevToColl!R32</f>
        <v>0</v>
      </c>
      <c r="S32" s="410">
        <f>+FY15ProjRevToColl!S32-FY14RevToColl!S32</f>
        <v>83.645821578819323</v>
      </c>
      <c r="T32" s="441">
        <f t="shared" si="4"/>
        <v>86988.30905793565</v>
      </c>
    </row>
    <row r="33" spans="1:20" ht="20.100000000000001" customHeight="1">
      <c r="A33" s="404" t="s">
        <v>131</v>
      </c>
      <c r="B33" s="442" t="s">
        <v>141</v>
      </c>
      <c r="C33" s="443">
        <f>+FY15ProjRevToColl!C33-FY14RevToColl!C33</f>
        <v>29.559694868745055</v>
      </c>
      <c r="D33" s="443">
        <f>+FY15ProjRevToColl!D33-FY14RevToColl!D33</f>
        <v>1990.3527878288296</v>
      </c>
      <c r="E33" s="443">
        <f>+FY15ProjRevToColl!E33-FY14RevToColl!E33</f>
        <v>19.706463245830037</v>
      </c>
      <c r="F33" s="443">
        <f>+FY15ProjRevToColl!F33-FY14RevToColl!F33</f>
        <v>83.752468794777769</v>
      </c>
      <c r="G33" s="443">
        <f>+FY15ProjRevToColl!G33-FY14RevToColl!G33</f>
        <v>241.40417476141738</v>
      </c>
      <c r="H33" s="443">
        <f>+FY15ProjRevToColl!H33-FY14RevToColl!H33</f>
        <v>38582.791727429372</v>
      </c>
      <c r="I33" s="443">
        <f>+FY15ProjRevToColl!I33-FY14RevToColl!I33</f>
        <v>2.4633079057287546</v>
      </c>
      <c r="J33" s="443">
        <f>+FY15ProjRevToColl!J33-FY14RevToColl!J33</f>
        <v>81.289160889048844</v>
      </c>
      <c r="K33" s="443">
        <f>+FY15ProjRevToColl!K33-FY14RevToColl!K33</f>
        <v>302.98687240463642</v>
      </c>
      <c r="L33" s="443">
        <f>+FY15ProjRevToColl!L33-FY14RevToColl!L33</f>
        <v>0</v>
      </c>
      <c r="M33" s="443">
        <f>+FY15ProjRevToColl!M33-FY14RevToColl!M33</f>
        <v>0</v>
      </c>
      <c r="N33" s="443">
        <f>+FY15ProjRevToColl!N33-FY14RevToColl!N33</f>
        <v>93.60570041769256</v>
      </c>
      <c r="O33" s="443">
        <f>+FY15ProjRevToColl!O33-FY14RevToColl!O33</f>
        <v>0</v>
      </c>
      <c r="P33" s="443">
        <f>+FY15ProjRevToColl!P33-FY14RevToColl!P33</f>
        <v>0</v>
      </c>
      <c r="Q33" s="443">
        <f>+FY15ProjRevToColl!Q33-FY14RevToColl!Q33</f>
        <v>51.729466020303789</v>
      </c>
      <c r="R33" s="443">
        <f>+FY15ProjRevToColl!R33-FY14RevToColl!R33</f>
        <v>0</v>
      </c>
      <c r="S33" s="443">
        <f>+FY15ProjRevToColl!S33-FY14RevToColl!S33</f>
        <v>81.289160889048844</v>
      </c>
      <c r="T33" s="444">
        <f t="shared" si="4"/>
        <v>41560.930985455438</v>
      </c>
    </row>
    <row r="34" spans="1:20" s="18" customFormat="1" ht="20.100000000000001" customHeight="1">
      <c r="A34" s="404" t="s">
        <v>132</v>
      </c>
      <c r="B34" s="440" t="s">
        <v>206</v>
      </c>
      <c r="C34" s="410">
        <f>+FY15ProjRevToColl!C34-FY14RevToColl!C34</f>
        <v>10.842492521516135</v>
      </c>
      <c r="D34" s="410">
        <f>+FY15ProjRevToColl!D34-FY14RevToColl!D34</f>
        <v>1333.626580146487</v>
      </c>
      <c r="E34" s="410">
        <f>+FY15ProjRevToColl!E34-FY14RevToColl!E34</f>
        <v>7.2283283476774045</v>
      </c>
      <c r="F34" s="410">
        <f>+FY15ProjRevToColl!F34-FY14RevToColl!F34</f>
        <v>35595.902948137489</v>
      </c>
      <c r="G34" s="410">
        <f>+FY15ProjRevToColl!G34-FY14RevToColl!G34</f>
        <v>9.0354104345967698</v>
      </c>
      <c r="H34" s="410">
        <f>+FY15ProjRevToColl!H34-FY14RevToColl!H34</f>
        <v>336.11726816699957</v>
      </c>
      <c r="I34" s="410">
        <f>+FY15ProjRevToColl!I34-FY14RevToColl!I34</f>
        <v>23.492067129951579</v>
      </c>
      <c r="J34" s="410">
        <f>+FY15ProjRevToColl!J34-FY14RevToColl!J34</f>
        <v>0</v>
      </c>
      <c r="K34" s="410">
        <f>+FY15ProjRevToColl!K34-FY14RevToColl!K34</f>
        <v>272.8693951248224</v>
      </c>
      <c r="L34" s="410">
        <f>+FY15ProjRevToColl!L34-FY14RevToColl!L34</f>
        <v>126.49574608435478</v>
      </c>
      <c r="M34" s="410">
        <f>+FY15ProjRevToColl!M34-FY14RevToColl!M34</f>
        <v>0</v>
      </c>
      <c r="N34" s="410">
        <f>+FY15ProjRevToColl!N34-FY14RevToColl!N34</f>
        <v>54.212462607580619</v>
      </c>
      <c r="O34" s="410">
        <f>+FY15ProjRevToColl!O34-FY14RevToColl!O34</f>
        <v>10.842492521516135</v>
      </c>
      <c r="P34" s="410">
        <f>+FY15ProjRevToColl!P34-FY14RevToColl!P34</f>
        <v>0</v>
      </c>
      <c r="Q34" s="410">
        <f>+FY15ProjRevToColl!Q34-FY14RevToColl!Q34</f>
        <v>39.75580591222581</v>
      </c>
      <c r="R34" s="410">
        <f>+FY15ProjRevToColl!R34-FY14RevToColl!R34</f>
        <v>0</v>
      </c>
      <c r="S34" s="410">
        <f>+FY15ProjRevToColl!S34-FY14RevToColl!S34</f>
        <v>57.826626781419236</v>
      </c>
      <c r="T34" s="441">
        <f t="shared" si="4"/>
        <v>37878.247623916635</v>
      </c>
    </row>
    <row r="35" spans="1:20" ht="20.100000000000001" customHeight="1">
      <c r="A35" s="404" t="s">
        <v>134</v>
      </c>
      <c r="B35" s="442" t="s">
        <v>40</v>
      </c>
      <c r="C35" s="443">
        <f>+FY15ProjRevToColl!C35-FY14RevToColl!C35</f>
        <v>0</v>
      </c>
      <c r="D35" s="443">
        <f>+FY15ProjRevToColl!D35-FY14RevToColl!D35</f>
        <v>0</v>
      </c>
      <c r="E35" s="443">
        <f>+FY15ProjRevToColl!E35-FY14RevToColl!E35</f>
        <v>0</v>
      </c>
      <c r="F35" s="443">
        <f>+FY15ProjRevToColl!F35-FY14RevToColl!F35</f>
        <v>0</v>
      </c>
      <c r="G35" s="443">
        <f>+FY15ProjRevToColl!G35-FY14RevToColl!G35</f>
        <v>0</v>
      </c>
      <c r="H35" s="443">
        <f>+FY15ProjRevToColl!H35-FY14RevToColl!H35</f>
        <v>0</v>
      </c>
      <c r="I35" s="443">
        <f>+FY15ProjRevToColl!I35-FY14RevToColl!I35</f>
        <v>-1600.1151489145652</v>
      </c>
      <c r="J35" s="443">
        <f>+FY15ProjRevToColl!J35-FY14RevToColl!J35</f>
        <v>0</v>
      </c>
      <c r="K35" s="443">
        <f>+FY15ProjRevToColl!K35-FY14RevToColl!K35</f>
        <v>0</v>
      </c>
      <c r="L35" s="443">
        <f>+FY15ProjRevToColl!L35-FY14RevToColl!L35</f>
        <v>0</v>
      </c>
      <c r="M35" s="443">
        <f>+FY15ProjRevToColl!M35-FY14RevToColl!M35</f>
        <v>0</v>
      </c>
      <c r="N35" s="443">
        <f>+FY15ProjRevToColl!N35-FY14RevToColl!N35</f>
        <v>0</v>
      </c>
      <c r="O35" s="443">
        <f>+FY15ProjRevToColl!O35-FY14RevToColl!O35</f>
        <v>0</v>
      </c>
      <c r="P35" s="443">
        <f>+FY15ProjRevToColl!P35-FY14RevToColl!P35</f>
        <v>0</v>
      </c>
      <c r="Q35" s="443">
        <f>+FY15ProjRevToColl!Q35-FY14RevToColl!Q35</f>
        <v>0</v>
      </c>
      <c r="R35" s="443">
        <f>+FY15ProjRevToColl!R35-FY14RevToColl!R35</f>
        <v>0</v>
      </c>
      <c r="S35" s="443">
        <f>+FY15ProjRevToColl!S35-FY14RevToColl!S35</f>
        <v>0</v>
      </c>
      <c r="T35" s="444">
        <f t="shared" si="4"/>
        <v>-1600.1151489145652</v>
      </c>
    </row>
    <row r="36" spans="1:20" s="18" customFormat="1" ht="20.100000000000001" customHeight="1">
      <c r="A36" s="404" t="s">
        <v>135</v>
      </c>
      <c r="B36" s="440" t="s">
        <v>70</v>
      </c>
      <c r="C36" s="410">
        <f>+FY15ProjRevToColl!C36-FY14RevToColl!C36</f>
        <v>0</v>
      </c>
      <c r="D36" s="410">
        <f>+FY15ProjRevToColl!D36-FY14RevToColl!D36</f>
        <v>107.15298689868723</v>
      </c>
      <c r="E36" s="410">
        <f>+FY15ProjRevToColl!E36-FY14RevToColl!E36</f>
        <v>0</v>
      </c>
      <c r="F36" s="410">
        <f>+FY15ProjRevToColl!F36-FY14RevToColl!F36</f>
        <v>6.1819030903088503</v>
      </c>
      <c r="G36" s="410">
        <f>+FY15ProjRevToColl!G36-FY14RevToColl!G36</f>
        <v>0</v>
      </c>
      <c r="H36" s="410">
        <f>+FY15ProjRevToColl!H36-FY14RevToColl!H36</f>
        <v>0</v>
      </c>
      <c r="I36" s="410">
        <f>+FY15ProjRevToColl!I36-FY14RevToColl!I36</f>
        <v>0</v>
      </c>
      <c r="J36" s="410">
        <f>+FY15ProjRevToColl!J36-FY14RevToColl!J36</f>
        <v>2.0606343634362929</v>
      </c>
      <c r="K36" s="410">
        <f>+FY15ProjRevToColl!K36-FY14RevToColl!K36</f>
        <v>166.91138343833973</v>
      </c>
      <c r="L36" s="410">
        <f>+FY15ProjRevToColl!L36-FY14RevToColl!L36</f>
        <v>18856.86505980551</v>
      </c>
      <c r="M36" s="410">
        <f>+FY15ProjRevToColl!M36-FY14RevToColl!M36</f>
        <v>16.485074907490343</v>
      </c>
      <c r="N36" s="410">
        <f>+FY15ProjRevToColl!N36-FY14RevToColl!N36</f>
        <v>220.48787688768334</v>
      </c>
      <c r="O36" s="410">
        <f>+FY15ProjRevToColl!O36-FY14RevToColl!O36</f>
        <v>0</v>
      </c>
      <c r="P36" s="410">
        <f>+FY15ProjRevToColl!P36-FY14RevToColl!P36</f>
        <v>0</v>
      </c>
      <c r="Q36" s="410">
        <f>+FY15ProjRevToColl!Q36-FY14RevToColl!Q36</f>
        <v>210.18470507050097</v>
      </c>
      <c r="R36" s="410">
        <f>+FY15ProjRevToColl!R36-FY14RevToColl!R36</f>
        <v>0</v>
      </c>
      <c r="S36" s="410">
        <f>+FY15ProjRevToColl!S36-FY14RevToColl!S36</f>
        <v>0</v>
      </c>
      <c r="T36" s="441">
        <f t="shared" si="4"/>
        <v>19586.329624461956</v>
      </c>
    </row>
    <row r="37" spans="1:20" ht="20.100000000000001" customHeight="1">
      <c r="A37" s="404" t="s">
        <v>136</v>
      </c>
      <c r="B37" s="442" t="s">
        <v>144</v>
      </c>
      <c r="C37" s="443">
        <f>+FY15ProjRevToColl!C37-FY14RevToColl!C37</f>
        <v>11.059084295405256</v>
      </c>
      <c r="D37" s="443">
        <f>+FY15ProjRevToColl!D37-FY14RevToColl!D37</f>
        <v>1708.6285236401127</v>
      </c>
      <c r="E37" s="443">
        <f>+FY15ProjRevToColl!E37-FY14RevToColl!E37</f>
        <v>5.5295421477026281</v>
      </c>
      <c r="F37" s="443">
        <f>+FY15ProjRevToColl!F37-FY14RevToColl!F37</f>
        <v>8.2943132215539492</v>
      </c>
      <c r="G37" s="443">
        <f>+FY15ProjRevToColl!G37-FY14RevToColl!G37</f>
        <v>129.94424047101211</v>
      </c>
      <c r="H37" s="443">
        <f>+FY15ProjRevToColl!H37-FY14RevToColl!H37</f>
        <v>88.472674363242049</v>
      </c>
      <c r="I37" s="443">
        <f>+FY15ProjRevToColl!I37-FY14RevToColl!I37</f>
        <v>2.764771073851314</v>
      </c>
      <c r="J37" s="443">
        <f>+FY15ProjRevToColl!J37-FY14RevToColl!J37</f>
        <v>8.2943132215539492</v>
      </c>
      <c r="K37" s="443">
        <f>+FY15ProjRevToColl!K37-FY14RevToColl!K37</f>
        <v>99.531758658647504</v>
      </c>
      <c r="L37" s="443">
        <f>+FY15ProjRevToColl!L37-FY14RevToColl!L37</f>
        <v>30.41248181236449</v>
      </c>
      <c r="M37" s="443">
        <f>+FY15ProjRevToColl!M37-FY14RevToColl!M37</f>
        <v>2.764771073851314</v>
      </c>
      <c r="N37" s="443">
        <f>+FY15ProjRevToColl!N37-FY14RevToColl!N37</f>
        <v>956.61079155255356</v>
      </c>
      <c r="O37" s="443">
        <f>+FY15ProjRevToColl!O37-FY14RevToColl!O37</f>
        <v>8.2943132215539492</v>
      </c>
      <c r="P37" s="443">
        <f>+FY15ProjRevToColl!P37-FY14RevToColl!P37</f>
        <v>259.88848094202422</v>
      </c>
      <c r="Q37" s="443">
        <f>+FY15ProjRevToColl!Q37-FY14RevToColl!Q37</f>
        <v>24284.366727173037</v>
      </c>
      <c r="R37" s="443">
        <f>+FY15ProjRevToColl!R37-FY14RevToColl!R37</f>
        <v>0</v>
      </c>
      <c r="S37" s="443">
        <f>+FY15ProjRevToColl!S37-FY14RevToColl!S37</f>
        <v>157.59195120952472</v>
      </c>
      <c r="T37" s="444">
        <f t="shared" si="4"/>
        <v>27762.44873807799</v>
      </c>
    </row>
    <row r="38" spans="1:20" s="18" customFormat="1" ht="20.100000000000001" customHeight="1">
      <c r="A38" s="404" t="s">
        <v>137</v>
      </c>
      <c r="B38" s="440" t="s">
        <v>49</v>
      </c>
      <c r="C38" s="410">
        <f>+FY15ProjRevToColl!C38-FY14RevToColl!C38</f>
        <v>37.199658169179884</v>
      </c>
      <c r="D38" s="410">
        <f>+FY15ProjRevToColl!D38-FY14RevToColl!D38</f>
        <v>151.0531574142442</v>
      </c>
      <c r="E38" s="410">
        <f>+FY15ProjRevToColl!E38-FY14RevToColl!E38</f>
        <v>9.0180989501041608</v>
      </c>
      <c r="F38" s="410">
        <f>+FY15ProjRevToColl!F38-FY14RevToColl!F38</f>
        <v>0</v>
      </c>
      <c r="G38" s="410">
        <f>+FY15ProjRevToColl!G38-FY14RevToColl!G38</f>
        <v>20.290722637734461</v>
      </c>
      <c r="H38" s="410">
        <f>+FY15ProjRevToColl!H38-FY14RevToColl!H38</f>
        <v>4.5090494750520804</v>
      </c>
      <c r="I38" s="410">
        <f>+FY15ProjRevToColl!I38-FY14RevToColl!I38</f>
        <v>0</v>
      </c>
      <c r="J38" s="410">
        <f>+FY15ProjRevToColl!J38-FY14RevToColl!J38</f>
        <v>23.672509744023387</v>
      </c>
      <c r="K38" s="410">
        <f>+FY15ProjRevToColl!K38-FY14RevToColl!K38</f>
        <v>65.381217388255664</v>
      </c>
      <c r="L38" s="410">
        <f>+FY15ProjRevToColl!L38-FY14RevToColl!L38</f>
        <v>104.83540029496089</v>
      </c>
      <c r="M38" s="410">
        <f>+FY15ProjRevToColl!M38-FY14RevToColl!M38</f>
        <v>4.5090494750520804</v>
      </c>
      <c r="N38" s="410">
        <f>+FY15ProjRevToColl!N38-FY14RevToColl!N38</f>
        <v>1313.2606596089245</v>
      </c>
      <c r="O38" s="410">
        <f>+FY15ProjRevToColl!O38-FY14RevToColl!O38</f>
        <v>22.545247375260487</v>
      </c>
      <c r="P38" s="410">
        <f>+FY15ProjRevToColl!P38-FY14RevToColl!P38</f>
        <v>24.799772112786513</v>
      </c>
      <c r="Q38" s="410">
        <f>+FY15ProjRevToColl!Q38-FY14RevToColl!Q38</f>
        <v>5620.5301706524042</v>
      </c>
      <c r="R38" s="410">
        <f>+FY15ProjRevToColl!R38-FY14RevToColl!R38</f>
        <v>0</v>
      </c>
      <c r="S38" s="410">
        <f>+FY15ProjRevToColl!S38-FY14RevToColl!S38</f>
        <v>0</v>
      </c>
      <c r="T38" s="441">
        <f t="shared" si="4"/>
        <v>7401.604713297982</v>
      </c>
    </row>
    <row r="39" spans="1:20" ht="20.100000000000001" customHeight="1">
      <c r="A39" s="404" t="s">
        <v>138</v>
      </c>
      <c r="B39" s="442" t="s">
        <v>207</v>
      </c>
      <c r="C39" s="443">
        <f>+FY15ProjRevToColl!C39-FY14RevToColl!C39</f>
        <v>31808.729431203334</v>
      </c>
      <c r="D39" s="443">
        <f>+FY15ProjRevToColl!D39-FY14RevToColl!D39</f>
        <v>613.5371822446923</v>
      </c>
      <c r="E39" s="443">
        <f>+FY15ProjRevToColl!E39-FY14RevToColl!E39</f>
        <v>171.89619330131427</v>
      </c>
      <c r="F39" s="443">
        <f>+FY15ProjRevToColl!F39-FY14RevToColl!F39</f>
        <v>7.9336704600606822</v>
      </c>
      <c r="G39" s="443">
        <f>+FY15ProjRevToColl!G39-FY14RevToColl!G39</f>
        <v>171.89619330131427</v>
      </c>
      <c r="H39" s="443">
        <f>+FY15ProjRevToColl!H39-FY14RevToColl!H39</f>
        <v>520.97769354398588</v>
      </c>
      <c r="I39" s="443">
        <f>+FY15ProjRevToColl!I39-FY14RevToColl!I39</f>
        <v>0</v>
      </c>
      <c r="J39" s="443">
        <f>+FY15ProjRevToColl!J39-FY14RevToColl!J39</f>
        <v>0</v>
      </c>
      <c r="K39" s="443">
        <f>+FY15ProjRevToColl!K39-FY14RevToColl!K39</f>
        <v>417.83997756319695</v>
      </c>
      <c r="L39" s="443">
        <f>+FY15ProjRevToColl!L39-FY14RevToColl!L39</f>
        <v>0</v>
      </c>
      <c r="M39" s="443">
        <f>+FY15ProjRevToColl!M39-FY14RevToColl!M39</f>
        <v>0</v>
      </c>
      <c r="N39" s="443">
        <f>+FY15ProjRevToColl!N39-FY14RevToColl!N39</f>
        <v>47.602022760364207</v>
      </c>
      <c r="O39" s="443">
        <f>+FY15ProjRevToColl!O39-FY14RevToColl!O39</f>
        <v>0</v>
      </c>
      <c r="P39" s="443">
        <f>+FY15ProjRevToColl!P39-FY14RevToColl!P39</f>
        <v>0</v>
      </c>
      <c r="Q39" s="443">
        <f>+FY15ProjRevToColl!Q39-FY14RevToColl!Q39</f>
        <v>44.957465940343809</v>
      </c>
      <c r="R39" s="443">
        <f>+FY15ProjRevToColl!R39-FY14RevToColl!R39</f>
        <v>0</v>
      </c>
      <c r="S39" s="443">
        <f>+FY15ProjRevToColl!S39-FY14RevToColl!S39</f>
        <v>0</v>
      </c>
      <c r="T39" s="444">
        <f t="shared" si="4"/>
        <v>33805.36983031861</v>
      </c>
    </row>
    <row r="40" spans="1:20" s="18" customFormat="1" ht="20.100000000000001" customHeight="1">
      <c r="A40" s="404" t="s">
        <v>147</v>
      </c>
      <c r="B40" s="440" t="s">
        <v>208</v>
      </c>
      <c r="C40" s="410">
        <f>+FY15ProjRevToColl!C40-FY14RevToColl!C40</f>
        <v>0</v>
      </c>
      <c r="D40" s="410">
        <f>+FY15ProjRevToColl!D40-FY14RevToColl!D40</f>
        <v>148.09306545848676</v>
      </c>
      <c r="E40" s="410">
        <f>+FY15ProjRevToColl!E40-FY14RevToColl!E40</f>
        <v>0</v>
      </c>
      <c r="F40" s="410">
        <f>+FY15ProjRevToColl!F40-FY14RevToColl!F40</f>
        <v>0</v>
      </c>
      <c r="G40" s="410">
        <f>+FY15ProjRevToColl!G40-FY14RevToColl!G40</f>
        <v>3902.4524005952553</v>
      </c>
      <c r="H40" s="410">
        <f>+FY15ProjRevToColl!H40-FY14RevToColl!H40</f>
        <v>32.020122261294432</v>
      </c>
      <c r="I40" s="410">
        <f>+FY15ProjRevToColl!I40-FY14RevToColl!I40</f>
        <v>0</v>
      </c>
      <c r="J40" s="410">
        <f>+FY15ProjRevToColl!J40-FY14RevToColl!J40</f>
        <v>0</v>
      </c>
      <c r="K40" s="410">
        <f>+FY15ProjRevToColl!K40-FY14RevToColl!K40</f>
        <v>0</v>
      </c>
      <c r="L40" s="410">
        <f>+FY15ProjRevToColl!L40-FY14RevToColl!L40</f>
        <v>0</v>
      </c>
      <c r="M40" s="410">
        <f>+FY15ProjRevToColl!M40-FY14RevToColl!M40</f>
        <v>0</v>
      </c>
      <c r="N40" s="410">
        <f>+FY15ProjRevToColl!N40-FY14RevToColl!N40</f>
        <v>352.22134487423955</v>
      </c>
      <c r="O40" s="410">
        <f>+FY15ProjRevToColl!O40-FY14RevToColl!O40</f>
        <v>0</v>
      </c>
      <c r="P40" s="410">
        <f>+FY15ProjRevToColl!P40-FY14RevToColl!P40</f>
        <v>0</v>
      </c>
      <c r="Q40" s="410">
        <f>+FY15ProjRevToColl!Q40-FY14RevToColl!Q40</f>
        <v>36.022637543956193</v>
      </c>
      <c r="R40" s="410">
        <f>+FY15ProjRevToColl!R40-FY14RevToColl!R40</f>
        <v>0</v>
      </c>
      <c r="S40" s="410">
        <f>+FY15ProjRevToColl!S40-FY14RevToColl!S40</f>
        <v>4.002515282661804</v>
      </c>
      <c r="T40" s="441">
        <f t="shared" si="4"/>
        <v>4474.8120860158942</v>
      </c>
    </row>
    <row r="41" spans="1:20" ht="20.100000000000001" customHeight="1">
      <c r="A41" s="404" t="s">
        <v>148</v>
      </c>
      <c r="B41" s="442" t="s">
        <v>39</v>
      </c>
      <c r="C41" s="443">
        <f>+FY15ProjRevToColl!C41-FY14RevToColl!C41</f>
        <v>425.90778037876044</v>
      </c>
      <c r="D41" s="443">
        <f>+FY15ProjRevToColl!D41-FY14RevToColl!D41</f>
        <v>2286.7971592644171</v>
      </c>
      <c r="E41" s="443">
        <f>+FY15ProjRevToColl!E41-FY14RevToColl!E41</f>
        <v>936.99711683327041</v>
      </c>
      <c r="F41" s="443">
        <f>+FY15ProjRevToColl!F41-FY14RevToColl!F41</f>
        <v>278.47816409380539</v>
      </c>
      <c r="G41" s="443">
        <f>+FY15ProjRevToColl!G41-FY14RevToColl!G41</f>
        <v>91.733983466194786</v>
      </c>
      <c r="H41" s="443">
        <f>+FY15ProjRevToColl!H41-FY14RevToColl!H41</f>
        <v>1222.0277083175206</v>
      </c>
      <c r="I41" s="443">
        <f>+FY15ProjRevToColl!I41-FY14RevToColl!I41</f>
        <v>32.762136952212359</v>
      </c>
      <c r="J41" s="443">
        <f>+FY15ProjRevToColl!J41-FY14RevToColl!J41</f>
        <v>111.39126563752188</v>
      </c>
      <c r="K41" s="443">
        <f>+FY15ProjRevToColl!K41-FY14RevToColl!K41</f>
        <v>34698.379246088094</v>
      </c>
      <c r="L41" s="443">
        <f>+FY15ProjRevToColl!L41-FY14RevToColl!L41</f>
        <v>262.09709561769887</v>
      </c>
      <c r="M41" s="443">
        <f>+FY15ProjRevToColl!M41-FY14RevToColl!M41</f>
        <v>0</v>
      </c>
      <c r="N41" s="443">
        <f>+FY15ProjRevToColl!N41-FY14RevToColl!N41</f>
        <v>347.27865169345023</v>
      </c>
      <c r="O41" s="443">
        <f>+FY15ProjRevToColl!O41-FY14RevToColl!O41</f>
        <v>0</v>
      </c>
      <c r="P41" s="443">
        <f>+FY15ProjRevToColl!P41-FY14RevToColl!P41</f>
        <v>0</v>
      </c>
      <c r="Q41" s="443">
        <f>+FY15ProjRevToColl!Q41-FY14RevToColl!Q41</f>
        <v>665.07138012991163</v>
      </c>
      <c r="R41" s="443">
        <f>+FY15ProjRevToColl!R41-FY14RevToColl!R41</f>
        <v>0</v>
      </c>
      <c r="S41" s="443">
        <f>+FY15ProjRevToColl!S41-FY14RevToColl!S41</f>
        <v>0</v>
      </c>
      <c r="T41" s="444">
        <f t="shared" si="4"/>
        <v>41358.921688472859</v>
      </c>
    </row>
    <row r="42" spans="1:20" s="18" customFormat="1" ht="20.100000000000001" customHeight="1">
      <c r="A42" s="404" t="s">
        <v>149</v>
      </c>
      <c r="B42" s="440" t="s">
        <v>38</v>
      </c>
      <c r="C42" s="410">
        <f>+FY15ProjRevToColl!C42-FY14RevToColl!C42</f>
        <v>32.15915079419085</v>
      </c>
      <c r="D42" s="410">
        <f>+FY15ProjRevToColl!D42-FY14RevToColl!D42</f>
        <v>246.55348942213004</v>
      </c>
      <c r="E42" s="410">
        <f>+FY15ProjRevToColl!E42-FY14RevToColl!E42</f>
        <v>37547.595171706518</v>
      </c>
      <c r="F42" s="410">
        <f>+FY15ProjRevToColl!F42-FY14RevToColl!F42</f>
        <v>0</v>
      </c>
      <c r="G42" s="410">
        <f>+FY15ProjRevToColl!G42-FY14RevToColl!G42</f>
        <v>100.05069135970507</v>
      </c>
      <c r="H42" s="410">
        <f>+FY15ProjRevToColl!H42-FY14RevToColl!H42</f>
        <v>17.866194885661628</v>
      </c>
      <c r="I42" s="410">
        <f>+FY15ProjRevToColl!I42-FY14RevToColl!I42</f>
        <v>28.585911817058559</v>
      </c>
      <c r="J42" s="410">
        <f>+FY15ProjRevToColl!J42-FY14RevToColl!J42</f>
        <v>0</v>
      </c>
      <c r="K42" s="410">
        <f>+FY15ProjRevToColl!K42-FY14RevToColl!K42</f>
        <v>110.77040829110229</v>
      </c>
      <c r="L42" s="410">
        <f>+FY15ProjRevToColl!L42-FY14RevToColl!L42</f>
        <v>0</v>
      </c>
      <c r="M42" s="410">
        <f>+FY15ProjRevToColl!M42-FY14RevToColl!M42</f>
        <v>0</v>
      </c>
      <c r="N42" s="410">
        <f>+FY15ProjRevToColl!N42-FY14RevToColl!N42</f>
        <v>17.866194885661628</v>
      </c>
      <c r="O42" s="410">
        <f>+FY15ProjRevToColl!O42-FY14RevToColl!O42</f>
        <v>0</v>
      </c>
      <c r="P42" s="410">
        <f>+FY15ProjRevToColl!P42-FY14RevToColl!P42</f>
        <v>0</v>
      </c>
      <c r="Q42" s="410">
        <f>+FY15ProjRevToColl!Q42-FY14RevToColl!Q42</f>
        <v>28.585911817058559</v>
      </c>
      <c r="R42" s="410">
        <f>+FY15ProjRevToColl!R42-FY14RevToColl!R42</f>
        <v>0</v>
      </c>
      <c r="S42" s="410">
        <f>+FY15ProjRevToColl!S42-FY14RevToColl!S42</f>
        <v>0</v>
      </c>
      <c r="T42" s="441">
        <f t="shared" si="4"/>
        <v>38130.033124979076</v>
      </c>
    </row>
    <row r="43" spans="1:20" ht="20.100000000000001" customHeight="1">
      <c r="A43" s="404" t="s">
        <v>150</v>
      </c>
      <c r="B43" s="442" t="s">
        <v>31</v>
      </c>
      <c r="C43" s="443">
        <f>+FY15ProjRevToColl!C43-FY14RevToColl!C43</f>
        <v>-17.88533363596116</v>
      </c>
      <c r="D43" s="443">
        <f>+FY15ProjRevToColl!D43-FY14RevToColl!D43</f>
        <v>-58.018277404458786</v>
      </c>
      <c r="E43" s="443">
        <f>+FY15ProjRevToColl!E43-FY14RevToColl!E43</f>
        <v>-39.260488469182746</v>
      </c>
      <c r="F43" s="443">
        <f>+FY15ProjRevToColl!F43-FY14RevToColl!F43</f>
        <v>0</v>
      </c>
      <c r="G43" s="443">
        <f>+FY15ProjRevToColl!G43-FY14RevToColl!G43</f>
        <v>-1.3086829489727734</v>
      </c>
      <c r="H43" s="443">
        <f>+FY15ProjRevToColl!H43-FY14RevToColl!H43</f>
        <v>-10.905691241439399</v>
      </c>
      <c r="I43" s="443">
        <f>+FY15ProjRevToColl!I43-FY14RevToColl!I43</f>
        <v>-40.132943768496261</v>
      </c>
      <c r="J43" s="443">
        <f>+FY15ProjRevToColl!J43-FY14RevToColl!J43</f>
        <v>-9834.7523615304381</v>
      </c>
      <c r="K43" s="443">
        <f>+FY15ProjRevToColl!K43-FY14RevToColl!K43</f>
        <v>-6.9796423945213064</v>
      </c>
      <c r="L43" s="443">
        <f>+FY15ProjRevToColl!L43-FY14RevToColl!L43</f>
        <v>-1.3086829489727734</v>
      </c>
      <c r="M43" s="443">
        <f>+FY15ProjRevToColl!M43-FY14RevToColl!M43</f>
        <v>0</v>
      </c>
      <c r="N43" s="443">
        <f>+FY15ProjRevToColl!N43-FY14RevToColl!N43</f>
        <v>-5.2347317958910935</v>
      </c>
      <c r="O43" s="443">
        <f>+FY15ProjRevToColl!O43-FY14RevToColl!O43</f>
        <v>0</v>
      </c>
      <c r="P43" s="443">
        <f>+FY15ProjRevToColl!P43-FY14RevToColl!P43</f>
        <v>0</v>
      </c>
      <c r="Q43" s="443">
        <f>+FY15ProjRevToColl!Q43-FY14RevToColl!Q43</f>
        <v>-30.09970782637356</v>
      </c>
      <c r="R43" s="443">
        <f>+FY15ProjRevToColl!R43-FY14RevToColl!R43</f>
        <v>0</v>
      </c>
      <c r="S43" s="443">
        <f>+FY15ProjRevToColl!S43-FY14RevToColl!S43</f>
        <v>0</v>
      </c>
      <c r="T43" s="444">
        <f t="shared" si="4"/>
        <v>-10045.886543964707</v>
      </c>
    </row>
    <row r="44" spans="1:20" s="18" customFormat="1" ht="20.100000000000001" customHeight="1">
      <c r="A44" s="404" t="s">
        <v>151</v>
      </c>
      <c r="B44" s="440" t="s">
        <v>209</v>
      </c>
      <c r="C44" s="410">
        <f>+FY15ProjRevToColl!C44-FY14RevToColl!C44</f>
        <v>0</v>
      </c>
      <c r="D44" s="410">
        <f>+FY15ProjRevToColl!D44-FY14RevToColl!D44</f>
        <v>-43.0078820040344</v>
      </c>
      <c r="E44" s="410">
        <f>+FY15ProjRevToColl!E44-FY14RevToColl!E44</f>
        <v>0</v>
      </c>
      <c r="F44" s="410">
        <f>+FY15ProjRevToColl!F44-FY14RevToColl!F44</f>
        <v>0</v>
      </c>
      <c r="G44" s="410">
        <f>+FY15ProjRevToColl!G44-FY14RevToColl!G44</f>
        <v>0</v>
      </c>
      <c r="H44" s="410">
        <f>+FY15ProjRevToColl!H44-FY14RevToColl!H44</f>
        <v>0</v>
      </c>
      <c r="I44" s="410">
        <f>+FY15ProjRevToColl!I44-FY14RevToColl!I44</f>
        <v>-1.4497038877765362</v>
      </c>
      <c r="J44" s="410">
        <f>+FY15ProjRevToColl!J44-FY14RevToColl!J44</f>
        <v>-1108.5402395197307</v>
      </c>
      <c r="K44" s="410">
        <f>+FY15ProjRevToColl!K44-FY14RevToColl!K44</f>
        <v>-13.530569619247217</v>
      </c>
      <c r="L44" s="410">
        <f>+FY15ProjRevToColl!L44-FY14RevToColl!L44</f>
        <v>0</v>
      </c>
      <c r="M44" s="410">
        <f>+FY15ProjRevToColl!M44-FY14RevToColl!M44</f>
        <v>0</v>
      </c>
      <c r="N44" s="410">
        <f>+FY15ProjRevToColl!N44-FY14RevToColl!N44</f>
        <v>0</v>
      </c>
      <c r="O44" s="410">
        <f>+FY15ProjRevToColl!O44-FY14RevToColl!O44</f>
        <v>0</v>
      </c>
      <c r="P44" s="410">
        <f>+FY15ProjRevToColl!P44-FY14RevToColl!P44</f>
        <v>0</v>
      </c>
      <c r="Q44" s="410">
        <f>+FY15ProjRevToColl!Q44-FY14RevToColl!Q44</f>
        <v>-0.96646925851763399</v>
      </c>
      <c r="R44" s="410">
        <f>+FY15ProjRevToColl!R44-FY14RevToColl!R44</f>
        <v>0</v>
      </c>
      <c r="S44" s="410">
        <f>+FY15ProjRevToColl!S44-FY14RevToColl!S44</f>
        <v>0</v>
      </c>
      <c r="T44" s="441">
        <f t="shared" si="4"/>
        <v>-1167.4948642893066</v>
      </c>
    </row>
    <row r="45" spans="1:20" ht="20.100000000000001" customHeight="1">
      <c r="A45" s="404" t="s">
        <v>153</v>
      </c>
      <c r="B45" s="442" t="s">
        <v>100</v>
      </c>
      <c r="C45" s="443">
        <f>+FY15ProjRevToColl!C45-FY14RevToColl!C45</f>
        <v>0</v>
      </c>
      <c r="D45" s="443">
        <f>+FY15ProjRevToColl!D45-FY14RevToColl!D45</f>
        <v>96.271111473675091</v>
      </c>
      <c r="E45" s="443">
        <f>+FY15ProjRevToColl!E45-FY14RevToColl!E45</f>
        <v>0</v>
      </c>
      <c r="F45" s="443">
        <f>+FY15ProjRevToColl!F45-FY14RevToColl!F45</f>
        <v>0</v>
      </c>
      <c r="G45" s="443">
        <f>+FY15ProjRevToColl!G45-FY14RevToColl!G45</f>
        <v>0</v>
      </c>
      <c r="H45" s="443">
        <f>+FY15ProjRevToColl!H45-FY14RevToColl!H45</f>
        <v>6.8765079624053698</v>
      </c>
      <c r="I45" s="443">
        <f>+FY15ProjRevToColl!I45-FY14RevToColl!I45</f>
        <v>0</v>
      </c>
      <c r="J45" s="443">
        <f>+FY15ProjRevToColl!J45-FY14RevToColl!J45</f>
        <v>0</v>
      </c>
      <c r="K45" s="443">
        <f>+FY15ProjRevToColl!K45-FY14RevToColl!K45</f>
        <v>137.53015924810711</v>
      </c>
      <c r="L45" s="443">
        <f>+FY15ProjRevToColl!L45-FY14RevToColl!L45</f>
        <v>82.518095548864494</v>
      </c>
      <c r="M45" s="443">
        <f>+FY15ProjRevToColl!M45-FY14RevToColl!M45</f>
        <v>13.75301592481074</v>
      </c>
      <c r="N45" s="443">
        <f>+FY15ProjRevToColl!N45-FY14RevToColl!N45</f>
        <v>206.29523887216055</v>
      </c>
      <c r="O45" s="443">
        <f>+FY15ProjRevToColl!O45-FY14RevToColl!O45</f>
        <v>14481.92576882572</v>
      </c>
      <c r="P45" s="443">
        <f>+FY15ProjRevToColl!P45-FY14RevToColl!P45</f>
        <v>405.7139697819166</v>
      </c>
      <c r="Q45" s="443">
        <f>+FY15ProjRevToColl!Q45-FY14RevToColl!Q45</f>
        <v>852.68698733826386</v>
      </c>
      <c r="R45" s="443">
        <f>+FY15ProjRevToColl!R45-FY14RevToColl!R45</f>
        <v>0</v>
      </c>
      <c r="S45" s="443">
        <f>+FY15ProjRevToColl!S45-FY14RevToColl!S45</f>
        <v>0</v>
      </c>
      <c r="T45" s="444">
        <f t="shared" si="4"/>
        <v>16283.570854975924</v>
      </c>
    </row>
    <row r="46" spans="1:20" s="18" customFormat="1" ht="20.100000000000001" customHeight="1">
      <c r="A46" s="404" t="s">
        <v>155</v>
      </c>
      <c r="B46" s="440" t="s">
        <v>42</v>
      </c>
      <c r="C46" s="410">
        <f>+FY15ProjRevToColl!C46-FY14RevToColl!C46</f>
        <v>0</v>
      </c>
      <c r="D46" s="410">
        <f>+FY15ProjRevToColl!D46-FY14RevToColl!D46</f>
        <v>111.45164167984512</v>
      </c>
      <c r="E46" s="410">
        <f>+FY15ProjRevToColl!E46-FY14RevToColl!E46</f>
        <v>0</v>
      </c>
      <c r="F46" s="410">
        <f>+FY15ProjRevToColl!F46-FY14RevToColl!F46</f>
        <v>0</v>
      </c>
      <c r="G46" s="410">
        <f>+FY15ProjRevToColl!G46-FY14RevToColl!G46</f>
        <v>0</v>
      </c>
      <c r="H46" s="410">
        <f>+FY15ProjRevToColl!H46-FY14RevToColl!H46</f>
        <v>18.575273613307445</v>
      </c>
      <c r="I46" s="410">
        <f>+FY15ProjRevToColl!I46-FY14RevToColl!I46</f>
        <v>0</v>
      </c>
      <c r="J46" s="410">
        <f>+FY15ProjRevToColl!J46-FY14RevToColl!J46</f>
        <v>3.0958789355512408</v>
      </c>
      <c r="K46" s="410">
        <f>+FY15ProjRevToColl!K46-FY14RevToColl!K46</f>
        <v>0</v>
      </c>
      <c r="L46" s="410">
        <f>+FY15ProjRevToColl!L46-FY14RevToColl!L46</f>
        <v>0</v>
      </c>
      <c r="M46" s="410">
        <f>+FY15ProjRevToColl!M46-FY14RevToColl!M46</f>
        <v>3.0958789355512408</v>
      </c>
      <c r="N46" s="410">
        <f>+FY15ProjRevToColl!N46-FY14RevToColl!N46</f>
        <v>6609.7015274019213</v>
      </c>
      <c r="O46" s="410">
        <f>+FY15ProjRevToColl!O46-FY14RevToColl!O46</f>
        <v>269.34146739295829</v>
      </c>
      <c r="P46" s="410">
        <f>+FY15ProjRevToColl!P46-FY14RevToColl!P46</f>
        <v>51153.207652113168</v>
      </c>
      <c r="Q46" s="410">
        <f>+FY15ProjRevToColl!Q46-FY14RevToColl!Q46</f>
        <v>479.86123501044312</v>
      </c>
      <c r="R46" s="410">
        <f>+FY15ProjRevToColl!R46-FY14RevToColl!R46</f>
        <v>0</v>
      </c>
      <c r="S46" s="410">
        <f>+FY15ProjRevToColl!S46-FY14RevToColl!S46</f>
        <v>0</v>
      </c>
      <c r="T46" s="441">
        <f t="shared" si="4"/>
        <v>58648.33055508275</v>
      </c>
    </row>
    <row r="47" spans="1:20" ht="20.100000000000001" customHeight="1">
      <c r="A47" s="404" t="s">
        <v>162</v>
      </c>
      <c r="B47" s="442" t="s">
        <v>76</v>
      </c>
      <c r="C47" s="443">
        <f>+FY15ProjRevToColl!C47-FY14RevToColl!C47</f>
        <v>0</v>
      </c>
      <c r="D47" s="443">
        <f>+FY15ProjRevToColl!D47-FY14RevToColl!D47</f>
        <v>54.475002042047436</v>
      </c>
      <c r="E47" s="443">
        <f>+FY15ProjRevToColl!E47-FY14RevToColl!E47</f>
        <v>0</v>
      </c>
      <c r="F47" s="443">
        <f>+FY15ProjRevToColl!F47-FY14RevToColl!F47</f>
        <v>0</v>
      </c>
      <c r="G47" s="443">
        <f>+FY15ProjRevToColl!G47-FY14RevToColl!G47</f>
        <v>0</v>
      </c>
      <c r="H47" s="443">
        <f>+FY15ProjRevToColl!H47-FY14RevToColl!H47</f>
        <v>0</v>
      </c>
      <c r="I47" s="443">
        <f>+FY15ProjRevToColl!I47-FY14RevToColl!I47</f>
        <v>0</v>
      </c>
      <c r="J47" s="443">
        <f>+FY15ProjRevToColl!J47-FY14RevToColl!J47</f>
        <v>0</v>
      </c>
      <c r="K47" s="443">
        <f>+FY15ProjRevToColl!K47-FY14RevToColl!K47</f>
        <v>0</v>
      </c>
      <c r="L47" s="443">
        <f>+FY15ProjRevToColl!L47-FY14RevToColl!L47</f>
        <v>0</v>
      </c>
      <c r="M47" s="443">
        <f>+FY15ProjRevToColl!M47-FY14RevToColl!M47</f>
        <v>9.0791670070078965</v>
      </c>
      <c r="N47" s="443">
        <f>+FY15ProjRevToColl!N47-FY14RevToColl!N47</f>
        <v>122391.71083797002</v>
      </c>
      <c r="O47" s="443">
        <f>+FY15ProjRevToColl!O47-FY14RevToColl!O47</f>
        <v>0</v>
      </c>
      <c r="P47" s="443">
        <f>+FY15ProjRevToColl!P47-FY14RevToColl!P47</f>
        <v>0</v>
      </c>
      <c r="Q47" s="443">
        <f>+FY15ProjRevToColl!Q47-FY14RevToColl!Q47</f>
        <v>211.84723016351745</v>
      </c>
      <c r="R47" s="443">
        <f>+FY15ProjRevToColl!R47-FY14RevToColl!R47</f>
        <v>0</v>
      </c>
      <c r="S47" s="443">
        <f>+FY15ProjRevToColl!S47-FY14RevToColl!S47</f>
        <v>9.0791670070078965</v>
      </c>
      <c r="T47" s="444">
        <f t="shared" si="4"/>
        <v>122676.19140418959</v>
      </c>
    </row>
    <row r="48" spans="1:20" s="18" customFormat="1" ht="20.100000000000001" customHeight="1">
      <c r="A48" s="404" t="s">
        <v>156</v>
      </c>
      <c r="B48" s="440" t="s">
        <v>77</v>
      </c>
      <c r="C48" s="410">
        <f>+FY15ProjRevToColl!C48-FY14RevToColl!C48</f>
        <v>0</v>
      </c>
      <c r="D48" s="410">
        <f>+FY15ProjRevToColl!D48-FY14RevToColl!D48</f>
        <v>0</v>
      </c>
      <c r="E48" s="410">
        <f>+FY15ProjRevToColl!E48-FY14RevToColl!E48</f>
        <v>0</v>
      </c>
      <c r="F48" s="410">
        <f>+FY15ProjRevToColl!F48-FY14RevToColl!F48</f>
        <v>0</v>
      </c>
      <c r="G48" s="410">
        <f>+FY15ProjRevToColl!G48-FY14RevToColl!G48</f>
        <v>0</v>
      </c>
      <c r="H48" s="410">
        <f>+FY15ProjRevToColl!H48-FY14RevToColl!H48</f>
        <v>0</v>
      </c>
      <c r="I48" s="410">
        <f>+FY15ProjRevToColl!I48-FY14RevToColl!I48</f>
        <v>0</v>
      </c>
      <c r="J48" s="410">
        <f>+FY15ProjRevToColl!J48-FY14RevToColl!J48</f>
        <v>0</v>
      </c>
      <c r="K48" s="410">
        <f>+FY15ProjRevToColl!K48-FY14RevToColl!K48</f>
        <v>0</v>
      </c>
      <c r="L48" s="410">
        <f>+FY15ProjRevToColl!L48-FY14RevToColl!L48</f>
        <v>0</v>
      </c>
      <c r="M48" s="410">
        <f>+FY15ProjRevToColl!M48-FY14RevToColl!M48</f>
        <v>99473.805109994952</v>
      </c>
      <c r="N48" s="410">
        <f>+FY15ProjRevToColl!N48-FY14RevToColl!N48</f>
        <v>15130.93111483258</v>
      </c>
      <c r="O48" s="410">
        <f>+FY15ProjRevToColl!O48-FY14RevToColl!O48</f>
        <v>0</v>
      </c>
      <c r="P48" s="410">
        <f>+FY15ProjRevToColl!P48-FY14RevToColl!P48</f>
        <v>0</v>
      </c>
      <c r="Q48" s="410">
        <f>+FY15ProjRevToColl!Q48-FY14RevToColl!Q48</f>
        <v>0</v>
      </c>
      <c r="R48" s="410">
        <f>+FY15ProjRevToColl!R48-FY14RevToColl!R48</f>
        <v>0</v>
      </c>
      <c r="S48" s="410">
        <f>+FY15ProjRevToColl!S48-FY14RevToColl!S48</f>
        <v>0</v>
      </c>
      <c r="T48" s="441">
        <f t="shared" si="4"/>
        <v>114604.73622482753</v>
      </c>
    </row>
    <row r="49" spans="1:20" ht="20.100000000000001" customHeight="1">
      <c r="A49" s="404" t="s">
        <v>163</v>
      </c>
      <c r="B49" s="445" t="s">
        <v>164</v>
      </c>
      <c r="C49" s="443">
        <f>+FY15ProjRevToColl!C49-FY14RevToColl!C49</f>
        <v>0</v>
      </c>
      <c r="D49" s="443">
        <f>+FY15ProjRevToColl!D49-FY14RevToColl!D49</f>
        <v>75.170255561911972</v>
      </c>
      <c r="E49" s="443">
        <f>+FY15ProjRevToColl!E49-FY14RevToColl!E49</f>
        <v>0</v>
      </c>
      <c r="F49" s="443">
        <f>+FY15ProjRevToColl!F49-FY14RevToColl!F49</f>
        <v>0</v>
      </c>
      <c r="G49" s="443">
        <f>+FY15ProjRevToColl!G49-FY14RevToColl!G49</f>
        <v>0</v>
      </c>
      <c r="H49" s="443">
        <f>+FY15ProjRevToColl!H49-FY14RevToColl!H49</f>
        <v>0</v>
      </c>
      <c r="I49" s="443">
        <f>+FY15ProjRevToColl!I49-FY14RevToColl!I49</f>
        <v>0</v>
      </c>
      <c r="J49" s="443">
        <f>+FY15ProjRevToColl!J49-FY14RevToColl!J49</f>
        <v>0</v>
      </c>
      <c r="K49" s="443">
        <f>+FY15ProjRevToColl!K49-FY14RevToColl!K49</f>
        <v>0</v>
      </c>
      <c r="L49" s="443">
        <f>+FY15ProjRevToColl!L49-FY14RevToColl!L49</f>
        <v>0</v>
      </c>
      <c r="M49" s="443">
        <f>+FY15ProjRevToColl!M49-FY14RevToColl!M49</f>
        <v>8259.7076811428997</v>
      </c>
      <c r="N49" s="443">
        <f>+FY15ProjRevToColl!N49-FY14RevToColl!N49</f>
        <v>156.35413156877712</v>
      </c>
      <c r="O49" s="443">
        <f>+FY15ProjRevToColl!O49-FY14RevToColl!O49</f>
        <v>0</v>
      </c>
      <c r="P49" s="443">
        <f>+FY15ProjRevToColl!P49-FY14RevToColl!P49</f>
        <v>0</v>
      </c>
      <c r="Q49" s="443">
        <f>+FY15ProjRevToColl!Q49-FY14RevToColl!Q49</f>
        <v>54.122584004576538</v>
      </c>
      <c r="R49" s="443">
        <f>+FY15ProjRevToColl!R49-FY14RevToColl!R49</f>
        <v>0</v>
      </c>
      <c r="S49" s="443">
        <f>+FY15ProjRevToColl!S49-FY14RevToColl!S49</f>
        <v>3.0068102224764814</v>
      </c>
      <c r="T49" s="446">
        <f t="shared" si="4"/>
        <v>8548.3614625006412</v>
      </c>
    </row>
    <row r="50" spans="1:20" ht="20.100000000000001" customHeight="1">
      <c r="A50" s="405"/>
      <c r="B50" s="447" t="s">
        <v>17</v>
      </c>
      <c r="C50" s="448">
        <f t="shared" ref="C50:S50" si="5">SUM(C29:C49)</f>
        <v>201837.48079790437</v>
      </c>
      <c r="D50" s="448">
        <f t="shared" si="5"/>
        <v>5634264.2577173579</v>
      </c>
      <c r="E50" s="448">
        <f t="shared" si="5"/>
        <v>588263.54496465891</v>
      </c>
      <c r="F50" s="448">
        <f t="shared" si="5"/>
        <v>151443.39224121027</v>
      </c>
      <c r="G50" s="448">
        <f t="shared" si="5"/>
        <v>827997.70456961775</v>
      </c>
      <c r="H50" s="448">
        <f t="shared" si="5"/>
        <v>532831.30911125813</v>
      </c>
      <c r="I50" s="448">
        <f t="shared" si="5"/>
        <v>98704.507437784763</v>
      </c>
      <c r="J50" s="448">
        <f t="shared" si="5"/>
        <v>-8906.2718678492274</v>
      </c>
      <c r="K50" s="448">
        <f t="shared" si="5"/>
        <v>37861.202620609765</v>
      </c>
      <c r="L50" s="448">
        <f t="shared" si="5"/>
        <v>48377.757782581932</v>
      </c>
      <c r="M50" s="448">
        <f t="shared" si="5"/>
        <v>108421.91807817077</v>
      </c>
      <c r="N50" s="448">
        <f t="shared" si="5"/>
        <v>400181.84472276107</v>
      </c>
      <c r="O50" s="448">
        <f t="shared" si="5"/>
        <v>84993.108026252157</v>
      </c>
      <c r="P50" s="448">
        <f t="shared" si="5"/>
        <v>57646.645348769074</v>
      </c>
      <c r="Q50" s="448">
        <f t="shared" si="5"/>
        <v>141168.8052058639</v>
      </c>
      <c r="R50" s="448">
        <f t="shared" si="5"/>
        <v>108055.4433506995</v>
      </c>
      <c r="S50" s="448">
        <f t="shared" si="5"/>
        <v>26477.151331283956</v>
      </c>
      <c r="T50" s="448">
        <f>SUM(C50:S50)</f>
        <v>9039619.8014389351</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+FY15ProjRevToColl!C53-FY14RevToColl!C53</f>
        <v>83120.835156887071</v>
      </c>
      <c r="D53" s="455">
        <f>+FY15ProjRevToColl!D53-FY14RevToColl!D53</f>
        <v>3761527.9432191402</v>
      </c>
      <c r="E53" s="455">
        <f>+FY15ProjRevToColl!E53-FY14RevToColl!E53</f>
        <v>505548.3630810678</v>
      </c>
      <c r="F53" s="455">
        <f>+FY15ProjRevToColl!F53-FY14RevToColl!F53</f>
        <v>49004.074458164861</v>
      </c>
      <c r="G53" s="455">
        <f>+FY15ProjRevToColl!G53-FY14RevToColl!G53</f>
        <v>523537.20054039359</v>
      </c>
      <c r="H53" s="455">
        <f>+FY15ProjRevToColl!H53-FY14RevToColl!H53</f>
        <v>174925.93667344889</v>
      </c>
      <c r="I53" s="455">
        <f>+FY15ProjRevToColl!I53-FY14RevToColl!I53</f>
        <v>66372.60717751435</v>
      </c>
      <c r="J53" s="455">
        <f>+FY15ProjRevToColl!J53-FY14RevToColl!J53</f>
        <v>0</v>
      </c>
      <c r="K53" s="455">
        <f>+FY15ProjRevToColl!K53-FY14RevToColl!K53</f>
        <v>0</v>
      </c>
      <c r="L53" s="455">
        <f>+FY15ProjRevToColl!L53-FY14RevToColl!L53</f>
        <v>26673.103819001117</v>
      </c>
      <c r="M53" s="455">
        <f>+FY15ProjRevToColl!M53-FY14RevToColl!M53</f>
        <v>0</v>
      </c>
      <c r="N53" s="455">
        <f>+FY15ProjRevToColl!N53-FY14RevToColl!N53</f>
        <v>94286.320476468885</v>
      </c>
      <c r="O53" s="455">
        <f>+FY15ProjRevToColl!O53-FY14RevToColl!O53</f>
        <v>83120.835156887071</v>
      </c>
      <c r="P53" s="455">
        <f>+FY15ProjRevToColl!P53-FY14RevToColl!P53</f>
        <v>0</v>
      </c>
      <c r="Q53" s="455">
        <f>+FY15ProjRevToColl!Q53-FY14RevToColl!Q53</f>
        <v>64511.692957584048</v>
      </c>
      <c r="R53" s="455">
        <f>+FY15ProjRevToColl!R53-FY14RevToColl!R53</f>
        <v>6823.3521397444711</v>
      </c>
      <c r="S53" s="455">
        <f>+FY15ProjRevToColl!S53-FY14RevToColl!S53</f>
        <v>31015.236998838489</v>
      </c>
      <c r="T53" s="455">
        <f t="shared" ref="T53:T74" si="6">SUM(C53:Q53)+R53+S53</f>
        <v>5470467.5018551406</v>
      </c>
    </row>
    <row r="54" spans="1:20" s="18" customFormat="1" ht="20.100000000000001" customHeight="1">
      <c r="A54" s="404" t="s">
        <v>129</v>
      </c>
      <c r="B54" s="440" t="s">
        <v>35</v>
      </c>
      <c r="C54" s="410">
        <f>+FY15ProjRevToColl!C54-FY14RevToColl!C54</f>
        <v>4195.5529526608152</v>
      </c>
      <c r="D54" s="410">
        <f>+FY15ProjRevToColl!D54-FY14RevToColl!D54</f>
        <v>463570.45987854246</v>
      </c>
      <c r="E54" s="410">
        <f>+FY15ProjRevToColl!E54-FY14RevToColl!E54</f>
        <v>16705.929029685853</v>
      </c>
      <c r="F54" s="410">
        <f>+FY15ProjRevToColl!F54-FY14RevToColl!F54</f>
        <v>0</v>
      </c>
      <c r="G54" s="410">
        <f>+FY15ProjRevToColl!G54-FY14RevToColl!G54</f>
        <v>26470.124992241908</v>
      </c>
      <c r="H54" s="410">
        <f>+FY15ProjRevToColl!H54-FY14RevToColl!H54</f>
        <v>0</v>
      </c>
      <c r="I54" s="410">
        <f>+FY15ProjRevToColl!I54-FY14RevToColl!I54</f>
        <v>10298.175429258379</v>
      </c>
      <c r="J54" s="410">
        <f>+FY15ProjRevToColl!J54-FY14RevToColl!J54</f>
        <v>228.84834287240892</v>
      </c>
      <c r="K54" s="410">
        <f>+FY15ProjRevToColl!K54-FY14RevToColl!K54</f>
        <v>4271.8357336182962</v>
      </c>
      <c r="L54" s="410">
        <f>+FY15ProjRevToColl!L54-FY14RevToColl!L54</f>
        <v>0</v>
      </c>
      <c r="M54" s="410">
        <f>+FY15ProjRevToColl!M54-FY14RevToColl!M54</f>
        <v>0</v>
      </c>
      <c r="N54" s="410">
        <f>+FY15ProjRevToColl!N54-FY14RevToColl!N54</f>
        <v>95811.172882581595</v>
      </c>
      <c r="O54" s="410">
        <f>+FY15ProjRevToColl!O54-FY14RevToColl!O54</f>
        <v>152.56556191493928</v>
      </c>
      <c r="P54" s="410">
        <f>+FY15ProjRevToColl!P54-FY14RevToColl!P54</f>
        <v>13578.335010429582</v>
      </c>
      <c r="Q54" s="410">
        <f>+FY15ProjRevToColl!Q54-FY14RevToColl!Q54</f>
        <v>228.84834287240892</v>
      </c>
      <c r="R54" s="410">
        <f>+FY15ProjRevToColl!R54-FY14RevToColl!R54</f>
        <v>0</v>
      </c>
      <c r="S54" s="410">
        <f>+FY15ProjRevToColl!S54-FY14RevToColl!S54</f>
        <v>61483.921451720526</v>
      </c>
      <c r="T54" s="410">
        <f t="shared" si="6"/>
        <v>696995.76960839925</v>
      </c>
    </row>
    <row r="55" spans="1:20" ht="20.100000000000001" customHeight="1">
      <c r="A55" s="404" t="s">
        <v>140</v>
      </c>
      <c r="B55" s="456" t="s">
        <v>36</v>
      </c>
      <c r="C55" s="457">
        <f>+FY15ProjRevToColl!C55-FY14RevToColl!C55</f>
        <v>0</v>
      </c>
      <c r="D55" s="457">
        <f>+FY15ProjRevToColl!D55-FY14RevToColl!D55</f>
        <v>0</v>
      </c>
      <c r="E55" s="457">
        <f>+FY15ProjRevToColl!E55-FY14RevToColl!E55</f>
        <v>0</v>
      </c>
      <c r="F55" s="457">
        <f>+FY15ProjRevToColl!F55-FY14RevToColl!F55</f>
        <v>0</v>
      </c>
      <c r="G55" s="457">
        <f>+FY15ProjRevToColl!G55-FY14RevToColl!G55</f>
        <v>0</v>
      </c>
      <c r="H55" s="457">
        <f>+FY15ProjRevToColl!H55-FY14RevToColl!H55</f>
        <v>0</v>
      </c>
      <c r="I55" s="457">
        <f>+FY15ProjRevToColl!I55-FY14RevToColl!I55</f>
        <v>0</v>
      </c>
      <c r="J55" s="457">
        <f>+FY15ProjRevToColl!J55-FY14RevToColl!J55</f>
        <v>0</v>
      </c>
      <c r="K55" s="457">
        <f>+FY15ProjRevToColl!K55-FY14RevToColl!K55</f>
        <v>0</v>
      </c>
      <c r="L55" s="457">
        <f>+FY15ProjRevToColl!L55-FY14RevToColl!L55</f>
        <v>13420.102050763875</v>
      </c>
      <c r="M55" s="457">
        <f>+FY15ProjRevToColl!M55-FY14RevToColl!M55</f>
        <v>0</v>
      </c>
      <c r="N55" s="457">
        <f>+FY15ProjRevToColl!N55-FY14RevToColl!N55</f>
        <v>37679.517296375474</v>
      </c>
      <c r="O55" s="457">
        <f>+FY15ProjRevToColl!O55-FY14RevToColl!O55</f>
        <v>0</v>
      </c>
      <c r="P55" s="457">
        <f>+FY15ProjRevToColl!P55-FY14RevToColl!P55</f>
        <v>0</v>
      </c>
      <c r="Q55" s="457">
        <f>+FY15ProjRevToColl!Q55-FY14RevToColl!Q55</f>
        <v>0</v>
      </c>
      <c r="R55" s="457">
        <f>+FY15ProjRevToColl!R55-FY14RevToColl!R55</f>
        <v>0</v>
      </c>
      <c r="S55" s="457">
        <f>+FY15ProjRevToColl!S55-FY14RevToColl!S55</f>
        <v>0</v>
      </c>
      <c r="T55" s="457">
        <f t="shared" si="6"/>
        <v>51099.619347139349</v>
      </c>
    </row>
    <row r="56" spans="1:20" s="18" customFormat="1" ht="20.100000000000001" customHeight="1">
      <c r="A56" s="404" t="s">
        <v>130</v>
      </c>
      <c r="B56" s="440" t="s">
        <v>37</v>
      </c>
      <c r="C56" s="410">
        <f>+FY15ProjRevToColl!C56-FY14RevToColl!C56</f>
        <v>0</v>
      </c>
      <c r="D56" s="410">
        <f>+FY15ProjRevToColl!D56-FY14RevToColl!D56</f>
        <v>3434.4551386229941</v>
      </c>
      <c r="E56" s="410">
        <f>+FY15ProjRevToColl!E56-FY14RevToColl!E56</f>
        <v>858.61378465575035</v>
      </c>
      <c r="F56" s="410">
        <f>+FY15ProjRevToColl!F56-FY14RevToColl!F56</f>
        <v>214.65344616393759</v>
      </c>
      <c r="G56" s="410">
        <f>+FY15ProjRevToColl!G56-FY14RevToColl!G56</f>
        <v>309852.24953764305</v>
      </c>
      <c r="H56" s="410">
        <f>+FY15ProjRevToColl!H56-FY14RevToColl!H56</f>
        <v>321.98016924590593</v>
      </c>
      <c r="I56" s="410">
        <f>+FY15ProjRevToColl!I56-FY14RevToColl!I56</f>
        <v>107.32672308196879</v>
      </c>
      <c r="J56" s="410">
        <f>+FY15ProjRevToColl!J56-FY14RevToColl!J56</f>
        <v>1502.5741231475622</v>
      </c>
      <c r="K56" s="410">
        <f>+FY15ProjRevToColl!K56-FY14RevToColl!K56</f>
        <v>107.32672308196879</v>
      </c>
      <c r="L56" s="410">
        <f>+FY15ProjRevToColl!L56-FY14RevToColl!L56</f>
        <v>214.65344616393759</v>
      </c>
      <c r="M56" s="410">
        <f>+FY15ProjRevToColl!M56-FY14RevToColl!M56</f>
        <v>0</v>
      </c>
      <c r="N56" s="410">
        <f>+FY15ProjRevToColl!N56-FY14RevToColl!N56</f>
        <v>3541.7818617049634</v>
      </c>
      <c r="O56" s="410">
        <f>+FY15ProjRevToColl!O56-FY14RevToColl!O56</f>
        <v>20070.09721632814</v>
      </c>
      <c r="P56" s="410">
        <f>+FY15ProjRevToColl!P56-FY14RevToColl!P56</f>
        <v>0</v>
      </c>
      <c r="Q56" s="410">
        <f>+FY15ProjRevToColl!Q56-FY14RevToColl!Q56</f>
        <v>3112.4749693770864</v>
      </c>
      <c r="R56" s="410">
        <f>+FY15ProjRevToColl!R56-FY14RevToColl!R56</f>
        <v>214.65344616393759</v>
      </c>
      <c r="S56" s="410">
        <f>+FY15ProjRevToColl!S56-FY14RevToColl!S56</f>
        <v>4400.3956463607028</v>
      </c>
      <c r="T56" s="410">
        <f t="shared" si="6"/>
        <v>347953.23623174196</v>
      </c>
    </row>
    <row r="57" spans="1:20" ht="20.100000000000001" customHeight="1">
      <c r="A57" s="404" t="s">
        <v>131</v>
      </c>
      <c r="B57" s="456" t="s">
        <v>141</v>
      </c>
      <c r="C57" s="457">
        <f>+FY15ProjRevToColl!C57-FY14RevToColl!C57</f>
        <v>0</v>
      </c>
      <c r="D57" s="457">
        <f>+FY15ProjRevToColl!D57-FY14RevToColl!D57</f>
        <v>1816.8712999106247</v>
      </c>
      <c r="E57" s="457">
        <f>+FY15ProjRevToColl!E57-FY14RevToColl!E57</f>
        <v>0</v>
      </c>
      <c r="F57" s="457">
        <f>+FY15ProjRevToColl!F57-FY14RevToColl!F57</f>
        <v>0</v>
      </c>
      <c r="G57" s="457">
        <f>+FY15ProjRevToColl!G57-FY14RevToColl!G57</f>
        <v>113.55445624441404</v>
      </c>
      <c r="H57" s="457">
        <f>+FY15ProjRevToColl!H57-FY14RevToColl!H57</f>
        <v>163291.30807946716</v>
      </c>
      <c r="I57" s="457">
        <f>+FY15ProjRevToColl!I57-FY14RevToColl!I57</f>
        <v>0</v>
      </c>
      <c r="J57" s="457">
        <f>+FY15ProjRevToColl!J57-FY14RevToColl!J57</f>
        <v>113.55445624441404</v>
      </c>
      <c r="K57" s="457">
        <f>+FY15ProjRevToColl!K57-FY14RevToColl!K57</f>
        <v>454.21782497765616</v>
      </c>
      <c r="L57" s="457">
        <f>+FY15ProjRevToColl!L57-FY14RevToColl!L57</f>
        <v>0</v>
      </c>
      <c r="M57" s="457">
        <f>+FY15ProjRevToColl!M57-FY14RevToColl!M57</f>
        <v>0</v>
      </c>
      <c r="N57" s="457">
        <f>+FY15ProjRevToColl!N57-FY14RevToColl!N57</f>
        <v>0</v>
      </c>
      <c r="O57" s="457">
        <f>+FY15ProjRevToColl!O57-FY14RevToColl!O57</f>
        <v>0</v>
      </c>
      <c r="P57" s="457">
        <f>+FY15ProjRevToColl!P57-FY14RevToColl!P57</f>
        <v>0</v>
      </c>
      <c r="Q57" s="457">
        <f>+FY15ProjRevToColl!Q57-FY14RevToColl!Q57</f>
        <v>0</v>
      </c>
      <c r="R57" s="457">
        <f>+FY15ProjRevToColl!R57-FY14RevToColl!R57</f>
        <v>0</v>
      </c>
      <c r="S57" s="457">
        <f>+FY15ProjRevToColl!S57-FY14RevToColl!S57</f>
        <v>454.21782497765616</v>
      </c>
      <c r="T57" s="457">
        <f t="shared" si="6"/>
        <v>166243.72394182193</v>
      </c>
    </row>
    <row r="58" spans="1:20" s="18" customFormat="1" ht="20.100000000000001" customHeight="1">
      <c r="A58" s="404" t="s">
        <v>132</v>
      </c>
      <c r="B58" s="440" t="s">
        <v>206</v>
      </c>
      <c r="C58" s="410">
        <f>+FY15ProjRevToColl!C58-FY14RevToColl!C58</f>
        <v>0</v>
      </c>
      <c r="D58" s="410">
        <f>+FY15ProjRevToColl!D58-FY14RevToColl!D58</f>
        <v>504.20296337992113</v>
      </c>
      <c r="E58" s="410">
        <f>+FY15ProjRevToColl!E58-FY14RevToColl!E58</f>
        <v>0</v>
      </c>
      <c r="F58" s="410">
        <f>+FY15ProjRevToColl!F58-FY14RevToColl!F58</f>
        <v>151008.78753228672</v>
      </c>
      <c r="G58" s="410">
        <f>+FY15ProjRevToColl!G58-FY14RevToColl!G58</f>
        <v>0</v>
      </c>
      <c r="H58" s="410">
        <f>+FY15ProjRevToColl!H58-FY14RevToColl!H58</f>
        <v>0</v>
      </c>
      <c r="I58" s="410">
        <f>+FY15ProjRevToColl!I58-FY14RevToColl!I58</f>
        <v>0</v>
      </c>
      <c r="J58" s="410">
        <f>+FY15ProjRevToColl!J58-FY14RevToColl!J58</f>
        <v>0</v>
      </c>
      <c r="K58" s="410">
        <f>+FY15ProjRevToColl!K58-FY14RevToColl!K58</f>
        <v>0</v>
      </c>
      <c r="L58" s="410">
        <f>+FY15ProjRevToColl!L58-FY14RevToColl!L58</f>
        <v>0</v>
      </c>
      <c r="M58" s="410">
        <f>+FY15ProjRevToColl!M58-FY14RevToColl!M58</f>
        <v>0</v>
      </c>
      <c r="N58" s="410">
        <f>+FY15ProjRevToColl!N58-FY14RevToColl!N58</f>
        <v>0</v>
      </c>
      <c r="O58" s="410">
        <f>+FY15ProjRevToColl!O58-FY14RevToColl!O58</f>
        <v>0</v>
      </c>
      <c r="P58" s="410">
        <f>+FY15ProjRevToColl!P58-FY14RevToColl!P58</f>
        <v>0</v>
      </c>
      <c r="Q58" s="410">
        <f>+FY15ProjRevToColl!Q58-FY14RevToColl!Q58</f>
        <v>0</v>
      </c>
      <c r="R58" s="410">
        <f>+FY15ProjRevToColl!R58-FY14RevToColl!R58</f>
        <v>0</v>
      </c>
      <c r="S58" s="410">
        <f>+FY15ProjRevToColl!S58-FY14RevToColl!S58</f>
        <v>0</v>
      </c>
      <c r="T58" s="410">
        <f t="shared" si="6"/>
        <v>151512.99049566663</v>
      </c>
    </row>
    <row r="59" spans="1:20" ht="20.100000000000001" customHeight="1">
      <c r="A59" s="404" t="s">
        <v>134</v>
      </c>
      <c r="B59" s="456" t="s">
        <v>40</v>
      </c>
      <c r="C59" s="457">
        <f>+FY15ProjRevToColl!C59-FY14RevToColl!C59</f>
        <v>0</v>
      </c>
      <c r="D59" s="457">
        <f>+FY15ProjRevToColl!D59-FY14RevToColl!D59</f>
        <v>0</v>
      </c>
      <c r="E59" s="457">
        <f>+FY15ProjRevToColl!E59-FY14RevToColl!E59</f>
        <v>0</v>
      </c>
      <c r="F59" s="457">
        <f>+FY15ProjRevToColl!F59-FY14RevToColl!F59</f>
        <v>0</v>
      </c>
      <c r="G59" s="457">
        <f>+FY15ProjRevToColl!G59-FY14RevToColl!G59</f>
        <v>0</v>
      </c>
      <c r="H59" s="457">
        <f>+FY15ProjRevToColl!H59-FY14RevToColl!H59</f>
        <v>0</v>
      </c>
      <c r="I59" s="457">
        <f>+FY15ProjRevToColl!I59-FY14RevToColl!I59</f>
        <v>-6400.4605956582609</v>
      </c>
      <c r="J59" s="457">
        <f>+FY15ProjRevToColl!J59-FY14RevToColl!J59</f>
        <v>0</v>
      </c>
      <c r="K59" s="457">
        <f>+FY15ProjRevToColl!K59-FY14RevToColl!K59</f>
        <v>0</v>
      </c>
      <c r="L59" s="457">
        <f>+FY15ProjRevToColl!L59-FY14RevToColl!L59</f>
        <v>0</v>
      </c>
      <c r="M59" s="457">
        <f>+FY15ProjRevToColl!M59-FY14RevToColl!M59</f>
        <v>0</v>
      </c>
      <c r="N59" s="457">
        <f>+FY15ProjRevToColl!N59-FY14RevToColl!N59</f>
        <v>0</v>
      </c>
      <c r="O59" s="457">
        <f>+FY15ProjRevToColl!O59-FY14RevToColl!O59</f>
        <v>0</v>
      </c>
      <c r="P59" s="457">
        <f>+FY15ProjRevToColl!P59-FY14RevToColl!P59</f>
        <v>0</v>
      </c>
      <c r="Q59" s="457">
        <f>+FY15ProjRevToColl!Q59-FY14RevToColl!Q59</f>
        <v>0</v>
      </c>
      <c r="R59" s="457">
        <f>+FY15ProjRevToColl!R59-FY14RevToColl!R59</f>
        <v>0</v>
      </c>
      <c r="S59" s="457">
        <f>+FY15ProjRevToColl!S59-FY14RevToColl!S59</f>
        <v>0</v>
      </c>
      <c r="T59" s="457">
        <f t="shared" si="6"/>
        <v>-6400.4605956582609</v>
      </c>
    </row>
    <row r="60" spans="1:20" s="18" customFormat="1" ht="20.100000000000001" customHeight="1">
      <c r="A60" s="404" t="s">
        <v>135</v>
      </c>
      <c r="B60" s="440" t="s">
        <v>70</v>
      </c>
      <c r="C60" s="410">
        <f>+FY15ProjRevToColl!C60-FY14RevToColl!C60</f>
        <v>0</v>
      </c>
      <c r="D60" s="410">
        <f>+FY15ProjRevToColl!D60-FY14RevToColl!D60</f>
        <v>0</v>
      </c>
      <c r="E60" s="410">
        <f>+FY15ProjRevToColl!E60-FY14RevToColl!E60</f>
        <v>0</v>
      </c>
      <c r="F60" s="410">
        <f>+FY15ProjRevToColl!F60-FY14RevToColl!F60</f>
        <v>0</v>
      </c>
      <c r="G60" s="410">
        <f>+FY15ProjRevToColl!G60-FY14RevToColl!G60</f>
        <v>0</v>
      </c>
      <c r="H60" s="410">
        <f>+FY15ProjRevToColl!H60-FY14RevToColl!H60</f>
        <v>0</v>
      </c>
      <c r="I60" s="410">
        <f>+FY15ProjRevToColl!I60-FY14RevToColl!I60</f>
        <v>0</v>
      </c>
      <c r="J60" s="410">
        <f>+FY15ProjRevToColl!J60-FY14RevToColl!J60</f>
        <v>0</v>
      </c>
      <c r="K60" s="410">
        <f>+FY15ProjRevToColl!K60-FY14RevToColl!K60</f>
        <v>106.88310845545402</v>
      </c>
      <c r="L60" s="410">
        <f>+FY15ProjRevToColl!L60-FY14RevToColl!L60</f>
        <v>77597.136738659814</v>
      </c>
      <c r="M60" s="410">
        <f>+FY15ProjRevToColl!M60-FY14RevToColl!M60</f>
        <v>0</v>
      </c>
      <c r="N60" s="410">
        <f>+FY15ProjRevToColl!N60-FY14RevToColl!N60</f>
        <v>106.88310845545402</v>
      </c>
      <c r="O60" s="410">
        <f>+FY15ProjRevToColl!O60-FY14RevToColl!O60</f>
        <v>0</v>
      </c>
      <c r="P60" s="410">
        <f>+FY15ProjRevToColl!P60-FY14RevToColl!P60</f>
        <v>0</v>
      </c>
      <c r="Q60" s="410">
        <f>+FY15ProjRevToColl!Q60-FY14RevToColl!Q60</f>
        <v>427.53243382181608</v>
      </c>
      <c r="R60" s="410">
        <f>+FY15ProjRevToColl!R60-FY14RevToColl!R60</f>
        <v>0</v>
      </c>
      <c r="S60" s="410">
        <f>+FY15ProjRevToColl!S60-FY14RevToColl!S60</f>
        <v>106.88310845545402</v>
      </c>
      <c r="T60" s="410">
        <f t="shared" si="6"/>
        <v>78345.318497847999</v>
      </c>
    </row>
    <row r="61" spans="1:20" ht="20.100000000000001" customHeight="1">
      <c r="A61" s="404" t="s">
        <v>136</v>
      </c>
      <c r="B61" s="456" t="s">
        <v>144</v>
      </c>
      <c r="C61" s="457">
        <f>+FY15ProjRevToColl!C61-FY14RevToColl!C61</f>
        <v>0</v>
      </c>
      <c r="D61" s="457">
        <f>+FY15ProjRevToColl!D61-FY14RevToColl!D61</f>
        <v>0</v>
      </c>
      <c r="E61" s="457">
        <f>+FY15ProjRevToColl!E61-FY14RevToColl!E61</f>
        <v>0</v>
      </c>
      <c r="F61" s="457">
        <f>+FY15ProjRevToColl!F61-FY14RevToColl!F61</f>
        <v>0</v>
      </c>
      <c r="G61" s="457">
        <f>+FY15ProjRevToColl!G61-FY14RevToColl!G61</f>
        <v>0</v>
      </c>
      <c r="H61" s="457">
        <f>+FY15ProjRevToColl!H61-FY14RevToColl!H61</f>
        <v>0</v>
      </c>
      <c r="I61" s="457">
        <f>+FY15ProjRevToColl!I61-FY14RevToColl!I61</f>
        <v>0</v>
      </c>
      <c r="J61" s="457">
        <f>+FY15ProjRevToColl!J61-FY14RevToColl!J61</f>
        <v>0</v>
      </c>
      <c r="K61" s="457">
        <f>+FY15ProjRevToColl!K61-FY14RevToColl!K61</f>
        <v>0</v>
      </c>
      <c r="L61" s="457">
        <f>+FY15ProjRevToColl!L61-FY14RevToColl!L61</f>
        <v>0</v>
      </c>
      <c r="M61" s="457">
        <f>+FY15ProjRevToColl!M61-FY14RevToColl!M61</f>
        <v>0</v>
      </c>
      <c r="N61" s="457">
        <f>+FY15ProjRevToColl!N61-FY14RevToColl!N61</f>
        <v>1398.3185093680404</v>
      </c>
      <c r="O61" s="457">
        <f>+FY15ProjRevToColl!O61-FY14RevToColl!O61</f>
        <v>0</v>
      </c>
      <c r="P61" s="457">
        <f>+FY15ProjRevToColl!P61-FY14RevToColl!P61</f>
        <v>0</v>
      </c>
      <c r="Q61" s="457">
        <f>+FY15ProjRevToColl!Q61-FY14RevToColl!Q61</f>
        <v>109418.42335804924</v>
      </c>
      <c r="R61" s="457">
        <f>+FY15ProjRevToColl!R61-FY14RevToColl!R61</f>
        <v>0</v>
      </c>
      <c r="S61" s="457">
        <f>+FY15ProjRevToColl!S61-FY14RevToColl!S61</f>
        <v>233.0530848946737</v>
      </c>
      <c r="T61" s="457">
        <f t="shared" si="6"/>
        <v>111049.79495231196</v>
      </c>
    </row>
    <row r="62" spans="1:20" s="18" customFormat="1" ht="20.100000000000001" customHeight="1">
      <c r="A62" s="404" t="s">
        <v>137</v>
      </c>
      <c r="B62" s="440" t="s">
        <v>49</v>
      </c>
      <c r="C62" s="410">
        <f>+FY15ProjRevToColl!C62-FY14RevToColl!C62</f>
        <v>134.98367258294275</v>
      </c>
      <c r="D62" s="410">
        <f>+FY15ProjRevToColl!D62-FY14RevToColl!D62</f>
        <v>629.92380538706493</v>
      </c>
      <c r="E62" s="410">
        <f>+FY15ProjRevToColl!E62-FY14RevToColl!E62</f>
        <v>0</v>
      </c>
      <c r="F62" s="410">
        <f>+FY15ProjRevToColl!F62-FY14RevToColl!F62</f>
        <v>0</v>
      </c>
      <c r="G62" s="410">
        <f>+FY15ProjRevToColl!G62-FY14RevToColl!G62</f>
        <v>224.97278763823761</v>
      </c>
      <c r="H62" s="410">
        <f>+FY15ProjRevToColl!H62-FY14RevToColl!H62</f>
        <v>0</v>
      </c>
      <c r="I62" s="410">
        <f>+FY15ProjRevToColl!I62-FY14RevToColl!I62</f>
        <v>0</v>
      </c>
      <c r="J62" s="410">
        <f>+FY15ProjRevToColl!J62-FY14RevToColl!J62</f>
        <v>134.98367258294275</v>
      </c>
      <c r="K62" s="410">
        <f>+FY15ProjRevToColl!K62-FY14RevToColl!K62</f>
        <v>44.99455752764743</v>
      </c>
      <c r="L62" s="410">
        <f>+FY15ProjRevToColl!L62-FY14RevToColl!L62</f>
        <v>854.89659302529981</v>
      </c>
      <c r="M62" s="410">
        <f>+FY15ProjRevToColl!M62-FY14RevToColl!M62</f>
        <v>0</v>
      </c>
      <c r="N62" s="410">
        <f>+FY15ProjRevToColl!N62-FY14RevToColl!N62</f>
        <v>6434.2217264536011</v>
      </c>
      <c r="O62" s="410">
        <f>+FY15ProjRevToColl!O62-FY14RevToColl!O62</f>
        <v>44.99455752764743</v>
      </c>
      <c r="P62" s="410">
        <f>+FY15ProjRevToColl!P62-FY14RevToColl!P62</f>
        <v>0</v>
      </c>
      <c r="Q62" s="410">
        <f>+FY15ProjRevToColl!Q62-FY14RevToColl!Q62</f>
        <v>20472.523675079574</v>
      </c>
      <c r="R62" s="410">
        <f>+FY15ProjRevToColl!R62-FY14RevToColl!R62</f>
        <v>0</v>
      </c>
      <c r="S62" s="410">
        <f>+FY15ProjRevToColl!S62-FY14RevToColl!S62</f>
        <v>629.92380538706493</v>
      </c>
      <c r="T62" s="410">
        <f t="shared" si="6"/>
        <v>29606.418853192023</v>
      </c>
    </row>
    <row r="63" spans="1:20" ht="20.100000000000001" customHeight="1">
      <c r="A63" s="404" t="s">
        <v>138</v>
      </c>
      <c r="B63" s="456" t="s">
        <v>207</v>
      </c>
      <c r="C63" s="457">
        <f>+FY15ProjRevToColl!C63-FY14RevToColl!C63</f>
        <v>130800.06855327636</v>
      </c>
      <c r="D63" s="457">
        <f>+FY15ProjRevToColl!D63-FY14RevToColl!D63</f>
        <v>122.81696577772436</v>
      </c>
      <c r="E63" s="457">
        <f>+FY15ProjRevToColl!E63-FY14RevToColl!E63</f>
        <v>245.63393155544873</v>
      </c>
      <c r="F63" s="457">
        <f>+FY15ProjRevToColl!F63-FY14RevToColl!F63</f>
        <v>0</v>
      </c>
      <c r="G63" s="457">
        <f>+FY15ProjRevToColl!G63-FY14RevToColl!G63</f>
        <v>491.26786311089745</v>
      </c>
      <c r="H63" s="457">
        <f>+FY15ProjRevToColl!H63-FY14RevToColl!H63</f>
        <v>368.450897333174</v>
      </c>
      <c r="I63" s="457">
        <f>+FY15ProjRevToColl!I63-FY14RevToColl!I63</f>
        <v>0</v>
      </c>
      <c r="J63" s="457">
        <f>+FY15ProjRevToColl!J63-FY14RevToColl!J63</f>
        <v>0</v>
      </c>
      <c r="K63" s="457">
        <f>+FY15ProjRevToColl!K63-FY14RevToColl!K63</f>
        <v>736.901794666348</v>
      </c>
      <c r="L63" s="457">
        <f>+FY15ProjRevToColl!L63-FY14RevToColl!L63</f>
        <v>0</v>
      </c>
      <c r="M63" s="457">
        <f>+FY15ProjRevToColl!M63-FY14RevToColl!M63</f>
        <v>0</v>
      </c>
      <c r="N63" s="457">
        <f>+FY15ProjRevToColl!N63-FY14RevToColl!N63</f>
        <v>0</v>
      </c>
      <c r="O63" s="457">
        <f>+FY15ProjRevToColl!O63-FY14RevToColl!O63</f>
        <v>0</v>
      </c>
      <c r="P63" s="457">
        <f>+FY15ProjRevToColl!P63-FY14RevToColl!P63</f>
        <v>0</v>
      </c>
      <c r="Q63" s="457">
        <f>+FY15ProjRevToColl!Q63-FY14RevToColl!Q63</f>
        <v>0</v>
      </c>
      <c r="R63" s="457">
        <f>+FY15ProjRevToColl!R63-FY14RevToColl!R63</f>
        <v>0</v>
      </c>
      <c r="S63" s="457">
        <f>+FY15ProjRevToColl!S63-FY14RevToColl!S63</f>
        <v>2456.3393155544836</v>
      </c>
      <c r="T63" s="457">
        <f t="shared" si="6"/>
        <v>135221.47932127441</v>
      </c>
    </row>
    <row r="64" spans="1:20" s="18" customFormat="1" ht="20.100000000000001" customHeight="1">
      <c r="A64" s="404" t="s">
        <v>147</v>
      </c>
      <c r="B64" s="440" t="s">
        <v>208</v>
      </c>
      <c r="C64" s="410">
        <f>+FY15ProjRevToColl!C64-FY14RevToColl!C64</f>
        <v>0</v>
      </c>
      <c r="D64" s="410">
        <f>+FY15ProjRevToColl!D64-FY14RevToColl!D64</f>
        <v>0</v>
      </c>
      <c r="E64" s="410">
        <f>+FY15ProjRevToColl!E64-FY14RevToColl!E64</f>
        <v>0</v>
      </c>
      <c r="F64" s="410">
        <f>+FY15ProjRevToColl!F64-FY14RevToColl!F64</f>
        <v>0</v>
      </c>
      <c r="G64" s="410">
        <f>+FY15ProjRevToColl!G64-FY14RevToColl!G64</f>
        <v>17899.248344063584</v>
      </c>
      <c r="H64" s="410">
        <f>+FY15ProjRevToColl!H64-FY14RevToColl!H64</f>
        <v>0</v>
      </c>
      <c r="I64" s="410">
        <f>+FY15ProjRevToColl!I64-FY14RevToColl!I64</f>
        <v>0</v>
      </c>
      <c r="J64" s="410">
        <f>+FY15ProjRevToColl!J64-FY14RevToColl!J64</f>
        <v>0</v>
      </c>
      <c r="K64" s="410">
        <f>+FY15ProjRevToColl!K64-FY14RevToColl!K64</f>
        <v>0</v>
      </c>
      <c r="L64" s="410">
        <f>+FY15ProjRevToColl!L64-FY14RevToColl!L64</f>
        <v>0</v>
      </c>
      <c r="M64" s="410">
        <f>+FY15ProjRevToColl!M64-FY14RevToColl!M64</f>
        <v>0</v>
      </c>
      <c r="N64" s="410">
        <f>+FY15ProjRevToColl!N64-FY14RevToColl!N64</f>
        <v>0</v>
      </c>
      <c r="O64" s="410">
        <f>+FY15ProjRevToColl!O64-FY14RevToColl!O64</f>
        <v>0</v>
      </c>
      <c r="P64" s="410">
        <f>+FY15ProjRevToColl!P64-FY14RevToColl!P64</f>
        <v>0</v>
      </c>
      <c r="Q64" s="410">
        <f>+FY15ProjRevToColl!Q64-FY14RevToColl!Q64</f>
        <v>0</v>
      </c>
      <c r="R64" s="410">
        <f>+FY15ProjRevToColl!R64-FY14RevToColl!R64</f>
        <v>0</v>
      </c>
      <c r="S64" s="410">
        <f>+FY15ProjRevToColl!S64-FY14RevToColl!S64</f>
        <v>0</v>
      </c>
      <c r="T64" s="410">
        <f t="shared" si="6"/>
        <v>17899.248344063584</v>
      </c>
    </row>
    <row r="65" spans="1:20" ht="20.100000000000001" customHeight="1">
      <c r="A65" s="404" t="s">
        <v>148</v>
      </c>
      <c r="B65" s="456" t="s">
        <v>39</v>
      </c>
      <c r="C65" s="457">
        <f>+FY15ProjRevToColl!C65-FY14RevToColl!C65</f>
        <v>2621.5830261250521</v>
      </c>
      <c r="D65" s="457">
        <f>+FY15ProjRevToColl!D65-FY14RevToColl!D65</f>
        <v>10072.397942480457</v>
      </c>
      <c r="E65" s="457">
        <f>+FY15ProjRevToColl!E65-FY14RevToColl!E65</f>
        <v>0</v>
      </c>
      <c r="F65" s="457">
        <f>+FY15ProjRevToColl!F65-FY14RevToColl!F65</f>
        <v>0</v>
      </c>
      <c r="G65" s="457">
        <f>+FY15ProjRevToColl!G65-FY14RevToColl!G65</f>
        <v>0</v>
      </c>
      <c r="H65" s="457">
        <f>+FY15ProjRevToColl!H65-FY14RevToColl!H65</f>
        <v>5519.1221602632577</v>
      </c>
      <c r="I65" s="457">
        <f>+FY15ProjRevToColl!I65-FY14RevToColl!I65</f>
        <v>1103.8244320526537</v>
      </c>
      <c r="J65" s="457">
        <f>+FY15ProjRevToColl!J65-FY14RevToColl!J65</f>
        <v>0</v>
      </c>
      <c r="K65" s="457">
        <f>+FY15ProjRevToColl!K65-FY14RevToColl!K65</f>
        <v>141565.48341075284</v>
      </c>
      <c r="L65" s="457">
        <f>+FY15ProjRevToColl!L65-FY14RevToColl!L65</f>
        <v>1103.8244320526537</v>
      </c>
      <c r="M65" s="457">
        <f>+FY15ProjRevToColl!M65-FY14RevToColl!M65</f>
        <v>0</v>
      </c>
      <c r="N65" s="457">
        <f>+FY15ProjRevToColl!N65-FY14RevToColl!N65</f>
        <v>275.95610801316343</v>
      </c>
      <c r="O65" s="457">
        <f>+FY15ProjRevToColl!O65-FY14RevToColl!O65</f>
        <v>0</v>
      </c>
      <c r="P65" s="457">
        <f>+FY15ProjRevToColl!P65-FY14RevToColl!P65</f>
        <v>0</v>
      </c>
      <c r="Q65" s="457">
        <f>+FY15ProjRevToColl!Q65-FY14RevToColl!Q65</f>
        <v>3035.5171881447968</v>
      </c>
      <c r="R65" s="457">
        <f>+FY15ProjRevToColl!R65-FY14RevToColl!R65</f>
        <v>0</v>
      </c>
      <c r="S65" s="457">
        <f>+FY15ProjRevToColl!S65-FY14RevToColl!S65</f>
        <v>137.97805400658171</v>
      </c>
      <c r="T65" s="457">
        <f t="shared" si="6"/>
        <v>165435.68675389144</v>
      </c>
    </row>
    <row r="66" spans="1:20" s="18" customFormat="1" ht="20.100000000000001" customHeight="1">
      <c r="A66" s="404" t="s">
        <v>149</v>
      </c>
      <c r="B66" s="440" t="s">
        <v>38</v>
      </c>
      <c r="C66" s="410">
        <f>+FY15ProjRevToColl!C66-FY14RevToColl!C66</f>
        <v>0</v>
      </c>
      <c r="D66" s="410">
        <f>+FY15ProjRevToColl!D66-FY14RevToColl!D66</f>
        <v>864.13672804485032</v>
      </c>
      <c r="E66" s="410">
        <f>+FY15ProjRevToColl!E66-FY14RevToColl!E66</f>
        <v>149063.58558773668</v>
      </c>
      <c r="F66" s="410">
        <f>+FY15ProjRevToColl!F66-FY14RevToColl!F66</f>
        <v>0</v>
      </c>
      <c r="G66" s="410">
        <f>+FY15ProjRevToColl!G66-FY14RevToColl!G66</f>
        <v>0</v>
      </c>
      <c r="H66" s="410">
        <f>+FY15ProjRevToColl!H66-FY14RevToColl!H66</f>
        <v>648.10254603363865</v>
      </c>
      <c r="I66" s="410">
        <f>+FY15ProjRevToColl!I66-FY14RevToColl!I66</f>
        <v>0</v>
      </c>
      <c r="J66" s="410">
        <f>+FY15ProjRevToColl!J66-FY14RevToColl!J66</f>
        <v>216.03418201121258</v>
      </c>
      <c r="K66" s="410">
        <f>+FY15ProjRevToColl!K66-FY14RevToColl!K66</f>
        <v>0</v>
      </c>
      <c r="L66" s="410">
        <f>+FY15ProjRevToColl!L66-FY14RevToColl!L66</f>
        <v>0</v>
      </c>
      <c r="M66" s="410">
        <f>+FY15ProjRevToColl!M66-FY14RevToColl!M66</f>
        <v>0</v>
      </c>
      <c r="N66" s="410">
        <f>+FY15ProjRevToColl!N66-FY14RevToColl!N66</f>
        <v>0</v>
      </c>
      <c r="O66" s="410">
        <f>+FY15ProjRevToColl!O66-FY14RevToColl!O66</f>
        <v>0</v>
      </c>
      <c r="P66" s="410">
        <f>+FY15ProjRevToColl!P66-FY14RevToColl!P66</f>
        <v>0</v>
      </c>
      <c r="Q66" s="410">
        <f>+FY15ProjRevToColl!Q66-FY14RevToColl!Q66</f>
        <v>0</v>
      </c>
      <c r="R66" s="410">
        <f>+FY15ProjRevToColl!R66-FY14RevToColl!R66</f>
        <v>0</v>
      </c>
      <c r="S66" s="410">
        <f>+FY15ProjRevToColl!S66-FY14RevToColl!S66</f>
        <v>1728.2734560897006</v>
      </c>
      <c r="T66" s="410">
        <f t="shared" si="6"/>
        <v>152520.1324999161</v>
      </c>
    </row>
    <row r="67" spans="1:20" ht="20.100000000000001" customHeight="1">
      <c r="A67" s="404" t="s">
        <v>150</v>
      </c>
      <c r="B67" s="456" t="s">
        <v>31</v>
      </c>
      <c r="C67" s="457">
        <f>+FY15ProjRevToColl!C67-FY14RevToColl!C67</f>
        <v>0</v>
      </c>
      <c r="D67" s="457">
        <f>+FY15ProjRevToColl!D67-FY14RevToColl!D67</f>
        <v>-123.41383960644453</v>
      </c>
      <c r="E67" s="457">
        <f>+FY15ProjRevToColl!E67-FY14RevToColl!E67</f>
        <v>-271.5104471341765</v>
      </c>
      <c r="F67" s="457">
        <f>+FY15ProjRevToColl!F67-FY14RevToColl!F67</f>
        <v>0</v>
      </c>
      <c r="G67" s="457">
        <f>+FY15ProjRevToColl!G67-FY14RevToColl!G67</f>
        <v>-98.731071685157076</v>
      </c>
      <c r="H67" s="457">
        <f>+FY15ProjRevToColl!H67-FY14RevToColl!H67</f>
        <v>-49.365535842578538</v>
      </c>
      <c r="I67" s="457">
        <f>+FY15ProjRevToColl!I67-FY14RevToColl!I67</f>
        <v>-74.048303763865988</v>
      </c>
      <c r="J67" s="457">
        <f>+FY15ProjRevToColl!J67-FY14RevToColl!J67</f>
        <v>-39418.380370297469</v>
      </c>
      <c r="K67" s="457">
        <f>+FY15ProjRevToColl!K67-FY14RevToColl!K67</f>
        <v>-148.09660752773198</v>
      </c>
      <c r="L67" s="457">
        <f>+FY15ProjRevToColl!L67-FY14RevToColl!L67</f>
        <v>0</v>
      </c>
      <c r="M67" s="457">
        <f>+FY15ProjRevToColl!M67-FY14RevToColl!M67</f>
        <v>0</v>
      </c>
      <c r="N67" s="457">
        <f>+FY15ProjRevToColl!N67-FY14RevToColl!N67</f>
        <v>0</v>
      </c>
      <c r="O67" s="457">
        <f>+FY15ProjRevToColl!O67-FY14RevToColl!O67</f>
        <v>0</v>
      </c>
      <c r="P67" s="457">
        <f>+FY15ProjRevToColl!P67-FY14RevToColl!P67</f>
        <v>0</v>
      </c>
      <c r="Q67" s="457">
        <f>+FY15ProjRevToColl!Q67-FY14RevToColl!Q67</f>
        <v>0</v>
      </c>
      <c r="R67" s="457">
        <f>+FY15ProjRevToColl!R67-FY14RevToColl!R67</f>
        <v>0</v>
      </c>
      <c r="S67" s="457">
        <f>+FY15ProjRevToColl!S67-FY14RevToColl!S67</f>
        <v>0</v>
      </c>
      <c r="T67" s="457">
        <f t="shared" si="6"/>
        <v>-40183.546175857424</v>
      </c>
    </row>
    <row r="68" spans="1:20" s="18" customFormat="1" ht="20.100000000000001" customHeight="1">
      <c r="A68" s="404" t="s">
        <v>151</v>
      </c>
      <c r="B68" s="440" t="s">
        <v>209</v>
      </c>
      <c r="C68" s="410">
        <f>+FY15ProjRevToColl!C68-FY14RevToColl!C68</f>
        <v>0</v>
      </c>
      <c r="D68" s="410">
        <f>+FY15ProjRevToColl!D68-FY14RevToColl!D68</f>
        <v>0</v>
      </c>
      <c r="E68" s="410">
        <f>+FY15ProjRevToColl!E68-FY14RevToColl!E68</f>
        <v>0</v>
      </c>
      <c r="F68" s="410">
        <f>+FY15ProjRevToColl!F68-FY14RevToColl!F68</f>
        <v>0</v>
      </c>
      <c r="G68" s="410">
        <f>+FY15ProjRevToColl!G68-FY14RevToColl!G68</f>
        <v>0</v>
      </c>
      <c r="H68" s="410">
        <f>+FY15ProjRevToColl!H68-FY14RevToColl!H68</f>
        <v>0</v>
      </c>
      <c r="I68" s="410">
        <f>+FY15ProjRevToColl!I68-FY14RevToColl!I68</f>
        <v>0</v>
      </c>
      <c r="J68" s="410">
        <f>+FY15ProjRevToColl!J68-FY14RevToColl!J68</f>
        <v>-4669.9794571573148</v>
      </c>
      <c r="K68" s="410">
        <f>+FY15ProjRevToColl!K68-FY14RevToColl!K68</f>
        <v>0</v>
      </c>
      <c r="L68" s="410">
        <f>+FY15ProjRevToColl!L68-FY14RevToColl!L68</f>
        <v>0</v>
      </c>
      <c r="M68" s="410">
        <f>+FY15ProjRevToColl!M68-FY14RevToColl!M68</f>
        <v>0</v>
      </c>
      <c r="N68" s="410">
        <f>+FY15ProjRevToColl!N68-FY14RevToColl!N68</f>
        <v>0</v>
      </c>
      <c r="O68" s="410">
        <f>+FY15ProjRevToColl!O68-FY14RevToColl!O68</f>
        <v>0</v>
      </c>
      <c r="P68" s="410">
        <f>+FY15ProjRevToColl!P68-FY14RevToColl!P68</f>
        <v>0</v>
      </c>
      <c r="Q68" s="410">
        <f>+FY15ProjRevToColl!Q68-FY14RevToColl!Q68</f>
        <v>0</v>
      </c>
      <c r="R68" s="410">
        <f>+FY15ProjRevToColl!R68-FY14RevToColl!R68</f>
        <v>0</v>
      </c>
      <c r="S68" s="410">
        <f>+FY15ProjRevToColl!S68-FY14RevToColl!S68</f>
        <v>0</v>
      </c>
      <c r="T68" s="410">
        <f t="shared" si="6"/>
        <v>-4669.9794571573148</v>
      </c>
    </row>
    <row r="69" spans="1:20" ht="20.100000000000001" customHeight="1">
      <c r="A69" s="404" t="s">
        <v>153</v>
      </c>
      <c r="B69" s="456" t="s">
        <v>100</v>
      </c>
      <c r="C69" s="457">
        <f>+FY15ProjRevToColl!C69-FY14RevToColl!C69</f>
        <v>0</v>
      </c>
      <c r="D69" s="457">
        <f>+FY15ProjRevToColl!D69-FY14RevToColl!D69</f>
        <v>0</v>
      </c>
      <c r="E69" s="457">
        <f>+FY15ProjRevToColl!E69-FY14RevToColl!E69</f>
        <v>0</v>
      </c>
      <c r="F69" s="457">
        <f>+FY15ProjRevToColl!F69-FY14RevToColl!F69</f>
        <v>0</v>
      </c>
      <c r="G69" s="457">
        <f>+FY15ProjRevToColl!G69-FY14RevToColl!G69</f>
        <v>0</v>
      </c>
      <c r="H69" s="457">
        <f>+FY15ProjRevToColl!H69-FY14RevToColl!H69</f>
        <v>0</v>
      </c>
      <c r="I69" s="457">
        <f>+FY15ProjRevToColl!I69-FY14RevToColl!I69</f>
        <v>0</v>
      </c>
      <c r="J69" s="457">
        <f>+FY15ProjRevToColl!J69-FY14RevToColl!J69</f>
        <v>0</v>
      </c>
      <c r="K69" s="457">
        <f>+FY15ProjRevToColl!K69-FY14RevToColl!K69</f>
        <v>0</v>
      </c>
      <c r="L69" s="457">
        <f>+FY15ProjRevToColl!L69-FY14RevToColl!L69</f>
        <v>0</v>
      </c>
      <c r="M69" s="457">
        <f>+FY15ProjRevToColl!M69-FY14RevToColl!M69</f>
        <v>0</v>
      </c>
      <c r="N69" s="457">
        <f>+FY15ProjRevToColl!N69-FY14RevToColl!N69</f>
        <v>0</v>
      </c>
      <c r="O69" s="457">
        <f>+FY15ProjRevToColl!O69-FY14RevToColl!O69</f>
        <v>64542.153570631752</v>
      </c>
      <c r="P69" s="457">
        <f>+FY15ProjRevToColl!P69-FY14RevToColl!P69</f>
        <v>0</v>
      </c>
      <c r="Q69" s="457">
        <f>+FY15ProjRevToColl!Q69-FY14RevToColl!Q69</f>
        <v>592.12984927185062</v>
      </c>
      <c r="R69" s="457">
        <f>+FY15ProjRevToColl!R69-FY14RevToColl!R69</f>
        <v>0</v>
      </c>
      <c r="S69" s="457">
        <f>+FY15ProjRevToColl!S69-FY14RevToColl!S69</f>
        <v>0</v>
      </c>
      <c r="T69" s="457">
        <f t="shared" si="6"/>
        <v>65134.283419903601</v>
      </c>
    </row>
    <row r="70" spans="1:20" s="18" customFormat="1" ht="20.100000000000001" customHeight="1">
      <c r="A70" s="404" t="s">
        <v>155</v>
      </c>
      <c r="B70" s="440" t="s">
        <v>42</v>
      </c>
      <c r="C70" s="410">
        <f>+FY15ProjRevToColl!C70-FY14RevToColl!C70</f>
        <v>0</v>
      </c>
      <c r="D70" s="410">
        <f>+FY15ProjRevToColl!D70-FY14RevToColl!D70</f>
        <v>0</v>
      </c>
      <c r="E70" s="410">
        <f>+FY15ProjRevToColl!E70-FY14RevToColl!E70</f>
        <v>0</v>
      </c>
      <c r="F70" s="410">
        <f>+FY15ProjRevToColl!F70-FY14RevToColl!F70</f>
        <v>0</v>
      </c>
      <c r="G70" s="410">
        <f>+FY15ProjRevToColl!G70-FY14RevToColl!G70</f>
        <v>0</v>
      </c>
      <c r="H70" s="410">
        <f>+FY15ProjRevToColl!H70-FY14RevToColl!H70</f>
        <v>0</v>
      </c>
      <c r="I70" s="410">
        <f>+FY15ProjRevToColl!I70-FY14RevToColl!I70</f>
        <v>0</v>
      </c>
      <c r="J70" s="410">
        <f>+FY15ProjRevToColl!J70-FY14RevToColl!J70</f>
        <v>0</v>
      </c>
      <c r="K70" s="410">
        <f>+FY15ProjRevToColl!K70-FY14RevToColl!K70</f>
        <v>0</v>
      </c>
      <c r="L70" s="410">
        <f>+FY15ProjRevToColl!L70-FY14RevToColl!L70</f>
        <v>0</v>
      </c>
      <c r="M70" s="410">
        <f>+FY15ProjRevToColl!M70-FY14RevToColl!M70</f>
        <v>0</v>
      </c>
      <c r="N70" s="410">
        <f>+FY15ProjRevToColl!N70-FY14RevToColl!N70</f>
        <v>0</v>
      </c>
      <c r="O70" s="410">
        <f>+FY15ProjRevToColl!O70-FY14RevToColl!O70</f>
        <v>0</v>
      </c>
      <c r="P70" s="410">
        <f>+FY15ProjRevToColl!P70-FY14RevToColl!P70</f>
        <v>234593.32222033106</v>
      </c>
      <c r="Q70" s="410">
        <f>+FY15ProjRevToColl!Q70-FY14RevToColl!Q70</f>
        <v>0</v>
      </c>
      <c r="R70" s="410">
        <f>+FY15ProjRevToColl!R70-FY14RevToColl!R70</f>
        <v>0</v>
      </c>
      <c r="S70" s="410">
        <f>+FY15ProjRevToColl!S70-FY14RevToColl!S70</f>
        <v>0</v>
      </c>
      <c r="T70" s="410">
        <f t="shared" si="6"/>
        <v>234593.32222033106</v>
      </c>
    </row>
    <row r="71" spans="1:20" ht="20.100000000000001" customHeight="1">
      <c r="A71" s="404" t="s">
        <v>162</v>
      </c>
      <c r="B71" s="456" t="s">
        <v>76</v>
      </c>
      <c r="C71" s="457">
        <f>+FY15ProjRevToColl!C71-FY14RevToColl!C71</f>
        <v>0</v>
      </c>
      <c r="D71" s="457">
        <f>+FY15ProjRevToColl!D71-FY14RevToColl!D71</f>
        <v>0</v>
      </c>
      <c r="E71" s="457">
        <f>+FY15ProjRevToColl!E71-FY14RevToColl!E71</f>
        <v>0</v>
      </c>
      <c r="F71" s="457">
        <f>+FY15ProjRevToColl!F71-FY14RevToColl!F71</f>
        <v>0</v>
      </c>
      <c r="G71" s="457">
        <f>+FY15ProjRevToColl!G71-FY14RevToColl!G71</f>
        <v>1253.930406175703</v>
      </c>
      <c r="H71" s="457">
        <f>+FY15ProjRevToColl!H71-FY14RevToColl!H71</f>
        <v>0</v>
      </c>
      <c r="I71" s="457">
        <f>+FY15ProjRevToColl!I71-FY14RevToColl!I71</f>
        <v>0</v>
      </c>
      <c r="J71" s="457">
        <f>+FY15ProjRevToColl!J71-FY14RevToColl!J71</f>
        <v>0</v>
      </c>
      <c r="K71" s="457">
        <f>+FY15ProjRevToColl!K71-FY14RevToColl!K71</f>
        <v>0</v>
      </c>
      <c r="L71" s="457">
        <f>+FY15ProjRevToColl!L71-FY14RevToColl!L71</f>
        <v>0</v>
      </c>
      <c r="M71" s="457">
        <f>+FY15ProjRevToColl!M71-FY14RevToColl!M71</f>
        <v>0</v>
      </c>
      <c r="N71" s="457">
        <f>+FY15ProjRevToColl!N71-FY14RevToColl!N71</f>
        <v>479628.38036220707</v>
      </c>
      <c r="O71" s="457">
        <f>+FY15ProjRevToColl!O71-FY14RevToColl!O71</f>
        <v>0</v>
      </c>
      <c r="P71" s="457">
        <f>+FY15ProjRevToColl!P71-FY14RevToColl!P71</f>
        <v>0</v>
      </c>
      <c r="Q71" s="457">
        <f>+FY15ProjRevToColl!Q71-FY14RevToColl!Q71</f>
        <v>6060.6636298492231</v>
      </c>
      <c r="R71" s="457">
        <f>+FY15ProjRevToColl!R71-FY14RevToColl!R71</f>
        <v>0</v>
      </c>
      <c r="S71" s="457">
        <f>+FY15ProjRevToColl!S71-FY14RevToColl!S71</f>
        <v>3761.7912185271125</v>
      </c>
      <c r="T71" s="457">
        <f t="shared" si="6"/>
        <v>490704.76561675913</v>
      </c>
    </row>
    <row r="72" spans="1:20" s="18" customFormat="1" ht="20.100000000000001" customHeight="1">
      <c r="A72" s="404" t="s">
        <v>156</v>
      </c>
      <c r="B72" s="440" t="s">
        <v>77</v>
      </c>
      <c r="C72" s="410">
        <f>+FY15ProjRevToColl!C72-FY14RevToColl!C72</f>
        <v>0</v>
      </c>
      <c r="D72" s="410">
        <f>+FY15ProjRevToColl!D72-FY14RevToColl!D72</f>
        <v>0</v>
      </c>
      <c r="E72" s="410">
        <f>+FY15ProjRevToColl!E72-FY14RevToColl!E72</f>
        <v>0</v>
      </c>
      <c r="F72" s="410">
        <f>+FY15ProjRevToColl!F72-FY14RevToColl!F72</f>
        <v>0</v>
      </c>
      <c r="G72" s="410">
        <f>+FY15ProjRevToColl!G72-FY14RevToColl!G72</f>
        <v>0</v>
      </c>
      <c r="H72" s="410">
        <f>+FY15ProjRevToColl!H72-FY14RevToColl!H72</f>
        <v>0</v>
      </c>
      <c r="I72" s="410">
        <f>+FY15ProjRevToColl!I72-FY14RevToColl!I72</f>
        <v>0</v>
      </c>
      <c r="J72" s="410">
        <f>+FY15ProjRevToColl!J72-FY14RevToColl!J72</f>
        <v>0</v>
      </c>
      <c r="K72" s="410">
        <f>+FY15ProjRevToColl!K72-FY14RevToColl!K72</f>
        <v>0</v>
      </c>
      <c r="L72" s="410">
        <f>+FY15ProjRevToColl!L72-FY14RevToColl!L72</f>
        <v>0</v>
      </c>
      <c r="M72" s="410">
        <f>+FY15ProjRevToColl!M72-FY14RevToColl!M72</f>
        <v>458418.94489931036</v>
      </c>
      <c r="N72" s="410">
        <f>+FY15ProjRevToColl!N72-FY14RevToColl!N72</f>
        <v>0</v>
      </c>
      <c r="O72" s="410">
        <f>+FY15ProjRevToColl!O72-FY14RevToColl!O72</f>
        <v>0</v>
      </c>
      <c r="P72" s="410">
        <f>+FY15ProjRevToColl!P72-FY14RevToColl!P72</f>
        <v>0</v>
      </c>
      <c r="Q72" s="410">
        <f>+FY15ProjRevToColl!Q72-FY14RevToColl!Q72</f>
        <v>0</v>
      </c>
      <c r="R72" s="410">
        <f>+FY15ProjRevToColl!R72-FY14RevToColl!R72</f>
        <v>0</v>
      </c>
      <c r="S72" s="410">
        <f>+FY15ProjRevToColl!S72-FY14RevToColl!S72</f>
        <v>0</v>
      </c>
      <c r="T72" s="410">
        <f t="shared" si="6"/>
        <v>458418.94489931036</v>
      </c>
    </row>
    <row r="73" spans="1:20" ht="20.100000000000001" customHeight="1">
      <c r="A73" s="406" t="s">
        <v>163</v>
      </c>
      <c r="B73" s="458" t="s">
        <v>164</v>
      </c>
      <c r="C73" s="457">
        <f>+FY15ProjRevToColl!C73-FY14RevToColl!C73</f>
        <v>0</v>
      </c>
      <c r="D73" s="457">
        <f>+FY15ProjRevToColl!D73-FY14RevToColl!D73</f>
        <v>0</v>
      </c>
      <c r="E73" s="457">
        <f>+FY15ProjRevToColl!E73-FY14RevToColl!E73</f>
        <v>0</v>
      </c>
      <c r="F73" s="457">
        <f>+FY15ProjRevToColl!F73-FY14RevToColl!F73</f>
        <v>0</v>
      </c>
      <c r="G73" s="457">
        <f>+FY15ProjRevToColl!G73-FY14RevToColl!G73</f>
        <v>0</v>
      </c>
      <c r="H73" s="457">
        <f>+FY15ProjRevToColl!H73-FY14RevToColl!H73</f>
        <v>0</v>
      </c>
      <c r="I73" s="457">
        <f>+FY15ProjRevToColl!I73-FY14RevToColl!I73</f>
        <v>0</v>
      </c>
      <c r="J73" s="457">
        <f>+FY15ProjRevToColl!J73-FY14RevToColl!J73</f>
        <v>0</v>
      </c>
      <c r="K73" s="457">
        <f>+FY15ProjRevToColl!K73-FY14RevToColl!K73</f>
        <v>0</v>
      </c>
      <c r="L73" s="457">
        <f>+FY15ProjRevToColl!L73-FY14RevToColl!L73</f>
        <v>0</v>
      </c>
      <c r="M73" s="457">
        <f>+FY15ProjRevToColl!M73-FY14RevToColl!M73</f>
        <v>34193.445850002579</v>
      </c>
      <c r="N73" s="457">
        <f>+FY15ProjRevToColl!N73-FY14RevToColl!N73</f>
        <v>0</v>
      </c>
      <c r="O73" s="457">
        <f>+FY15ProjRevToColl!O73-FY14RevToColl!O73</f>
        <v>0</v>
      </c>
      <c r="P73" s="457">
        <f>+FY15ProjRevToColl!P73-FY14RevToColl!P73</f>
        <v>0</v>
      </c>
      <c r="Q73" s="457">
        <f>+FY15ProjRevToColl!Q73-FY14RevToColl!Q73</f>
        <v>0</v>
      </c>
      <c r="R73" s="457">
        <f>+FY15ProjRevToColl!R73-FY14RevToColl!R73</f>
        <v>0</v>
      </c>
      <c r="S73" s="457">
        <f>+FY15ProjRevToColl!S73-FY14RevToColl!S73</f>
        <v>0</v>
      </c>
      <c r="T73" s="457">
        <f t="shared" si="6"/>
        <v>34193.445850002579</v>
      </c>
    </row>
    <row r="74" spans="1:20" ht="20.100000000000001" customHeight="1">
      <c r="B74" s="459" t="s">
        <v>17</v>
      </c>
      <c r="C74" s="460">
        <f t="shared" ref="C74:S74" si="7">SUM(C53:C73)</f>
        <v>220873.02336153225</v>
      </c>
      <c r="D74" s="460">
        <f t="shared" si="7"/>
        <v>4242419.7941016788</v>
      </c>
      <c r="E74" s="460">
        <f t="shared" si="7"/>
        <v>672150.61496756738</v>
      </c>
      <c r="F74" s="460">
        <f t="shared" si="7"/>
        <v>200227.5154366155</v>
      </c>
      <c r="G74" s="460">
        <f t="shared" si="7"/>
        <v>879743.817855826</v>
      </c>
      <c r="H74" s="460">
        <f t="shared" si="7"/>
        <v>345025.53498994937</v>
      </c>
      <c r="I74" s="460">
        <f t="shared" si="7"/>
        <v>71407.424862485219</v>
      </c>
      <c r="J74" s="460">
        <f t="shared" si="7"/>
        <v>-41892.365050596243</v>
      </c>
      <c r="K74" s="460">
        <f t="shared" si="7"/>
        <v>147139.5465455525</v>
      </c>
      <c r="L74" s="460">
        <f t="shared" si="7"/>
        <v>119863.71707966671</v>
      </c>
      <c r="M74" s="460">
        <f t="shared" si="7"/>
        <v>492612.39074931294</v>
      </c>
      <c r="N74" s="460">
        <f t="shared" si="7"/>
        <v>719162.55233162828</v>
      </c>
      <c r="O74" s="460">
        <f t="shared" si="7"/>
        <v>167930.64606328955</v>
      </c>
      <c r="P74" s="460">
        <f t="shared" si="7"/>
        <v>248171.65723076064</v>
      </c>
      <c r="Q74" s="460">
        <f t="shared" si="7"/>
        <v>207859.80640405003</v>
      </c>
      <c r="R74" s="460">
        <f t="shared" si="7"/>
        <v>7038.0055859084086</v>
      </c>
      <c r="S74" s="460">
        <f t="shared" si="7"/>
        <v>106408.01396481246</v>
      </c>
      <c r="T74" s="460">
        <f t="shared" si="6"/>
        <v>8806141.6964800395</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5546875" defaultRowHeight="15"/>
  <cols>
    <col min="1" max="1" width="2.85546875" style="32" hidden="1" customWidth="1"/>
    <col min="2" max="2" width="41.85546875" style="32" customWidth="1"/>
    <col min="3" max="20" width="21.71093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91" ht="15.95" customHeight="1">
      <c r="B1" s="639" t="s">
        <v>239</v>
      </c>
      <c r="C1" s="639"/>
      <c r="D1" s="639"/>
      <c r="E1" s="639"/>
      <c r="F1" s="639"/>
    </row>
    <row r="2" spans="1:91" ht="60"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ht="18.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ht="24.75" customHeight="1">
      <c r="A4" s="400"/>
      <c r="B4" s="631" t="s">
        <v>111</v>
      </c>
      <c r="C4" s="631"/>
      <c r="D4" s="631"/>
      <c r="E4" s="631"/>
      <c r="F4" s="631"/>
      <c r="G4" s="631"/>
      <c r="H4" s="631"/>
      <c r="I4" s="631"/>
      <c r="J4" s="631"/>
      <c r="K4" s="631"/>
      <c r="L4" s="631"/>
      <c r="M4" s="631"/>
      <c r="N4" s="631"/>
      <c r="O4" s="631"/>
      <c r="P4" s="631"/>
      <c r="Q4" s="631"/>
      <c r="R4" s="631"/>
      <c r="S4" s="631"/>
      <c r="T4" s="631"/>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ht="20.100000000000001" customHeight="1">
      <c r="A5" s="411" t="s">
        <v>128</v>
      </c>
      <c r="B5" s="412" t="s">
        <v>21</v>
      </c>
      <c r="C5" s="413">
        <f t="shared" ref="C5:S19" si="0">+C29+C53</f>
        <v>4912175.9375885418</v>
      </c>
      <c r="D5" s="413">
        <f t="shared" si="0"/>
        <v>181387033.86895835</v>
      </c>
      <c r="E5" s="413">
        <f t="shared" si="0"/>
        <v>20584363.409674592</v>
      </c>
      <c r="F5" s="413">
        <f t="shared" si="0"/>
        <v>3200199.4513622625</v>
      </c>
      <c r="G5" s="413">
        <f t="shared" si="0"/>
        <v>24794775.533277534</v>
      </c>
      <c r="H5" s="413">
        <f t="shared" si="0"/>
        <v>13032239.291215383</v>
      </c>
      <c r="I5" s="413">
        <f t="shared" si="0"/>
        <v>3216320.8575877873</v>
      </c>
      <c r="J5" s="413">
        <f t="shared" si="0"/>
        <v>21107.398003535181</v>
      </c>
      <c r="K5" s="413">
        <f t="shared" si="0"/>
        <v>15076.712859667989</v>
      </c>
      <c r="L5" s="413">
        <f t="shared" si="0"/>
        <v>1046880.6851455488</v>
      </c>
      <c r="M5" s="413">
        <f t="shared" si="0"/>
        <v>12472.553365725336</v>
      </c>
      <c r="N5" s="413">
        <f t="shared" si="0"/>
        <v>6137340.9423646275</v>
      </c>
      <c r="O5" s="413">
        <f t="shared" si="0"/>
        <v>2937948.919128017</v>
      </c>
      <c r="P5" s="413">
        <f t="shared" si="0"/>
        <v>57702.691944729304</v>
      </c>
      <c r="Q5" s="413">
        <f t="shared" si="0"/>
        <v>3322969.675334095</v>
      </c>
      <c r="R5" s="413">
        <f t="shared" si="0"/>
        <v>2249709.1228140541</v>
      </c>
      <c r="S5" s="413">
        <f t="shared" si="0"/>
        <v>896580.32142932876</v>
      </c>
      <c r="T5" s="413">
        <f t="shared" ref="T5:T26" si="1">SUM(C5:S5)</f>
        <v>267824897.37205383</v>
      </c>
      <c r="V5"/>
      <c r="W5"/>
      <c r="X5" s="49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ht="20.100000000000001" customHeight="1">
      <c r="A6" s="401" t="s">
        <v>129</v>
      </c>
      <c r="B6" s="408" t="s">
        <v>35</v>
      </c>
      <c r="C6" s="410">
        <f t="shared" si="0"/>
        <v>94883.588256218514</v>
      </c>
      <c r="D6" s="410">
        <f t="shared" si="0"/>
        <v>9951034.941349078</v>
      </c>
      <c r="E6" s="410">
        <f t="shared" si="0"/>
        <v>345900.86427631736</v>
      </c>
      <c r="F6" s="410">
        <f t="shared" si="0"/>
        <v>9529.409298290504</v>
      </c>
      <c r="G6" s="410">
        <f t="shared" si="0"/>
        <v>574813.5363883815</v>
      </c>
      <c r="H6" s="410">
        <f t="shared" si="0"/>
        <v>12716.192277913629</v>
      </c>
      <c r="I6" s="410">
        <f t="shared" si="0"/>
        <v>213828.82358488836</v>
      </c>
      <c r="J6" s="410">
        <f t="shared" si="0"/>
        <v>9473.828335123002</v>
      </c>
      <c r="K6" s="410">
        <f t="shared" si="0"/>
        <v>86098.829771150849</v>
      </c>
      <c r="L6" s="410">
        <f t="shared" si="0"/>
        <v>1113.8270608391499</v>
      </c>
      <c r="M6" s="410">
        <f t="shared" si="0"/>
        <v>30.939640578865273</v>
      </c>
      <c r="N6" s="410">
        <f t="shared" si="0"/>
        <v>2007076.9805206514</v>
      </c>
      <c r="O6" s="410">
        <f t="shared" si="0"/>
        <v>4676.0846060688082</v>
      </c>
      <c r="P6" s="410">
        <f t="shared" si="0"/>
        <v>279665.8357061703</v>
      </c>
      <c r="Q6" s="410">
        <f t="shared" si="0"/>
        <v>33544.868705480192</v>
      </c>
      <c r="R6" s="410">
        <f t="shared" si="0"/>
        <v>0</v>
      </c>
      <c r="S6" s="410">
        <f t="shared" si="0"/>
        <v>1241103.210048805</v>
      </c>
      <c r="T6" s="410">
        <f t="shared" si="1"/>
        <v>14865491.75982596</v>
      </c>
      <c r="V6"/>
      <c r="W6" s="497"/>
      <c r="X6" s="495"/>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ht="20.100000000000001" customHeight="1">
      <c r="A7" s="401" t="s">
        <v>140</v>
      </c>
      <c r="B7" s="414" t="s">
        <v>36</v>
      </c>
      <c r="C7" s="415">
        <f t="shared" si="0"/>
        <v>152.83782423371071</v>
      </c>
      <c r="D7" s="415">
        <f t="shared" si="0"/>
        <v>11411.890876117066</v>
      </c>
      <c r="E7" s="415">
        <f t="shared" si="0"/>
        <v>0</v>
      </c>
      <c r="F7" s="415">
        <f t="shared" si="0"/>
        <v>1171.7566524584488</v>
      </c>
      <c r="G7" s="415">
        <f t="shared" si="0"/>
        <v>0</v>
      </c>
      <c r="H7" s="415">
        <f t="shared" si="0"/>
        <v>0</v>
      </c>
      <c r="I7" s="415">
        <f t="shared" si="0"/>
        <v>611.35129693484282</v>
      </c>
      <c r="J7" s="415">
        <f t="shared" si="0"/>
        <v>152.83782423371071</v>
      </c>
      <c r="K7" s="415">
        <f t="shared" si="0"/>
        <v>203.78376564494761</v>
      </c>
      <c r="L7" s="415">
        <f t="shared" si="0"/>
        <v>306505.70708859636</v>
      </c>
      <c r="M7" s="415">
        <f t="shared" si="0"/>
        <v>0</v>
      </c>
      <c r="N7" s="415">
        <f t="shared" si="0"/>
        <v>945771.00577031227</v>
      </c>
      <c r="O7" s="415">
        <f t="shared" si="0"/>
        <v>0</v>
      </c>
      <c r="P7" s="415">
        <f t="shared" si="0"/>
        <v>0</v>
      </c>
      <c r="Q7" s="415">
        <f t="shared" si="0"/>
        <v>3871.8915472540043</v>
      </c>
      <c r="R7" s="415">
        <f t="shared" si="0"/>
        <v>0</v>
      </c>
      <c r="S7" s="415">
        <f t="shared" si="0"/>
        <v>101.8918828224738</v>
      </c>
      <c r="T7" s="415">
        <f t="shared" si="1"/>
        <v>1269954.9545286077</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ht="20.100000000000001" customHeight="1">
      <c r="A8" s="401" t="s">
        <v>130</v>
      </c>
      <c r="B8" s="408" t="s">
        <v>37</v>
      </c>
      <c r="C8" s="410">
        <f t="shared" si="0"/>
        <v>7502.6264093240834</v>
      </c>
      <c r="D8" s="410">
        <f t="shared" si="0"/>
        <v>153290.499786114</v>
      </c>
      <c r="E8" s="410">
        <f t="shared" si="0"/>
        <v>24231.457940408738</v>
      </c>
      <c r="F8" s="410">
        <f t="shared" si="0"/>
        <v>11946.001667103363</v>
      </c>
      <c r="G8" s="410">
        <f t="shared" si="0"/>
        <v>7084642.5186479622</v>
      </c>
      <c r="H8" s="410">
        <f t="shared" si="0"/>
        <v>19106.126932510124</v>
      </c>
      <c r="I8" s="410">
        <f t="shared" si="0"/>
        <v>4121.0867198577625</v>
      </c>
      <c r="J8" s="410">
        <f t="shared" si="0"/>
        <v>35044.879918213825</v>
      </c>
      <c r="K8" s="410">
        <f t="shared" si="0"/>
        <v>2933.9622880026864</v>
      </c>
      <c r="L8" s="410">
        <f t="shared" si="0"/>
        <v>5250.6198714407328</v>
      </c>
      <c r="M8" s="410">
        <f t="shared" si="0"/>
        <v>0</v>
      </c>
      <c r="N8" s="410">
        <f t="shared" si="0"/>
        <v>90695.193435716457</v>
      </c>
      <c r="O8" s="410">
        <f t="shared" si="0"/>
        <v>429653.59480734949</v>
      </c>
      <c r="P8" s="410">
        <f t="shared" si="0"/>
        <v>569.81972729043662</v>
      </c>
      <c r="Q8" s="410">
        <f t="shared" si="0"/>
        <v>85369.816215723113</v>
      </c>
      <c r="R8" s="410">
        <f t="shared" si="0"/>
        <v>3968.5254850372503</v>
      </c>
      <c r="S8" s="410">
        <f t="shared" si="0"/>
        <v>82898.034204675234</v>
      </c>
      <c r="T8" s="410">
        <f t="shared" si="1"/>
        <v>8041224.7640567273</v>
      </c>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ht="20.100000000000001" customHeight="1">
      <c r="A9" s="416" t="s">
        <v>131</v>
      </c>
      <c r="B9" s="414" t="s">
        <v>141</v>
      </c>
      <c r="C9" s="415">
        <f t="shared" si="0"/>
        <v>525.95646916250246</v>
      </c>
      <c r="D9" s="415">
        <f t="shared" si="0"/>
        <v>67742.043596503732</v>
      </c>
      <c r="E9" s="415">
        <f t="shared" si="0"/>
        <v>350.63764610833493</v>
      </c>
      <c r="F9" s="415">
        <f t="shared" si="0"/>
        <v>1490.2099959604236</v>
      </c>
      <c r="G9" s="415">
        <f t="shared" si="0"/>
        <v>6315.7887485497213</v>
      </c>
      <c r="H9" s="415">
        <f t="shared" si="0"/>
        <v>3591951.4467674815</v>
      </c>
      <c r="I9" s="415">
        <f t="shared" si="0"/>
        <v>43.829705763541867</v>
      </c>
      <c r="J9" s="415">
        <f t="shared" si="0"/>
        <v>3466.8578739195</v>
      </c>
      <c r="K9" s="415">
        <f t="shared" si="0"/>
        <v>13472.964143806124</v>
      </c>
      <c r="L9" s="415">
        <f t="shared" si="0"/>
        <v>0</v>
      </c>
      <c r="M9" s="415">
        <f t="shared" si="0"/>
        <v>0</v>
      </c>
      <c r="N9" s="415">
        <f t="shared" si="0"/>
        <v>1665.5288190145909</v>
      </c>
      <c r="O9" s="415">
        <f t="shared" si="0"/>
        <v>0</v>
      </c>
      <c r="P9" s="415">
        <f t="shared" si="0"/>
        <v>0</v>
      </c>
      <c r="Q9" s="415">
        <f t="shared" si="0"/>
        <v>920.42382103437922</v>
      </c>
      <c r="R9" s="415">
        <f t="shared" si="0"/>
        <v>0</v>
      </c>
      <c r="S9" s="415">
        <f t="shared" si="0"/>
        <v>9528.2906250873566</v>
      </c>
      <c r="T9" s="415">
        <f t="shared" si="1"/>
        <v>3697473.978212392</v>
      </c>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ht="20.100000000000001" customHeight="1">
      <c r="A10" s="401" t="s">
        <v>132</v>
      </c>
      <c r="B10" s="408" t="s">
        <v>206</v>
      </c>
      <c r="C10" s="410">
        <f t="shared" si="0"/>
        <v>269.47205076710122</v>
      </c>
      <c r="D10" s="410">
        <f t="shared" si="0"/>
        <v>45676.185164218587</v>
      </c>
      <c r="E10" s="410">
        <f t="shared" si="0"/>
        <v>179.64803384473413</v>
      </c>
      <c r="F10" s="410">
        <f t="shared" si="0"/>
        <v>4637748.0571680004</v>
      </c>
      <c r="G10" s="410">
        <f t="shared" si="0"/>
        <v>224.56004230591768</v>
      </c>
      <c r="H10" s="410">
        <f t="shared" si="0"/>
        <v>8353.6335737801364</v>
      </c>
      <c r="I10" s="410">
        <f t="shared" si="0"/>
        <v>583.85610999538596</v>
      </c>
      <c r="J10" s="410">
        <f t="shared" si="0"/>
        <v>0</v>
      </c>
      <c r="K10" s="410">
        <f t="shared" si="0"/>
        <v>6781.7132776387134</v>
      </c>
      <c r="L10" s="410">
        <f t="shared" si="0"/>
        <v>3143.8405922828474</v>
      </c>
      <c r="M10" s="410">
        <f t="shared" si="0"/>
        <v>0</v>
      </c>
      <c r="N10" s="410">
        <f t="shared" si="0"/>
        <v>1347.360253835506</v>
      </c>
      <c r="O10" s="410">
        <f t="shared" si="0"/>
        <v>269.47205076710122</v>
      </c>
      <c r="P10" s="410">
        <f t="shared" si="0"/>
        <v>0</v>
      </c>
      <c r="Q10" s="410">
        <f t="shared" si="0"/>
        <v>988.06418614603774</v>
      </c>
      <c r="R10" s="410">
        <f t="shared" si="0"/>
        <v>0</v>
      </c>
      <c r="S10" s="410">
        <f t="shared" si="0"/>
        <v>1437.184270757873</v>
      </c>
      <c r="T10" s="410">
        <f t="shared" si="1"/>
        <v>4707003.0467743408</v>
      </c>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ht="20.100000000000001" customHeight="1">
      <c r="A12" s="401" t="s">
        <v>135</v>
      </c>
      <c r="B12" s="408" t="s">
        <v>70</v>
      </c>
      <c r="C12" s="410">
        <f t="shared" si="0"/>
        <v>0</v>
      </c>
      <c r="D12" s="410">
        <f t="shared" si="0"/>
        <v>2939.4736088547334</v>
      </c>
      <c r="E12" s="410">
        <f t="shared" si="0"/>
        <v>0</v>
      </c>
      <c r="F12" s="410">
        <f t="shared" si="0"/>
        <v>169.58501589546538</v>
      </c>
      <c r="G12" s="410">
        <f t="shared" si="0"/>
        <v>0</v>
      </c>
      <c r="H12" s="410">
        <f t="shared" si="0"/>
        <v>0</v>
      </c>
      <c r="I12" s="410">
        <f t="shared" si="0"/>
        <v>0</v>
      </c>
      <c r="J12" s="410">
        <f t="shared" si="0"/>
        <v>56.528338631821796</v>
      </c>
      <c r="K12" s="410">
        <f t="shared" si="0"/>
        <v>7510.8655994120327</v>
      </c>
      <c r="L12" s="410">
        <f t="shared" si="0"/>
        <v>2645973.7704100246</v>
      </c>
      <c r="M12" s="410">
        <f t="shared" si="0"/>
        <v>452.22670905457437</v>
      </c>
      <c r="N12" s="410">
        <f t="shared" si="0"/>
        <v>8980.6024038393989</v>
      </c>
      <c r="O12" s="410">
        <f t="shared" si="0"/>
        <v>0</v>
      </c>
      <c r="P12" s="410">
        <f t="shared" si="0"/>
        <v>0</v>
      </c>
      <c r="Q12" s="410">
        <f t="shared" si="0"/>
        <v>17494.171221383691</v>
      </c>
      <c r="R12" s="410">
        <f t="shared" si="0"/>
        <v>0</v>
      </c>
      <c r="S12" s="410">
        <f t="shared" si="0"/>
        <v>2932.0701702344672</v>
      </c>
      <c r="T12" s="410">
        <f t="shared" si="1"/>
        <v>2686509.2934773313</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ht="20.100000000000001" customHeight="1">
      <c r="A13" s="416" t="s">
        <v>136</v>
      </c>
      <c r="B13" s="414" t="s">
        <v>144</v>
      </c>
      <c r="C13" s="415">
        <f t="shared" si="0"/>
        <v>198.6985234585089</v>
      </c>
      <c r="D13" s="415">
        <f t="shared" si="0"/>
        <v>30698.921874339627</v>
      </c>
      <c r="E13" s="415">
        <f t="shared" si="0"/>
        <v>99.349261729254451</v>
      </c>
      <c r="F13" s="415">
        <f t="shared" si="0"/>
        <v>149.0238925938817</v>
      </c>
      <c r="G13" s="415">
        <f t="shared" si="0"/>
        <v>2334.7076506374797</v>
      </c>
      <c r="H13" s="415">
        <f t="shared" si="0"/>
        <v>1589.5881876680712</v>
      </c>
      <c r="I13" s="415">
        <f t="shared" si="0"/>
        <v>49.674630864627225</v>
      </c>
      <c r="J13" s="415">
        <f t="shared" si="0"/>
        <v>149.0238925938817</v>
      </c>
      <c r="K13" s="415">
        <f t="shared" si="0"/>
        <v>1788.2867111265803</v>
      </c>
      <c r="L13" s="415">
        <f t="shared" si="0"/>
        <v>546.42093951089953</v>
      </c>
      <c r="M13" s="415">
        <f t="shared" si="0"/>
        <v>49.674630864627225</v>
      </c>
      <c r="N13" s="415">
        <f t="shared" si="0"/>
        <v>42311.005363844546</v>
      </c>
      <c r="O13" s="415">
        <f t="shared" si="0"/>
        <v>149.0238925938817</v>
      </c>
      <c r="P13" s="415">
        <f t="shared" si="0"/>
        <v>4669.4153012749593</v>
      </c>
      <c r="Q13" s="415">
        <f t="shared" si="0"/>
        <v>2402237.4965759395</v>
      </c>
      <c r="R13" s="415">
        <f t="shared" si="0"/>
        <v>0</v>
      </c>
      <c r="S13" s="415">
        <f t="shared" si="0"/>
        <v>7018.717806731006</v>
      </c>
      <c r="T13" s="415">
        <f t="shared" si="1"/>
        <v>2494039.0291357711</v>
      </c>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ht="20.100000000000001" customHeight="1">
      <c r="A14" s="401" t="s">
        <v>137</v>
      </c>
      <c r="B14" s="408" t="s">
        <v>49</v>
      </c>
      <c r="C14" s="410">
        <f t="shared" si="0"/>
        <v>5720.3518944915832</v>
      </c>
      <c r="D14" s="410">
        <f t="shared" si="0"/>
        <v>25945.967180447828</v>
      </c>
      <c r="E14" s="410">
        <f t="shared" si="0"/>
        <v>299.60333087182551</v>
      </c>
      <c r="F14" s="410">
        <f t="shared" si="0"/>
        <v>0</v>
      </c>
      <c r="G14" s="410">
        <f t="shared" si="0"/>
        <v>8148.254418870446</v>
      </c>
      <c r="H14" s="410">
        <f t="shared" si="0"/>
        <v>149.80166543591275</v>
      </c>
      <c r="I14" s="410">
        <f t="shared" si="0"/>
        <v>0</v>
      </c>
      <c r="J14" s="410">
        <f t="shared" si="0"/>
        <v>5270.9468981838454</v>
      </c>
      <c r="K14" s="410">
        <f t="shared" si="0"/>
        <v>3666.9535337025027</v>
      </c>
      <c r="L14" s="410">
        <f t="shared" si="0"/>
        <v>31884.647034138554</v>
      </c>
      <c r="M14" s="410">
        <f t="shared" si="0"/>
        <v>149.80166543591275</v>
      </c>
      <c r="N14" s="410">
        <f t="shared" si="0"/>
        <v>257390.33709630239</v>
      </c>
      <c r="O14" s="410">
        <f t="shared" si="0"/>
        <v>2243.8377120613313</v>
      </c>
      <c r="P14" s="410">
        <f t="shared" si="0"/>
        <v>823.90915989752011</v>
      </c>
      <c r="Q14" s="410">
        <f t="shared" si="0"/>
        <v>866875.14608706953</v>
      </c>
      <c r="R14" s="410">
        <f t="shared" si="0"/>
        <v>0</v>
      </c>
      <c r="S14" s="410">
        <f t="shared" si="0"/>
        <v>20927.611388344751</v>
      </c>
      <c r="T14" s="410">
        <f t="shared" si="1"/>
        <v>1229497.169065254</v>
      </c>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ht="20.100000000000001" customHeight="1">
      <c r="A15" s="401" t="s">
        <v>138</v>
      </c>
      <c r="B15" s="414" t="s">
        <v>207</v>
      </c>
      <c r="C15" s="415">
        <f t="shared" si="0"/>
        <v>4076458.6861151825</v>
      </c>
      <c r="D15" s="415">
        <f t="shared" si="0"/>
        <v>18459.74695077342</v>
      </c>
      <c r="E15" s="415">
        <f t="shared" si="0"/>
        <v>10467.110791567153</v>
      </c>
      <c r="F15" s="415">
        <f t="shared" si="0"/>
        <v>198.89009857127584</v>
      </c>
      <c r="G15" s="415">
        <f t="shared" si="0"/>
        <v>16624.936114089996</v>
      </c>
      <c r="H15" s="415">
        <f t="shared" si="0"/>
        <v>22297.187789964712</v>
      </c>
      <c r="I15" s="415">
        <f t="shared" si="0"/>
        <v>0</v>
      </c>
      <c r="J15" s="415">
        <f t="shared" si="0"/>
        <v>0</v>
      </c>
      <c r="K15" s="415">
        <f t="shared" si="0"/>
        <v>28948.354492322393</v>
      </c>
      <c r="L15" s="415">
        <f t="shared" si="0"/>
        <v>0</v>
      </c>
      <c r="M15" s="415">
        <f t="shared" si="0"/>
        <v>0</v>
      </c>
      <c r="N15" s="415">
        <f t="shared" si="0"/>
        <v>1193.340591427655</v>
      </c>
      <c r="O15" s="415">
        <f t="shared" si="0"/>
        <v>0</v>
      </c>
      <c r="P15" s="415">
        <f t="shared" si="0"/>
        <v>0</v>
      </c>
      <c r="Q15" s="415">
        <f t="shared" si="0"/>
        <v>1127.0438919038963</v>
      </c>
      <c r="R15" s="415">
        <f t="shared" si="0"/>
        <v>0</v>
      </c>
      <c r="S15" s="415">
        <f t="shared" si="0"/>
        <v>61578.253225228436</v>
      </c>
      <c r="T15" s="415">
        <f t="shared" si="1"/>
        <v>4237353.5500610322</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ht="20.100000000000001" customHeight="1">
      <c r="A16" s="401" t="s">
        <v>147</v>
      </c>
      <c r="B16" s="408" t="s">
        <v>208</v>
      </c>
      <c r="C16" s="410">
        <f t="shared" si="0"/>
        <v>0</v>
      </c>
      <c r="D16" s="410">
        <f t="shared" si="0"/>
        <v>3447.4585081364112</v>
      </c>
      <c r="E16" s="410">
        <f t="shared" si="0"/>
        <v>0</v>
      </c>
      <c r="F16" s="410">
        <f t="shared" si="0"/>
        <v>0</v>
      </c>
      <c r="G16" s="410">
        <f t="shared" si="0"/>
        <v>507521.79713024409</v>
      </c>
      <c r="H16" s="410">
        <f t="shared" si="0"/>
        <v>745.39643419165645</v>
      </c>
      <c r="I16" s="410">
        <f t="shared" si="0"/>
        <v>0</v>
      </c>
      <c r="J16" s="410">
        <f t="shared" si="0"/>
        <v>0</v>
      </c>
      <c r="K16" s="410">
        <f t="shared" si="0"/>
        <v>0</v>
      </c>
      <c r="L16" s="410">
        <f t="shared" si="0"/>
        <v>0</v>
      </c>
      <c r="M16" s="410">
        <f t="shared" si="0"/>
        <v>0</v>
      </c>
      <c r="N16" s="410">
        <f t="shared" si="0"/>
        <v>8199.3607761082221</v>
      </c>
      <c r="O16" s="410">
        <f t="shared" si="0"/>
        <v>0</v>
      </c>
      <c r="P16" s="410">
        <f t="shared" si="0"/>
        <v>0</v>
      </c>
      <c r="Q16" s="410">
        <f t="shared" si="0"/>
        <v>838.5709884656136</v>
      </c>
      <c r="R16" s="410">
        <f t="shared" si="0"/>
        <v>0</v>
      </c>
      <c r="S16" s="410">
        <f t="shared" si="0"/>
        <v>93.174554273957057</v>
      </c>
      <c r="T16" s="410">
        <f t="shared" si="1"/>
        <v>520845.75839141995</v>
      </c>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ht="20.100000000000001" customHeight="1">
      <c r="A17" s="416" t="s">
        <v>148</v>
      </c>
      <c r="B17" s="414" t="s">
        <v>39</v>
      </c>
      <c r="C17" s="415">
        <f t="shared" si="0"/>
        <v>68708.19533488345</v>
      </c>
      <c r="D17" s="415">
        <f t="shared" si="0"/>
        <v>278648.25364537485</v>
      </c>
      <c r="E17" s="415">
        <f t="shared" si="0"/>
        <v>21125.373305214791</v>
      </c>
      <c r="F17" s="415">
        <f t="shared" si="0"/>
        <v>6278.5200382631374</v>
      </c>
      <c r="G17" s="415">
        <f t="shared" si="0"/>
        <v>2068.2183655455042</v>
      </c>
      <c r="H17" s="415">
        <f t="shared" si="0"/>
        <v>151984.78727604102</v>
      </c>
      <c r="I17" s="415">
        <f t="shared" si="0"/>
        <v>25625.282226128224</v>
      </c>
      <c r="J17" s="415">
        <f t="shared" si="0"/>
        <v>2511.408015305255</v>
      </c>
      <c r="K17" s="415">
        <f t="shared" si="0"/>
        <v>3974014.2546323845</v>
      </c>
      <c r="L17" s="415">
        <f t="shared" si="0"/>
        <v>30795.82813999198</v>
      </c>
      <c r="M17" s="415">
        <f t="shared" si="0"/>
        <v>0</v>
      </c>
      <c r="N17" s="415">
        <f t="shared" si="0"/>
        <v>14051.342014887756</v>
      </c>
      <c r="O17" s="415">
        <f t="shared" si="0"/>
        <v>0</v>
      </c>
      <c r="P17" s="415">
        <f t="shared" si="0"/>
        <v>0</v>
      </c>
      <c r="Q17" s="415">
        <f t="shared" si="0"/>
        <v>83432.823377325316</v>
      </c>
      <c r="R17" s="415">
        <f t="shared" si="0"/>
        <v>0</v>
      </c>
      <c r="S17" s="415">
        <f t="shared" si="0"/>
        <v>3110.8291012327463</v>
      </c>
      <c r="T17" s="415">
        <f t="shared" si="1"/>
        <v>4662355.1154725784</v>
      </c>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ht="20.100000000000001" customHeight="1">
      <c r="A18" s="401" t="s">
        <v>149</v>
      </c>
      <c r="B18" s="408" t="s">
        <v>38</v>
      </c>
      <c r="C18" s="410">
        <f t="shared" si="0"/>
        <v>749.843473260775</v>
      </c>
      <c r="D18" s="410">
        <f t="shared" si="0"/>
        <v>25897.568493402119</v>
      </c>
      <c r="E18" s="410">
        <f t="shared" si="0"/>
        <v>4351146.4847271824</v>
      </c>
      <c r="F18" s="410">
        <f t="shared" si="0"/>
        <v>0</v>
      </c>
      <c r="G18" s="410">
        <f t="shared" si="0"/>
        <v>2332.8463612557443</v>
      </c>
      <c r="H18" s="410">
        <f t="shared" si="0"/>
        <v>15528.15610616923</v>
      </c>
      <c r="I18" s="410">
        <f t="shared" si="0"/>
        <v>666.52753178735554</v>
      </c>
      <c r="J18" s="410">
        <f t="shared" si="0"/>
        <v>5037.1921329340439</v>
      </c>
      <c r="K18" s="410">
        <f t="shared" si="0"/>
        <v>2582.7941856760031</v>
      </c>
      <c r="L18" s="410">
        <f t="shared" si="0"/>
        <v>0</v>
      </c>
      <c r="M18" s="410">
        <f t="shared" si="0"/>
        <v>0</v>
      </c>
      <c r="N18" s="410">
        <f t="shared" si="0"/>
        <v>416.57970736709723</v>
      </c>
      <c r="O18" s="410">
        <f t="shared" si="0"/>
        <v>0</v>
      </c>
      <c r="P18" s="410">
        <f t="shared" si="0"/>
        <v>0</v>
      </c>
      <c r="Q18" s="410">
        <f t="shared" si="0"/>
        <v>666.52753178735554</v>
      </c>
      <c r="R18" s="410">
        <f t="shared" si="0"/>
        <v>0</v>
      </c>
      <c r="S18" s="410">
        <f t="shared" si="0"/>
        <v>40297.537063472351</v>
      </c>
      <c r="T18" s="410">
        <f t="shared" si="1"/>
        <v>4445322.0573142953</v>
      </c>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ht="20.100000000000001" customHeight="1">
      <c r="A19" s="401" t="s">
        <v>150</v>
      </c>
      <c r="B19" s="414" t="s">
        <v>31</v>
      </c>
      <c r="C19" s="415">
        <f t="shared" si="0"/>
        <v>3682.2658804707885</v>
      </c>
      <c r="D19" s="415">
        <f t="shared" si="0"/>
        <v>37353.582979719133</v>
      </c>
      <c r="E19" s="415">
        <f t="shared" si="0"/>
        <v>63982.100424080105</v>
      </c>
      <c r="F19" s="415">
        <f t="shared" si="0"/>
        <v>0</v>
      </c>
      <c r="G19" s="415">
        <f t="shared" si="0"/>
        <v>20596.371455953853</v>
      </c>
      <c r="H19" s="415">
        <f t="shared" si="0"/>
        <v>12408.752757027258</v>
      </c>
      <c r="I19" s="415">
        <f t="shared" si="0"/>
        <v>23507.848415678887</v>
      </c>
      <c r="J19" s="415">
        <f t="shared" si="0"/>
        <v>10140326.921274455</v>
      </c>
      <c r="K19" s="415">
        <f t="shared" si="0"/>
        <v>31927.387857721373</v>
      </c>
      <c r="L19" s="415">
        <f t="shared" si="0"/>
        <v>269.43408881493576</v>
      </c>
      <c r="M19" s="415">
        <f t="shared" si="0"/>
        <v>0</v>
      </c>
      <c r="N19" s="415">
        <f t="shared" si="0"/>
        <v>1077.736355259743</v>
      </c>
      <c r="O19" s="415">
        <f t="shared" si="0"/>
        <v>0</v>
      </c>
      <c r="P19" s="415">
        <f t="shared" si="0"/>
        <v>0</v>
      </c>
      <c r="Q19" s="415">
        <f t="shared" si="0"/>
        <v>6196.984042743522</v>
      </c>
      <c r="R19" s="415">
        <f t="shared" si="0"/>
        <v>0</v>
      </c>
      <c r="S19" s="415">
        <f t="shared" si="0"/>
        <v>0</v>
      </c>
      <c r="T19" s="415">
        <f t="shared" si="1"/>
        <v>10341329.385531927</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ht="20.100000000000001" customHeight="1">
      <c r="A20" s="401" t="s">
        <v>151</v>
      </c>
      <c r="B20" s="408" t="s">
        <v>209</v>
      </c>
      <c r="C20" s="410">
        <f t="shared" ref="C20:S25" si="2">+C44+C68</f>
        <v>0</v>
      </c>
      <c r="D20" s="410">
        <f t="shared" si="2"/>
        <v>8740.5652230360683</v>
      </c>
      <c r="E20" s="410">
        <f t="shared" si="2"/>
        <v>0</v>
      </c>
      <c r="F20" s="410">
        <f t="shared" si="2"/>
        <v>0</v>
      </c>
      <c r="G20" s="410">
        <f t="shared" si="2"/>
        <v>0</v>
      </c>
      <c r="H20" s="410">
        <f t="shared" si="2"/>
        <v>0</v>
      </c>
      <c r="I20" s="410">
        <f t="shared" si="2"/>
        <v>294.62579403492362</v>
      </c>
      <c r="J20" s="410">
        <f t="shared" si="2"/>
        <v>1174378.4150232056</v>
      </c>
      <c r="K20" s="410">
        <f t="shared" si="2"/>
        <v>2749.8407443259539</v>
      </c>
      <c r="L20" s="410">
        <f t="shared" si="2"/>
        <v>0</v>
      </c>
      <c r="M20" s="410">
        <f t="shared" si="2"/>
        <v>0</v>
      </c>
      <c r="N20" s="410">
        <f t="shared" si="2"/>
        <v>0</v>
      </c>
      <c r="O20" s="410">
        <f t="shared" si="2"/>
        <v>0</v>
      </c>
      <c r="P20" s="410">
        <f t="shared" si="2"/>
        <v>0</v>
      </c>
      <c r="Q20" s="410">
        <f t="shared" si="2"/>
        <v>196.41719602328243</v>
      </c>
      <c r="R20" s="410">
        <f t="shared" si="2"/>
        <v>0</v>
      </c>
      <c r="S20" s="410">
        <f t="shared" si="2"/>
        <v>0</v>
      </c>
      <c r="T20" s="410">
        <f t="shared" si="1"/>
        <v>1186359.8639806258</v>
      </c>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ht="20.100000000000001" customHeight="1">
      <c r="A21" s="416" t="s">
        <v>153</v>
      </c>
      <c r="B21" s="414" t="s">
        <v>210</v>
      </c>
      <c r="C21" s="415">
        <f t="shared" si="2"/>
        <v>0</v>
      </c>
      <c r="D21" s="415">
        <f t="shared" si="2"/>
        <v>1309.230710545693</v>
      </c>
      <c r="E21" s="415">
        <f t="shared" si="2"/>
        <v>0</v>
      </c>
      <c r="F21" s="415">
        <f t="shared" si="2"/>
        <v>0</v>
      </c>
      <c r="G21" s="415">
        <f t="shared" si="2"/>
        <v>0</v>
      </c>
      <c r="H21" s="415">
        <f t="shared" si="2"/>
        <v>93.516479324692355</v>
      </c>
      <c r="I21" s="415">
        <f t="shared" si="2"/>
        <v>0</v>
      </c>
      <c r="J21" s="415">
        <f t="shared" si="2"/>
        <v>0</v>
      </c>
      <c r="K21" s="415">
        <f t="shared" si="2"/>
        <v>1870.329586493847</v>
      </c>
      <c r="L21" s="415">
        <f t="shared" si="2"/>
        <v>1122.1977518963083</v>
      </c>
      <c r="M21" s="415">
        <f t="shared" si="2"/>
        <v>187.03295864938471</v>
      </c>
      <c r="N21" s="415">
        <f t="shared" si="2"/>
        <v>2805.4943797407705</v>
      </c>
      <c r="O21" s="415">
        <f t="shared" si="2"/>
        <v>1074681.17860162</v>
      </c>
      <c r="P21" s="415">
        <f t="shared" si="2"/>
        <v>5517.4722801568487</v>
      </c>
      <c r="Q21" s="415">
        <f t="shared" si="2"/>
        <v>19648.662455929902</v>
      </c>
      <c r="R21" s="415">
        <f t="shared" si="2"/>
        <v>0</v>
      </c>
      <c r="S21" s="415">
        <f t="shared" si="2"/>
        <v>0</v>
      </c>
      <c r="T21" s="415">
        <f t="shared" si="1"/>
        <v>1107235.1152043573</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ht="20.100000000000001" customHeight="1">
      <c r="A22" s="401" t="s">
        <v>155</v>
      </c>
      <c r="B22" s="408" t="s">
        <v>42</v>
      </c>
      <c r="C22" s="410">
        <f t="shared" si="2"/>
        <v>0</v>
      </c>
      <c r="D22" s="410">
        <f t="shared" si="2"/>
        <v>2569.7185518207434</v>
      </c>
      <c r="E22" s="410">
        <f t="shared" si="2"/>
        <v>0</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71.38107088390953</v>
      </c>
      <c r="N22" s="410">
        <f t="shared" si="2"/>
        <v>152398.58633714684</v>
      </c>
      <c r="O22" s="410">
        <f t="shared" si="2"/>
        <v>6210.1531669001288</v>
      </c>
      <c r="P22" s="410">
        <f t="shared" si="2"/>
        <v>6588401.4615139654</v>
      </c>
      <c r="Q22" s="410">
        <f t="shared" si="2"/>
        <v>11064.065987005977</v>
      </c>
      <c r="R22" s="410">
        <f t="shared" si="2"/>
        <v>0</v>
      </c>
      <c r="S22" s="410">
        <f t="shared" si="2"/>
        <v>0</v>
      </c>
      <c r="T22" s="410">
        <f t="shared" si="1"/>
        <v>6761215.0341239106</v>
      </c>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ht="20.100000000000001" customHeight="1">
      <c r="A23" s="401" t="s">
        <v>162</v>
      </c>
      <c r="B23" s="414" t="s">
        <v>76</v>
      </c>
      <c r="C23" s="415">
        <f t="shared" si="2"/>
        <v>0</v>
      </c>
      <c r="D23" s="415">
        <f t="shared" si="2"/>
        <v>1181.3929632838688</v>
      </c>
      <c r="E23" s="415">
        <f t="shared" si="2"/>
        <v>0</v>
      </c>
      <c r="F23" s="415">
        <f t="shared" si="2"/>
        <v>0</v>
      </c>
      <c r="G23" s="415">
        <f t="shared" si="2"/>
        <v>27193.841262460686</v>
      </c>
      <c r="H23" s="415">
        <f t="shared" si="2"/>
        <v>0</v>
      </c>
      <c r="I23" s="415">
        <f t="shared" si="2"/>
        <v>0</v>
      </c>
      <c r="J23" s="415">
        <f t="shared" si="2"/>
        <v>0</v>
      </c>
      <c r="K23" s="415">
        <f t="shared" si="2"/>
        <v>0</v>
      </c>
      <c r="L23" s="415">
        <f t="shared" si="2"/>
        <v>0</v>
      </c>
      <c r="M23" s="415">
        <f t="shared" si="2"/>
        <v>196.89882721397814</v>
      </c>
      <c r="N23" s="415">
        <f t="shared" si="2"/>
        <v>13055938.923149245</v>
      </c>
      <c r="O23" s="415">
        <f t="shared" si="2"/>
        <v>0</v>
      </c>
      <c r="P23" s="415">
        <f t="shared" si="2"/>
        <v>0</v>
      </c>
      <c r="Q23" s="415">
        <f t="shared" si="2"/>
        <v>136031.20540355283</v>
      </c>
      <c r="R23" s="415">
        <f t="shared" si="2"/>
        <v>0</v>
      </c>
      <c r="S23" s="415">
        <f t="shared" si="2"/>
        <v>81778.422614596042</v>
      </c>
      <c r="T23" s="415">
        <f t="shared" si="1"/>
        <v>13302320.684220353</v>
      </c>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ht="20.100000000000001" customHeight="1">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5448087.7070760494</v>
      </c>
      <c r="N24" s="410">
        <f t="shared" si="2"/>
        <v>147760.72964195878</v>
      </c>
      <c r="O24" s="410">
        <f t="shared" si="2"/>
        <v>0</v>
      </c>
      <c r="P24" s="410">
        <f t="shared" si="2"/>
        <v>0</v>
      </c>
      <c r="Q24" s="410">
        <f t="shared" si="2"/>
        <v>0</v>
      </c>
      <c r="R24" s="410">
        <f t="shared" si="2"/>
        <v>0</v>
      </c>
      <c r="S24" s="410">
        <f t="shared" si="2"/>
        <v>0</v>
      </c>
      <c r="T24" s="410">
        <f t="shared" si="1"/>
        <v>5595848.4367180085</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ht="20.100000000000001" customHeight="1">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928709.01362827152</v>
      </c>
      <c r="N25" s="419">
        <f t="shared" si="2"/>
        <v>3420.4170768942645</v>
      </c>
      <c r="O25" s="419">
        <f t="shared" si="2"/>
        <v>0</v>
      </c>
      <c r="P25" s="419">
        <f t="shared" si="2"/>
        <v>0</v>
      </c>
      <c r="Q25" s="419">
        <f t="shared" si="2"/>
        <v>1183.9905266172452</v>
      </c>
      <c r="R25" s="419">
        <f t="shared" si="2"/>
        <v>0</v>
      </c>
      <c r="S25" s="419">
        <f t="shared" si="2"/>
        <v>65.777251478735849</v>
      </c>
      <c r="T25" s="420">
        <f t="shared" si="1"/>
        <v>935023.62977023027</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ht="20.100000000000001" customHeight="1">
      <c r="A26" s="402"/>
      <c r="B26" s="421" t="s">
        <v>17</v>
      </c>
      <c r="C26" s="569">
        <f t="shared" ref="C26:S26" si="3">SUM(C5:C25)</f>
        <v>9171028.4598199949</v>
      </c>
      <c r="D26" s="569">
        <f t="shared" si="3"/>
        <v>192055025.74170706</v>
      </c>
      <c r="E26" s="569">
        <f t="shared" si="3"/>
        <v>25402146.039411921</v>
      </c>
      <c r="F26" s="569">
        <f t="shared" si="3"/>
        <v>7868880.9051893987</v>
      </c>
      <c r="G26" s="569">
        <f t="shared" si="3"/>
        <v>33047592.9098638</v>
      </c>
      <c r="H26" s="569">
        <f t="shared" si="3"/>
        <v>16869592.163888197</v>
      </c>
      <c r="I26" s="569">
        <f t="shared" si="3"/>
        <v>3485653.7636037208</v>
      </c>
      <c r="J26" s="569">
        <f t="shared" si="3"/>
        <v>11397047.61860122</v>
      </c>
      <c r="K26" s="569">
        <f t="shared" si="3"/>
        <v>4179627.0334490761</v>
      </c>
      <c r="L26" s="569">
        <f t="shared" si="3"/>
        <v>4073486.9781230851</v>
      </c>
      <c r="M26" s="569">
        <f t="shared" si="3"/>
        <v>6390407.2295727273</v>
      </c>
      <c r="N26" s="569">
        <f t="shared" si="3"/>
        <v>22879841.46605818</v>
      </c>
      <c r="O26" s="569">
        <f t="shared" si="3"/>
        <v>4455832.2639653776</v>
      </c>
      <c r="P26" s="569">
        <f t="shared" si="3"/>
        <v>6937350.6056334851</v>
      </c>
      <c r="Q26" s="569">
        <f t="shared" si="3"/>
        <v>6994657.8450954799</v>
      </c>
      <c r="R26" s="570">
        <f t="shared" si="3"/>
        <v>2253677.6482990915</v>
      </c>
      <c r="S26" s="570">
        <f t="shared" si="3"/>
        <v>2449451.3256370691</v>
      </c>
      <c r="T26" s="569">
        <f t="shared" si="1"/>
        <v>359911299.99791884</v>
      </c>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ht="17.10000000000000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ht="20.100000000000001" customHeight="1">
      <c r="A29" s="403" t="s">
        <v>128</v>
      </c>
      <c r="B29" s="437" t="s">
        <v>21</v>
      </c>
      <c r="C29" s="438">
        <f>+UGpcntSCH*(VLOOKUP($A29,FY15ProjRev!$A$4:$J$24,10,FALSE))*VLOOKUP($A29,FY15ProjSCH!$A$3:$S$23,MATCH(C$28,FY15ProjSCH!$A$2:$S$2,0),FALSE)</f>
        <v>3284393.3659656728</v>
      </c>
      <c r="D29" s="438">
        <f>+UGpcntSCH*(VLOOKUP($A29,FY15ProjRev!$A$4:$J$24,10,FALSE))*VLOOKUP($A29,FY15ProjSCH!$A$3:$S$23,MATCH(D$28,FY15ProjSCH!$A$2:$S$2,0),FALSE)</f>
        <v>107723798.68745776</v>
      </c>
      <c r="E29" s="438">
        <f>+UGpcntSCH*(VLOOKUP($A29,FY15ProjRev!$A$4:$J$24,10,FALSE))*VLOOKUP($A29,FY15ProjSCH!$A$3:$S$23,MATCH(E$28,FY15ProjSCH!$A$2:$S$2,0),FALSE)</f>
        <v>10684044.037490722</v>
      </c>
      <c r="F29" s="438">
        <f>+UGpcntSCH*(VLOOKUP($A29,FY15ProjRev!$A$4:$J$24,10,FALSE))*VLOOKUP($A29,FY15ProjSCH!$A$3:$S$23,MATCH(F$28,FY15ProjSCH!$A$2:$S$2,0),FALSE)</f>
        <v>2240536.5919726603</v>
      </c>
      <c r="G29" s="438">
        <f>+UGpcntSCH*(VLOOKUP($A29,FY15ProjRev!$A$4:$J$24,10,FALSE))*VLOOKUP($A29,FY15ProjSCH!$A$3:$S$23,MATCH(G$28,FY15ProjSCH!$A$2:$S$2,0),FALSE)</f>
        <v>14542174.858279759</v>
      </c>
      <c r="H29" s="438">
        <f>+UGpcntSCH*(VLOOKUP($A29,FY15ProjRev!$A$4:$J$24,10,FALSE))*VLOOKUP($A29,FY15ProjSCH!$A$3:$S$23,MATCH(H$28,FY15ProjSCH!$A$2:$S$2,0),FALSE)</f>
        <v>9606607.3121284489</v>
      </c>
      <c r="I29" s="438">
        <f>+UGpcntSCH*(VLOOKUP($A29,FY15ProjRev!$A$4:$J$24,10,FALSE))*VLOOKUP($A29,FY15ProjSCH!$A$3:$S$23,MATCH(I$28,FY15ProjSCH!$A$2:$S$2,0),FALSE)</f>
        <v>1916524.3265157952</v>
      </c>
      <c r="J29" s="438">
        <f>+UGpcntSCH*(VLOOKUP($A29,FY15ProjRev!$A$4:$J$24,10,FALSE))*VLOOKUP($A29,FY15ProjSCH!$A$3:$S$23,MATCH(J$28,FY15ProjSCH!$A$2:$S$2,0),FALSE)</f>
        <v>21107.398003535181</v>
      </c>
      <c r="K29" s="438">
        <f>+UGpcntSCH*(VLOOKUP($A29,FY15ProjRev!$A$4:$J$24,10,FALSE))*VLOOKUP($A29,FY15ProjSCH!$A$3:$S$23,MATCH(K$28,FY15ProjSCH!$A$2:$S$2,0),FALSE)</f>
        <v>15076.712859667989</v>
      </c>
      <c r="L29" s="438">
        <f>+UGpcntSCH*(VLOOKUP($A29,FY15ProjRev!$A$4:$J$24,10,FALSE))*VLOOKUP($A29,FY15ProjSCH!$A$3:$S$23,MATCH(L$28,FY15ProjSCH!$A$2:$S$2,0),FALSE)</f>
        <v>524532.54649044899</v>
      </c>
      <c r="M29" s="438">
        <f>+UGpcntSCH*(VLOOKUP($A29,FY15ProjRev!$A$4:$J$24,10,FALSE))*VLOOKUP($A29,FY15ProjSCH!$A$3:$S$23,MATCH(M$28,FY15ProjSCH!$A$2:$S$2,0),FALSE)</f>
        <v>12472.553365725336</v>
      </c>
      <c r="N29" s="438">
        <f>+UGpcntSCH*(VLOOKUP($A29,FY15ProjRev!$A$4:$J$24,10,FALSE))*VLOOKUP($A29,FY15ProjSCH!$A$3:$S$23,MATCH(N$28,FY15ProjSCH!$A$2:$S$2,0),FALSE)</f>
        <v>4290901.0103745079</v>
      </c>
      <c r="O29" s="438">
        <f>+UGpcntSCH*(VLOOKUP($A29,FY15ProjRev!$A$4:$J$24,10,FALSE))*VLOOKUP($A29,FY15ProjSCH!$A$3:$S$23,MATCH(O$28,FY15ProjSCH!$A$2:$S$2,0),FALSE)</f>
        <v>1310166.347505148</v>
      </c>
      <c r="P29" s="438">
        <f>+UGpcntSCH*(VLOOKUP($A29,FY15ProjRev!$A$4:$J$24,10,FALSE))*VLOOKUP($A29,FY15ProjSCH!$A$3:$S$23,MATCH(P$28,FY15ProjSCH!$A$2:$S$2,0),FALSE)</f>
        <v>57702.691944729304</v>
      </c>
      <c r="Q29" s="438">
        <f>+UGpcntSCH*(VLOOKUP($A29,FY15ProjRev!$A$4:$J$24,10,FALSE))*VLOOKUP($A29,FY15ProjSCH!$A$3:$S$23,MATCH(Q$28,FY15ProjSCH!$A$2:$S$2,0),FALSE)</f>
        <v>2059616.0376566441</v>
      </c>
      <c r="R29" s="438">
        <f>+UGpcntSCH*(VLOOKUP($A29,FY15ProjRev!$A$4:$J$24,10,FALSE))*VLOOKUP($A29,FY15ProjSCH!$A$3:$S$23,MATCH(R$28,FY15ProjSCH!$A$2:$S$2,0),FALSE)</f>
        <v>2116085.1803674009</v>
      </c>
      <c r="S29" s="438">
        <f>+UGpcntSCH*(VLOOKUP($A29,FY15ProjRev!$A$4:$J$24,10,FALSE))*VLOOKUP($A29,FY15ProjSCH!$A$3:$S$23,MATCH(S$28,FY15ProjSCH!$A$2:$S$2,0),FALSE)</f>
        <v>289198.76485363144</v>
      </c>
      <c r="T29" s="439">
        <f t="shared" ref="T29:T49" si="4">SUM(C29:Q29)+R29+S29</f>
        <v>160694938.42323229</v>
      </c>
      <c r="V29"/>
      <c r="W29"/>
      <c r="X29"/>
      <c r="Y29">
        <f>2692329-2449451</f>
        <v>242878</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s="18" customFormat="1" ht="20.100000000000001" customHeight="1">
      <c r="A30" s="404" t="s">
        <v>129</v>
      </c>
      <c r="B30" s="440" t="s">
        <v>35</v>
      </c>
      <c r="C30" s="410">
        <f>+GPpcntSCH*(VLOOKUP($A30,FY15ProjRev!$A$4:$J$24,10,FALSE))*VLOOKUP($A30,FY15ProjSCH!$A$3:$S$23,MATCH(C$28,FY15ProjSCH!$A$2:$S$2,0),FALSE)</f>
        <v>23297.549355885552</v>
      </c>
      <c r="D30" s="410">
        <f>+GPpcntSCH*(VLOOKUP($A30,FY15ProjRev!$A$4:$J$24,10,FALSE))*VLOOKUP($A30,FY15ProjSCH!$A$3:$S$23,MATCH(D$28,FY15ProjSCH!$A$2:$S$2,0),FALSE)</f>
        <v>2041428.4250341097</v>
      </c>
      <c r="E30" s="410">
        <f>+GPpcntSCH*(VLOOKUP($A30,FY15ProjRev!$A$4:$J$24,10,FALSE))*VLOOKUP($A30,FY15ProjSCH!$A$3:$S$23,MATCH(E$28,FY15ProjSCH!$A$2:$S$2,0),FALSE)</f>
        <v>60858.273018628002</v>
      </c>
      <c r="F30" s="410">
        <f>+GPpcntSCH*(VLOOKUP($A30,FY15ProjRev!$A$4:$J$24,10,FALSE))*VLOOKUP($A30,FY15ProjSCH!$A$3:$S$23,MATCH(F$28,FY15ProjSCH!$A$2:$S$2,0),FALSE)</f>
        <v>9529.409298290504</v>
      </c>
      <c r="G30" s="410">
        <f>+GPpcntSCH*(VLOOKUP($A30,FY15ProjRev!$A$4:$J$24,10,FALSE))*VLOOKUP($A30,FY15ProjSCH!$A$3:$S$23,MATCH(G$28,FY15ProjSCH!$A$2:$S$2,0),FALSE)</f>
        <v>123170.70914446266</v>
      </c>
      <c r="H30" s="410">
        <f>+GPpcntSCH*(VLOOKUP($A30,FY15ProjRev!$A$4:$J$24,10,FALSE))*VLOOKUP($A30,FY15ProjSCH!$A$3:$S$23,MATCH(H$28,FY15ProjSCH!$A$2:$S$2,0),FALSE)</f>
        <v>12716.192277913629</v>
      </c>
      <c r="I30" s="410">
        <f>+GPpcntSCH*(VLOOKUP($A30,FY15ProjRev!$A$4:$J$24,10,FALSE))*VLOOKUP($A30,FY15ProjSCH!$A$3:$S$23,MATCH(I$28,FY15ProjSCH!$A$2:$S$2,0),FALSE)</f>
        <v>38117.637193162016</v>
      </c>
      <c r="J30" s="410">
        <f>+GPpcntSCH*(VLOOKUP($A30,FY15ProjRev!$A$4:$J$24,10,FALSE))*VLOOKUP($A30,FY15ProjSCH!$A$3:$S$23,MATCH(J$28,FY15ProjSCH!$A$2:$S$2,0),FALSE)</f>
        <v>5569.13530419575</v>
      </c>
      <c r="K30" s="410">
        <f>+GPpcntSCH*(VLOOKUP($A30,FY15ProjRev!$A$4:$J$24,10,FALSE))*VLOOKUP($A30,FY15ProjSCH!$A$3:$S$23,MATCH(K$28,FY15ProjSCH!$A$2:$S$2,0),FALSE)</f>
        <v>13211.226527175473</v>
      </c>
      <c r="L30" s="410">
        <f>+GPpcntSCH*(VLOOKUP($A30,FY15ProjRev!$A$4:$J$24,10,FALSE))*VLOOKUP($A30,FY15ProjSCH!$A$3:$S$23,MATCH(L$28,FY15ProjSCH!$A$2:$S$2,0),FALSE)</f>
        <v>1113.8270608391499</v>
      </c>
      <c r="M30" s="410">
        <f>+GPpcntSCH*(VLOOKUP($A30,FY15ProjRev!$A$4:$J$24,10,FALSE))*VLOOKUP($A30,FY15ProjSCH!$A$3:$S$23,MATCH(M$28,FY15ProjSCH!$A$2:$S$2,0),FALSE)</f>
        <v>30.939640578865273</v>
      </c>
      <c r="N30" s="410">
        <f>+GPpcntSCH*(VLOOKUP($A30,FY15ProjRev!$A$4:$J$24,10,FALSE))*VLOOKUP($A30,FY15ProjSCH!$A$3:$S$23,MATCH(N$28,FY15ProjSCH!$A$2:$S$2,0),FALSE)</f>
        <v>372312.16490577534</v>
      </c>
      <c r="O30" s="410">
        <f>+GPpcntSCH*(VLOOKUP($A30,FY15ProjRev!$A$4:$J$24,10,FALSE))*VLOOKUP($A30,FY15ProjSCH!$A$3:$S$23,MATCH(O$28,FY15ProjSCH!$A$2:$S$2,0),FALSE)</f>
        <v>2072.9559187839736</v>
      </c>
      <c r="P30" s="410">
        <f>+GPpcntSCH*(VLOOKUP($A30,FY15ProjRev!$A$4:$J$24,10,FALSE))*VLOOKUP($A30,FY15ProjSCH!$A$3:$S$23,MATCH(P$28,FY15ProjSCH!$A$2:$S$2,0),FALSE)</f>
        <v>47987.382537820042</v>
      </c>
      <c r="Q30" s="410">
        <f>+GPpcntSCH*(VLOOKUP($A30,FY15ProjRev!$A$4:$J$24,10,FALSE))*VLOOKUP($A30,FY15ProjSCH!$A$3:$S$23,MATCH(Q$28,FY15ProjSCH!$A$2:$S$2,0),FALSE)</f>
        <v>29640.175674552938</v>
      </c>
      <c r="R30" s="410">
        <f>+GPpcntSCH*(VLOOKUP($A30,FY15ProjRev!$A$4:$J$24,10,FALSE))*VLOOKUP($A30,FY15ProjSCH!$A$3:$S$23,MATCH(R$28,FY15ProjSCH!$A$2:$S$2,0),FALSE)</f>
        <v>0</v>
      </c>
      <c r="S30" s="410">
        <f>+GPpcntSCH*(VLOOKUP($A30,FY15ProjRev!$A$4:$J$24,10,FALSE))*VLOOKUP($A30,FY15ProjSCH!$A$3:$S$23,MATCH(S$28,FY15ProjSCH!$A$2:$S$2,0),FALSE)</f>
        <v>192042.34907301675</v>
      </c>
      <c r="T30" s="441">
        <f t="shared" si="4"/>
        <v>2973098.3519651899</v>
      </c>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ht="20.100000000000001" customHeight="1">
      <c r="A31" s="404" t="s">
        <v>140</v>
      </c>
      <c r="B31" s="442" t="s">
        <v>36</v>
      </c>
      <c r="C31" s="443">
        <f>+GPpcntSCH*(VLOOKUP($A31,FY15ProjRev!$A$4:$J$24,10,FALSE))*VLOOKUP($A31,FY15ProjSCH!$A$3:$S$23,MATCH(C$28,FY15ProjSCH!$A$2:$S$2,0),FALSE)</f>
        <v>152.83782423371071</v>
      </c>
      <c r="D31" s="443">
        <f>+GPpcntSCH*(VLOOKUP($A31,FY15ProjRev!$A$4:$J$24,10,FALSE))*VLOOKUP($A31,FY15ProjSCH!$A$3:$S$23,MATCH(D$28,FY15ProjSCH!$A$2:$S$2,0),FALSE)</f>
        <v>11411.890876117066</v>
      </c>
      <c r="E31" s="443">
        <f>+GPpcntSCH*(VLOOKUP($A31,FY15ProjRev!$A$4:$J$24,10,FALSE))*VLOOKUP($A31,FY15ProjSCH!$A$3:$S$23,MATCH(E$28,FY15ProjSCH!$A$2:$S$2,0),FALSE)</f>
        <v>0</v>
      </c>
      <c r="F31" s="443">
        <f>+GPpcntSCH*(VLOOKUP($A31,FY15ProjRev!$A$4:$J$24,10,FALSE))*VLOOKUP($A31,FY15ProjSCH!$A$3:$S$23,MATCH(F$28,FY15ProjSCH!$A$2:$S$2,0),FALSE)</f>
        <v>1171.7566524584488</v>
      </c>
      <c r="G31" s="443">
        <f>+GPpcntSCH*(VLOOKUP($A31,FY15ProjRev!$A$4:$J$24,10,FALSE))*VLOOKUP($A31,FY15ProjSCH!$A$3:$S$23,MATCH(G$28,FY15ProjSCH!$A$2:$S$2,0),FALSE)</f>
        <v>0</v>
      </c>
      <c r="H31" s="443">
        <f>+GPpcntSCH*(VLOOKUP($A31,FY15ProjRev!$A$4:$J$24,10,FALSE))*VLOOKUP($A31,FY15ProjSCH!$A$3:$S$23,MATCH(H$28,FY15ProjSCH!$A$2:$S$2,0),FALSE)</f>
        <v>0</v>
      </c>
      <c r="I31" s="443">
        <f>+GPpcntSCH*(VLOOKUP($A31,FY15ProjRev!$A$4:$J$24,10,FALSE))*VLOOKUP($A31,FY15ProjSCH!$A$3:$S$23,MATCH(I$28,FY15ProjSCH!$A$2:$S$2,0),FALSE)</f>
        <v>611.35129693484282</v>
      </c>
      <c r="J31" s="443">
        <f>+GPpcntSCH*(VLOOKUP($A31,FY15ProjRev!$A$4:$J$24,10,FALSE))*VLOOKUP($A31,FY15ProjSCH!$A$3:$S$23,MATCH(J$28,FY15ProjSCH!$A$2:$S$2,0),FALSE)</f>
        <v>152.83782423371071</v>
      </c>
      <c r="K31" s="443">
        <f>+GPpcntSCH*(VLOOKUP($A31,FY15ProjRev!$A$4:$J$24,10,FALSE))*VLOOKUP($A31,FY15ProjSCH!$A$3:$S$23,MATCH(K$28,FY15ProjSCH!$A$2:$S$2,0),FALSE)</f>
        <v>203.78376564494761</v>
      </c>
      <c r="L31" s="443">
        <f>+GPpcntSCH*(VLOOKUP($A31,FY15ProjRev!$A$4:$J$24,10,FALSE))*VLOOKUP($A31,FY15ProjSCH!$A$3:$S$23,MATCH(L$28,FY15ProjSCH!$A$2:$S$2,0),FALSE)</f>
        <v>39686.88835935355</v>
      </c>
      <c r="M31" s="443">
        <f>+GPpcntSCH*(VLOOKUP($A31,FY15ProjRev!$A$4:$J$24,10,FALSE))*VLOOKUP($A31,FY15ProjSCH!$A$3:$S$23,MATCH(M$28,FY15ProjSCH!$A$2:$S$2,0),FALSE)</f>
        <v>0</v>
      </c>
      <c r="N31" s="443">
        <f>+GPpcntSCH*(VLOOKUP($A31,FY15ProjRev!$A$4:$J$24,10,FALSE))*VLOOKUP($A31,FY15ProjSCH!$A$3:$S$23,MATCH(N$28,FY15ProjSCH!$A$2:$S$2,0),FALSE)</f>
        <v>196625.86087666883</v>
      </c>
      <c r="O31" s="443">
        <f>+GPpcntSCH*(VLOOKUP($A31,FY15ProjRev!$A$4:$J$24,10,FALSE))*VLOOKUP($A31,FY15ProjSCH!$A$3:$S$23,MATCH(O$28,FY15ProjSCH!$A$2:$S$2,0),FALSE)</f>
        <v>0</v>
      </c>
      <c r="P31" s="443">
        <f>+GPpcntSCH*(VLOOKUP($A31,FY15ProjRev!$A$4:$J$24,10,FALSE))*VLOOKUP($A31,FY15ProjSCH!$A$3:$S$23,MATCH(P$28,FY15ProjSCH!$A$2:$S$2,0),FALSE)</f>
        <v>0</v>
      </c>
      <c r="Q31" s="443">
        <f>+GPpcntSCH*(VLOOKUP($A31,FY15ProjRev!$A$4:$J$24,10,FALSE))*VLOOKUP($A31,FY15ProjSCH!$A$3:$S$23,MATCH(Q$28,FY15ProjSCH!$A$2:$S$2,0),FALSE)</f>
        <v>3871.8915472540043</v>
      </c>
      <c r="R31" s="443">
        <f>+GPpcntSCH*(VLOOKUP($A31,FY15ProjRev!$A$4:$J$24,10,FALSE))*VLOOKUP($A31,FY15ProjSCH!$A$3:$S$23,MATCH(R$28,FY15ProjSCH!$A$2:$S$2,0),FALSE)</f>
        <v>0</v>
      </c>
      <c r="S31" s="443">
        <f>+GPpcntSCH*(VLOOKUP($A31,FY15ProjRev!$A$4:$J$24,10,FALSE))*VLOOKUP($A31,FY15ProjSCH!$A$3:$S$23,MATCH(S$28,FY15ProjSCH!$A$2:$S$2,0),FALSE)</f>
        <v>101.8918828224738</v>
      </c>
      <c r="T31" s="444">
        <f t="shared" si="4"/>
        <v>253990.99090572158</v>
      </c>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s="18" customFormat="1" ht="20.100000000000001" customHeight="1">
      <c r="A32" s="404" t="s">
        <v>130</v>
      </c>
      <c r="B32" s="440" t="s">
        <v>37</v>
      </c>
      <c r="C32" s="410">
        <f>+GPpcntSCH*(VLOOKUP($A32,FY15ProjRev!$A$4:$J$24,10,FALSE))*VLOOKUP($A32,FY15ProjSCH!$A$3:$S$23,MATCH(C$28,FY15ProjSCH!$A$2:$S$2,0),FALSE)</f>
        <v>7502.6264093240834</v>
      </c>
      <c r="D32" s="410">
        <f>+GPpcntSCH*(VLOOKUP($A32,FY15ProjRev!$A$4:$J$24,10,FALSE))*VLOOKUP($A32,FY15ProjSCH!$A$3:$S$23,MATCH(D$28,FY15ProjSCH!$A$2:$S$2,0),FALSE)</f>
        <v>89794.092025517981</v>
      </c>
      <c r="E32" s="410">
        <f>+GPpcntSCH*(VLOOKUP($A32,FY15ProjRev!$A$4:$J$24,10,FALSE))*VLOOKUP($A32,FY15ProjSCH!$A$3:$S$23,MATCH(E$28,FY15ProjSCH!$A$2:$S$2,0),FALSE)</f>
        <v>8357.3560002597369</v>
      </c>
      <c r="F32" s="410">
        <f>+GPpcntSCH*(VLOOKUP($A32,FY15ProjRev!$A$4:$J$24,10,FALSE))*VLOOKUP($A32,FY15ProjSCH!$A$3:$S$23,MATCH(F$28,FY15ProjSCH!$A$2:$S$2,0),FALSE)</f>
        <v>7977.4761820661124</v>
      </c>
      <c r="G32" s="410">
        <f>+GPpcntSCH*(VLOOKUP($A32,FY15ProjRev!$A$4:$J$24,10,FALSE))*VLOOKUP($A32,FY15ProjSCH!$A$3:$S$23,MATCH(G$28,FY15ProjSCH!$A$2:$S$2,0),FALSE)</f>
        <v>1356075.9809966909</v>
      </c>
      <c r="H32" s="410">
        <f>+GPpcntSCH*(VLOOKUP($A32,FY15ProjRev!$A$4:$J$24,10,FALSE))*VLOOKUP($A32,FY15ProjSCH!$A$3:$S$23,MATCH(H$28,FY15ProjSCH!$A$2:$S$2,0),FALSE)</f>
        <v>13153.338704954247</v>
      </c>
      <c r="I32" s="410">
        <f>+GPpcntSCH*(VLOOKUP($A32,FY15ProjRev!$A$4:$J$24,10,FALSE))*VLOOKUP($A32,FY15ProjSCH!$A$3:$S$23,MATCH(I$28,FY15ProjSCH!$A$2:$S$2,0),FALSE)</f>
        <v>2136.8239773391374</v>
      </c>
      <c r="J32" s="410">
        <f>+GPpcntSCH*(VLOOKUP($A32,FY15ProjRev!$A$4:$J$24,10,FALSE))*VLOOKUP($A32,FY15ProjSCH!$A$3:$S$23,MATCH(J$28,FY15ProjSCH!$A$2:$S$2,0),FALSE)</f>
        <v>7265.201522953068</v>
      </c>
      <c r="K32" s="410">
        <f>+GPpcntSCH*(VLOOKUP($A32,FY15ProjRev!$A$4:$J$24,10,FALSE))*VLOOKUP($A32,FY15ProjSCH!$A$3:$S$23,MATCH(K$28,FY15ProjSCH!$A$2:$S$2,0),FALSE)</f>
        <v>949.6995454840611</v>
      </c>
      <c r="L32" s="410">
        <f>+GPpcntSCH*(VLOOKUP($A32,FY15ProjRev!$A$4:$J$24,10,FALSE))*VLOOKUP($A32,FY15ProjSCH!$A$3:$S$23,MATCH(L$28,FY15ProjSCH!$A$2:$S$2,0),FALSE)</f>
        <v>1282.0943864034825</v>
      </c>
      <c r="M32" s="410">
        <f>+GPpcntSCH*(VLOOKUP($A32,FY15ProjRev!$A$4:$J$24,10,FALSE))*VLOOKUP($A32,FY15ProjSCH!$A$3:$S$23,MATCH(M$28,FY15ProjSCH!$A$2:$S$2,0),FALSE)</f>
        <v>0</v>
      </c>
      <c r="N32" s="410">
        <f>+GPpcntSCH*(VLOOKUP($A32,FY15ProjRev!$A$4:$J$24,10,FALSE))*VLOOKUP($A32,FY15ProjSCH!$A$3:$S$23,MATCH(N$28,FY15ProjSCH!$A$2:$S$2,0),FALSE)</f>
        <v>25214.52293260182</v>
      </c>
      <c r="O32" s="410">
        <f>+GPpcntSCH*(VLOOKUP($A32,FY15ProjRev!$A$4:$J$24,10,FALSE))*VLOOKUP($A32,FY15ProjSCH!$A$3:$S$23,MATCH(O$28,FY15ProjSCH!$A$2:$S$2,0),FALSE)</f>
        <v>58596.461956366576</v>
      </c>
      <c r="P32" s="410">
        <f>+GPpcntSCH*(VLOOKUP($A32,FY15ProjRev!$A$4:$J$24,10,FALSE))*VLOOKUP($A32,FY15ProjSCH!$A$3:$S$23,MATCH(P$28,FY15ProjSCH!$A$2:$S$2,0),FALSE)</f>
        <v>569.81972729043662</v>
      </c>
      <c r="Q32" s="410">
        <f>+GPpcntSCH*(VLOOKUP($A32,FY15ProjRev!$A$4:$J$24,10,FALSE))*VLOOKUP($A32,FY15ProjSCH!$A$3:$S$23,MATCH(Q$28,FY15ProjSCH!$A$2:$S$2,0),FALSE)</f>
        <v>27826.196682682992</v>
      </c>
      <c r="R32" s="410">
        <f>+GPpcntSCH*(VLOOKUP($A32,FY15ProjRev!$A$4:$J$24,10,FALSE))*VLOOKUP($A32,FY15ProjSCH!$A$3:$S$23,MATCH(R$28,FY15ProjSCH!$A$2:$S$2,0),FALSE)</f>
        <v>0</v>
      </c>
      <c r="S32" s="410">
        <f>+GPpcntSCH*(VLOOKUP($A32,FY15ProjRev!$A$4:$J$24,10,FALSE))*VLOOKUP($A32,FY15ProjSCH!$A$3:$S$23,MATCH(S$28,FY15ProjSCH!$A$2:$S$2,0),FALSE)</f>
        <v>1543.2617614115993</v>
      </c>
      <c r="T32" s="441">
        <f t="shared" si="4"/>
        <v>1608244.9528113462</v>
      </c>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ht="20.100000000000001" customHeight="1">
      <c r="A33" s="404" t="s">
        <v>131</v>
      </c>
      <c r="B33" s="442" t="s">
        <v>141</v>
      </c>
      <c r="C33" s="443">
        <f>+GPpcntSCH*(VLOOKUP($A33,FY15ProjRev!$A$4:$J$24,10,FALSE))*VLOOKUP($A33,FY15ProjSCH!$A$3:$S$23,MATCH(C$28,FY15ProjSCH!$A$2:$S$2,0),FALSE)</f>
        <v>525.95646916250246</v>
      </c>
      <c r="D33" s="443">
        <f>+GPpcntSCH*(VLOOKUP($A33,FY15ProjRev!$A$4:$J$24,10,FALSE))*VLOOKUP($A33,FY15ProjSCH!$A$3:$S$23,MATCH(D$28,FY15ProjSCH!$A$2:$S$2,0),FALSE)</f>
        <v>35414.40225694183</v>
      </c>
      <c r="E33" s="443">
        <f>+GPpcntSCH*(VLOOKUP($A33,FY15ProjRev!$A$4:$J$24,10,FALSE))*VLOOKUP($A33,FY15ProjSCH!$A$3:$S$23,MATCH(E$28,FY15ProjSCH!$A$2:$S$2,0),FALSE)</f>
        <v>350.63764610833493</v>
      </c>
      <c r="F33" s="443">
        <f>+GPpcntSCH*(VLOOKUP($A33,FY15ProjRev!$A$4:$J$24,10,FALSE))*VLOOKUP($A33,FY15ProjSCH!$A$3:$S$23,MATCH(F$28,FY15ProjSCH!$A$2:$S$2,0),FALSE)</f>
        <v>1490.2099959604236</v>
      </c>
      <c r="G33" s="443">
        <f>+GPpcntSCH*(VLOOKUP($A33,FY15ProjRev!$A$4:$J$24,10,FALSE))*VLOOKUP($A33,FY15ProjSCH!$A$3:$S$23,MATCH(G$28,FY15ProjSCH!$A$2:$S$2,0),FALSE)</f>
        <v>4295.3111648271024</v>
      </c>
      <c r="H33" s="443">
        <f>+GPpcntSCH*(VLOOKUP($A33,FY15ProjRev!$A$4:$J$24,10,FALSE))*VLOOKUP($A33,FY15ProjSCH!$A$3:$S$23,MATCH(H$28,FY15ProjSCH!$A$2:$S$2,0),FALSE)</f>
        <v>686504.68137435627</v>
      </c>
      <c r="I33" s="443">
        <f>+GPpcntSCH*(VLOOKUP($A33,FY15ProjRev!$A$4:$J$24,10,FALSE))*VLOOKUP($A33,FY15ProjSCH!$A$3:$S$23,MATCH(I$28,FY15ProjSCH!$A$2:$S$2,0),FALSE)</f>
        <v>43.829705763541867</v>
      </c>
      <c r="J33" s="443">
        <f>+GPpcntSCH*(VLOOKUP($A33,FY15ProjRev!$A$4:$J$24,10,FALSE))*VLOOKUP($A33,FY15ProjSCH!$A$3:$S$23,MATCH(J$28,FY15ProjSCH!$A$2:$S$2,0),FALSE)</f>
        <v>1446.3802901968816</v>
      </c>
      <c r="K33" s="443">
        <f>+GPpcntSCH*(VLOOKUP($A33,FY15ProjRev!$A$4:$J$24,10,FALSE))*VLOOKUP($A33,FY15ProjSCH!$A$3:$S$23,MATCH(K$28,FY15ProjSCH!$A$2:$S$2,0),FALSE)</f>
        <v>5391.0538089156498</v>
      </c>
      <c r="L33" s="443">
        <f>+GPpcntSCH*(VLOOKUP($A33,FY15ProjRev!$A$4:$J$24,10,FALSE))*VLOOKUP($A33,FY15ProjSCH!$A$3:$S$23,MATCH(L$28,FY15ProjSCH!$A$2:$S$2,0),FALSE)</f>
        <v>0</v>
      </c>
      <c r="M33" s="443">
        <f>+GPpcntSCH*(VLOOKUP($A33,FY15ProjRev!$A$4:$J$24,10,FALSE))*VLOOKUP($A33,FY15ProjSCH!$A$3:$S$23,MATCH(M$28,FY15ProjSCH!$A$2:$S$2,0),FALSE)</f>
        <v>0</v>
      </c>
      <c r="N33" s="443">
        <f>+GPpcntSCH*(VLOOKUP($A33,FY15ProjRev!$A$4:$J$24,10,FALSE))*VLOOKUP($A33,FY15ProjSCH!$A$3:$S$23,MATCH(N$28,FY15ProjSCH!$A$2:$S$2,0),FALSE)</f>
        <v>1665.5288190145909</v>
      </c>
      <c r="O33" s="443">
        <f>+GPpcntSCH*(VLOOKUP($A33,FY15ProjRev!$A$4:$J$24,10,FALSE))*VLOOKUP($A33,FY15ProjSCH!$A$3:$S$23,MATCH(O$28,FY15ProjSCH!$A$2:$S$2,0),FALSE)</f>
        <v>0</v>
      </c>
      <c r="P33" s="443">
        <f>+GPpcntSCH*(VLOOKUP($A33,FY15ProjRev!$A$4:$J$24,10,FALSE))*VLOOKUP($A33,FY15ProjSCH!$A$3:$S$23,MATCH(P$28,FY15ProjSCH!$A$2:$S$2,0),FALSE)</f>
        <v>0</v>
      </c>
      <c r="Q33" s="443">
        <f>+GPpcntSCH*(VLOOKUP($A33,FY15ProjRev!$A$4:$J$24,10,FALSE))*VLOOKUP($A33,FY15ProjSCH!$A$3:$S$23,MATCH(Q$28,FY15ProjSCH!$A$2:$S$2,0),FALSE)</f>
        <v>920.42382103437922</v>
      </c>
      <c r="R33" s="443">
        <f>+GPpcntSCH*(VLOOKUP($A33,FY15ProjRev!$A$4:$J$24,10,FALSE))*VLOOKUP($A33,FY15ProjSCH!$A$3:$S$23,MATCH(R$28,FY15ProjSCH!$A$2:$S$2,0),FALSE)</f>
        <v>0</v>
      </c>
      <c r="S33" s="443">
        <f>+GPpcntSCH*(VLOOKUP($A33,FY15ProjRev!$A$4:$J$24,10,FALSE))*VLOOKUP($A33,FY15ProjSCH!$A$3:$S$23,MATCH(S$28,FY15ProjSCH!$A$2:$S$2,0),FALSE)</f>
        <v>1446.3802901968816</v>
      </c>
      <c r="T33" s="444">
        <f t="shared" si="4"/>
        <v>739494.79564247828</v>
      </c>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s="18" customFormat="1" ht="20.100000000000001" customHeight="1">
      <c r="A34" s="404" t="s">
        <v>132</v>
      </c>
      <c r="B34" s="440" t="s">
        <v>206</v>
      </c>
      <c r="C34" s="410">
        <f>+GPpcntSCH*(VLOOKUP($A34,FY15ProjRev!$A$4:$J$24,10,FALSE))*VLOOKUP($A34,FY15ProjSCH!$A$3:$S$23,MATCH(C$28,FY15ProjSCH!$A$2:$S$2,0),FALSE)</f>
        <v>269.47205076710122</v>
      </c>
      <c r="D34" s="410">
        <f>+GPpcntSCH*(VLOOKUP($A34,FY15ProjRev!$A$4:$J$24,10,FALSE))*VLOOKUP($A34,FY15ProjSCH!$A$3:$S$23,MATCH(D$28,FY15ProjSCH!$A$2:$S$2,0),FALSE)</f>
        <v>33145.062244353452</v>
      </c>
      <c r="E34" s="410">
        <f>+GPpcntSCH*(VLOOKUP($A34,FY15ProjRev!$A$4:$J$24,10,FALSE))*VLOOKUP($A34,FY15ProjSCH!$A$3:$S$23,MATCH(E$28,FY15ProjSCH!$A$2:$S$2,0),FALSE)</f>
        <v>179.64803384473413</v>
      </c>
      <c r="F34" s="410">
        <f>+GPpcntSCH*(VLOOKUP($A34,FY15ProjRev!$A$4:$J$24,10,FALSE))*VLOOKUP($A34,FY15ProjSCH!$A$3:$S$23,MATCH(F$28,FY15ProjSCH!$A$2:$S$2,0),FALSE)</f>
        <v>884676.7426683933</v>
      </c>
      <c r="G34" s="410">
        <f>+GPpcntSCH*(VLOOKUP($A34,FY15ProjRev!$A$4:$J$24,10,FALSE))*VLOOKUP($A34,FY15ProjSCH!$A$3:$S$23,MATCH(G$28,FY15ProjSCH!$A$2:$S$2,0),FALSE)</f>
        <v>224.56004230591768</v>
      </c>
      <c r="H34" s="410">
        <f>+GPpcntSCH*(VLOOKUP($A34,FY15ProjRev!$A$4:$J$24,10,FALSE))*VLOOKUP($A34,FY15ProjSCH!$A$3:$S$23,MATCH(H$28,FY15ProjSCH!$A$2:$S$2,0),FALSE)</f>
        <v>8353.6335737801364</v>
      </c>
      <c r="I34" s="410">
        <f>+GPpcntSCH*(VLOOKUP($A34,FY15ProjRev!$A$4:$J$24,10,FALSE))*VLOOKUP($A34,FY15ProjSCH!$A$3:$S$23,MATCH(I$28,FY15ProjSCH!$A$2:$S$2,0),FALSE)</f>
        <v>583.85610999538596</v>
      </c>
      <c r="J34" s="410">
        <f>+GPpcntSCH*(VLOOKUP($A34,FY15ProjRev!$A$4:$J$24,10,FALSE))*VLOOKUP($A34,FY15ProjSCH!$A$3:$S$23,MATCH(J$28,FY15ProjSCH!$A$2:$S$2,0),FALSE)</f>
        <v>0</v>
      </c>
      <c r="K34" s="410">
        <f>+GPpcntSCH*(VLOOKUP($A34,FY15ProjRev!$A$4:$J$24,10,FALSE))*VLOOKUP($A34,FY15ProjSCH!$A$3:$S$23,MATCH(K$28,FY15ProjSCH!$A$2:$S$2,0),FALSE)</f>
        <v>6781.7132776387134</v>
      </c>
      <c r="L34" s="410">
        <f>+GPpcntSCH*(VLOOKUP($A34,FY15ProjRev!$A$4:$J$24,10,FALSE))*VLOOKUP($A34,FY15ProjSCH!$A$3:$S$23,MATCH(L$28,FY15ProjSCH!$A$2:$S$2,0),FALSE)</f>
        <v>3143.8405922828474</v>
      </c>
      <c r="M34" s="410">
        <f>+GPpcntSCH*(VLOOKUP($A34,FY15ProjRev!$A$4:$J$24,10,FALSE))*VLOOKUP($A34,FY15ProjSCH!$A$3:$S$23,MATCH(M$28,FY15ProjSCH!$A$2:$S$2,0),FALSE)</f>
        <v>0</v>
      </c>
      <c r="N34" s="410">
        <f>+GPpcntSCH*(VLOOKUP($A34,FY15ProjRev!$A$4:$J$24,10,FALSE))*VLOOKUP($A34,FY15ProjSCH!$A$3:$S$23,MATCH(N$28,FY15ProjSCH!$A$2:$S$2,0),FALSE)</f>
        <v>1347.360253835506</v>
      </c>
      <c r="O34" s="410">
        <f>+GPpcntSCH*(VLOOKUP($A34,FY15ProjRev!$A$4:$J$24,10,FALSE))*VLOOKUP($A34,FY15ProjSCH!$A$3:$S$23,MATCH(O$28,FY15ProjSCH!$A$2:$S$2,0),FALSE)</f>
        <v>269.47205076710122</v>
      </c>
      <c r="P34" s="410">
        <f>+GPpcntSCH*(VLOOKUP($A34,FY15ProjRev!$A$4:$J$24,10,FALSE))*VLOOKUP($A34,FY15ProjSCH!$A$3:$S$23,MATCH(P$28,FY15ProjSCH!$A$2:$S$2,0),FALSE)</f>
        <v>0</v>
      </c>
      <c r="Q34" s="410">
        <f>+GPpcntSCH*(VLOOKUP($A34,FY15ProjRev!$A$4:$J$24,10,FALSE))*VLOOKUP($A34,FY15ProjSCH!$A$3:$S$23,MATCH(Q$28,FY15ProjSCH!$A$2:$S$2,0),FALSE)</f>
        <v>988.06418614603774</v>
      </c>
      <c r="R34" s="410">
        <f>+GPpcntSCH*(VLOOKUP($A34,FY15ProjRev!$A$4:$J$24,10,FALSE))*VLOOKUP($A34,FY15ProjSCH!$A$3:$S$23,MATCH(R$28,FY15ProjSCH!$A$2:$S$2,0),FALSE)</f>
        <v>0</v>
      </c>
      <c r="S34" s="410">
        <f>+GPpcntSCH*(VLOOKUP($A34,FY15ProjRev!$A$4:$J$24,10,FALSE))*VLOOKUP($A34,FY15ProjSCH!$A$3:$S$23,MATCH(S$28,FY15ProjSCH!$A$2:$S$2,0),FALSE)</f>
        <v>1437.184270757873</v>
      </c>
      <c r="T34" s="441">
        <f t="shared" si="4"/>
        <v>941400.60935486818</v>
      </c>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ht="20.100000000000001" customHeight="1">
      <c r="A35" s="404" t="s">
        <v>134</v>
      </c>
      <c r="B35" s="442" t="s">
        <v>40</v>
      </c>
      <c r="C35" s="443">
        <f>+GPpcntSCH*(VLOOKUP($A35,FY15ProjRev!$A$4:$J$24,10,FALSE))*VLOOKUP($A35,FY15ProjSCH!$A$3:$S$23,MATCH(C$28,FY15ProjSCH!$A$2:$S$2,0),FALSE)</f>
        <v>0</v>
      </c>
      <c r="D35" s="443">
        <f>+GPpcntSCH*(VLOOKUP($A35,FY15ProjRev!$A$4:$J$24,10,FALSE))*VLOOKUP($A35,FY15ProjSCH!$A$3:$S$23,MATCH(D$28,FY15ProjSCH!$A$2:$S$2,0),FALSE)</f>
        <v>0</v>
      </c>
      <c r="E35" s="443">
        <f>+GPpcntSCH*(VLOOKUP($A35,FY15ProjRev!$A$4:$J$24,10,FALSE))*VLOOKUP($A35,FY15ProjSCH!$A$3:$S$23,MATCH(E$28,FY15ProjSCH!$A$2:$S$2,0),FALSE)</f>
        <v>0</v>
      </c>
      <c r="F35" s="443">
        <f>+GPpcntSCH*(VLOOKUP($A35,FY15ProjRev!$A$4:$J$24,10,FALSE))*VLOOKUP($A35,FY15ProjSCH!$A$3:$S$23,MATCH(F$28,FY15ProjSCH!$A$2:$S$2,0),FALSE)</f>
        <v>0</v>
      </c>
      <c r="G35" s="443">
        <f>+GPpcntSCH*(VLOOKUP($A35,FY15ProjRev!$A$4:$J$24,10,FALSE))*VLOOKUP($A35,FY15ProjSCH!$A$3:$S$23,MATCH(G$28,FY15ProjSCH!$A$2:$S$2,0),FALSE)</f>
        <v>0</v>
      </c>
      <c r="H35" s="443">
        <f>+GPpcntSCH*(VLOOKUP($A35,FY15ProjRev!$A$4:$J$24,10,FALSE))*VLOOKUP($A35,FY15ProjSCH!$A$3:$S$23,MATCH(H$28,FY15ProjSCH!$A$2:$S$2,0),FALSE)</f>
        <v>0</v>
      </c>
      <c r="I35" s="443">
        <f>+GPpcntSCH*(VLOOKUP($A35,FY15ProjRev!$A$4:$J$24,10,FALSE))*VLOOKUP($A35,FY15ProjSCH!$A$3:$S$23,MATCH(I$28,FY15ProjSCH!$A$2:$S$2,0),FALSE)</f>
        <v>0</v>
      </c>
      <c r="J35" s="443">
        <f>+GPpcntSCH*(VLOOKUP($A35,FY15ProjRev!$A$4:$J$24,10,FALSE))*VLOOKUP($A35,FY15ProjSCH!$A$3:$S$23,MATCH(J$28,FY15ProjSCH!$A$2:$S$2,0),FALSE)</f>
        <v>0</v>
      </c>
      <c r="K35" s="443">
        <f>+GPpcntSCH*(VLOOKUP($A35,FY15ProjRev!$A$4:$J$24,10,FALSE))*VLOOKUP($A35,FY15ProjSCH!$A$3:$S$23,MATCH(K$28,FY15ProjSCH!$A$2:$S$2,0),FALSE)</f>
        <v>0</v>
      </c>
      <c r="L35" s="443">
        <f>+GPpcntSCH*(VLOOKUP($A35,FY15ProjRev!$A$4:$J$24,10,FALSE))*VLOOKUP($A35,FY15ProjSCH!$A$3:$S$23,MATCH(L$28,FY15ProjSCH!$A$2:$S$2,0),FALSE)</f>
        <v>0</v>
      </c>
      <c r="M35" s="443">
        <f>+GPpcntSCH*(VLOOKUP($A35,FY15ProjRev!$A$4:$J$24,10,FALSE))*VLOOKUP($A35,FY15ProjSCH!$A$3:$S$23,MATCH(M$28,FY15ProjSCH!$A$2:$S$2,0),FALSE)</f>
        <v>0</v>
      </c>
      <c r="N35" s="443">
        <f>+GPpcntSCH*(VLOOKUP($A35,FY15ProjRev!$A$4:$J$24,10,FALSE))*VLOOKUP($A35,FY15ProjSCH!$A$3:$S$23,MATCH(N$28,FY15ProjSCH!$A$2:$S$2,0),FALSE)</f>
        <v>0</v>
      </c>
      <c r="O35" s="443">
        <f>+GPpcntSCH*(VLOOKUP($A35,FY15ProjRev!$A$4:$J$24,10,FALSE))*VLOOKUP($A35,FY15ProjSCH!$A$3:$S$23,MATCH(O$28,FY15ProjSCH!$A$2:$S$2,0),FALSE)</f>
        <v>0</v>
      </c>
      <c r="P35" s="443">
        <f>+GPpcntSCH*(VLOOKUP($A35,FY15ProjRev!$A$4:$J$24,10,FALSE))*VLOOKUP($A35,FY15ProjSCH!$A$3:$S$23,MATCH(P$28,FY15ProjSCH!$A$2:$S$2,0),FALSE)</f>
        <v>0</v>
      </c>
      <c r="Q35" s="443">
        <f>+GPpcntSCH*(VLOOKUP($A35,FY15ProjRev!$A$4:$J$24,10,FALSE))*VLOOKUP($A35,FY15ProjSCH!$A$3:$S$23,MATCH(Q$28,FY15ProjSCH!$A$2:$S$2,0),FALSE)</f>
        <v>0</v>
      </c>
      <c r="R35" s="443">
        <f>+GPpcntSCH*(VLOOKUP($A35,FY15ProjRev!$A$4:$J$24,10,FALSE))*VLOOKUP($A35,FY15ProjSCH!$A$3:$S$23,MATCH(R$28,FY15ProjSCH!$A$2:$S$2,0),FALSE)</f>
        <v>0</v>
      </c>
      <c r="S35" s="443">
        <f>+GPpcntSCH*(VLOOKUP($A35,FY15ProjRev!$A$4:$J$24,10,FALSE))*VLOOKUP($A35,FY15ProjSCH!$A$3:$S$23,MATCH(S$28,FY15ProjSCH!$A$2:$S$2,0),FALSE)</f>
        <v>0</v>
      </c>
      <c r="T35" s="444">
        <f t="shared" si="4"/>
        <v>0</v>
      </c>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s="18" customFormat="1" ht="20.100000000000001" customHeight="1">
      <c r="A36" s="404" t="s">
        <v>135</v>
      </c>
      <c r="B36" s="440" t="s">
        <v>70</v>
      </c>
      <c r="C36" s="410">
        <f>+GPpcntSCH*(VLOOKUP($A36,FY15ProjRev!$A$4:$J$24,10,FALSE))*VLOOKUP($A36,FY15ProjSCH!$A$3:$S$23,MATCH(C$28,FY15ProjSCH!$A$2:$S$2,0),FALSE)</f>
        <v>0</v>
      </c>
      <c r="D36" s="410">
        <f>+GPpcntSCH*(VLOOKUP($A36,FY15ProjRev!$A$4:$J$24,10,FALSE))*VLOOKUP($A36,FY15ProjSCH!$A$3:$S$23,MATCH(D$28,FY15ProjSCH!$A$2:$S$2,0),FALSE)</f>
        <v>2939.4736088547334</v>
      </c>
      <c r="E36" s="410">
        <f>+GPpcntSCH*(VLOOKUP($A36,FY15ProjRev!$A$4:$J$24,10,FALSE))*VLOOKUP($A36,FY15ProjSCH!$A$3:$S$23,MATCH(E$28,FY15ProjSCH!$A$2:$S$2,0),FALSE)</f>
        <v>0</v>
      </c>
      <c r="F36" s="410">
        <f>+GPpcntSCH*(VLOOKUP($A36,FY15ProjRev!$A$4:$J$24,10,FALSE))*VLOOKUP($A36,FY15ProjSCH!$A$3:$S$23,MATCH(F$28,FY15ProjSCH!$A$2:$S$2,0),FALSE)</f>
        <v>169.58501589546538</v>
      </c>
      <c r="G36" s="410">
        <f>+GPpcntSCH*(VLOOKUP($A36,FY15ProjRev!$A$4:$J$24,10,FALSE))*VLOOKUP($A36,FY15ProjSCH!$A$3:$S$23,MATCH(G$28,FY15ProjSCH!$A$2:$S$2,0),FALSE)</f>
        <v>0</v>
      </c>
      <c r="H36" s="410">
        <f>+GPpcntSCH*(VLOOKUP($A36,FY15ProjRev!$A$4:$J$24,10,FALSE))*VLOOKUP($A36,FY15ProjSCH!$A$3:$S$23,MATCH(H$28,FY15ProjSCH!$A$2:$S$2,0),FALSE)</f>
        <v>0</v>
      </c>
      <c r="I36" s="410">
        <f>+GPpcntSCH*(VLOOKUP($A36,FY15ProjRev!$A$4:$J$24,10,FALSE))*VLOOKUP($A36,FY15ProjSCH!$A$3:$S$23,MATCH(I$28,FY15ProjSCH!$A$2:$S$2,0),FALSE)</f>
        <v>0</v>
      </c>
      <c r="J36" s="410">
        <f>+GPpcntSCH*(VLOOKUP($A36,FY15ProjRev!$A$4:$J$24,10,FALSE))*VLOOKUP($A36,FY15ProjSCH!$A$3:$S$23,MATCH(J$28,FY15ProjSCH!$A$2:$S$2,0),FALSE)</f>
        <v>56.528338631821796</v>
      </c>
      <c r="K36" s="410">
        <f>+GPpcntSCH*(VLOOKUP($A36,FY15ProjRev!$A$4:$J$24,10,FALSE))*VLOOKUP($A36,FY15ProjSCH!$A$3:$S$23,MATCH(K$28,FY15ProjSCH!$A$2:$S$2,0),FALSE)</f>
        <v>4578.7954291775659</v>
      </c>
      <c r="L36" s="410">
        <f>+GPpcntSCH*(VLOOKUP($A36,FY15ProjRev!$A$4:$J$24,10,FALSE))*VLOOKUP($A36,FY15ProjSCH!$A$3:$S$23,MATCH(L$28,FY15ProjSCH!$A$2:$S$2,0),FALSE)</f>
        <v>517290.8268198013</v>
      </c>
      <c r="M36" s="410">
        <f>+GPpcntSCH*(VLOOKUP($A36,FY15ProjRev!$A$4:$J$24,10,FALSE))*VLOOKUP($A36,FY15ProjSCH!$A$3:$S$23,MATCH(M$28,FY15ProjSCH!$A$2:$S$2,0),FALSE)</f>
        <v>452.22670905457437</v>
      </c>
      <c r="N36" s="410">
        <f>+GPpcntSCH*(VLOOKUP($A36,FY15ProjRev!$A$4:$J$24,10,FALSE))*VLOOKUP($A36,FY15ProjSCH!$A$3:$S$23,MATCH(N$28,FY15ProjSCH!$A$2:$S$2,0),FALSE)</f>
        <v>6048.5322336049321</v>
      </c>
      <c r="O36" s="410">
        <f>+GPpcntSCH*(VLOOKUP($A36,FY15ProjRev!$A$4:$J$24,10,FALSE))*VLOOKUP($A36,FY15ProjSCH!$A$3:$S$23,MATCH(O$28,FY15ProjSCH!$A$2:$S$2,0),FALSE)</f>
        <v>0</v>
      </c>
      <c r="P36" s="410">
        <f>+GPpcntSCH*(VLOOKUP($A36,FY15ProjRev!$A$4:$J$24,10,FALSE))*VLOOKUP($A36,FY15ProjSCH!$A$3:$S$23,MATCH(P$28,FY15ProjSCH!$A$2:$S$2,0),FALSE)</f>
        <v>0</v>
      </c>
      <c r="Q36" s="410">
        <f>+GPpcntSCH*(VLOOKUP($A36,FY15ProjRev!$A$4:$J$24,10,FALSE))*VLOOKUP($A36,FY15ProjSCH!$A$3:$S$23,MATCH(Q$28,FY15ProjSCH!$A$2:$S$2,0),FALSE)</f>
        <v>5765.8905404458228</v>
      </c>
      <c r="R36" s="410">
        <f>+GPpcntSCH*(VLOOKUP($A36,FY15ProjRev!$A$4:$J$24,10,FALSE))*VLOOKUP($A36,FY15ProjSCH!$A$3:$S$23,MATCH(R$28,FY15ProjSCH!$A$2:$S$2,0),FALSE)</f>
        <v>0</v>
      </c>
      <c r="S36" s="410">
        <f>+GPpcntSCH*(VLOOKUP($A36,FY15ProjRev!$A$4:$J$24,10,FALSE))*VLOOKUP($A36,FY15ProjSCH!$A$3:$S$23,MATCH(S$28,FY15ProjSCH!$A$2:$S$2,0),FALSE)</f>
        <v>0</v>
      </c>
      <c r="T36" s="441">
        <f t="shared" si="4"/>
        <v>537301.85869546619</v>
      </c>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ht="20.100000000000001" customHeight="1">
      <c r="A37" s="404" t="s">
        <v>136</v>
      </c>
      <c r="B37" s="442" t="s">
        <v>144</v>
      </c>
      <c r="C37" s="443">
        <f>+GPpcntSCH*(VLOOKUP($A37,FY15ProjRev!$A$4:$J$24,10,FALSE))*VLOOKUP($A37,FY15ProjSCH!$A$3:$S$23,MATCH(C$28,FY15ProjSCH!$A$2:$S$2,0),FALSE)</f>
        <v>198.6985234585089</v>
      </c>
      <c r="D37" s="443">
        <f>+GPpcntSCH*(VLOOKUP($A37,FY15ProjRev!$A$4:$J$24,10,FALSE))*VLOOKUP($A37,FY15ProjSCH!$A$3:$S$23,MATCH(D$28,FY15ProjSCH!$A$2:$S$2,0),FALSE)</f>
        <v>30698.921874339627</v>
      </c>
      <c r="E37" s="443">
        <f>+GPpcntSCH*(VLOOKUP($A37,FY15ProjRev!$A$4:$J$24,10,FALSE))*VLOOKUP($A37,FY15ProjSCH!$A$3:$S$23,MATCH(E$28,FY15ProjSCH!$A$2:$S$2,0),FALSE)</f>
        <v>99.349261729254451</v>
      </c>
      <c r="F37" s="443">
        <f>+GPpcntSCH*(VLOOKUP($A37,FY15ProjRev!$A$4:$J$24,10,FALSE))*VLOOKUP($A37,FY15ProjSCH!$A$3:$S$23,MATCH(F$28,FY15ProjSCH!$A$2:$S$2,0),FALSE)</f>
        <v>149.0238925938817</v>
      </c>
      <c r="G37" s="443">
        <f>+GPpcntSCH*(VLOOKUP($A37,FY15ProjRev!$A$4:$J$24,10,FALSE))*VLOOKUP($A37,FY15ProjSCH!$A$3:$S$23,MATCH(G$28,FY15ProjSCH!$A$2:$S$2,0),FALSE)</f>
        <v>2334.7076506374797</v>
      </c>
      <c r="H37" s="443">
        <f>+GPpcntSCH*(VLOOKUP($A37,FY15ProjRev!$A$4:$J$24,10,FALSE))*VLOOKUP($A37,FY15ProjSCH!$A$3:$S$23,MATCH(H$28,FY15ProjSCH!$A$2:$S$2,0),FALSE)</f>
        <v>1589.5881876680712</v>
      </c>
      <c r="I37" s="443">
        <f>+GPpcntSCH*(VLOOKUP($A37,FY15ProjRev!$A$4:$J$24,10,FALSE))*VLOOKUP($A37,FY15ProjSCH!$A$3:$S$23,MATCH(I$28,FY15ProjSCH!$A$2:$S$2,0),FALSE)</f>
        <v>49.674630864627225</v>
      </c>
      <c r="J37" s="443">
        <f>+GPpcntSCH*(VLOOKUP($A37,FY15ProjRev!$A$4:$J$24,10,FALSE))*VLOOKUP($A37,FY15ProjSCH!$A$3:$S$23,MATCH(J$28,FY15ProjSCH!$A$2:$S$2,0),FALSE)</f>
        <v>149.0238925938817</v>
      </c>
      <c r="K37" s="443">
        <f>+GPpcntSCH*(VLOOKUP($A37,FY15ProjRev!$A$4:$J$24,10,FALSE))*VLOOKUP($A37,FY15ProjSCH!$A$3:$S$23,MATCH(K$28,FY15ProjSCH!$A$2:$S$2,0),FALSE)</f>
        <v>1788.2867111265803</v>
      </c>
      <c r="L37" s="443">
        <f>+GPpcntSCH*(VLOOKUP($A37,FY15ProjRev!$A$4:$J$24,10,FALSE))*VLOOKUP($A37,FY15ProjSCH!$A$3:$S$23,MATCH(L$28,FY15ProjSCH!$A$2:$S$2,0),FALSE)</f>
        <v>546.42093951089953</v>
      </c>
      <c r="M37" s="443">
        <f>+GPpcntSCH*(VLOOKUP($A37,FY15ProjRev!$A$4:$J$24,10,FALSE))*VLOOKUP($A37,FY15ProjSCH!$A$3:$S$23,MATCH(M$28,FY15ProjSCH!$A$2:$S$2,0),FALSE)</f>
        <v>49.674630864627225</v>
      </c>
      <c r="N37" s="443">
        <f>+GPpcntSCH*(VLOOKUP($A37,FY15ProjRev!$A$4:$J$24,10,FALSE))*VLOOKUP($A37,FY15ProjSCH!$A$3:$S$23,MATCH(N$28,FY15ProjSCH!$A$2:$S$2,0),FALSE)</f>
        <v>17187.422279161019</v>
      </c>
      <c r="O37" s="443">
        <f>+GPpcntSCH*(VLOOKUP($A37,FY15ProjRev!$A$4:$J$24,10,FALSE))*VLOOKUP($A37,FY15ProjSCH!$A$3:$S$23,MATCH(O$28,FY15ProjSCH!$A$2:$S$2,0),FALSE)</f>
        <v>149.0238925938817</v>
      </c>
      <c r="P37" s="443">
        <f>+GPpcntSCH*(VLOOKUP($A37,FY15ProjRev!$A$4:$J$24,10,FALSE))*VLOOKUP($A37,FY15ProjSCH!$A$3:$S$23,MATCH(P$28,FY15ProjSCH!$A$2:$S$2,0),FALSE)</f>
        <v>4669.4153012749593</v>
      </c>
      <c r="Q37" s="443">
        <f>+GPpcntSCH*(VLOOKUP($A37,FY15ProjRev!$A$4:$J$24,10,FALSE))*VLOOKUP($A37,FY15ProjSCH!$A$3:$S$23,MATCH(Q$28,FY15ProjSCH!$A$2:$S$2,0),FALSE)</f>
        <v>436317.12019945326</v>
      </c>
      <c r="R37" s="443">
        <f>+GPpcntSCH*(VLOOKUP($A37,FY15ProjRev!$A$4:$J$24,10,FALSE))*VLOOKUP($A37,FY15ProjSCH!$A$3:$S$23,MATCH(R$28,FY15ProjSCH!$A$2:$S$2,0),FALSE)</f>
        <v>0</v>
      </c>
      <c r="S37" s="443">
        <f>+GPpcntSCH*(VLOOKUP($A37,FY15ProjRev!$A$4:$J$24,10,FALSE))*VLOOKUP($A37,FY15ProjSCH!$A$3:$S$23,MATCH(S$28,FY15ProjSCH!$A$2:$S$2,0),FALSE)</f>
        <v>2831.4539592837518</v>
      </c>
      <c r="T37" s="444">
        <f t="shared" si="4"/>
        <v>498807.80582715431</v>
      </c>
    </row>
    <row r="38" spans="1:91" s="18" customFormat="1" ht="20.100000000000001" customHeight="1">
      <c r="A38" s="404" t="s">
        <v>137</v>
      </c>
      <c r="B38" s="440" t="s">
        <v>49</v>
      </c>
      <c r="C38" s="410">
        <f>+GPpcntSCH*(VLOOKUP($A38,FY15ProjRev!$A$4:$J$24,10,FALSE))*VLOOKUP($A38,FY15ProjSCH!$A$3:$S$23,MATCH(C$28,FY15ProjSCH!$A$2:$S$2,0),FALSE)</f>
        <v>1235.8637398462802</v>
      </c>
      <c r="D38" s="410">
        <f>+GPpcntSCH*(VLOOKUP($A38,FY15ProjRev!$A$4:$J$24,10,FALSE))*VLOOKUP($A38,FY15ProjSCH!$A$3:$S$23,MATCH(D$28,FY15ProjSCH!$A$2:$S$2,0),FALSE)</f>
        <v>5018.3557921030761</v>
      </c>
      <c r="E38" s="410">
        <f>+GPpcntSCH*(VLOOKUP($A38,FY15ProjRev!$A$4:$J$24,10,FALSE))*VLOOKUP($A38,FY15ProjSCH!$A$3:$S$23,MATCH(E$28,FY15ProjSCH!$A$2:$S$2,0),FALSE)</f>
        <v>299.60333087182551</v>
      </c>
      <c r="F38" s="410">
        <f>+GPpcntSCH*(VLOOKUP($A38,FY15ProjRev!$A$4:$J$24,10,FALSE))*VLOOKUP($A38,FY15ProjSCH!$A$3:$S$23,MATCH(F$28,FY15ProjSCH!$A$2:$S$2,0),FALSE)</f>
        <v>0</v>
      </c>
      <c r="G38" s="410">
        <f>+GPpcntSCH*(VLOOKUP($A38,FY15ProjRev!$A$4:$J$24,10,FALSE))*VLOOKUP($A38,FY15ProjSCH!$A$3:$S$23,MATCH(G$28,FY15ProjSCH!$A$2:$S$2,0),FALSE)</f>
        <v>674.10749446160742</v>
      </c>
      <c r="H38" s="410">
        <f>+GPpcntSCH*(VLOOKUP($A38,FY15ProjRev!$A$4:$J$24,10,FALSE))*VLOOKUP($A38,FY15ProjSCH!$A$3:$S$23,MATCH(H$28,FY15ProjSCH!$A$2:$S$2,0),FALSE)</f>
        <v>149.80166543591275</v>
      </c>
      <c r="I38" s="410">
        <f>+GPpcntSCH*(VLOOKUP($A38,FY15ProjRev!$A$4:$J$24,10,FALSE))*VLOOKUP($A38,FY15ProjSCH!$A$3:$S$23,MATCH(I$28,FY15ProjSCH!$A$2:$S$2,0),FALSE)</f>
        <v>0</v>
      </c>
      <c r="J38" s="410">
        <f>+GPpcntSCH*(VLOOKUP($A38,FY15ProjRev!$A$4:$J$24,10,FALSE))*VLOOKUP($A38,FY15ProjSCH!$A$3:$S$23,MATCH(J$28,FY15ProjSCH!$A$2:$S$2,0),FALSE)</f>
        <v>786.45874353854185</v>
      </c>
      <c r="K38" s="410">
        <f>+GPpcntSCH*(VLOOKUP($A38,FY15ProjRev!$A$4:$J$24,10,FALSE))*VLOOKUP($A38,FY15ProjSCH!$A$3:$S$23,MATCH(K$28,FY15ProjSCH!$A$2:$S$2,0),FALSE)</f>
        <v>2172.1241488207352</v>
      </c>
      <c r="L38" s="410">
        <f>+GPpcntSCH*(VLOOKUP($A38,FY15ProjRev!$A$4:$J$24,10,FALSE))*VLOOKUP($A38,FY15ProjSCH!$A$3:$S$23,MATCH(L$28,FY15ProjSCH!$A$2:$S$2,0),FALSE)</f>
        <v>3482.8887213849712</v>
      </c>
      <c r="M38" s="410">
        <f>+GPpcntSCH*(VLOOKUP($A38,FY15ProjRev!$A$4:$J$24,10,FALSE))*VLOOKUP($A38,FY15ProjSCH!$A$3:$S$23,MATCH(M$28,FY15ProjSCH!$A$2:$S$2,0),FALSE)</f>
        <v>149.80166543591275</v>
      </c>
      <c r="N38" s="410">
        <f>+GPpcntSCH*(VLOOKUP($A38,FY15ProjRev!$A$4:$J$24,10,FALSE))*VLOOKUP($A38,FY15ProjSCH!$A$3:$S$23,MATCH(N$28,FY15ProjSCH!$A$2:$S$2,0),FALSE)</f>
        <v>43629.73505820959</v>
      </c>
      <c r="O38" s="410">
        <f>+GPpcntSCH*(VLOOKUP($A38,FY15ProjRev!$A$4:$J$24,10,FALSE))*VLOOKUP($A38,FY15ProjSCH!$A$3:$S$23,MATCH(O$28,FY15ProjSCH!$A$2:$S$2,0),FALSE)</f>
        <v>749.00832717956371</v>
      </c>
      <c r="P38" s="410">
        <f>+GPpcntSCH*(VLOOKUP($A38,FY15ProjRev!$A$4:$J$24,10,FALSE))*VLOOKUP($A38,FY15ProjSCH!$A$3:$S$23,MATCH(P$28,FY15ProjSCH!$A$2:$S$2,0),FALSE)</f>
        <v>823.90915989752011</v>
      </c>
      <c r="Q38" s="410">
        <f>+GPpcntSCH*(VLOOKUP($A38,FY15ProjRev!$A$4:$J$24,10,FALSE))*VLOOKUP($A38,FY15ProjSCH!$A$3:$S$23,MATCH(Q$28,FY15ProjSCH!$A$2:$S$2,0),FALSE)</f>
        <v>186727.77596586521</v>
      </c>
      <c r="R38" s="410">
        <f>+GPpcntSCH*(VLOOKUP($A38,FY15ProjRev!$A$4:$J$24,10,FALSE))*VLOOKUP($A38,FY15ProjSCH!$A$3:$S$23,MATCH(R$28,FY15ProjSCH!$A$2:$S$2,0),FALSE)</f>
        <v>0</v>
      </c>
      <c r="S38" s="410">
        <f>+GPpcntSCH*(VLOOKUP($A38,FY15ProjRev!$A$4:$J$24,10,FALSE))*VLOOKUP($A38,FY15ProjSCH!$A$3:$S$23,MATCH(S$28,FY15ProjSCH!$A$2:$S$2,0),FALSE)</f>
        <v>0</v>
      </c>
      <c r="T38" s="441">
        <f t="shared" si="4"/>
        <v>245899.43381305074</v>
      </c>
    </row>
    <row r="39" spans="1:91" ht="20.100000000000001" customHeight="1">
      <c r="A39" s="404" t="s">
        <v>138</v>
      </c>
      <c r="B39" s="442" t="s">
        <v>207</v>
      </c>
      <c r="C39" s="443">
        <f>+GPpcntSCH*(VLOOKUP($A39,FY15ProjRev!$A$4:$J$24,10,FALSE))*VLOOKUP($A39,FY15ProjSCH!$A$3:$S$23,MATCH(C$28,FY15ProjSCH!$A$2:$S$2,0),FALSE)</f>
        <v>797416.70187176857</v>
      </c>
      <c r="D39" s="443">
        <f>+GPpcntSCH*(VLOOKUP($A39,FY15ProjRev!$A$4:$J$24,10,FALSE))*VLOOKUP($A39,FY15ProjSCH!$A$3:$S$23,MATCH(D$28,FY15ProjSCH!$A$2:$S$2,0),FALSE)</f>
        <v>15380.834289511999</v>
      </c>
      <c r="E39" s="443">
        <f>+GPpcntSCH*(VLOOKUP($A39,FY15ProjRev!$A$4:$J$24,10,FALSE))*VLOOKUP($A39,FY15ProjSCH!$A$3:$S$23,MATCH(E$28,FY15ProjSCH!$A$2:$S$2,0),FALSE)</f>
        <v>4309.2854690443091</v>
      </c>
      <c r="F39" s="443">
        <f>+GPpcntSCH*(VLOOKUP($A39,FY15ProjRev!$A$4:$J$24,10,FALSE))*VLOOKUP($A39,FY15ProjSCH!$A$3:$S$23,MATCH(F$28,FY15ProjSCH!$A$2:$S$2,0),FALSE)</f>
        <v>198.89009857127584</v>
      </c>
      <c r="G39" s="443">
        <f>+GPpcntSCH*(VLOOKUP($A39,FY15ProjRev!$A$4:$J$24,10,FALSE))*VLOOKUP($A39,FY15ProjSCH!$A$3:$S$23,MATCH(G$28,FY15ProjSCH!$A$2:$S$2,0),FALSE)</f>
        <v>4309.2854690443091</v>
      </c>
      <c r="H39" s="443">
        <f>+GPpcntSCH*(VLOOKUP($A39,FY15ProjRev!$A$4:$J$24,10,FALSE))*VLOOKUP($A39,FY15ProjSCH!$A$3:$S$23,MATCH(H$28,FY15ProjSCH!$A$2:$S$2,0),FALSE)</f>
        <v>13060.449806180446</v>
      </c>
      <c r="I39" s="443">
        <f>+GPpcntSCH*(VLOOKUP($A39,FY15ProjRev!$A$4:$J$24,10,FALSE))*VLOOKUP($A39,FY15ProjSCH!$A$3:$S$23,MATCH(I$28,FY15ProjSCH!$A$2:$S$2,0),FALSE)</f>
        <v>0</v>
      </c>
      <c r="J39" s="443">
        <f>+GPpcntSCH*(VLOOKUP($A39,FY15ProjRev!$A$4:$J$24,10,FALSE))*VLOOKUP($A39,FY15ProjSCH!$A$3:$S$23,MATCH(J$28,FY15ProjSCH!$A$2:$S$2,0),FALSE)</f>
        <v>0</v>
      </c>
      <c r="K39" s="443">
        <f>+GPpcntSCH*(VLOOKUP($A39,FY15ProjRev!$A$4:$J$24,10,FALSE))*VLOOKUP($A39,FY15ProjSCH!$A$3:$S$23,MATCH(K$28,FY15ProjSCH!$A$2:$S$2,0),FALSE)</f>
        <v>10474.878524753862</v>
      </c>
      <c r="L39" s="443">
        <f>+GPpcntSCH*(VLOOKUP($A39,FY15ProjRev!$A$4:$J$24,10,FALSE))*VLOOKUP($A39,FY15ProjSCH!$A$3:$S$23,MATCH(L$28,FY15ProjSCH!$A$2:$S$2,0),FALSE)</f>
        <v>0</v>
      </c>
      <c r="M39" s="443">
        <f>+GPpcntSCH*(VLOOKUP($A39,FY15ProjRev!$A$4:$J$24,10,FALSE))*VLOOKUP($A39,FY15ProjSCH!$A$3:$S$23,MATCH(M$28,FY15ProjSCH!$A$2:$S$2,0),FALSE)</f>
        <v>0</v>
      </c>
      <c r="N39" s="443">
        <f>+GPpcntSCH*(VLOOKUP($A39,FY15ProjRev!$A$4:$J$24,10,FALSE))*VLOOKUP($A39,FY15ProjSCH!$A$3:$S$23,MATCH(N$28,FY15ProjSCH!$A$2:$S$2,0),FALSE)</f>
        <v>1193.340591427655</v>
      </c>
      <c r="O39" s="443">
        <f>+GPpcntSCH*(VLOOKUP($A39,FY15ProjRev!$A$4:$J$24,10,FALSE))*VLOOKUP($A39,FY15ProjSCH!$A$3:$S$23,MATCH(O$28,FY15ProjSCH!$A$2:$S$2,0),FALSE)</f>
        <v>0</v>
      </c>
      <c r="P39" s="443">
        <f>+GPpcntSCH*(VLOOKUP($A39,FY15ProjRev!$A$4:$J$24,10,FALSE))*VLOOKUP($A39,FY15ProjSCH!$A$3:$S$23,MATCH(P$28,FY15ProjSCH!$A$2:$S$2,0),FALSE)</f>
        <v>0</v>
      </c>
      <c r="Q39" s="443">
        <f>+GPpcntSCH*(VLOOKUP($A39,FY15ProjRev!$A$4:$J$24,10,FALSE))*VLOOKUP($A39,FY15ProjSCH!$A$3:$S$23,MATCH(Q$28,FY15ProjSCH!$A$2:$S$2,0),FALSE)</f>
        <v>1127.0438919038963</v>
      </c>
      <c r="R39" s="443">
        <f>+GPpcntSCH*(VLOOKUP($A39,FY15ProjRev!$A$4:$J$24,10,FALSE))*VLOOKUP($A39,FY15ProjSCH!$A$3:$S$23,MATCH(R$28,FY15ProjSCH!$A$2:$S$2,0),FALSE)</f>
        <v>0</v>
      </c>
      <c r="S39" s="443">
        <f>+GPpcntSCH*(VLOOKUP($A39,FY15ProjRev!$A$4:$J$24,10,FALSE))*VLOOKUP($A39,FY15ProjSCH!$A$3:$S$23,MATCH(S$28,FY15ProjSCH!$A$2:$S$2,0),FALSE)</f>
        <v>0</v>
      </c>
      <c r="T39" s="444">
        <f t="shared" si="4"/>
        <v>847470.71001220646</v>
      </c>
    </row>
    <row r="40" spans="1:91" s="18" customFormat="1" ht="20.100000000000001" customHeight="1">
      <c r="A40" s="404" t="s">
        <v>147</v>
      </c>
      <c r="B40" s="440" t="s">
        <v>208</v>
      </c>
      <c r="C40" s="410">
        <f>+GPpcntSCH*(VLOOKUP($A40,FY15ProjRev!$A$4:$J$24,10,FALSE))*VLOOKUP($A40,FY15ProjSCH!$A$3:$S$23,MATCH(C$28,FY15ProjSCH!$A$2:$S$2,0),FALSE)</f>
        <v>0</v>
      </c>
      <c r="D40" s="410">
        <f>+GPpcntSCH*(VLOOKUP($A40,FY15ProjRev!$A$4:$J$24,10,FALSE))*VLOOKUP($A40,FY15ProjSCH!$A$3:$S$23,MATCH(D$28,FY15ProjSCH!$A$2:$S$2,0),FALSE)</f>
        <v>3447.4585081364112</v>
      </c>
      <c r="E40" s="410">
        <f>+GPpcntSCH*(VLOOKUP($A40,FY15ProjRev!$A$4:$J$24,10,FALSE))*VLOOKUP($A40,FY15ProjSCH!$A$3:$S$23,MATCH(E$28,FY15ProjSCH!$A$2:$S$2,0),FALSE)</f>
        <v>0</v>
      </c>
      <c r="F40" s="410">
        <f>+GPpcntSCH*(VLOOKUP($A40,FY15ProjRev!$A$4:$J$24,10,FALSE))*VLOOKUP($A40,FY15ProjSCH!$A$3:$S$23,MATCH(F$28,FY15ProjSCH!$A$2:$S$2,0),FALSE)</f>
        <v>0</v>
      </c>
      <c r="G40" s="410">
        <f>+GPpcntSCH*(VLOOKUP($A40,FY15ProjRev!$A$4:$J$24,10,FALSE))*VLOOKUP($A40,FY15ProjSCH!$A$3:$S$23,MATCH(G$28,FY15ProjSCH!$A$2:$S$2,0),FALSE)</f>
        <v>90845.190417108126</v>
      </c>
      <c r="H40" s="410">
        <f>+GPpcntSCH*(VLOOKUP($A40,FY15ProjRev!$A$4:$J$24,10,FALSE))*VLOOKUP($A40,FY15ProjSCH!$A$3:$S$23,MATCH(H$28,FY15ProjSCH!$A$2:$S$2,0),FALSE)</f>
        <v>745.39643419165645</v>
      </c>
      <c r="I40" s="410">
        <f>+GPpcntSCH*(VLOOKUP($A40,FY15ProjRev!$A$4:$J$24,10,FALSE))*VLOOKUP($A40,FY15ProjSCH!$A$3:$S$23,MATCH(I$28,FY15ProjSCH!$A$2:$S$2,0),FALSE)</f>
        <v>0</v>
      </c>
      <c r="J40" s="410">
        <f>+GPpcntSCH*(VLOOKUP($A40,FY15ProjRev!$A$4:$J$24,10,FALSE))*VLOOKUP($A40,FY15ProjSCH!$A$3:$S$23,MATCH(J$28,FY15ProjSCH!$A$2:$S$2,0),FALSE)</f>
        <v>0</v>
      </c>
      <c r="K40" s="410">
        <f>+GPpcntSCH*(VLOOKUP($A40,FY15ProjRev!$A$4:$J$24,10,FALSE))*VLOOKUP($A40,FY15ProjSCH!$A$3:$S$23,MATCH(K$28,FY15ProjSCH!$A$2:$S$2,0),FALSE)</f>
        <v>0</v>
      </c>
      <c r="L40" s="410">
        <f>+GPpcntSCH*(VLOOKUP($A40,FY15ProjRev!$A$4:$J$24,10,FALSE))*VLOOKUP($A40,FY15ProjSCH!$A$3:$S$23,MATCH(L$28,FY15ProjSCH!$A$2:$S$2,0),FALSE)</f>
        <v>0</v>
      </c>
      <c r="M40" s="410">
        <f>+GPpcntSCH*(VLOOKUP($A40,FY15ProjRev!$A$4:$J$24,10,FALSE))*VLOOKUP($A40,FY15ProjSCH!$A$3:$S$23,MATCH(M$28,FY15ProjSCH!$A$2:$S$2,0),FALSE)</f>
        <v>0</v>
      </c>
      <c r="N40" s="410">
        <f>+GPpcntSCH*(VLOOKUP($A40,FY15ProjRev!$A$4:$J$24,10,FALSE))*VLOOKUP($A40,FY15ProjSCH!$A$3:$S$23,MATCH(N$28,FY15ProjSCH!$A$2:$S$2,0),FALSE)</f>
        <v>8199.3607761082221</v>
      </c>
      <c r="O40" s="410">
        <f>+GPpcntSCH*(VLOOKUP($A40,FY15ProjRev!$A$4:$J$24,10,FALSE))*VLOOKUP($A40,FY15ProjSCH!$A$3:$S$23,MATCH(O$28,FY15ProjSCH!$A$2:$S$2,0),FALSE)</f>
        <v>0</v>
      </c>
      <c r="P40" s="410">
        <f>+GPpcntSCH*(VLOOKUP($A40,FY15ProjRev!$A$4:$J$24,10,FALSE))*VLOOKUP($A40,FY15ProjSCH!$A$3:$S$23,MATCH(P$28,FY15ProjSCH!$A$2:$S$2,0),FALSE)</f>
        <v>0</v>
      </c>
      <c r="Q40" s="410">
        <f>+GPpcntSCH*(VLOOKUP($A40,FY15ProjRev!$A$4:$J$24,10,FALSE))*VLOOKUP($A40,FY15ProjSCH!$A$3:$S$23,MATCH(Q$28,FY15ProjSCH!$A$2:$S$2,0),FALSE)</f>
        <v>838.5709884656136</v>
      </c>
      <c r="R40" s="410">
        <f>+GPpcntSCH*(VLOOKUP($A40,FY15ProjRev!$A$4:$J$24,10,FALSE))*VLOOKUP($A40,FY15ProjSCH!$A$3:$S$23,MATCH(R$28,FY15ProjSCH!$A$2:$S$2,0),FALSE)</f>
        <v>0</v>
      </c>
      <c r="S40" s="410">
        <f>+GPpcntSCH*(VLOOKUP($A40,FY15ProjRev!$A$4:$J$24,10,FALSE))*VLOOKUP($A40,FY15ProjSCH!$A$3:$S$23,MATCH(S$28,FY15ProjSCH!$A$2:$S$2,0),FALSE)</f>
        <v>93.174554273957057</v>
      </c>
      <c r="T40" s="441">
        <f t="shared" si="4"/>
        <v>104169.15167828398</v>
      </c>
    </row>
    <row r="41" spans="1:91" ht="20.100000000000001" customHeight="1">
      <c r="A41" s="404" t="s">
        <v>148</v>
      </c>
      <c r="B41" s="442" t="s">
        <v>39</v>
      </c>
      <c r="C41" s="443">
        <f>+GPpcntSCH*(VLOOKUP($A41,FY15ProjRev!$A$4:$J$24,10,FALSE))*VLOOKUP($A41,FY15ProjSCH!$A$3:$S$23,MATCH(C$28,FY15ProjSCH!$A$2:$S$2,0),FALSE)</f>
        <v>9602.4424114612684</v>
      </c>
      <c r="D41" s="443">
        <f>+GPpcntSCH*(VLOOKUP($A41,FY15ProjRev!$A$4:$J$24,10,FALSE))*VLOOKUP($A41,FY15ProjSCH!$A$3:$S$23,MATCH(D$28,FY15ProjSCH!$A$2:$S$2,0),FALSE)</f>
        <v>51557.729255384344</v>
      </c>
      <c r="E41" s="443">
        <f>+GPpcntSCH*(VLOOKUP($A41,FY15ProjRev!$A$4:$J$24,10,FALSE))*VLOOKUP($A41,FY15ProjSCH!$A$3:$S$23,MATCH(E$28,FY15ProjSCH!$A$2:$S$2,0),FALSE)</f>
        <v>21125.373305214791</v>
      </c>
      <c r="F41" s="443">
        <f>+GPpcntSCH*(VLOOKUP($A41,FY15ProjRev!$A$4:$J$24,10,FALSE))*VLOOKUP($A41,FY15ProjSCH!$A$3:$S$23,MATCH(F$28,FY15ProjSCH!$A$2:$S$2,0),FALSE)</f>
        <v>6278.5200382631374</v>
      </c>
      <c r="G41" s="443">
        <f>+GPpcntSCH*(VLOOKUP($A41,FY15ProjRev!$A$4:$J$24,10,FALSE))*VLOOKUP($A41,FY15ProjSCH!$A$3:$S$23,MATCH(G$28,FY15ProjSCH!$A$2:$S$2,0),FALSE)</f>
        <v>2068.2183655455042</v>
      </c>
      <c r="H41" s="443">
        <f>+GPpcntSCH*(VLOOKUP($A41,FY15ProjRev!$A$4:$J$24,10,FALSE))*VLOOKUP($A41,FY15ProjSCH!$A$3:$S$23,MATCH(H$28,FY15ProjSCH!$A$2:$S$2,0),FALSE)</f>
        <v>27551.623226731179</v>
      </c>
      <c r="I41" s="443">
        <f>+GPpcntSCH*(VLOOKUP($A41,FY15ProjRev!$A$4:$J$24,10,FALSE))*VLOOKUP($A41,FY15ProjSCH!$A$3:$S$23,MATCH(I$28,FY15ProjSCH!$A$2:$S$2,0),FALSE)</f>
        <v>738.64941626625136</v>
      </c>
      <c r="J41" s="443">
        <f>+GPpcntSCH*(VLOOKUP($A41,FY15ProjRev!$A$4:$J$24,10,FALSE))*VLOOKUP($A41,FY15ProjSCH!$A$3:$S$23,MATCH(J$28,FY15ProjSCH!$A$2:$S$2,0),FALSE)</f>
        <v>2511.408015305255</v>
      </c>
      <c r="K41" s="443">
        <f>+GPpcntSCH*(VLOOKUP($A41,FY15ProjRev!$A$4:$J$24,10,FALSE))*VLOOKUP($A41,FY15ProjSCH!$A$3:$S$23,MATCH(K$28,FY15ProjSCH!$A$2:$S$2,0),FALSE)</f>
        <v>782303.59676758689</v>
      </c>
      <c r="L41" s="443">
        <f>+GPpcntSCH*(VLOOKUP($A41,FY15ProjRev!$A$4:$J$24,10,FALSE))*VLOOKUP($A41,FY15ProjSCH!$A$3:$S$23,MATCH(L$28,FY15ProjSCH!$A$2:$S$2,0),FALSE)</f>
        <v>5909.1953301300109</v>
      </c>
      <c r="M41" s="443">
        <f>+GPpcntSCH*(VLOOKUP($A41,FY15ProjRev!$A$4:$J$24,10,FALSE))*VLOOKUP($A41,FY15ProjSCH!$A$3:$S$23,MATCH(M$28,FY15ProjSCH!$A$2:$S$2,0),FALSE)</f>
        <v>0</v>
      </c>
      <c r="N41" s="443">
        <f>+GPpcntSCH*(VLOOKUP($A41,FY15ProjRev!$A$4:$J$24,10,FALSE))*VLOOKUP($A41,FY15ProjSCH!$A$3:$S$23,MATCH(N$28,FY15ProjSCH!$A$2:$S$2,0),FALSE)</f>
        <v>7829.6838124222641</v>
      </c>
      <c r="O41" s="443">
        <f>+GPpcntSCH*(VLOOKUP($A41,FY15ProjRev!$A$4:$J$24,10,FALSE))*VLOOKUP($A41,FY15ProjSCH!$A$3:$S$23,MATCH(O$28,FY15ProjSCH!$A$2:$S$2,0),FALSE)</f>
        <v>0</v>
      </c>
      <c r="P41" s="443">
        <f>+GPpcntSCH*(VLOOKUP($A41,FY15ProjRev!$A$4:$J$24,10,FALSE))*VLOOKUP($A41,FY15ProjSCH!$A$3:$S$23,MATCH(P$28,FY15ProjSCH!$A$2:$S$2,0),FALSE)</f>
        <v>0</v>
      </c>
      <c r="Q41" s="443">
        <f>+GPpcntSCH*(VLOOKUP($A41,FY15ProjRev!$A$4:$J$24,10,FALSE))*VLOOKUP($A41,FY15ProjSCH!$A$3:$S$23,MATCH(Q$28,FY15ProjSCH!$A$2:$S$2,0),FALSE)</f>
        <v>14994.583150204904</v>
      </c>
      <c r="R41" s="443">
        <f>+GPpcntSCH*(VLOOKUP($A41,FY15ProjRev!$A$4:$J$24,10,FALSE))*VLOOKUP($A41,FY15ProjSCH!$A$3:$S$23,MATCH(R$28,FY15ProjSCH!$A$2:$S$2,0),FALSE)</f>
        <v>0</v>
      </c>
      <c r="S41" s="443">
        <f>+GPpcntSCH*(VLOOKUP($A41,FY15ProjRev!$A$4:$J$24,10,FALSE))*VLOOKUP($A41,FY15ProjSCH!$A$3:$S$23,MATCH(S$28,FY15ProjSCH!$A$2:$S$2,0),FALSE)</f>
        <v>0</v>
      </c>
      <c r="T41" s="444">
        <f t="shared" si="4"/>
        <v>932471.02309451578</v>
      </c>
    </row>
    <row r="42" spans="1:91" s="18" customFormat="1" ht="20.100000000000001" customHeight="1">
      <c r="A42" s="404" t="s">
        <v>149</v>
      </c>
      <c r="B42" s="440" t="s">
        <v>38</v>
      </c>
      <c r="C42" s="410">
        <f>+GPpcntSCH*(VLOOKUP($A42,FY15ProjRev!$A$4:$J$24,10,FALSE))*VLOOKUP($A42,FY15ProjSCH!$A$3:$S$23,MATCH(C$28,FY15ProjSCH!$A$2:$S$2,0),FALSE)</f>
        <v>749.843473260775</v>
      </c>
      <c r="D42" s="410">
        <f>+GPpcntSCH*(VLOOKUP($A42,FY15ProjRev!$A$4:$J$24,10,FALSE))*VLOOKUP($A42,FY15ProjSCH!$A$3:$S$23,MATCH(D$28,FY15ProjSCH!$A$2:$S$2,0),FALSE)</f>
        <v>5748.7999616659417</v>
      </c>
      <c r="E42" s="410">
        <f>+GPpcntSCH*(VLOOKUP($A42,FY15ProjRev!$A$4:$J$24,10,FALSE))*VLOOKUP($A42,FY15ProjSCH!$A$3:$S$23,MATCH(E$28,FY15ProjSCH!$A$2:$S$2,0),FALSE)</f>
        <v>875483.91300269158</v>
      </c>
      <c r="F42" s="410">
        <f>+GPpcntSCH*(VLOOKUP($A42,FY15ProjRev!$A$4:$J$24,10,FALSE))*VLOOKUP($A42,FY15ProjSCH!$A$3:$S$23,MATCH(F$28,FY15ProjSCH!$A$2:$S$2,0),FALSE)</f>
        <v>0</v>
      </c>
      <c r="G42" s="410">
        <f>+GPpcntSCH*(VLOOKUP($A42,FY15ProjRev!$A$4:$J$24,10,FALSE))*VLOOKUP($A42,FY15ProjSCH!$A$3:$S$23,MATCH(G$28,FY15ProjSCH!$A$2:$S$2,0),FALSE)</f>
        <v>2332.8463612557443</v>
      </c>
      <c r="H42" s="410">
        <f>+GPpcntSCH*(VLOOKUP($A42,FY15ProjRev!$A$4:$J$24,10,FALSE))*VLOOKUP($A42,FY15ProjSCH!$A$3:$S$23,MATCH(H$28,FY15ProjSCH!$A$2:$S$2,0),FALSE)</f>
        <v>416.57970736709723</v>
      </c>
      <c r="I42" s="410">
        <f>+GPpcntSCH*(VLOOKUP($A42,FY15ProjRev!$A$4:$J$24,10,FALSE))*VLOOKUP($A42,FY15ProjSCH!$A$3:$S$23,MATCH(I$28,FY15ProjSCH!$A$2:$S$2,0),FALSE)</f>
        <v>666.52753178735554</v>
      </c>
      <c r="J42" s="410">
        <f>+GPpcntSCH*(VLOOKUP($A42,FY15ProjRev!$A$4:$J$24,10,FALSE))*VLOOKUP($A42,FY15ProjSCH!$A$3:$S$23,MATCH(J$28,FY15ProjSCH!$A$2:$S$2,0),FALSE)</f>
        <v>0</v>
      </c>
      <c r="K42" s="410">
        <f>+GPpcntSCH*(VLOOKUP($A42,FY15ProjRev!$A$4:$J$24,10,FALSE))*VLOOKUP($A42,FY15ProjSCH!$A$3:$S$23,MATCH(K$28,FY15ProjSCH!$A$2:$S$2,0),FALSE)</f>
        <v>2582.7941856760031</v>
      </c>
      <c r="L42" s="410">
        <f>+GPpcntSCH*(VLOOKUP($A42,FY15ProjRev!$A$4:$J$24,10,FALSE))*VLOOKUP($A42,FY15ProjSCH!$A$3:$S$23,MATCH(L$28,FY15ProjSCH!$A$2:$S$2,0),FALSE)</f>
        <v>0</v>
      </c>
      <c r="M42" s="410">
        <f>+GPpcntSCH*(VLOOKUP($A42,FY15ProjRev!$A$4:$J$24,10,FALSE))*VLOOKUP($A42,FY15ProjSCH!$A$3:$S$23,MATCH(M$28,FY15ProjSCH!$A$2:$S$2,0),FALSE)</f>
        <v>0</v>
      </c>
      <c r="N42" s="410">
        <f>+GPpcntSCH*(VLOOKUP($A42,FY15ProjRev!$A$4:$J$24,10,FALSE))*VLOOKUP($A42,FY15ProjSCH!$A$3:$S$23,MATCH(N$28,FY15ProjSCH!$A$2:$S$2,0),FALSE)</f>
        <v>416.57970736709723</v>
      </c>
      <c r="O42" s="410">
        <f>+GPpcntSCH*(VLOOKUP($A42,FY15ProjRev!$A$4:$J$24,10,FALSE))*VLOOKUP($A42,FY15ProjSCH!$A$3:$S$23,MATCH(O$28,FY15ProjSCH!$A$2:$S$2,0),FALSE)</f>
        <v>0</v>
      </c>
      <c r="P42" s="410">
        <f>+GPpcntSCH*(VLOOKUP($A42,FY15ProjRev!$A$4:$J$24,10,FALSE))*VLOOKUP($A42,FY15ProjSCH!$A$3:$S$23,MATCH(P$28,FY15ProjSCH!$A$2:$S$2,0),FALSE)</f>
        <v>0</v>
      </c>
      <c r="Q42" s="410">
        <f>+GPpcntSCH*(VLOOKUP($A42,FY15ProjRev!$A$4:$J$24,10,FALSE))*VLOOKUP($A42,FY15ProjSCH!$A$3:$S$23,MATCH(Q$28,FY15ProjSCH!$A$2:$S$2,0),FALSE)</f>
        <v>666.52753178735554</v>
      </c>
      <c r="R42" s="410">
        <f>+GPpcntSCH*(VLOOKUP($A42,FY15ProjRev!$A$4:$J$24,10,FALSE))*VLOOKUP($A42,FY15ProjSCH!$A$3:$S$23,MATCH(R$28,FY15ProjSCH!$A$2:$S$2,0),FALSE)</f>
        <v>0</v>
      </c>
      <c r="S42" s="410">
        <f>+GPpcntSCH*(VLOOKUP($A42,FY15ProjRev!$A$4:$J$24,10,FALSE))*VLOOKUP($A42,FY15ProjSCH!$A$3:$S$23,MATCH(S$28,FY15ProjSCH!$A$2:$S$2,0),FALSE)</f>
        <v>0</v>
      </c>
      <c r="T42" s="441">
        <f t="shared" si="4"/>
        <v>889064.41146285913</v>
      </c>
    </row>
    <row r="43" spans="1:91" ht="20.100000000000001" customHeight="1">
      <c r="A43" s="404" t="s">
        <v>150</v>
      </c>
      <c r="B43" s="442" t="s">
        <v>31</v>
      </c>
      <c r="C43" s="443">
        <f>+GPpcntSCH*(VLOOKUP($A43,FY15ProjRev!$A$4:$J$24,10,FALSE))*VLOOKUP($A43,FY15ProjSCH!$A$3:$S$23,MATCH(C$28,FY15ProjSCH!$A$2:$S$2,0),FALSE)</f>
        <v>3682.2658804707885</v>
      </c>
      <c r="D43" s="443">
        <f>+GPpcntSCH*(VLOOKUP($A43,FY15ProjRev!$A$4:$J$24,10,FALSE))*VLOOKUP($A43,FY15ProjSCH!$A$3:$S$23,MATCH(D$28,FY15ProjSCH!$A$2:$S$2,0),FALSE)</f>
        <v>11944.911270795485</v>
      </c>
      <c r="E43" s="443">
        <f>+GPpcntSCH*(VLOOKUP($A43,FY15ProjRev!$A$4:$J$24,10,FALSE))*VLOOKUP($A43,FY15ProjSCH!$A$3:$S$23,MATCH(E$28,FY15ProjSCH!$A$2:$S$2,0),FALSE)</f>
        <v>8083.0226644480726</v>
      </c>
      <c r="F43" s="443">
        <f>+GPpcntSCH*(VLOOKUP($A43,FY15ProjRev!$A$4:$J$24,10,FALSE))*VLOOKUP($A43,FY15ProjSCH!$A$3:$S$23,MATCH(F$28,FY15ProjSCH!$A$2:$S$2,0),FALSE)</f>
        <v>0</v>
      </c>
      <c r="G43" s="443">
        <f>+GPpcntSCH*(VLOOKUP($A43,FY15ProjRev!$A$4:$J$24,10,FALSE))*VLOOKUP($A43,FY15ProjSCH!$A$3:$S$23,MATCH(G$28,FY15ProjSCH!$A$2:$S$2,0),FALSE)</f>
        <v>269.43408881493576</v>
      </c>
      <c r="H43" s="443">
        <f>+GPpcntSCH*(VLOOKUP($A43,FY15ProjRev!$A$4:$J$24,10,FALSE))*VLOOKUP($A43,FY15ProjSCH!$A$3:$S$23,MATCH(H$28,FY15ProjSCH!$A$2:$S$2,0),FALSE)</f>
        <v>2245.2840734577981</v>
      </c>
      <c r="I43" s="443">
        <f>+GPpcntSCH*(VLOOKUP($A43,FY15ProjRev!$A$4:$J$24,10,FALSE))*VLOOKUP($A43,FY15ProjSCH!$A$3:$S$23,MATCH(I$28,FY15ProjSCH!$A$2:$S$2,0),FALSE)</f>
        <v>8262.6453903246966</v>
      </c>
      <c r="J43" s="443">
        <f>+GPpcntSCH*(VLOOKUP($A43,FY15ProjRev!$A$4:$J$24,10,FALSE))*VLOOKUP($A43,FY15ProjSCH!$A$3:$S$23,MATCH(J$28,FY15ProjSCH!$A$2:$S$2,0),FALSE)</f>
        <v>2024797.1774442419</v>
      </c>
      <c r="K43" s="443">
        <f>+GPpcntSCH*(VLOOKUP($A43,FY15ProjRev!$A$4:$J$24,10,FALSE))*VLOOKUP($A43,FY15ProjSCH!$A$3:$S$23,MATCH(K$28,FY15ProjSCH!$A$2:$S$2,0),FALSE)</f>
        <v>1436.9818070129907</v>
      </c>
      <c r="L43" s="443">
        <f>+GPpcntSCH*(VLOOKUP($A43,FY15ProjRev!$A$4:$J$24,10,FALSE))*VLOOKUP($A43,FY15ProjSCH!$A$3:$S$23,MATCH(L$28,FY15ProjSCH!$A$2:$S$2,0),FALSE)</f>
        <v>269.43408881493576</v>
      </c>
      <c r="M43" s="443">
        <f>+GPpcntSCH*(VLOOKUP($A43,FY15ProjRev!$A$4:$J$24,10,FALSE))*VLOOKUP($A43,FY15ProjSCH!$A$3:$S$23,MATCH(M$28,FY15ProjSCH!$A$2:$S$2,0),FALSE)</f>
        <v>0</v>
      </c>
      <c r="N43" s="443">
        <f>+GPpcntSCH*(VLOOKUP($A43,FY15ProjRev!$A$4:$J$24,10,FALSE))*VLOOKUP($A43,FY15ProjSCH!$A$3:$S$23,MATCH(N$28,FY15ProjSCH!$A$2:$S$2,0),FALSE)</f>
        <v>1077.736355259743</v>
      </c>
      <c r="O43" s="443">
        <f>+GPpcntSCH*(VLOOKUP($A43,FY15ProjRev!$A$4:$J$24,10,FALSE))*VLOOKUP($A43,FY15ProjSCH!$A$3:$S$23,MATCH(O$28,FY15ProjSCH!$A$2:$S$2,0),FALSE)</f>
        <v>0</v>
      </c>
      <c r="P43" s="443">
        <f>+GPpcntSCH*(VLOOKUP($A43,FY15ProjRev!$A$4:$J$24,10,FALSE))*VLOOKUP($A43,FY15ProjSCH!$A$3:$S$23,MATCH(P$28,FY15ProjSCH!$A$2:$S$2,0),FALSE)</f>
        <v>0</v>
      </c>
      <c r="Q43" s="443">
        <f>+GPpcntSCH*(VLOOKUP($A43,FY15ProjRev!$A$4:$J$24,10,FALSE))*VLOOKUP($A43,FY15ProjSCH!$A$3:$S$23,MATCH(Q$28,FY15ProjSCH!$A$2:$S$2,0),FALSE)</f>
        <v>6196.984042743522</v>
      </c>
      <c r="R43" s="443">
        <f>+GPpcntSCH*(VLOOKUP($A43,FY15ProjRev!$A$4:$J$24,10,FALSE))*VLOOKUP($A43,FY15ProjSCH!$A$3:$S$23,MATCH(R$28,FY15ProjSCH!$A$2:$S$2,0),FALSE)</f>
        <v>0</v>
      </c>
      <c r="S43" s="443">
        <f>+GPpcntSCH*(VLOOKUP($A43,FY15ProjRev!$A$4:$J$24,10,FALSE))*VLOOKUP($A43,FY15ProjSCH!$A$3:$S$23,MATCH(S$28,FY15ProjSCH!$A$2:$S$2,0),FALSE)</f>
        <v>0</v>
      </c>
      <c r="T43" s="444">
        <f t="shared" si="4"/>
        <v>2068265.8771063851</v>
      </c>
    </row>
    <row r="44" spans="1:91" s="18" customFormat="1" ht="20.100000000000001" customHeight="1">
      <c r="A44" s="404" t="s">
        <v>151</v>
      </c>
      <c r="B44" s="440" t="s">
        <v>209</v>
      </c>
      <c r="C44" s="410">
        <f>+GPpcntSCH*(VLOOKUP($A44,FY15ProjRev!$A$4:$J$24,10,FALSE))*VLOOKUP($A44,FY15ProjSCH!$A$3:$S$23,MATCH(C$28,FY15ProjSCH!$A$2:$S$2,0),FALSE)</f>
        <v>0</v>
      </c>
      <c r="D44" s="410">
        <f>+GPpcntSCH*(VLOOKUP($A44,FY15ProjRev!$A$4:$J$24,10,FALSE))*VLOOKUP($A44,FY15ProjSCH!$A$3:$S$23,MATCH(D$28,FY15ProjSCH!$A$2:$S$2,0),FALSE)</f>
        <v>8740.5652230360683</v>
      </c>
      <c r="E44" s="410">
        <f>+GPpcntSCH*(VLOOKUP($A44,FY15ProjRev!$A$4:$J$24,10,FALSE))*VLOOKUP($A44,FY15ProjSCH!$A$3:$S$23,MATCH(E$28,FY15ProjSCH!$A$2:$S$2,0),FALSE)</f>
        <v>0</v>
      </c>
      <c r="F44" s="410">
        <f>+GPpcntSCH*(VLOOKUP($A44,FY15ProjRev!$A$4:$J$24,10,FALSE))*VLOOKUP($A44,FY15ProjSCH!$A$3:$S$23,MATCH(F$28,FY15ProjSCH!$A$2:$S$2,0),FALSE)</f>
        <v>0</v>
      </c>
      <c r="G44" s="410">
        <f>+GPpcntSCH*(VLOOKUP($A44,FY15ProjRev!$A$4:$J$24,10,FALSE))*VLOOKUP($A44,FY15ProjSCH!$A$3:$S$23,MATCH(G$28,FY15ProjSCH!$A$2:$S$2,0),FALSE)</f>
        <v>0</v>
      </c>
      <c r="H44" s="410">
        <f>+GPpcntSCH*(VLOOKUP($A44,FY15ProjRev!$A$4:$J$24,10,FALSE))*VLOOKUP($A44,FY15ProjSCH!$A$3:$S$23,MATCH(H$28,FY15ProjSCH!$A$2:$S$2,0),FALSE)</f>
        <v>0</v>
      </c>
      <c r="I44" s="410">
        <f>+GPpcntSCH*(VLOOKUP($A44,FY15ProjRev!$A$4:$J$24,10,FALSE))*VLOOKUP($A44,FY15ProjSCH!$A$3:$S$23,MATCH(I$28,FY15ProjSCH!$A$2:$S$2,0),FALSE)</f>
        <v>294.62579403492362</v>
      </c>
      <c r="J44" s="410">
        <f>+GPpcntSCH*(VLOOKUP($A44,FY15ProjRev!$A$4:$J$24,10,FALSE))*VLOOKUP($A44,FY15ProjSCH!$A$3:$S$23,MATCH(J$28,FY15ProjSCH!$A$2:$S$2,0),FALSE)</f>
        <v>225290.52383870495</v>
      </c>
      <c r="K44" s="410">
        <f>+GPpcntSCH*(VLOOKUP($A44,FY15ProjRev!$A$4:$J$24,10,FALSE))*VLOOKUP($A44,FY15ProjSCH!$A$3:$S$23,MATCH(K$28,FY15ProjSCH!$A$2:$S$2,0),FALSE)</f>
        <v>2749.8407443259539</v>
      </c>
      <c r="L44" s="410">
        <f>+GPpcntSCH*(VLOOKUP($A44,FY15ProjRev!$A$4:$J$24,10,FALSE))*VLOOKUP($A44,FY15ProjSCH!$A$3:$S$23,MATCH(L$28,FY15ProjSCH!$A$2:$S$2,0),FALSE)</f>
        <v>0</v>
      </c>
      <c r="M44" s="410">
        <f>+GPpcntSCH*(VLOOKUP($A44,FY15ProjRev!$A$4:$J$24,10,FALSE))*VLOOKUP($A44,FY15ProjSCH!$A$3:$S$23,MATCH(M$28,FY15ProjSCH!$A$2:$S$2,0),FALSE)</f>
        <v>0</v>
      </c>
      <c r="N44" s="410">
        <f>+GPpcntSCH*(VLOOKUP($A44,FY15ProjRev!$A$4:$J$24,10,FALSE))*VLOOKUP($A44,FY15ProjSCH!$A$3:$S$23,MATCH(N$28,FY15ProjSCH!$A$2:$S$2,0),FALSE)</f>
        <v>0</v>
      </c>
      <c r="O44" s="410">
        <f>+GPpcntSCH*(VLOOKUP($A44,FY15ProjRev!$A$4:$J$24,10,FALSE))*VLOOKUP($A44,FY15ProjSCH!$A$3:$S$23,MATCH(O$28,FY15ProjSCH!$A$2:$S$2,0),FALSE)</f>
        <v>0</v>
      </c>
      <c r="P44" s="410">
        <f>+GPpcntSCH*(VLOOKUP($A44,FY15ProjRev!$A$4:$J$24,10,FALSE))*VLOOKUP($A44,FY15ProjSCH!$A$3:$S$23,MATCH(P$28,FY15ProjSCH!$A$2:$S$2,0),FALSE)</f>
        <v>0</v>
      </c>
      <c r="Q44" s="410">
        <f>+GPpcntSCH*(VLOOKUP($A44,FY15ProjRev!$A$4:$J$24,10,FALSE))*VLOOKUP($A44,FY15ProjSCH!$A$3:$S$23,MATCH(Q$28,FY15ProjSCH!$A$2:$S$2,0),FALSE)</f>
        <v>196.41719602328243</v>
      </c>
      <c r="R44" s="410">
        <f>+GPpcntSCH*(VLOOKUP($A44,FY15ProjRev!$A$4:$J$24,10,FALSE))*VLOOKUP($A44,FY15ProjSCH!$A$3:$S$23,MATCH(R$28,FY15ProjSCH!$A$2:$S$2,0),FALSE)</f>
        <v>0</v>
      </c>
      <c r="S44" s="410">
        <f>+GPpcntSCH*(VLOOKUP($A44,FY15ProjRev!$A$4:$J$24,10,FALSE))*VLOOKUP($A44,FY15ProjSCH!$A$3:$S$23,MATCH(S$28,FY15ProjSCH!$A$2:$S$2,0),FALSE)</f>
        <v>0</v>
      </c>
      <c r="T44" s="441">
        <f t="shared" si="4"/>
        <v>237271.97279612516</v>
      </c>
    </row>
    <row r="45" spans="1:91" ht="20.100000000000001" customHeight="1">
      <c r="A45" s="404" t="s">
        <v>153</v>
      </c>
      <c r="B45" s="442" t="s">
        <v>100</v>
      </c>
      <c r="C45" s="443">
        <f>+GPpcntSCH*(VLOOKUP($A45,FY15ProjRev!$A$4:$J$24,10,FALSE))*VLOOKUP($A45,FY15ProjSCH!$A$3:$S$23,MATCH(C$28,FY15ProjSCH!$A$2:$S$2,0),FALSE)</f>
        <v>0</v>
      </c>
      <c r="D45" s="443">
        <f>+GPpcntSCH*(VLOOKUP($A45,FY15ProjRev!$A$4:$J$24,10,FALSE))*VLOOKUP($A45,FY15ProjSCH!$A$3:$S$23,MATCH(D$28,FY15ProjSCH!$A$2:$S$2,0),FALSE)</f>
        <v>1309.230710545693</v>
      </c>
      <c r="E45" s="443">
        <f>+GPpcntSCH*(VLOOKUP($A45,FY15ProjRev!$A$4:$J$24,10,FALSE))*VLOOKUP($A45,FY15ProjSCH!$A$3:$S$23,MATCH(E$28,FY15ProjSCH!$A$2:$S$2,0),FALSE)</f>
        <v>0</v>
      </c>
      <c r="F45" s="443">
        <f>+GPpcntSCH*(VLOOKUP($A45,FY15ProjRev!$A$4:$J$24,10,FALSE))*VLOOKUP($A45,FY15ProjSCH!$A$3:$S$23,MATCH(F$28,FY15ProjSCH!$A$2:$S$2,0),FALSE)</f>
        <v>0</v>
      </c>
      <c r="G45" s="443">
        <f>+GPpcntSCH*(VLOOKUP($A45,FY15ProjRev!$A$4:$J$24,10,FALSE))*VLOOKUP($A45,FY15ProjSCH!$A$3:$S$23,MATCH(G$28,FY15ProjSCH!$A$2:$S$2,0),FALSE)</f>
        <v>0</v>
      </c>
      <c r="H45" s="443">
        <f>+GPpcntSCH*(VLOOKUP($A45,FY15ProjRev!$A$4:$J$24,10,FALSE))*VLOOKUP($A45,FY15ProjSCH!$A$3:$S$23,MATCH(H$28,FY15ProjSCH!$A$2:$S$2,0),FALSE)</f>
        <v>93.516479324692355</v>
      </c>
      <c r="I45" s="443">
        <f>+GPpcntSCH*(VLOOKUP($A45,FY15ProjRev!$A$4:$J$24,10,FALSE))*VLOOKUP($A45,FY15ProjSCH!$A$3:$S$23,MATCH(I$28,FY15ProjSCH!$A$2:$S$2,0),FALSE)</f>
        <v>0</v>
      </c>
      <c r="J45" s="443">
        <f>+GPpcntSCH*(VLOOKUP($A45,FY15ProjRev!$A$4:$J$24,10,FALSE))*VLOOKUP($A45,FY15ProjSCH!$A$3:$S$23,MATCH(J$28,FY15ProjSCH!$A$2:$S$2,0),FALSE)</f>
        <v>0</v>
      </c>
      <c r="K45" s="443">
        <f>+GPpcntSCH*(VLOOKUP($A45,FY15ProjRev!$A$4:$J$24,10,FALSE))*VLOOKUP($A45,FY15ProjSCH!$A$3:$S$23,MATCH(K$28,FY15ProjSCH!$A$2:$S$2,0),FALSE)</f>
        <v>1870.329586493847</v>
      </c>
      <c r="L45" s="443">
        <f>+GPpcntSCH*(VLOOKUP($A45,FY15ProjRev!$A$4:$J$24,10,FALSE))*VLOOKUP($A45,FY15ProjSCH!$A$3:$S$23,MATCH(L$28,FY15ProjSCH!$A$2:$S$2,0),FALSE)</f>
        <v>1122.1977518963083</v>
      </c>
      <c r="M45" s="443">
        <f>+GPpcntSCH*(VLOOKUP($A45,FY15ProjRev!$A$4:$J$24,10,FALSE))*VLOOKUP($A45,FY15ProjSCH!$A$3:$S$23,MATCH(M$28,FY15ProjSCH!$A$2:$S$2,0),FALSE)</f>
        <v>187.03295864938471</v>
      </c>
      <c r="N45" s="443">
        <f>+GPpcntSCH*(VLOOKUP($A45,FY15ProjRev!$A$4:$J$24,10,FALSE))*VLOOKUP($A45,FY15ProjSCH!$A$3:$S$23,MATCH(N$28,FY15ProjSCH!$A$2:$S$2,0),FALSE)</f>
        <v>2805.4943797407705</v>
      </c>
      <c r="O45" s="443">
        <f>+GPpcntSCH*(VLOOKUP($A45,FY15ProjRev!$A$4:$J$24,10,FALSE))*VLOOKUP($A45,FY15ProjSCH!$A$3:$S$23,MATCH(O$28,FY15ProjSCH!$A$2:$S$2,0),FALSE)</f>
        <v>196945.70545780211</v>
      </c>
      <c r="P45" s="443">
        <f>+GPpcntSCH*(VLOOKUP($A45,FY15ProjRev!$A$4:$J$24,10,FALSE))*VLOOKUP($A45,FY15ProjSCH!$A$3:$S$23,MATCH(P$28,FY15ProjSCH!$A$2:$S$2,0),FALSE)</f>
        <v>5517.4722801568487</v>
      </c>
      <c r="Q45" s="443">
        <f>+GPpcntSCH*(VLOOKUP($A45,FY15ProjRev!$A$4:$J$24,10,FALSE))*VLOOKUP($A45,FY15ProjSCH!$A$3:$S$23,MATCH(Q$28,FY15ProjSCH!$A$2:$S$2,0),FALSE)</f>
        <v>11596.043436261851</v>
      </c>
      <c r="R45" s="443">
        <f>+GPpcntSCH*(VLOOKUP($A45,FY15ProjRev!$A$4:$J$24,10,FALSE))*VLOOKUP($A45,FY15ProjSCH!$A$3:$S$23,MATCH(R$28,FY15ProjSCH!$A$2:$S$2,0),FALSE)</f>
        <v>0</v>
      </c>
      <c r="S45" s="443">
        <f>+GPpcntSCH*(VLOOKUP($A45,FY15ProjRev!$A$4:$J$24,10,FALSE))*VLOOKUP($A45,FY15ProjSCH!$A$3:$S$23,MATCH(S$28,FY15ProjSCH!$A$2:$S$2,0),FALSE)</f>
        <v>0</v>
      </c>
      <c r="T45" s="444">
        <f t="shared" si="4"/>
        <v>221447.02304087151</v>
      </c>
    </row>
    <row r="46" spans="1:91" s="18" customFormat="1" ht="20.100000000000001" customHeight="1">
      <c r="A46" s="404" t="s">
        <v>155</v>
      </c>
      <c r="B46" s="440" t="s">
        <v>42</v>
      </c>
      <c r="C46" s="410">
        <f>+GPpcntSCH*(VLOOKUP($A46,FY15ProjRev!$A$4:$J$24,10,FALSE))*VLOOKUP($A46,FY15ProjSCH!$A$3:$S$23,MATCH(C$28,FY15ProjSCH!$A$2:$S$2,0),FALSE)</f>
        <v>0</v>
      </c>
      <c r="D46" s="410">
        <f>+GPpcntSCH*(VLOOKUP($A46,FY15ProjRev!$A$4:$J$24,10,FALSE))*VLOOKUP($A46,FY15ProjSCH!$A$3:$S$23,MATCH(D$28,FY15ProjSCH!$A$2:$S$2,0),FALSE)</f>
        <v>2569.7185518207434</v>
      </c>
      <c r="E46" s="410">
        <f>+GPpcntSCH*(VLOOKUP($A46,FY15ProjRev!$A$4:$J$24,10,FALSE))*VLOOKUP($A46,FY15ProjSCH!$A$3:$S$23,MATCH(E$28,FY15ProjSCH!$A$2:$S$2,0),FALSE)</f>
        <v>0</v>
      </c>
      <c r="F46" s="410">
        <f>+GPpcntSCH*(VLOOKUP($A46,FY15ProjRev!$A$4:$J$24,10,FALSE))*VLOOKUP($A46,FY15ProjSCH!$A$3:$S$23,MATCH(F$28,FY15ProjSCH!$A$2:$S$2,0),FALSE)</f>
        <v>0</v>
      </c>
      <c r="G46" s="410">
        <f>+GPpcntSCH*(VLOOKUP($A46,FY15ProjRev!$A$4:$J$24,10,FALSE))*VLOOKUP($A46,FY15ProjSCH!$A$3:$S$23,MATCH(G$28,FY15ProjSCH!$A$2:$S$2,0),FALSE)</f>
        <v>0</v>
      </c>
      <c r="H46" s="410">
        <f>+GPpcntSCH*(VLOOKUP($A46,FY15ProjRev!$A$4:$J$24,10,FALSE))*VLOOKUP($A46,FY15ProjSCH!$A$3:$S$23,MATCH(H$28,FY15ProjSCH!$A$2:$S$2,0),FALSE)</f>
        <v>428.28642530345718</v>
      </c>
      <c r="I46" s="410">
        <f>+GPpcntSCH*(VLOOKUP($A46,FY15ProjRev!$A$4:$J$24,10,FALSE))*VLOOKUP($A46,FY15ProjSCH!$A$3:$S$23,MATCH(I$28,FY15ProjSCH!$A$2:$S$2,0),FALSE)</f>
        <v>0</v>
      </c>
      <c r="J46" s="410">
        <f>+GPpcntSCH*(VLOOKUP($A46,FY15ProjRev!$A$4:$J$24,10,FALSE))*VLOOKUP($A46,FY15ProjSCH!$A$3:$S$23,MATCH(J$28,FY15ProjSCH!$A$2:$S$2,0),FALSE)</f>
        <v>71.38107088390953</v>
      </c>
      <c r="K46" s="410">
        <f>+GPpcntSCH*(VLOOKUP($A46,FY15ProjRev!$A$4:$J$24,10,FALSE))*VLOOKUP($A46,FY15ProjSCH!$A$3:$S$23,MATCH(K$28,FY15ProjSCH!$A$2:$S$2,0),FALSE)</f>
        <v>0</v>
      </c>
      <c r="L46" s="410">
        <f>+GPpcntSCH*(VLOOKUP($A46,FY15ProjRev!$A$4:$J$24,10,FALSE))*VLOOKUP($A46,FY15ProjSCH!$A$3:$S$23,MATCH(L$28,FY15ProjSCH!$A$2:$S$2,0),FALSE)</f>
        <v>0</v>
      </c>
      <c r="M46" s="410">
        <f>+GPpcntSCH*(VLOOKUP($A46,FY15ProjRev!$A$4:$J$24,10,FALSE))*VLOOKUP($A46,FY15ProjSCH!$A$3:$S$23,MATCH(M$28,FY15ProjSCH!$A$2:$S$2,0),FALSE)</f>
        <v>71.38107088390953</v>
      </c>
      <c r="N46" s="410">
        <f>+GPpcntSCH*(VLOOKUP($A46,FY15ProjRev!$A$4:$J$24,10,FALSE))*VLOOKUP($A46,FY15ProjSCH!$A$3:$S$23,MATCH(N$28,FY15ProjSCH!$A$2:$S$2,0),FALSE)</f>
        <v>152398.58633714684</v>
      </c>
      <c r="O46" s="410">
        <f>+GPpcntSCH*(VLOOKUP($A46,FY15ProjRev!$A$4:$J$24,10,FALSE))*VLOOKUP($A46,FY15ProjSCH!$A$3:$S$23,MATCH(O$28,FY15ProjSCH!$A$2:$S$2,0),FALSE)</f>
        <v>6210.1531669001288</v>
      </c>
      <c r="P46" s="410">
        <f>+GPpcntSCH*(VLOOKUP($A46,FY15ProjRev!$A$4:$J$24,10,FALSE))*VLOOKUP($A46,FY15ProjSCH!$A$3:$S$23,MATCH(P$28,FY15ProjSCH!$A$2:$S$2,0),FALSE)</f>
        <v>1179429.4342148372</v>
      </c>
      <c r="Q46" s="410">
        <f>+GPpcntSCH*(VLOOKUP($A46,FY15ProjRev!$A$4:$J$24,10,FALSE))*VLOOKUP($A46,FY15ProjSCH!$A$3:$S$23,MATCH(Q$28,FY15ProjSCH!$A$2:$S$2,0),FALSE)</f>
        <v>11064.065987005977</v>
      </c>
      <c r="R46" s="410">
        <f>+GPpcntSCH*(VLOOKUP($A46,FY15ProjRev!$A$4:$J$24,10,FALSE))*VLOOKUP($A46,FY15ProjSCH!$A$3:$S$23,MATCH(R$28,FY15ProjSCH!$A$2:$S$2,0),FALSE)</f>
        <v>0</v>
      </c>
      <c r="S46" s="410">
        <f>+GPpcntSCH*(VLOOKUP($A46,FY15ProjRev!$A$4:$J$24,10,FALSE))*VLOOKUP($A46,FY15ProjSCH!$A$3:$S$23,MATCH(S$28,FY15ProjSCH!$A$2:$S$2,0),FALSE)</f>
        <v>0</v>
      </c>
      <c r="T46" s="441">
        <f t="shared" si="4"/>
        <v>1352243.0068247821</v>
      </c>
    </row>
    <row r="47" spans="1:91" ht="20.100000000000001" customHeight="1">
      <c r="A47" s="404" t="s">
        <v>162</v>
      </c>
      <c r="B47" s="442" t="s">
        <v>76</v>
      </c>
      <c r="C47" s="443">
        <f>+GPpcntSCH*(VLOOKUP($A47,FY15ProjRev!$A$4:$J$24,10,FALSE))*VLOOKUP($A47,FY15ProjSCH!$A$3:$S$23,MATCH(C$28,FY15ProjSCH!$A$2:$S$2,0),FALSE)</f>
        <v>0</v>
      </c>
      <c r="D47" s="443">
        <f>+GPpcntSCH*(VLOOKUP($A47,FY15ProjRev!$A$4:$J$24,10,FALSE))*VLOOKUP($A47,FY15ProjSCH!$A$3:$S$23,MATCH(D$28,FY15ProjSCH!$A$2:$S$2,0),FALSE)</f>
        <v>1181.3929632838688</v>
      </c>
      <c r="E47" s="443">
        <f>+GPpcntSCH*(VLOOKUP($A47,FY15ProjRev!$A$4:$J$24,10,FALSE))*VLOOKUP($A47,FY15ProjSCH!$A$3:$S$23,MATCH(E$28,FY15ProjSCH!$A$2:$S$2,0),FALSE)</f>
        <v>0</v>
      </c>
      <c r="F47" s="443">
        <f>+GPpcntSCH*(VLOOKUP($A47,FY15ProjRev!$A$4:$J$24,10,FALSE))*VLOOKUP($A47,FY15ProjSCH!$A$3:$S$23,MATCH(F$28,FY15ProjSCH!$A$2:$S$2,0),FALSE)</f>
        <v>0</v>
      </c>
      <c r="G47" s="443">
        <f>+GPpcntSCH*(VLOOKUP($A47,FY15ProjRev!$A$4:$J$24,10,FALSE))*VLOOKUP($A47,FY15ProjSCH!$A$3:$S$23,MATCH(G$28,FY15ProjSCH!$A$2:$S$2,0),FALSE)</f>
        <v>0</v>
      </c>
      <c r="H47" s="443">
        <f>+GPpcntSCH*(VLOOKUP($A47,FY15ProjRev!$A$4:$J$24,10,FALSE))*VLOOKUP($A47,FY15ProjSCH!$A$3:$S$23,MATCH(H$28,FY15ProjSCH!$A$2:$S$2,0),FALSE)</f>
        <v>0</v>
      </c>
      <c r="I47" s="443">
        <f>+GPpcntSCH*(VLOOKUP($A47,FY15ProjRev!$A$4:$J$24,10,FALSE))*VLOOKUP($A47,FY15ProjSCH!$A$3:$S$23,MATCH(I$28,FY15ProjSCH!$A$2:$S$2,0),FALSE)</f>
        <v>0</v>
      </c>
      <c r="J47" s="443">
        <f>+GPpcntSCH*(VLOOKUP($A47,FY15ProjRev!$A$4:$J$24,10,FALSE))*VLOOKUP($A47,FY15ProjSCH!$A$3:$S$23,MATCH(J$28,FY15ProjSCH!$A$2:$S$2,0),FALSE)</f>
        <v>0</v>
      </c>
      <c r="K47" s="443">
        <f>+GPpcntSCH*(VLOOKUP($A47,FY15ProjRev!$A$4:$J$24,10,FALSE))*VLOOKUP($A47,FY15ProjSCH!$A$3:$S$23,MATCH(K$28,FY15ProjSCH!$A$2:$S$2,0),FALSE)</f>
        <v>0</v>
      </c>
      <c r="L47" s="443">
        <f>+GPpcntSCH*(VLOOKUP($A47,FY15ProjRev!$A$4:$J$24,10,FALSE))*VLOOKUP($A47,FY15ProjSCH!$A$3:$S$23,MATCH(L$28,FY15ProjSCH!$A$2:$S$2,0),FALSE)</f>
        <v>0</v>
      </c>
      <c r="M47" s="443">
        <f>+GPpcntSCH*(VLOOKUP($A47,FY15ProjRev!$A$4:$J$24,10,FALSE))*VLOOKUP($A47,FY15ProjSCH!$A$3:$S$23,MATCH(M$28,FY15ProjSCH!$A$2:$S$2,0),FALSE)</f>
        <v>196.89882721397814</v>
      </c>
      <c r="N47" s="443">
        <f>+GPpcntSCH*(VLOOKUP($A47,FY15ProjRev!$A$4:$J$24,10,FALSE))*VLOOKUP($A47,FY15ProjSCH!$A$3:$S$23,MATCH(N$28,FY15ProjSCH!$A$2:$S$2,0),FALSE)</f>
        <v>2654294.6402580324</v>
      </c>
      <c r="O47" s="443">
        <f>+GPpcntSCH*(VLOOKUP($A47,FY15ProjRev!$A$4:$J$24,10,FALSE))*VLOOKUP($A47,FY15ProjSCH!$A$3:$S$23,MATCH(O$28,FY15ProjSCH!$A$2:$S$2,0),FALSE)</f>
        <v>0</v>
      </c>
      <c r="P47" s="443">
        <f>+GPpcntSCH*(VLOOKUP($A47,FY15ProjRev!$A$4:$J$24,10,FALSE))*VLOOKUP($A47,FY15ProjSCH!$A$3:$S$23,MATCH(P$28,FY15ProjSCH!$A$2:$S$2,0),FALSE)</f>
        <v>0</v>
      </c>
      <c r="Q47" s="443">
        <f>+GPpcntSCH*(VLOOKUP($A47,FY15ProjRev!$A$4:$J$24,10,FALSE))*VLOOKUP($A47,FY15ProjSCH!$A$3:$S$23,MATCH(Q$28,FY15ProjSCH!$A$2:$S$2,0),FALSE)</f>
        <v>4594.3059683261563</v>
      </c>
      <c r="R47" s="443">
        <f>+GPpcntSCH*(VLOOKUP($A47,FY15ProjRev!$A$4:$J$24,10,FALSE))*VLOOKUP($A47,FY15ProjSCH!$A$3:$S$23,MATCH(R$28,FY15ProjSCH!$A$2:$S$2,0),FALSE)</f>
        <v>0</v>
      </c>
      <c r="S47" s="443">
        <f>+GPpcntSCH*(VLOOKUP($A47,FY15ProjRev!$A$4:$J$24,10,FALSE))*VLOOKUP($A47,FY15ProjSCH!$A$3:$S$23,MATCH(S$28,FY15ProjSCH!$A$2:$S$2,0),FALSE)</f>
        <v>196.89882721397814</v>
      </c>
      <c r="T47" s="444">
        <f t="shared" si="4"/>
        <v>2660464.1368440702</v>
      </c>
    </row>
    <row r="48" spans="1:91" s="18" customFormat="1" ht="20.100000000000001" customHeight="1">
      <c r="A48" s="404" t="s">
        <v>156</v>
      </c>
      <c r="B48" s="440" t="s">
        <v>77</v>
      </c>
      <c r="C48" s="410">
        <f>+GPpcntSCH*(VLOOKUP($A48,FY15ProjRev!$A$4:$J$24,10,FALSE))*VLOOKUP($A48,FY15ProjSCH!$A$3:$S$23,MATCH(C$28,FY15ProjSCH!$A$2:$S$2,0),FALSE)</f>
        <v>0</v>
      </c>
      <c r="D48" s="410">
        <f>+GPpcntSCH*(VLOOKUP($A48,FY15ProjRev!$A$4:$J$24,10,FALSE))*VLOOKUP($A48,FY15ProjSCH!$A$3:$S$23,MATCH(D$28,FY15ProjSCH!$A$2:$S$2,0),FALSE)</f>
        <v>0</v>
      </c>
      <c r="E48" s="410">
        <f>+GPpcntSCH*(VLOOKUP($A48,FY15ProjRev!$A$4:$J$24,10,FALSE))*VLOOKUP($A48,FY15ProjSCH!$A$3:$S$23,MATCH(E$28,FY15ProjSCH!$A$2:$S$2,0),FALSE)</f>
        <v>0</v>
      </c>
      <c r="F48" s="410">
        <f>+GPpcntSCH*(VLOOKUP($A48,FY15ProjRev!$A$4:$J$24,10,FALSE))*VLOOKUP($A48,FY15ProjSCH!$A$3:$S$23,MATCH(F$28,FY15ProjSCH!$A$2:$S$2,0),FALSE)</f>
        <v>0</v>
      </c>
      <c r="G48" s="410">
        <f>+GPpcntSCH*(VLOOKUP($A48,FY15ProjRev!$A$4:$J$24,10,FALSE))*VLOOKUP($A48,FY15ProjSCH!$A$3:$S$23,MATCH(G$28,FY15ProjSCH!$A$2:$S$2,0),FALSE)</f>
        <v>0</v>
      </c>
      <c r="H48" s="410">
        <f>+GPpcntSCH*(VLOOKUP($A48,FY15ProjRev!$A$4:$J$24,10,FALSE))*VLOOKUP($A48,FY15ProjSCH!$A$3:$S$23,MATCH(H$28,FY15ProjSCH!$A$2:$S$2,0),FALSE)</f>
        <v>0</v>
      </c>
      <c r="I48" s="410">
        <f>+GPpcntSCH*(VLOOKUP($A48,FY15ProjRev!$A$4:$J$24,10,FALSE))*VLOOKUP($A48,FY15ProjSCH!$A$3:$S$23,MATCH(I$28,FY15ProjSCH!$A$2:$S$2,0),FALSE)</f>
        <v>0</v>
      </c>
      <c r="J48" s="410">
        <f>+GPpcntSCH*(VLOOKUP($A48,FY15ProjRev!$A$4:$J$24,10,FALSE))*VLOOKUP($A48,FY15ProjSCH!$A$3:$S$23,MATCH(J$28,FY15ProjSCH!$A$2:$S$2,0),FALSE)</f>
        <v>0</v>
      </c>
      <c r="K48" s="410">
        <f>+GPpcntSCH*(VLOOKUP($A48,FY15ProjRev!$A$4:$J$24,10,FALSE))*VLOOKUP($A48,FY15ProjSCH!$A$3:$S$23,MATCH(K$28,FY15ProjSCH!$A$2:$S$2,0),FALSE)</f>
        <v>0</v>
      </c>
      <c r="L48" s="410">
        <f>+GPpcntSCH*(VLOOKUP($A48,FY15ProjRev!$A$4:$J$24,10,FALSE))*VLOOKUP($A48,FY15ProjSCH!$A$3:$S$23,MATCH(L$28,FY15ProjSCH!$A$2:$S$2,0),FALSE)</f>
        <v>0</v>
      </c>
      <c r="M48" s="410">
        <f>+GPpcntSCH*(VLOOKUP($A48,FY15ProjRev!$A$4:$J$24,10,FALSE))*VLOOKUP($A48,FY15ProjSCH!$A$3:$S$23,MATCH(M$28,FY15ProjSCH!$A$2:$S$2,0),FALSE)</f>
        <v>971408.95770164288</v>
      </c>
      <c r="N48" s="410">
        <f>+GPpcntSCH*(VLOOKUP($A48,FY15ProjRev!$A$4:$J$24,10,FALSE))*VLOOKUP($A48,FY15ProjSCH!$A$3:$S$23,MATCH(N$28,FY15ProjSCH!$A$2:$S$2,0),FALSE)</f>
        <v>147760.72964195878</v>
      </c>
      <c r="O48" s="410">
        <f>+GPpcntSCH*(VLOOKUP($A48,FY15ProjRev!$A$4:$J$24,10,FALSE))*VLOOKUP($A48,FY15ProjSCH!$A$3:$S$23,MATCH(O$28,FY15ProjSCH!$A$2:$S$2,0),FALSE)</f>
        <v>0</v>
      </c>
      <c r="P48" s="410">
        <f>+GPpcntSCH*(VLOOKUP($A48,FY15ProjRev!$A$4:$J$24,10,FALSE))*VLOOKUP($A48,FY15ProjSCH!$A$3:$S$23,MATCH(P$28,FY15ProjSCH!$A$2:$S$2,0),FALSE)</f>
        <v>0</v>
      </c>
      <c r="Q48" s="410">
        <f>+GPpcntSCH*(VLOOKUP($A48,FY15ProjRev!$A$4:$J$24,10,FALSE))*VLOOKUP($A48,FY15ProjSCH!$A$3:$S$23,MATCH(Q$28,FY15ProjSCH!$A$2:$S$2,0),FALSE)</f>
        <v>0</v>
      </c>
      <c r="R48" s="410">
        <f>+GPpcntSCH*(VLOOKUP($A48,FY15ProjRev!$A$4:$J$24,10,FALSE))*VLOOKUP($A48,FY15ProjSCH!$A$3:$S$23,MATCH(R$28,FY15ProjSCH!$A$2:$S$2,0),FALSE)</f>
        <v>0</v>
      </c>
      <c r="S48" s="410">
        <f>+GPpcntSCH*(VLOOKUP($A48,FY15ProjRev!$A$4:$J$24,10,FALSE))*VLOOKUP($A48,FY15ProjSCH!$A$3:$S$23,MATCH(S$28,FY15ProjSCH!$A$2:$S$2,0),FALSE)</f>
        <v>0</v>
      </c>
      <c r="T48" s="441">
        <f t="shared" si="4"/>
        <v>1119169.6873436016</v>
      </c>
    </row>
    <row r="49" spans="1:20" ht="20.100000000000001" customHeight="1">
      <c r="A49" s="404" t="s">
        <v>163</v>
      </c>
      <c r="B49" s="445" t="s">
        <v>164</v>
      </c>
      <c r="C49" s="443">
        <f>+GPpcntSCH*(VLOOKUP($A49,FY15ProjRev!$A$4:$J$24,10,FALSE))*VLOOKUP($A49,FY15ProjSCH!$A$3:$S$23,MATCH(C$28,FY15ProjSCH!$A$2:$S$2,0),FALSE)</f>
        <v>0</v>
      </c>
      <c r="D49" s="443">
        <f>+GPpcntSCH*(VLOOKUP($A49,FY15ProjRev!$A$4:$J$24,10,FALSE))*VLOOKUP($A49,FY15ProjSCH!$A$3:$S$23,MATCH(D$28,FY15ProjSCH!$A$2:$S$2,0),FALSE)</f>
        <v>1644.4312869683963</v>
      </c>
      <c r="E49" s="443">
        <f>+GPpcntSCH*(VLOOKUP($A49,FY15ProjRev!$A$4:$J$24,10,FALSE))*VLOOKUP($A49,FY15ProjSCH!$A$3:$S$23,MATCH(E$28,FY15ProjSCH!$A$2:$S$2,0),FALSE)</f>
        <v>0</v>
      </c>
      <c r="F49" s="443">
        <f>+GPpcntSCH*(VLOOKUP($A49,FY15ProjRev!$A$4:$J$24,10,FALSE))*VLOOKUP($A49,FY15ProjSCH!$A$3:$S$23,MATCH(F$28,FY15ProjSCH!$A$2:$S$2,0),FALSE)</f>
        <v>0</v>
      </c>
      <c r="G49" s="443">
        <f>+GPpcntSCH*(VLOOKUP($A49,FY15ProjRev!$A$4:$J$24,10,FALSE))*VLOOKUP($A49,FY15ProjSCH!$A$3:$S$23,MATCH(G$28,FY15ProjSCH!$A$2:$S$2,0),FALSE)</f>
        <v>0</v>
      </c>
      <c r="H49" s="443">
        <f>+GPpcntSCH*(VLOOKUP($A49,FY15ProjRev!$A$4:$J$24,10,FALSE))*VLOOKUP($A49,FY15ProjSCH!$A$3:$S$23,MATCH(H$28,FY15ProjSCH!$A$2:$S$2,0),FALSE)</f>
        <v>0</v>
      </c>
      <c r="I49" s="443">
        <f>+GPpcntSCH*(VLOOKUP($A49,FY15ProjRev!$A$4:$J$24,10,FALSE))*VLOOKUP($A49,FY15ProjSCH!$A$3:$S$23,MATCH(I$28,FY15ProjSCH!$A$2:$S$2,0),FALSE)</f>
        <v>0</v>
      </c>
      <c r="J49" s="443">
        <f>+GPpcntSCH*(VLOOKUP($A49,FY15ProjRev!$A$4:$J$24,10,FALSE))*VLOOKUP($A49,FY15ProjSCH!$A$3:$S$23,MATCH(J$28,FY15ProjSCH!$A$2:$S$2,0),FALSE)</f>
        <v>0</v>
      </c>
      <c r="K49" s="443">
        <f>+GPpcntSCH*(VLOOKUP($A49,FY15ProjRev!$A$4:$J$24,10,FALSE))*VLOOKUP($A49,FY15ProjSCH!$A$3:$S$23,MATCH(K$28,FY15ProjSCH!$A$2:$S$2,0),FALSE)</f>
        <v>0</v>
      </c>
      <c r="L49" s="443">
        <f>+GPpcntSCH*(VLOOKUP($A49,FY15ProjRev!$A$4:$J$24,10,FALSE))*VLOOKUP($A49,FY15ProjSCH!$A$3:$S$23,MATCH(L$28,FY15ProjSCH!$A$2:$S$2,0),FALSE)</f>
        <v>0</v>
      </c>
      <c r="M49" s="443">
        <f>+GPpcntSCH*(VLOOKUP($A49,FY15ProjRev!$A$4:$J$24,10,FALSE))*VLOOKUP($A49,FY15ProjSCH!$A$3:$S$23,MATCH(M$28,FY15ProjSCH!$A$2:$S$2,0),FALSE)</f>
        <v>180690.10981208738</v>
      </c>
      <c r="N49" s="443">
        <f>+GPpcntSCH*(VLOOKUP($A49,FY15ProjRev!$A$4:$J$24,10,FALSE))*VLOOKUP($A49,FY15ProjSCH!$A$3:$S$23,MATCH(N$28,FY15ProjSCH!$A$2:$S$2,0),FALSE)</f>
        <v>3420.4170768942645</v>
      </c>
      <c r="O49" s="443">
        <f>+GPpcntSCH*(VLOOKUP($A49,FY15ProjRev!$A$4:$J$24,10,FALSE))*VLOOKUP($A49,FY15ProjSCH!$A$3:$S$23,MATCH(O$28,FY15ProjSCH!$A$2:$S$2,0),FALSE)</f>
        <v>0</v>
      </c>
      <c r="P49" s="443">
        <f>+GPpcntSCH*(VLOOKUP($A49,FY15ProjRev!$A$4:$J$24,10,FALSE))*VLOOKUP($A49,FY15ProjSCH!$A$3:$S$23,MATCH(P$28,FY15ProjSCH!$A$2:$S$2,0),FALSE)</f>
        <v>0</v>
      </c>
      <c r="Q49" s="443">
        <f>+GPpcntSCH*(VLOOKUP($A49,FY15ProjRev!$A$4:$J$24,10,FALSE))*VLOOKUP($A49,FY15ProjSCH!$A$3:$S$23,MATCH(Q$28,FY15ProjSCH!$A$2:$S$2,0),FALSE)</f>
        <v>1183.9905266172452</v>
      </c>
      <c r="R49" s="443">
        <f>+GPpcntSCH*(VLOOKUP($A49,FY15ProjRev!$A$4:$J$24,10,FALSE))*VLOOKUP($A49,FY15ProjSCH!$A$3:$S$23,MATCH(R$28,FY15ProjSCH!$A$2:$S$2,0),FALSE)</f>
        <v>0</v>
      </c>
      <c r="S49" s="443">
        <f>+GPpcntSCH*(VLOOKUP($A49,FY15ProjRev!$A$4:$J$24,10,FALSE))*VLOOKUP($A49,FY15ProjSCH!$A$3:$S$23,MATCH(S$28,FY15ProjSCH!$A$2:$S$2,0),FALSE)</f>
        <v>65.777251478735849</v>
      </c>
      <c r="T49" s="446">
        <f t="shared" si="4"/>
        <v>187004.72595404604</v>
      </c>
    </row>
    <row r="50" spans="1:20" ht="20.100000000000001" customHeight="1">
      <c r="A50" s="405"/>
      <c r="B50" s="447" t="s">
        <v>17</v>
      </c>
      <c r="C50" s="448">
        <f t="shared" ref="C50:S50" si="5">SUM(C29:C49)</f>
        <v>4129027.6239753114</v>
      </c>
      <c r="D50" s="448">
        <f t="shared" si="5"/>
        <v>110077174.38319124</v>
      </c>
      <c r="E50" s="448">
        <f t="shared" si="5"/>
        <v>11663190.499223562</v>
      </c>
      <c r="F50" s="448">
        <f t="shared" si="5"/>
        <v>3152178.2058151527</v>
      </c>
      <c r="G50" s="448">
        <f t="shared" si="5"/>
        <v>16128775.209474916</v>
      </c>
      <c r="H50" s="448">
        <f t="shared" si="5"/>
        <v>10373615.684065115</v>
      </c>
      <c r="I50" s="448">
        <f t="shared" si="5"/>
        <v>1968029.9475622678</v>
      </c>
      <c r="J50" s="448">
        <f t="shared" si="5"/>
        <v>2289203.4542890149</v>
      </c>
      <c r="K50" s="448">
        <f t="shared" si="5"/>
        <v>851571.81768950145</v>
      </c>
      <c r="L50" s="448">
        <f t="shared" si="5"/>
        <v>1098380.1605408664</v>
      </c>
      <c r="M50" s="448">
        <f t="shared" si="5"/>
        <v>1165709.5763821369</v>
      </c>
      <c r="N50" s="448">
        <f t="shared" si="5"/>
        <v>7934328.7066697394</v>
      </c>
      <c r="O50" s="448">
        <f t="shared" si="5"/>
        <v>1575159.1282755416</v>
      </c>
      <c r="P50" s="448">
        <f t="shared" si="5"/>
        <v>1296700.1251660062</v>
      </c>
      <c r="Q50" s="448">
        <f t="shared" si="5"/>
        <v>2804132.108993418</v>
      </c>
      <c r="R50" s="448">
        <f t="shared" si="5"/>
        <v>2116085.1803674009</v>
      </c>
      <c r="S50" s="448">
        <f t="shared" si="5"/>
        <v>488957.13672408747</v>
      </c>
      <c r="T50" s="448">
        <f>SUM(C50:S50)</f>
        <v>179112218.9484053</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+UGpcntDeg*(VLOOKUP($A53,FY15ProjRev!$A$4:$J$24,10,FALSE))*VLOOKUP($A53,FY15ProjMajors!$A$3:$S$23,MATCH(C$28,FY15ProjMajors!$A$2:$S$2,0),FALSE)</f>
        <v>1627782.571622869</v>
      </c>
      <c r="D53" s="455">
        <f>+UGpcntDeg*(VLOOKUP($A53,FY15ProjRev!$A$4:$J$24,10,FALSE))*VLOOKUP($A53,FY15ProjMajors!$A$3:$S$23,MATCH(D$28,FY15ProjMajors!$A$2:$S$2,0),FALSE)</f>
        <v>73663235.181500584</v>
      </c>
      <c r="E53" s="455">
        <f>+UGpcntDeg*(VLOOKUP($A53,FY15ProjRev!$A$4:$J$24,10,FALSE))*VLOOKUP($A53,FY15ProjMajors!$A$3:$S$23,MATCH(E$28,FY15ProjMajors!$A$2:$S$2,0),FALSE)</f>
        <v>9900319.3721838687</v>
      </c>
      <c r="F53" s="455">
        <f>+UGpcntDeg*(VLOOKUP($A53,FY15ProjRev!$A$4:$J$24,10,FALSE))*VLOOKUP($A53,FY15ProjMajors!$A$3:$S$23,MATCH(F$28,FY15ProjMajors!$A$2:$S$2,0),FALSE)</f>
        <v>959662.85938960197</v>
      </c>
      <c r="G53" s="455">
        <f>+UGpcntDeg*(VLOOKUP($A53,FY15ProjRev!$A$4:$J$24,10,FALSE))*VLOOKUP($A53,FY15ProjMajors!$A$3:$S$23,MATCH(G$28,FY15ProjMajors!$A$2:$S$2,0),FALSE)</f>
        <v>10252600.674997773</v>
      </c>
      <c r="H53" s="455">
        <f>+UGpcntDeg*(VLOOKUP($A53,FY15ProjRev!$A$4:$J$24,10,FALSE))*VLOOKUP($A53,FY15ProjMajors!$A$3:$S$23,MATCH(H$28,FY15ProjMajors!$A$2:$S$2,0),FALSE)</f>
        <v>3425631.9790869337</v>
      </c>
      <c r="I53" s="455">
        <f>+UGpcntDeg*(VLOOKUP($A53,FY15ProjRev!$A$4:$J$24,10,FALSE))*VLOOKUP($A53,FY15ProjMajors!$A$3:$S$23,MATCH(I$28,FY15ProjMajors!$A$2:$S$2,0),FALSE)</f>
        <v>1299796.5310719924</v>
      </c>
      <c r="J53" s="455">
        <f>+UGpcntDeg*(VLOOKUP($A53,FY15ProjRev!$A$4:$J$24,10,FALSE))*VLOOKUP($A53,FY15ProjMajors!$A$3:$S$23,MATCH(J$28,FY15ProjMajors!$A$2:$S$2,0),FALSE)</f>
        <v>0</v>
      </c>
      <c r="K53" s="455">
        <f>+UGpcntDeg*(VLOOKUP($A53,FY15ProjRev!$A$4:$J$24,10,FALSE))*VLOOKUP($A53,FY15ProjMajors!$A$3:$S$23,MATCH(K$28,FY15ProjMajors!$A$2:$S$2,0),FALSE)</f>
        <v>0</v>
      </c>
      <c r="L53" s="455">
        <f>+UGpcntDeg*(VLOOKUP($A53,FY15ProjRev!$A$4:$J$24,10,FALSE))*VLOOKUP($A53,FY15ProjMajors!$A$3:$S$23,MATCH(L$28,FY15ProjMajors!$A$2:$S$2,0),FALSE)</f>
        <v>522348.13865509978</v>
      </c>
      <c r="M53" s="455">
        <f>+UGpcntDeg*(VLOOKUP($A53,FY15ProjRev!$A$4:$J$24,10,FALSE))*VLOOKUP($A53,FY15ProjMajors!$A$3:$S$23,MATCH(M$28,FY15ProjMajors!$A$2:$S$2,0),FALSE)</f>
        <v>0</v>
      </c>
      <c r="N53" s="455">
        <f>+UGpcntDeg*(VLOOKUP($A53,FY15ProjRev!$A$4:$J$24,10,FALSE))*VLOOKUP($A53,FY15ProjMajors!$A$3:$S$23,MATCH(N$28,FY15ProjMajors!$A$2:$S$2,0),FALSE)</f>
        <v>1846439.9319901201</v>
      </c>
      <c r="O53" s="455">
        <f>+UGpcntDeg*(VLOOKUP($A53,FY15ProjRev!$A$4:$J$24,10,FALSE))*VLOOKUP($A53,FY15ProjMajors!$A$3:$S$23,MATCH(O$28,FY15ProjMajors!$A$2:$S$2,0),FALSE)</f>
        <v>1627782.571622869</v>
      </c>
      <c r="P53" s="455">
        <f>+UGpcntDeg*(VLOOKUP($A53,FY15ProjRev!$A$4:$J$24,10,FALSE))*VLOOKUP($A53,FY15ProjMajors!$A$3:$S$23,MATCH(P$28,FY15ProjMajors!$A$2:$S$2,0),FALSE)</f>
        <v>0</v>
      </c>
      <c r="Q53" s="455">
        <f>+UGpcntDeg*(VLOOKUP($A53,FY15ProjRev!$A$4:$J$24,10,FALSE))*VLOOKUP($A53,FY15ProjMajors!$A$3:$S$23,MATCH(Q$28,FY15ProjMajors!$A$2:$S$2,0),FALSE)</f>
        <v>1263353.6376774507</v>
      </c>
      <c r="R53" s="455">
        <f>+UGpcntDeg*(VLOOKUP($A53,FY15ProjRev!$A$4:$J$24,10,FALSE))*VLOOKUP($A53,FY15ProjMajors!$A$3:$S$23,MATCH(R$28,FY15ProjMajors!$A$2:$S$2,0),FALSE)</f>
        <v>133623.94244665344</v>
      </c>
      <c r="S53" s="455">
        <f>+UGpcntDeg*(VLOOKUP($A53,FY15ProjRev!$A$4:$J$24,10,FALSE))*VLOOKUP($A53,FY15ProjMajors!$A$3:$S$23,MATCH(S$28,FY15ProjMajors!$A$2:$S$2,0),FALSE)</f>
        <v>607381.55657569738</v>
      </c>
      <c r="T53" s="455">
        <f t="shared" ref="T53:T74" si="6">SUM(C53:Q53)+R53+S53</f>
        <v>107129958.9488215</v>
      </c>
    </row>
    <row r="54" spans="1:20" s="18" customFormat="1" ht="20.100000000000001" customHeight="1">
      <c r="A54" s="404" t="s">
        <v>129</v>
      </c>
      <c r="B54" s="440" t="s">
        <v>35</v>
      </c>
      <c r="C54" s="410">
        <f>+GPpcntMjr*(VLOOKUP($A54,FY15ProjRev!$A$4:$J$24,10,FALSE))*VLOOKUP($A54,FY15ProjMajors!$A$3:$S$23,MATCH(C$28,FY15ProjMajors!$A$2:$S$2,0),FALSE)</f>
        <v>71586.038900332962</v>
      </c>
      <c r="D54" s="410">
        <f>+GPpcntMjr*(VLOOKUP($A54,FY15ProjRev!$A$4:$J$24,10,FALSE))*VLOOKUP($A54,FY15ProjMajors!$A$3:$S$23,MATCH(D$28,FY15ProjMajors!$A$2:$S$2,0),FALSE)</f>
        <v>7909606.5163149685</v>
      </c>
      <c r="E54" s="410">
        <f>+GPpcntMjr*(VLOOKUP($A54,FY15ProjRev!$A$4:$J$24,10,FALSE))*VLOOKUP($A54,FY15ProjMajors!$A$3:$S$23,MATCH(E$28,FY15ProjMajors!$A$2:$S$2,0),FALSE)</f>
        <v>285042.59125768935</v>
      </c>
      <c r="F54" s="410">
        <f>+GPpcntMjr*(VLOOKUP($A54,FY15ProjRev!$A$4:$J$24,10,FALSE))*VLOOKUP($A54,FY15ProjMajors!$A$3:$S$23,MATCH(F$28,FY15ProjMajors!$A$2:$S$2,0),FALSE)</f>
        <v>0</v>
      </c>
      <c r="G54" s="410">
        <f>+GPpcntMjr*(VLOOKUP($A54,FY15ProjRev!$A$4:$J$24,10,FALSE))*VLOOKUP($A54,FY15ProjMajors!$A$3:$S$23,MATCH(G$28,FY15ProjMajors!$A$2:$S$2,0),FALSE)</f>
        <v>451642.82724391884</v>
      </c>
      <c r="H54" s="410">
        <f>+GPpcntMjr*(VLOOKUP($A54,FY15ProjRev!$A$4:$J$24,10,FALSE))*VLOOKUP($A54,FY15ProjMajors!$A$3:$S$23,MATCH(H$28,FY15ProjMajors!$A$2:$S$2,0),FALSE)</f>
        <v>0</v>
      </c>
      <c r="I54" s="410">
        <f>+GPpcntMjr*(VLOOKUP($A54,FY15ProjRev!$A$4:$J$24,10,FALSE))*VLOOKUP($A54,FY15ProjMajors!$A$3:$S$23,MATCH(I$28,FY15ProjMajors!$A$2:$S$2,0),FALSE)</f>
        <v>175711.18639172634</v>
      </c>
      <c r="J54" s="410">
        <f>+GPpcntMjr*(VLOOKUP($A54,FY15ProjRev!$A$4:$J$24,10,FALSE))*VLOOKUP($A54,FY15ProjMajors!$A$3:$S$23,MATCH(J$28,FY15ProjMajors!$A$2:$S$2,0),FALSE)</f>
        <v>3904.693030927252</v>
      </c>
      <c r="K54" s="410">
        <f>+GPpcntMjr*(VLOOKUP($A54,FY15ProjRev!$A$4:$J$24,10,FALSE))*VLOOKUP($A54,FY15ProjMajors!$A$3:$S$23,MATCH(K$28,FY15ProjMajors!$A$2:$S$2,0),FALSE)</f>
        <v>72887.603243975376</v>
      </c>
      <c r="L54" s="410">
        <f>+GPpcntMjr*(VLOOKUP($A54,FY15ProjRev!$A$4:$J$24,10,FALSE))*VLOOKUP($A54,FY15ProjMajors!$A$3:$S$23,MATCH(L$28,FY15ProjMajors!$A$2:$S$2,0),FALSE)</f>
        <v>0</v>
      </c>
      <c r="M54" s="410">
        <f>+GPpcntMjr*(VLOOKUP($A54,FY15ProjRev!$A$4:$J$24,10,FALSE))*VLOOKUP($A54,FY15ProjMajors!$A$3:$S$23,MATCH(M$28,FY15ProjMajors!$A$2:$S$2,0),FALSE)</f>
        <v>0</v>
      </c>
      <c r="N54" s="410">
        <f>+GPpcntMjr*(VLOOKUP($A54,FY15ProjRev!$A$4:$J$24,10,FALSE))*VLOOKUP($A54,FY15ProjMajors!$A$3:$S$23,MATCH(N$28,FY15ProjMajors!$A$2:$S$2,0),FALSE)</f>
        <v>1634764.8156148761</v>
      </c>
      <c r="O54" s="410">
        <f>+GPpcntMjr*(VLOOKUP($A54,FY15ProjRev!$A$4:$J$24,10,FALSE))*VLOOKUP($A54,FY15ProjMajors!$A$3:$S$23,MATCH(O$28,FY15ProjMajors!$A$2:$S$2,0),FALSE)</f>
        <v>2603.1286872848345</v>
      </c>
      <c r="P54" s="410">
        <f>+GPpcntMjr*(VLOOKUP($A54,FY15ProjRev!$A$4:$J$24,10,FALSE))*VLOOKUP($A54,FY15ProjMajors!$A$3:$S$23,MATCH(P$28,FY15ProjMajors!$A$2:$S$2,0),FALSE)</f>
        <v>231678.45316835027</v>
      </c>
      <c r="Q54" s="410">
        <f>+GPpcntMjr*(VLOOKUP($A54,FY15ProjRev!$A$4:$J$24,10,FALSE))*VLOOKUP($A54,FY15ProjMajors!$A$3:$S$23,MATCH(Q$28,FY15ProjMajors!$A$2:$S$2,0),FALSE)</f>
        <v>3904.693030927252</v>
      </c>
      <c r="R54" s="410">
        <f>+GPpcntMjr*(VLOOKUP($A54,FY15ProjRev!$A$4:$J$24,10,FALSE))*VLOOKUP($A54,FY15ProjMajors!$A$3:$S$23,MATCH(R$28,FY15ProjMajors!$A$2:$S$2,0),FALSE)</f>
        <v>0</v>
      </c>
      <c r="S54" s="410">
        <f>+GPpcntMjr*(VLOOKUP($A54,FY15ProjRev!$A$4:$J$24,10,FALSE))*VLOOKUP($A54,FY15ProjMajors!$A$3:$S$23,MATCH(S$28,FY15ProjMajors!$A$2:$S$2,0),FALSE)</f>
        <v>1049060.8609757882</v>
      </c>
      <c r="T54" s="410">
        <f t="shared" si="6"/>
        <v>11892393.407860765</v>
      </c>
    </row>
    <row r="55" spans="1:20" ht="20.100000000000001" customHeight="1">
      <c r="A55" s="404" t="s">
        <v>140</v>
      </c>
      <c r="B55" s="456" t="s">
        <v>36</v>
      </c>
      <c r="C55" s="457">
        <f>+GPpcntMjr*(VLOOKUP($A55,FY15ProjRev!$A$4:$J$24,10,FALSE))*VLOOKUP($A55,FY15ProjMajors!$A$3:$S$23,MATCH(C$28,FY15ProjMajors!$A$2:$S$2,0),FALSE)</f>
        <v>0</v>
      </c>
      <c r="D55" s="457">
        <f>+GPpcntMjr*(VLOOKUP($A55,FY15ProjRev!$A$4:$J$24,10,FALSE))*VLOOKUP($A55,FY15ProjMajors!$A$3:$S$23,MATCH(D$28,FY15ProjMajors!$A$2:$S$2,0),FALSE)</f>
        <v>0</v>
      </c>
      <c r="E55" s="457">
        <f>+GPpcntMjr*(VLOOKUP($A55,FY15ProjRev!$A$4:$J$24,10,FALSE))*VLOOKUP($A55,FY15ProjMajors!$A$3:$S$23,MATCH(E$28,FY15ProjMajors!$A$2:$S$2,0),FALSE)</f>
        <v>0</v>
      </c>
      <c r="F55" s="457">
        <f>+GPpcntMjr*(VLOOKUP($A55,FY15ProjRev!$A$4:$J$24,10,FALSE))*VLOOKUP($A55,FY15ProjMajors!$A$3:$S$23,MATCH(F$28,FY15ProjMajors!$A$2:$S$2,0),FALSE)</f>
        <v>0</v>
      </c>
      <c r="G55" s="457">
        <f>+GPpcntMjr*(VLOOKUP($A55,FY15ProjRev!$A$4:$J$24,10,FALSE))*VLOOKUP($A55,FY15ProjMajors!$A$3:$S$23,MATCH(G$28,FY15ProjMajors!$A$2:$S$2,0),FALSE)</f>
        <v>0</v>
      </c>
      <c r="H55" s="457">
        <f>+GPpcntMjr*(VLOOKUP($A55,FY15ProjRev!$A$4:$J$24,10,FALSE))*VLOOKUP($A55,FY15ProjMajors!$A$3:$S$23,MATCH(H$28,FY15ProjMajors!$A$2:$S$2,0),FALSE)</f>
        <v>0</v>
      </c>
      <c r="I55" s="457">
        <f>+GPpcntMjr*(VLOOKUP($A55,FY15ProjRev!$A$4:$J$24,10,FALSE))*VLOOKUP($A55,FY15ProjMajors!$A$3:$S$23,MATCH(I$28,FY15ProjMajors!$A$2:$S$2,0),FALSE)</f>
        <v>0</v>
      </c>
      <c r="J55" s="457">
        <f>+GPpcntMjr*(VLOOKUP($A55,FY15ProjRev!$A$4:$J$24,10,FALSE))*VLOOKUP($A55,FY15ProjMajors!$A$3:$S$23,MATCH(J$28,FY15ProjMajors!$A$2:$S$2,0),FALSE)</f>
        <v>0</v>
      </c>
      <c r="K55" s="457">
        <f>+GPpcntMjr*(VLOOKUP($A55,FY15ProjRev!$A$4:$J$24,10,FALSE))*VLOOKUP($A55,FY15ProjMajors!$A$3:$S$23,MATCH(K$28,FY15ProjMajors!$A$2:$S$2,0),FALSE)</f>
        <v>0</v>
      </c>
      <c r="L55" s="457">
        <f>+GPpcntMjr*(VLOOKUP($A55,FY15ProjRev!$A$4:$J$24,10,FALSE))*VLOOKUP($A55,FY15ProjMajors!$A$3:$S$23,MATCH(L$28,FY15ProjMajors!$A$2:$S$2,0),FALSE)</f>
        <v>266818.81872924283</v>
      </c>
      <c r="M55" s="457">
        <f>+GPpcntMjr*(VLOOKUP($A55,FY15ProjRev!$A$4:$J$24,10,FALSE))*VLOOKUP($A55,FY15ProjMajors!$A$3:$S$23,MATCH(M$28,FY15ProjMajors!$A$2:$S$2,0),FALSE)</f>
        <v>0</v>
      </c>
      <c r="N55" s="457">
        <f>+GPpcntMjr*(VLOOKUP($A55,FY15ProjRev!$A$4:$J$24,10,FALSE))*VLOOKUP($A55,FY15ProjMajors!$A$3:$S$23,MATCH(N$28,FY15ProjMajors!$A$2:$S$2,0),FALSE)</f>
        <v>749145.14489364345</v>
      </c>
      <c r="O55" s="457">
        <f>+GPpcntMjr*(VLOOKUP($A55,FY15ProjRev!$A$4:$J$24,10,FALSE))*VLOOKUP($A55,FY15ProjMajors!$A$3:$S$23,MATCH(O$28,FY15ProjMajors!$A$2:$S$2,0),FALSE)</f>
        <v>0</v>
      </c>
      <c r="P55" s="457">
        <f>+GPpcntMjr*(VLOOKUP($A55,FY15ProjRev!$A$4:$J$24,10,FALSE))*VLOOKUP($A55,FY15ProjMajors!$A$3:$S$23,MATCH(P$28,FY15ProjMajors!$A$2:$S$2,0),FALSE)</f>
        <v>0</v>
      </c>
      <c r="Q55" s="457">
        <f>+GPpcntMjr*(VLOOKUP($A55,FY15ProjRev!$A$4:$J$24,10,FALSE))*VLOOKUP($A55,FY15ProjMajors!$A$3:$S$23,MATCH(Q$28,FY15ProjMajors!$A$2:$S$2,0),FALSE)</f>
        <v>0</v>
      </c>
      <c r="R55" s="457">
        <f>+GPpcntMjr*(VLOOKUP($A55,FY15ProjRev!$A$4:$J$24,10,FALSE))*VLOOKUP($A55,FY15ProjMajors!$A$3:$S$23,MATCH(R$28,FY15ProjMajors!$A$2:$S$2,0),FALSE)</f>
        <v>0</v>
      </c>
      <c r="S55" s="457">
        <f>+GPpcntMjr*(VLOOKUP($A55,FY15ProjRev!$A$4:$J$24,10,FALSE))*VLOOKUP($A55,FY15ProjMajors!$A$3:$S$23,MATCH(S$28,FY15ProjMajors!$A$2:$S$2,0),FALSE)</f>
        <v>0</v>
      </c>
      <c r="T55" s="457">
        <f t="shared" si="6"/>
        <v>1015963.9636228862</v>
      </c>
    </row>
    <row r="56" spans="1:20" s="18" customFormat="1" ht="20.100000000000001" customHeight="1">
      <c r="A56" s="404" t="s">
        <v>130</v>
      </c>
      <c r="B56" s="440" t="s">
        <v>37</v>
      </c>
      <c r="C56" s="410">
        <f>+GPpcntMjr*(VLOOKUP($A56,FY15ProjRev!$A$4:$J$24,10,FALSE))*VLOOKUP($A56,FY15ProjMajors!$A$3:$S$23,MATCH(C$28,FY15ProjMajors!$A$2:$S$2,0),FALSE)</f>
        <v>0</v>
      </c>
      <c r="D56" s="410">
        <f>+GPpcntMjr*(VLOOKUP($A56,FY15ProjRev!$A$4:$J$24,10,FALSE))*VLOOKUP($A56,FY15ProjMajors!$A$3:$S$23,MATCH(D$28,FY15ProjMajors!$A$2:$S$2,0),FALSE)</f>
        <v>63496.407760596012</v>
      </c>
      <c r="E56" s="410">
        <f>+GPpcntMjr*(VLOOKUP($A56,FY15ProjRev!$A$4:$J$24,10,FALSE))*VLOOKUP($A56,FY15ProjMajors!$A$3:$S$23,MATCH(E$28,FY15ProjMajors!$A$2:$S$2,0),FALSE)</f>
        <v>15874.101940149001</v>
      </c>
      <c r="F56" s="410">
        <f>+GPpcntMjr*(VLOOKUP($A56,FY15ProjRev!$A$4:$J$24,10,FALSE))*VLOOKUP($A56,FY15ProjMajors!$A$3:$S$23,MATCH(F$28,FY15ProjMajors!$A$2:$S$2,0),FALSE)</f>
        <v>3968.5254850372503</v>
      </c>
      <c r="G56" s="410">
        <f>+GPpcntMjr*(VLOOKUP($A56,FY15ProjRev!$A$4:$J$24,10,FALSE))*VLOOKUP($A56,FY15ProjMajors!$A$3:$S$23,MATCH(G$28,FY15ProjMajors!$A$2:$S$2,0),FALSE)</f>
        <v>5728566.5376512716</v>
      </c>
      <c r="H56" s="410">
        <f>+GPpcntMjr*(VLOOKUP($A56,FY15ProjRev!$A$4:$J$24,10,FALSE))*VLOOKUP($A56,FY15ProjMajors!$A$3:$S$23,MATCH(H$28,FY15ProjMajors!$A$2:$S$2,0),FALSE)</f>
        <v>5952.7882275558759</v>
      </c>
      <c r="I56" s="410">
        <f>+GPpcntMjr*(VLOOKUP($A56,FY15ProjRev!$A$4:$J$24,10,FALSE))*VLOOKUP($A56,FY15ProjMajors!$A$3:$S$23,MATCH(I$28,FY15ProjMajors!$A$2:$S$2,0),FALSE)</f>
        <v>1984.2627425186251</v>
      </c>
      <c r="J56" s="410">
        <f>+GPpcntMjr*(VLOOKUP($A56,FY15ProjRev!$A$4:$J$24,10,FALSE))*VLOOKUP($A56,FY15ProjMajors!$A$3:$S$23,MATCH(J$28,FY15ProjMajors!$A$2:$S$2,0),FALSE)</f>
        <v>27779.678395260755</v>
      </c>
      <c r="K56" s="410">
        <f>+GPpcntMjr*(VLOOKUP($A56,FY15ProjRev!$A$4:$J$24,10,FALSE))*VLOOKUP($A56,FY15ProjMajors!$A$3:$S$23,MATCH(K$28,FY15ProjMajors!$A$2:$S$2,0),FALSE)</f>
        <v>1984.2627425186251</v>
      </c>
      <c r="L56" s="410">
        <f>+GPpcntMjr*(VLOOKUP($A56,FY15ProjRev!$A$4:$J$24,10,FALSE))*VLOOKUP($A56,FY15ProjMajors!$A$3:$S$23,MATCH(L$28,FY15ProjMajors!$A$2:$S$2,0),FALSE)</f>
        <v>3968.5254850372503</v>
      </c>
      <c r="M56" s="410">
        <f>+GPpcntMjr*(VLOOKUP($A56,FY15ProjRev!$A$4:$J$24,10,FALSE))*VLOOKUP($A56,FY15ProjMajors!$A$3:$S$23,MATCH(M$28,FY15ProjMajors!$A$2:$S$2,0),FALSE)</f>
        <v>0</v>
      </c>
      <c r="N56" s="410">
        <f>+GPpcntMjr*(VLOOKUP($A56,FY15ProjRev!$A$4:$J$24,10,FALSE))*VLOOKUP($A56,FY15ProjMajors!$A$3:$S$23,MATCH(N$28,FY15ProjMajors!$A$2:$S$2,0),FALSE)</f>
        <v>65480.670503114641</v>
      </c>
      <c r="O56" s="410">
        <f>+GPpcntMjr*(VLOOKUP($A56,FY15ProjRev!$A$4:$J$24,10,FALSE))*VLOOKUP($A56,FY15ProjMajors!$A$3:$S$23,MATCH(O$28,FY15ProjMajors!$A$2:$S$2,0),FALSE)</f>
        <v>371057.13285098295</v>
      </c>
      <c r="P56" s="410">
        <f>+GPpcntMjr*(VLOOKUP($A56,FY15ProjRev!$A$4:$J$24,10,FALSE))*VLOOKUP($A56,FY15ProjMajors!$A$3:$S$23,MATCH(P$28,FY15ProjMajors!$A$2:$S$2,0),FALSE)</f>
        <v>0</v>
      </c>
      <c r="Q56" s="410">
        <f>+GPpcntMjr*(VLOOKUP($A56,FY15ProjRev!$A$4:$J$24,10,FALSE))*VLOOKUP($A56,FY15ProjMajors!$A$3:$S$23,MATCH(Q$28,FY15ProjMajors!$A$2:$S$2,0),FALSE)</f>
        <v>57543.619533040124</v>
      </c>
      <c r="R56" s="410">
        <f>+GPpcntMjr*(VLOOKUP($A56,FY15ProjRev!$A$4:$J$24,10,FALSE))*VLOOKUP($A56,FY15ProjMajors!$A$3:$S$23,MATCH(R$28,FY15ProjMajors!$A$2:$S$2,0),FALSE)</f>
        <v>3968.5254850372503</v>
      </c>
      <c r="S56" s="410">
        <f>+GPpcntMjr*(VLOOKUP($A56,FY15ProjRev!$A$4:$J$24,10,FALSE))*VLOOKUP($A56,FY15ProjMajors!$A$3:$S$23,MATCH(S$28,FY15ProjMajors!$A$2:$S$2,0),FALSE)</f>
        <v>81354.772443263631</v>
      </c>
      <c r="T56" s="410">
        <f t="shared" si="6"/>
        <v>6432979.8112453837</v>
      </c>
    </row>
    <row r="57" spans="1:20" ht="20.100000000000001" customHeight="1">
      <c r="A57" s="404" t="s">
        <v>131</v>
      </c>
      <c r="B57" s="456" t="s">
        <v>141</v>
      </c>
      <c r="C57" s="457">
        <f>+GPpcntMjr*(VLOOKUP($A57,FY15ProjRev!$A$4:$J$24,10,FALSE))*VLOOKUP($A57,FY15ProjMajors!$A$3:$S$23,MATCH(C$28,FY15ProjMajors!$A$2:$S$2,0),FALSE)</f>
        <v>0</v>
      </c>
      <c r="D57" s="457">
        <f>+GPpcntMjr*(VLOOKUP($A57,FY15ProjRev!$A$4:$J$24,10,FALSE))*VLOOKUP($A57,FY15ProjMajors!$A$3:$S$23,MATCH(D$28,FY15ProjMajors!$A$2:$S$2,0),FALSE)</f>
        <v>32327.641339561898</v>
      </c>
      <c r="E57" s="457">
        <f>+GPpcntMjr*(VLOOKUP($A57,FY15ProjRev!$A$4:$J$24,10,FALSE))*VLOOKUP($A57,FY15ProjMajors!$A$3:$S$23,MATCH(E$28,FY15ProjMajors!$A$2:$S$2,0),FALSE)</f>
        <v>0</v>
      </c>
      <c r="F57" s="457">
        <f>+GPpcntMjr*(VLOOKUP($A57,FY15ProjRev!$A$4:$J$24,10,FALSE))*VLOOKUP($A57,FY15ProjMajors!$A$3:$S$23,MATCH(F$28,FY15ProjMajors!$A$2:$S$2,0),FALSE)</f>
        <v>0</v>
      </c>
      <c r="G57" s="457">
        <f>+GPpcntMjr*(VLOOKUP($A57,FY15ProjRev!$A$4:$J$24,10,FALSE))*VLOOKUP($A57,FY15ProjMajors!$A$3:$S$23,MATCH(G$28,FY15ProjMajors!$A$2:$S$2,0),FALSE)</f>
        <v>2020.4775837226186</v>
      </c>
      <c r="H57" s="457">
        <f>+GPpcntMjr*(VLOOKUP($A57,FY15ProjRev!$A$4:$J$24,10,FALSE))*VLOOKUP($A57,FY15ProjMajors!$A$3:$S$23,MATCH(H$28,FY15ProjMajors!$A$2:$S$2,0),FALSE)</f>
        <v>2905446.7653931254</v>
      </c>
      <c r="I57" s="457">
        <f>+GPpcntMjr*(VLOOKUP($A57,FY15ProjRev!$A$4:$J$24,10,FALSE))*VLOOKUP($A57,FY15ProjMajors!$A$3:$S$23,MATCH(I$28,FY15ProjMajors!$A$2:$S$2,0),FALSE)</f>
        <v>0</v>
      </c>
      <c r="J57" s="457">
        <f>+GPpcntMjr*(VLOOKUP($A57,FY15ProjRev!$A$4:$J$24,10,FALSE))*VLOOKUP($A57,FY15ProjMajors!$A$3:$S$23,MATCH(J$28,FY15ProjMajors!$A$2:$S$2,0),FALSE)</f>
        <v>2020.4775837226186</v>
      </c>
      <c r="K57" s="457">
        <f>+GPpcntMjr*(VLOOKUP($A57,FY15ProjRev!$A$4:$J$24,10,FALSE))*VLOOKUP($A57,FY15ProjMajors!$A$3:$S$23,MATCH(K$28,FY15ProjMajors!$A$2:$S$2,0),FALSE)</f>
        <v>8081.9103348904746</v>
      </c>
      <c r="L57" s="457">
        <f>+GPpcntMjr*(VLOOKUP($A57,FY15ProjRev!$A$4:$J$24,10,FALSE))*VLOOKUP($A57,FY15ProjMajors!$A$3:$S$23,MATCH(L$28,FY15ProjMajors!$A$2:$S$2,0),FALSE)</f>
        <v>0</v>
      </c>
      <c r="M57" s="457">
        <f>+GPpcntMjr*(VLOOKUP($A57,FY15ProjRev!$A$4:$J$24,10,FALSE))*VLOOKUP($A57,FY15ProjMajors!$A$3:$S$23,MATCH(M$28,FY15ProjMajors!$A$2:$S$2,0),FALSE)</f>
        <v>0</v>
      </c>
      <c r="N57" s="457">
        <f>+GPpcntMjr*(VLOOKUP($A57,FY15ProjRev!$A$4:$J$24,10,FALSE))*VLOOKUP($A57,FY15ProjMajors!$A$3:$S$23,MATCH(N$28,FY15ProjMajors!$A$2:$S$2,0),FALSE)</f>
        <v>0</v>
      </c>
      <c r="O57" s="457">
        <f>+GPpcntMjr*(VLOOKUP($A57,FY15ProjRev!$A$4:$J$24,10,FALSE))*VLOOKUP($A57,FY15ProjMajors!$A$3:$S$23,MATCH(O$28,FY15ProjMajors!$A$2:$S$2,0),FALSE)</f>
        <v>0</v>
      </c>
      <c r="P57" s="457">
        <f>+GPpcntMjr*(VLOOKUP($A57,FY15ProjRev!$A$4:$J$24,10,FALSE))*VLOOKUP($A57,FY15ProjMajors!$A$3:$S$23,MATCH(P$28,FY15ProjMajors!$A$2:$S$2,0),FALSE)</f>
        <v>0</v>
      </c>
      <c r="Q57" s="457">
        <f>+GPpcntMjr*(VLOOKUP($A57,FY15ProjRev!$A$4:$J$24,10,FALSE))*VLOOKUP($A57,FY15ProjMajors!$A$3:$S$23,MATCH(Q$28,FY15ProjMajors!$A$2:$S$2,0),FALSE)</f>
        <v>0</v>
      </c>
      <c r="R57" s="457">
        <f>+GPpcntMjr*(VLOOKUP($A57,FY15ProjRev!$A$4:$J$24,10,FALSE))*VLOOKUP($A57,FY15ProjMajors!$A$3:$S$23,MATCH(R$28,FY15ProjMajors!$A$2:$S$2,0),FALSE)</f>
        <v>0</v>
      </c>
      <c r="S57" s="457">
        <f>+GPpcntMjr*(VLOOKUP($A57,FY15ProjRev!$A$4:$J$24,10,FALSE))*VLOOKUP($A57,FY15ProjMajors!$A$3:$S$23,MATCH(S$28,FY15ProjMajors!$A$2:$S$2,0),FALSE)</f>
        <v>8081.9103348904746</v>
      </c>
      <c r="T57" s="457">
        <f t="shared" si="6"/>
        <v>2957979.1825699131</v>
      </c>
    </row>
    <row r="58" spans="1:20" s="18" customFormat="1" ht="20.100000000000001" customHeight="1">
      <c r="A58" s="404" t="s">
        <v>132</v>
      </c>
      <c r="B58" s="440" t="s">
        <v>206</v>
      </c>
      <c r="C58" s="410">
        <f>+GPpcntMjr*(VLOOKUP($A58,FY15ProjRev!$A$4:$J$24,10,FALSE))*VLOOKUP($A58,FY15ProjMajors!$A$3:$S$23,MATCH(C$28,FY15ProjMajors!$A$2:$S$2,0),FALSE)</f>
        <v>0</v>
      </c>
      <c r="D58" s="410">
        <f>+GPpcntMjr*(VLOOKUP($A58,FY15ProjRev!$A$4:$J$24,10,FALSE))*VLOOKUP($A58,FY15ProjMajors!$A$3:$S$23,MATCH(D$28,FY15ProjMajors!$A$2:$S$2,0),FALSE)</f>
        <v>12531.122919865133</v>
      </c>
      <c r="E58" s="410">
        <f>+GPpcntMjr*(VLOOKUP($A58,FY15ProjRev!$A$4:$J$24,10,FALSE))*VLOOKUP($A58,FY15ProjMajors!$A$3:$S$23,MATCH(E$28,FY15ProjMajors!$A$2:$S$2,0),FALSE)</f>
        <v>0</v>
      </c>
      <c r="F58" s="410">
        <f>+GPpcntMjr*(VLOOKUP($A58,FY15ProjRev!$A$4:$J$24,10,FALSE))*VLOOKUP($A58,FY15ProjMajors!$A$3:$S$23,MATCH(F$28,FY15ProjMajors!$A$2:$S$2,0),FALSE)</f>
        <v>3753071.3144996073</v>
      </c>
      <c r="G58" s="410">
        <f>+GPpcntMjr*(VLOOKUP($A58,FY15ProjRev!$A$4:$J$24,10,FALSE))*VLOOKUP($A58,FY15ProjMajors!$A$3:$S$23,MATCH(G$28,FY15ProjMajors!$A$2:$S$2,0),FALSE)</f>
        <v>0</v>
      </c>
      <c r="H58" s="410">
        <f>+GPpcntMjr*(VLOOKUP($A58,FY15ProjRev!$A$4:$J$24,10,FALSE))*VLOOKUP($A58,FY15ProjMajors!$A$3:$S$23,MATCH(H$28,FY15ProjMajors!$A$2:$S$2,0),FALSE)</f>
        <v>0</v>
      </c>
      <c r="I58" s="410">
        <f>+GPpcntMjr*(VLOOKUP($A58,FY15ProjRev!$A$4:$J$24,10,FALSE))*VLOOKUP($A58,FY15ProjMajors!$A$3:$S$23,MATCH(I$28,FY15ProjMajors!$A$2:$S$2,0),FALSE)</f>
        <v>0</v>
      </c>
      <c r="J58" s="410">
        <f>+GPpcntMjr*(VLOOKUP($A58,FY15ProjRev!$A$4:$J$24,10,FALSE))*VLOOKUP($A58,FY15ProjMajors!$A$3:$S$23,MATCH(J$28,FY15ProjMajors!$A$2:$S$2,0),FALSE)</f>
        <v>0</v>
      </c>
      <c r="K58" s="410">
        <f>+GPpcntMjr*(VLOOKUP($A58,FY15ProjRev!$A$4:$J$24,10,FALSE))*VLOOKUP($A58,FY15ProjMajors!$A$3:$S$23,MATCH(K$28,FY15ProjMajors!$A$2:$S$2,0),FALSE)</f>
        <v>0</v>
      </c>
      <c r="L58" s="410">
        <f>+GPpcntMjr*(VLOOKUP($A58,FY15ProjRev!$A$4:$J$24,10,FALSE))*VLOOKUP($A58,FY15ProjMajors!$A$3:$S$23,MATCH(L$28,FY15ProjMajors!$A$2:$S$2,0),FALSE)</f>
        <v>0</v>
      </c>
      <c r="M58" s="410">
        <f>+GPpcntMjr*(VLOOKUP($A58,FY15ProjRev!$A$4:$J$24,10,FALSE))*VLOOKUP($A58,FY15ProjMajors!$A$3:$S$23,MATCH(M$28,FY15ProjMajors!$A$2:$S$2,0),FALSE)</f>
        <v>0</v>
      </c>
      <c r="N58" s="410">
        <f>+GPpcntMjr*(VLOOKUP($A58,FY15ProjRev!$A$4:$J$24,10,FALSE))*VLOOKUP($A58,FY15ProjMajors!$A$3:$S$23,MATCH(N$28,FY15ProjMajors!$A$2:$S$2,0),FALSE)</f>
        <v>0</v>
      </c>
      <c r="O58" s="410">
        <f>+GPpcntMjr*(VLOOKUP($A58,FY15ProjRev!$A$4:$J$24,10,FALSE))*VLOOKUP($A58,FY15ProjMajors!$A$3:$S$23,MATCH(O$28,FY15ProjMajors!$A$2:$S$2,0),FALSE)</f>
        <v>0</v>
      </c>
      <c r="P58" s="410">
        <f>+GPpcntMjr*(VLOOKUP($A58,FY15ProjRev!$A$4:$J$24,10,FALSE))*VLOOKUP($A58,FY15ProjMajors!$A$3:$S$23,MATCH(P$28,FY15ProjMajors!$A$2:$S$2,0),FALSE)</f>
        <v>0</v>
      </c>
      <c r="Q58" s="410">
        <f>+GPpcntMjr*(VLOOKUP($A58,FY15ProjRev!$A$4:$J$24,10,FALSE))*VLOOKUP($A58,FY15ProjMajors!$A$3:$S$23,MATCH(Q$28,FY15ProjMajors!$A$2:$S$2,0),FALSE)</f>
        <v>0</v>
      </c>
      <c r="R58" s="410">
        <f>+GPpcntMjr*(VLOOKUP($A58,FY15ProjRev!$A$4:$J$24,10,FALSE))*VLOOKUP($A58,FY15ProjMajors!$A$3:$S$23,MATCH(R$28,FY15ProjMajors!$A$2:$S$2,0),FALSE)</f>
        <v>0</v>
      </c>
      <c r="S58" s="410">
        <f>+GPpcntMjr*(VLOOKUP($A58,FY15ProjRev!$A$4:$J$24,10,FALSE))*VLOOKUP($A58,FY15ProjMajors!$A$3:$S$23,MATCH(S$28,FY15ProjMajors!$A$2:$S$2,0),FALSE)</f>
        <v>0</v>
      </c>
      <c r="T58" s="410">
        <f t="shared" si="6"/>
        <v>3765602.4374194723</v>
      </c>
    </row>
    <row r="59" spans="1:20" ht="20.100000000000001" customHeight="1">
      <c r="A59" s="404" t="s">
        <v>134</v>
      </c>
      <c r="B59" s="456" t="s">
        <v>40</v>
      </c>
      <c r="C59" s="457">
        <f>+GPpcntMjr*(VLOOKUP($A59,FY15ProjRev!$A$4:$J$24,10,FALSE))*VLOOKUP($A59,FY15ProjMajors!$A$3:$S$23,MATCH(C$28,FY15ProjMajors!$A$2:$S$2,0),FALSE)</f>
        <v>0</v>
      </c>
      <c r="D59" s="457">
        <f>+GPpcntMjr*(VLOOKUP($A59,FY15ProjRev!$A$4:$J$24,10,FALSE))*VLOOKUP($A59,FY15ProjMajors!$A$3:$S$23,MATCH(D$28,FY15ProjMajors!$A$2:$S$2,0),FALSE)</f>
        <v>0</v>
      </c>
      <c r="E59" s="457">
        <f>+GPpcntMjr*(VLOOKUP($A59,FY15ProjRev!$A$4:$J$24,10,FALSE))*VLOOKUP($A59,FY15ProjMajors!$A$3:$S$23,MATCH(E$28,FY15ProjMajors!$A$2:$S$2,0),FALSE)</f>
        <v>0</v>
      </c>
      <c r="F59" s="457">
        <f>+GPpcntMjr*(VLOOKUP($A59,FY15ProjRev!$A$4:$J$24,10,FALSE))*VLOOKUP($A59,FY15ProjMajors!$A$3:$S$23,MATCH(F$28,FY15ProjMajors!$A$2:$S$2,0),FALSE)</f>
        <v>0</v>
      </c>
      <c r="G59" s="457">
        <f>+GPpcntMjr*(VLOOKUP($A59,FY15ProjRev!$A$4:$J$24,10,FALSE))*VLOOKUP($A59,FY15ProjMajors!$A$3:$S$23,MATCH(G$28,FY15ProjMajors!$A$2:$S$2,0),FALSE)</f>
        <v>0</v>
      </c>
      <c r="H59" s="457">
        <f>+GPpcntMjr*(VLOOKUP($A59,FY15ProjRev!$A$4:$J$24,10,FALSE))*VLOOKUP($A59,FY15ProjMajors!$A$3:$S$23,MATCH(H$28,FY15ProjMajors!$A$2:$S$2,0),FALSE)</f>
        <v>0</v>
      </c>
      <c r="I59" s="457">
        <f>+GPpcntMjr*(VLOOKUP($A59,FY15ProjRev!$A$4:$J$24,10,FALSE))*VLOOKUP($A59,FY15ProjMajors!$A$3:$S$23,MATCH(I$28,FY15ProjMajors!$A$2:$S$2,0),FALSE)</f>
        <v>0</v>
      </c>
      <c r="J59" s="457">
        <f>+GPpcntMjr*(VLOOKUP($A59,FY15ProjRev!$A$4:$J$24,10,FALSE))*VLOOKUP($A59,FY15ProjMajors!$A$3:$S$23,MATCH(J$28,FY15ProjMajors!$A$2:$S$2,0),FALSE)</f>
        <v>0</v>
      </c>
      <c r="K59" s="457">
        <f>+GPpcntMjr*(VLOOKUP($A59,FY15ProjRev!$A$4:$J$24,10,FALSE))*VLOOKUP($A59,FY15ProjMajors!$A$3:$S$23,MATCH(K$28,FY15ProjMajors!$A$2:$S$2,0),FALSE)</f>
        <v>0</v>
      </c>
      <c r="L59" s="457">
        <f>+GPpcntMjr*(VLOOKUP($A59,FY15ProjRev!$A$4:$J$24,10,FALSE))*VLOOKUP($A59,FY15ProjMajors!$A$3:$S$23,MATCH(L$28,FY15ProjMajors!$A$2:$S$2,0),FALSE)</f>
        <v>0</v>
      </c>
      <c r="M59" s="457">
        <f>+GPpcntMjr*(VLOOKUP($A59,FY15ProjRev!$A$4:$J$24,10,FALSE))*VLOOKUP($A59,FY15ProjMajors!$A$3:$S$23,MATCH(M$28,FY15ProjMajors!$A$2:$S$2,0),FALSE)</f>
        <v>0</v>
      </c>
      <c r="N59" s="457">
        <f>+GPpcntMjr*(VLOOKUP($A59,FY15ProjRev!$A$4:$J$24,10,FALSE))*VLOOKUP($A59,FY15ProjMajors!$A$3:$S$23,MATCH(N$28,FY15ProjMajors!$A$2:$S$2,0),FALSE)</f>
        <v>0</v>
      </c>
      <c r="O59" s="457">
        <f>+GPpcntMjr*(VLOOKUP($A59,FY15ProjRev!$A$4:$J$24,10,FALSE))*VLOOKUP($A59,FY15ProjMajors!$A$3:$S$23,MATCH(O$28,FY15ProjMajors!$A$2:$S$2,0),FALSE)</f>
        <v>0</v>
      </c>
      <c r="P59" s="457">
        <f>+GPpcntMjr*(VLOOKUP($A59,FY15ProjRev!$A$4:$J$24,10,FALSE))*VLOOKUP($A59,FY15ProjMajors!$A$3:$S$23,MATCH(P$28,FY15ProjMajors!$A$2:$S$2,0),FALSE)</f>
        <v>0</v>
      </c>
      <c r="Q59" s="457">
        <f>+GPpcntMjr*(VLOOKUP($A59,FY15ProjRev!$A$4:$J$24,10,FALSE))*VLOOKUP($A59,FY15ProjMajors!$A$3:$S$23,MATCH(Q$28,FY15ProjMajors!$A$2:$S$2,0),FALSE)</f>
        <v>0</v>
      </c>
      <c r="R59" s="457">
        <f>+GPpcntMjr*(VLOOKUP($A59,FY15ProjRev!$A$4:$J$24,10,FALSE))*VLOOKUP($A59,FY15ProjMajors!$A$3:$S$23,MATCH(R$28,FY15ProjMajors!$A$2:$S$2,0),FALSE)</f>
        <v>0</v>
      </c>
      <c r="S59" s="457">
        <f>+GPpcntMjr*(VLOOKUP($A59,FY15ProjRev!$A$4:$J$24,10,FALSE))*VLOOKUP($A59,FY15ProjMajors!$A$3:$S$23,MATCH(S$28,FY15ProjMajors!$A$2:$S$2,0),FALSE)</f>
        <v>0</v>
      </c>
      <c r="T59" s="457">
        <f t="shared" si="6"/>
        <v>0</v>
      </c>
    </row>
    <row r="60" spans="1:20" s="18" customFormat="1" ht="20.100000000000001" customHeight="1">
      <c r="A60" s="404" t="s">
        <v>135</v>
      </c>
      <c r="B60" s="440" t="s">
        <v>70</v>
      </c>
      <c r="C60" s="410">
        <f>+GPpcntMjr*(VLOOKUP($A60,FY15ProjRev!$A$4:$J$24,10,FALSE))*VLOOKUP($A60,FY15ProjMajors!$A$3:$S$23,MATCH(C$28,FY15ProjMajors!$A$2:$S$2,0),FALSE)</f>
        <v>0</v>
      </c>
      <c r="D60" s="410">
        <f>+GPpcntMjr*(VLOOKUP($A60,FY15ProjRev!$A$4:$J$24,10,FALSE))*VLOOKUP($A60,FY15ProjMajors!$A$3:$S$23,MATCH(D$28,FY15ProjMajors!$A$2:$S$2,0),FALSE)</f>
        <v>0</v>
      </c>
      <c r="E60" s="410">
        <f>+GPpcntMjr*(VLOOKUP($A60,FY15ProjRev!$A$4:$J$24,10,FALSE))*VLOOKUP($A60,FY15ProjMajors!$A$3:$S$23,MATCH(E$28,FY15ProjMajors!$A$2:$S$2,0),FALSE)</f>
        <v>0</v>
      </c>
      <c r="F60" s="410">
        <f>+GPpcntMjr*(VLOOKUP($A60,FY15ProjRev!$A$4:$J$24,10,FALSE))*VLOOKUP($A60,FY15ProjMajors!$A$3:$S$23,MATCH(F$28,FY15ProjMajors!$A$2:$S$2,0),FALSE)</f>
        <v>0</v>
      </c>
      <c r="G60" s="410">
        <f>+GPpcntMjr*(VLOOKUP($A60,FY15ProjRev!$A$4:$J$24,10,FALSE))*VLOOKUP($A60,FY15ProjMajors!$A$3:$S$23,MATCH(G$28,FY15ProjMajors!$A$2:$S$2,0),FALSE)</f>
        <v>0</v>
      </c>
      <c r="H60" s="410">
        <f>+GPpcntMjr*(VLOOKUP($A60,FY15ProjRev!$A$4:$J$24,10,FALSE))*VLOOKUP($A60,FY15ProjMajors!$A$3:$S$23,MATCH(H$28,FY15ProjMajors!$A$2:$S$2,0),FALSE)</f>
        <v>0</v>
      </c>
      <c r="I60" s="410">
        <f>+GPpcntMjr*(VLOOKUP($A60,FY15ProjRev!$A$4:$J$24,10,FALSE))*VLOOKUP($A60,FY15ProjMajors!$A$3:$S$23,MATCH(I$28,FY15ProjMajors!$A$2:$S$2,0),FALSE)</f>
        <v>0</v>
      </c>
      <c r="J60" s="410">
        <f>+GPpcntMjr*(VLOOKUP($A60,FY15ProjRev!$A$4:$J$24,10,FALSE))*VLOOKUP($A60,FY15ProjMajors!$A$3:$S$23,MATCH(J$28,FY15ProjMajors!$A$2:$S$2,0),FALSE)</f>
        <v>0</v>
      </c>
      <c r="K60" s="410">
        <f>+GPpcntMjr*(VLOOKUP($A60,FY15ProjRev!$A$4:$J$24,10,FALSE))*VLOOKUP($A60,FY15ProjMajors!$A$3:$S$23,MATCH(K$28,FY15ProjMajors!$A$2:$S$2,0),FALSE)</f>
        <v>2932.0701702344672</v>
      </c>
      <c r="L60" s="410">
        <f>+GPpcntMjr*(VLOOKUP($A60,FY15ProjRev!$A$4:$J$24,10,FALSE))*VLOOKUP($A60,FY15ProjMajors!$A$3:$S$23,MATCH(L$28,FY15ProjMajors!$A$2:$S$2,0),FALSE)</f>
        <v>2128682.9435902233</v>
      </c>
      <c r="M60" s="410">
        <f>+GPpcntMjr*(VLOOKUP($A60,FY15ProjRev!$A$4:$J$24,10,FALSE))*VLOOKUP($A60,FY15ProjMajors!$A$3:$S$23,MATCH(M$28,FY15ProjMajors!$A$2:$S$2,0),FALSE)</f>
        <v>0</v>
      </c>
      <c r="N60" s="410">
        <f>+GPpcntMjr*(VLOOKUP($A60,FY15ProjRev!$A$4:$J$24,10,FALSE))*VLOOKUP($A60,FY15ProjMajors!$A$3:$S$23,MATCH(N$28,FY15ProjMajors!$A$2:$S$2,0),FALSE)</f>
        <v>2932.0701702344672</v>
      </c>
      <c r="O60" s="410">
        <f>+GPpcntMjr*(VLOOKUP($A60,FY15ProjRev!$A$4:$J$24,10,FALSE))*VLOOKUP($A60,FY15ProjMajors!$A$3:$S$23,MATCH(O$28,FY15ProjMajors!$A$2:$S$2,0),FALSE)</f>
        <v>0</v>
      </c>
      <c r="P60" s="410">
        <f>+GPpcntMjr*(VLOOKUP($A60,FY15ProjRev!$A$4:$J$24,10,FALSE))*VLOOKUP($A60,FY15ProjMajors!$A$3:$S$23,MATCH(P$28,FY15ProjMajors!$A$2:$S$2,0),FALSE)</f>
        <v>0</v>
      </c>
      <c r="Q60" s="410">
        <f>+GPpcntMjr*(VLOOKUP($A60,FY15ProjRev!$A$4:$J$24,10,FALSE))*VLOOKUP($A60,FY15ProjMajors!$A$3:$S$23,MATCH(Q$28,FY15ProjMajors!$A$2:$S$2,0),FALSE)</f>
        <v>11728.280680937869</v>
      </c>
      <c r="R60" s="410">
        <f>+GPpcntMjr*(VLOOKUP($A60,FY15ProjRev!$A$4:$J$24,10,FALSE))*VLOOKUP($A60,FY15ProjMajors!$A$3:$S$23,MATCH(R$28,FY15ProjMajors!$A$2:$S$2,0),FALSE)</f>
        <v>0</v>
      </c>
      <c r="S60" s="410">
        <f>+GPpcntMjr*(VLOOKUP($A60,FY15ProjRev!$A$4:$J$24,10,FALSE))*VLOOKUP($A60,FY15ProjMajors!$A$3:$S$23,MATCH(S$28,FY15ProjMajors!$A$2:$S$2,0),FALSE)</f>
        <v>2932.0701702344672</v>
      </c>
      <c r="T60" s="410">
        <f t="shared" si="6"/>
        <v>2149207.4347818643</v>
      </c>
    </row>
    <row r="61" spans="1:20" ht="20.100000000000001" customHeight="1">
      <c r="A61" s="404" t="s">
        <v>136</v>
      </c>
      <c r="B61" s="456" t="s">
        <v>144</v>
      </c>
      <c r="C61" s="457">
        <f>+GPpcntMjr*(VLOOKUP($A61,FY15ProjRev!$A$4:$J$24,10,FALSE))*VLOOKUP($A61,FY15ProjMajors!$A$3:$S$23,MATCH(C$28,FY15ProjMajors!$A$2:$S$2,0),FALSE)</f>
        <v>0</v>
      </c>
      <c r="D61" s="457">
        <f>+GPpcntMjr*(VLOOKUP($A61,FY15ProjRev!$A$4:$J$24,10,FALSE))*VLOOKUP($A61,FY15ProjMajors!$A$3:$S$23,MATCH(D$28,FY15ProjMajors!$A$2:$S$2,0),FALSE)</f>
        <v>0</v>
      </c>
      <c r="E61" s="457">
        <f>+GPpcntMjr*(VLOOKUP($A61,FY15ProjRev!$A$4:$J$24,10,FALSE))*VLOOKUP($A61,FY15ProjMajors!$A$3:$S$23,MATCH(E$28,FY15ProjMajors!$A$2:$S$2,0),FALSE)</f>
        <v>0</v>
      </c>
      <c r="F61" s="457">
        <f>+GPpcntMjr*(VLOOKUP($A61,FY15ProjRev!$A$4:$J$24,10,FALSE))*VLOOKUP($A61,FY15ProjMajors!$A$3:$S$23,MATCH(F$28,FY15ProjMajors!$A$2:$S$2,0),FALSE)</f>
        <v>0</v>
      </c>
      <c r="G61" s="457">
        <f>+GPpcntMjr*(VLOOKUP($A61,FY15ProjRev!$A$4:$J$24,10,FALSE))*VLOOKUP($A61,FY15ProjMajors!$A$3:$S$23,MATCH(G$28,FY15ProjMajors!$A$2:$S$2,0),FALSE)</f>
        <v>0</v>
      </c>
      <c r="H61" s="457">
        <f>+GPpcntMjr*(VLOOKUP($A61,FY15ProjRev!$A$4:$J$24,10,FALSE))*VLOOKUP($A61,FY15ProjMajors!$A$3:$S$23,MATCH(H$28,FY15ProjMajors!$A$2:$S$2,0),FALSE)</f>
        <v>0</v>
      </c>
      <c r="I61" s="457">
        <f>+GPpcntMjr*(VLOOKUP($A61,FY15ProjRev!$A$4:$J$24,10,FALSE))*VLOOKUP($A61,FY15ProjMajors!$A$3:$S$23,MATCH(I$28,FY15ProjMajors!$A$2:$S$2,0),FALSE)</f>
        <v>0</v>
      </c>
      <c r="J61" s="457">
        <f>+GPpcntMjr*(VLOOKUP($A61,FY15ProjRev!$A$4:$J$24,10,FALSE))*VLOOKUP($A61,FY15ProjMajors!$A$3:$S$23,MATCH(J$28,FY15ProjMajors!$A$2:$S$2,0),FALSE)</f>
        <v>0</v>
      </c>
      <c r="K61" s="457">
        <f>+GPpcntMjr*(VLOOKUP($A61,FY15ProjRev!$A$4:$J$24,10,FALSE))*VLOOKUP($A61,FY15ProjMajors!$A$3:$S$23,MATCH(K$28,FY15ProjMajors!$A$2:$S$2,0),FALSE)</f>
        <v>0</v>
      </c>
      <c r="L61" s="457">
        <f>+GPpcntMjr*(VLOOKUP($A61,FY15ProjRev!$A$4:$J$24,10,FALSE))*VLOOKUP($A61,FY15ProjMajors!$A$3:$S$23,MATCH(L$28,FY15ProjMajors!$A$2:$S$2,0),FALSE)</f>
        <v>0</v>
      </c>
      <c r="M61" s="457">
        <f>+GPpcntMjr*(VLOOKUP($A61,FY15ProjRev!$A$4:$J$24,10,FALSE))*VLOOKUP($A61,FY15ProjMajors!$A$3:$S$23,MATCH(M$28,FY15ProjMajors!$A$2:$S$2,0),FALSE)</f>
        <v>0</v>
      </c>
      <c r="N61" s="457">
        <f>+GPpcntMjr*(VLOOKUP($A61,FY15ProjRev!$A$4:$J$24,10,FALSE))*VLOOKUP($A61,FY15ProjMajors!$A$3:$S$23,MATCH(N$28,FY15ProjMajors!$A$2:$S$2,0),FALSE)</f>
        <v>25123.583084683527</v>
      </c>
      <c r="O61" s="457">
        <f>+GPpcntMjr*(VLOOKUP($A61,FY15ProjRev!$A$4:$J$24,10,FALSE))*VLOOKUP($A61,FY15ProjMajors!$A$3:$S$23,MATCH(O$28,FY15ProjMajors!$A$2:$S$2,0),FALSE)</f>
        <v>0</v>
      </c>
      <c r="P61" s="457">
        <f>+GPpcntMjr*(VLOOKUP($A61,FY15ProjRev!$A$4:$J$24,10,FALSE))*VLOOKUP($A61,FY15ProjMajors!$A$3:$S$23,MATCH(P$28,FY15ProjMajors!$A$2:$S$2,0),FALSE)</f>
        <v>0</v>
      </c>
      <c r="Q61" s="457">
        <f>+GPpcntMjr*(VLOOKUP($A61,FY15ProjRev!$A$4:$J$24,10,FALSE))*VLOOKUP($A61,FY15ProjMajors!$A$3:$S$23,MATCH(Q$28,FY15ProjMajors!$A$2:$S$2,0),FALSE)</f>
        <v>1965920.3763764864</v>
      </c>
      <c r="R61" s="457">
        <f>+GPpcntMjr*(VLOOKUP($A61,FY15ProjRev!$A$4:$J$24,10,FALSE))*VLOOKUP($A61,FY15ProjMajors!$A$3:$S$23,MATCH(R$28,FY15ProjMajors!$A$2:$S$2,0),FALSE)</f>
        <v>0</v>
      </c>
      <c r="S61" s="457">
        <f>+GPpcntMjr*(VLOOKUP($A61,FY15ProjRev!$A$4:$J$24,10,FALSE))*VLOOKUP($A61,FY15ProjMajors!$A$3:$S$23,MATCH(S$28,FY15ProjMajors!$A$2:$S$2,0),FALSE)</f>
        <v>4187.2638474472542</v>
      </c>
      <c r="T61" s="457">
        <f t="shared" si="6"/>
        <v>1995231.2233086172</v>
      </c>
    </row>
    <row r="62" spans="1:20" s="18" customFormat="1" ht="20.100000000000001" customHeight="1">
      <c r="A62" s="404" t="s">
        <v>137</v>
      </c>
      <c r="B62" s="440" t="s">
        <v>49</v>
      </c>
      <c r="C62" s="410">
        <f>+GPpcntMjr*(VLOOKUP($A62,FY15ProjRev!$A$4:$J$24,10,FALSE))*VLOOKUP($A62,FY15ProjMajors!$A$3:$S$23,MATCH(C$28,FY15ProjMajors!$A$2:$S$2,0),FALSE)</f>
        <v>4484.4881546453034</v>
      </c>
      <c r="D62" s="410">
        <f>+GPpcntMjr*(VLOOKUP($A62,FY15ProjRev!$A$4:$J$24,10,FALSE))*VLOOKUP($A62,FY15ProjMajors!$A$3:$S$23,MATCH(D$28,FY15ProjMajors!$A$2:$S$2,0),FALSE)</f>
        <v>20927.611388344751</v>
      </c>
      <c r="E62" s="410">
        <f>+GPpcntMjr*(VLOOKUP($A62,FY15ProjRev!$A$4:$J$24,10,FALSE))*VLOOKUP($A62,FY15ProjMajors!$A$3:$S$23,MATCH(E$28,FY15ProjMajors!$A$2:$S$2,0),FALSE)</f>
        <v>0</v>
      </c>
      <c r="F62" s="410">
        <f>+GPpcntMjr*(VLOOKUP($A62,FY15ProjRev!$A$4:$J$24,10,FALSE))*VLOOKUP($A62,FY15ProjMajors!$A$3:$S$23,MATCH(F$28,FY15ProjMajors!$A$2:$S$2,0),FALSE)</f>
        <v>0</v>
      </c>
      <c r="G62" s="410">
        <f>+GPpcntMjr*(VLOOKUP($A62,FY15ProjRev!$A$4:$J$24,10,FALSE))*VLOOKUP($A62,FY15ProjMajors!$A$3:$S$23,MATCH(G$28,FY15ProjMajors!$A$2:$S$2,0),FALSE)</f>
        <v>7474.1469244088385</v>
      </c>
      <c r="H62" s="410">
        <f>+GPpcntMjr*(VLOOKUP($A62,FY15ProjRev!$A$4:$J$24,10,FALSE))*VLOOKUP($A62,FY15ProjMajors!$A$3:$S$23,MATCH(H$28,FY15ProjMajors!$A$2:$S$2,0),FALSE)</f>
        <v>0</v>
      </c>
      <c r="I62" s="410">
        <f>+GPpcntMjr*(VLOOKUP($A62,FY15ProjRev!$A$4:$J$24,10,FALSE))*VLOOKUP($A62,FY15ProjMajors!$A$3:$S$23,MATCH(I$28,FY15ProjMajors!$A$2:$S$2,0),FALSE)</f>
        <v>0</v>
      </c>
      <c r="J62" s="410">
        <f>+GPpcntMjr*(VLOOKUP($A62,FY15ProjRev!$A$4:$J$24,10,FALSE))*VLOOKUP($A62,FY15ProjMajors!$A$3:$S$23,MATCH(J$28,FY15ProjMajors!$A$2:$S$2,0),FALSE)</f>
        <v>4484.4881546453034</v>
      </c>
      <c r="K62" s="410">
        <f>+GPpcntMjr*(VLOOKUP($A62,FY15ProjRev!$A$4:$J$24,10,FALSE))*VLOOKUP($A62,FY15ProjMajors!$A$3:$S$23,MATCH(K$28,FY15ProjMajors!$A$2:$S$2,0),FALSE)</f>
        <v>1494.8293848817675</v>
      </c>
      <c r="L62" s="410">
        <f>+GPpcntMjr*(VLOOKUP($A62,FY15ProjRev!$A$4:$J$24,10,FALSE))*VLOOKUP($A62,FY15ProjMajors!$A$3:$S$23,MATCH(L$28,FY15ProjMajors!$A$2:$S$2,0),FALSE)</f>
        <v>28401.758312753584</v>
      </c>
      <c r="M62" s="410">
        <f>+GPpcntMjr*(VLOOKUP($A62,FY15ProjRev!$A$4:$J$24,10,FALSE))*VLOOKUP($A62,FY15ProjMajors!$A$3:$S$23,MATCH(M$28,FY15ProjMajors!$A$2:$S$2,0),FALSE)</f>
        <v>0</v>
      </c>
      <c r="N62" s="410">
        <f>+GPpcntMjr*(VLOOKUP($A62,FY15ProjRev!$A$4:$J$24,10,FALSE))*VLOOKUP($A62,FY15ProjMajors!$A$3:$S$23,MATCH(N$28,FY15ProjMajors!$A$2:$S$2,0),FALSE)</f>
        <v>213760.60203809279</v>
      </c>
      <c r="O62" s="410">
        <f>+GPpcntMjr*(VLOOKUP($A62,FY15ProjRev!$A$4:$J$24,10,FALSE))*VLOOKUP($A62,FY15ProjMajors!$A$3:$S$23,MATCH(O$28,FY15ProjMajors!$A$2:$S$2,0),FALSE)</f>
        <v>1494.8293848817675</v>
      </c>
      <c r="P62" s="410">
        <f>+GPpcntMjr*(VLOOKUP($A62,FY15ProjRev!$A$4:$J$24,10,FALSE))*VLOOKUP($A62,FY15ProjMajors!$A$3:$S$23,MATCH(P$28,FY15ProjMajors!$A$2:$S$2,0),FALSE)</f>
        <v>0</v>
      </c>
      <c r="Q62" s="410">
        <f>+GPpcntMjr*(VLOOKUP($A62,FY15ProjRev!$A$4:$J$24,10,FALSE))*VLOOKUP($A62,FY15ProjMajors!$A$3:$S$23,MATCH(Q$28,FY15ProjMajors!$A$2:$S$2,0),FALSE)</f>
        <v>680147.37012120429</v>
      </c>
      <c r="R62" s="410">
        <f>+GPpcntMjr*(VLOOKUP($A62,FY15ProjRev!$A$4:$J$24,10,FALSE))*VLOOKUP($A62,FY15ProjMajors!$A$3:$S$23,MATCH(R$28,FY15ProjMajors!$A$2:$S$2,0),FALSE)</f>
        <v>0</v>
      </c>
      <c r="S62" s="410">
        <f>+GPpcntMjr*(VLOOKUP($A62,FY15ProjRev!$A$4:$J$24,10,FALSE))*VLOOKUP($A62,FY15ProjMajors!$A$3:$S$23,MATCH(S$28,FY15ProjMajors!$A$2:$S$2,0),FALSE)</f>
        <v>20927.611388344751</v>
      </c>
      <c r="T62" s="410">
        <f t="shared" si="6"/>
        <v>983597.73525220319</v>
      </c>
    </row>
    <row r="63" spans="1:20" ht="20.100000000000001" customHeight="1">
      <c r="A63" s="404" t="s">
        <v>138</v>
      </c>
      <c r="B63" s="456" t="s">
        <v>207</v>
      </c>
      <c r="C63" s="457">
        <f>+GPpcntMjr*(VLOOKUP($A63,FY15ProjRev!$A$4:$J$24,10,FALSE))*VLOOKUP($A63,FY15ProjMajors!$A$3:$S$23,MATCH(C$28,FY15ProjMajors!$A$2:$S$2,0),FALSE)</f>
        <v>3279041.9842434139</v>
      </c>
      <c r="D63" s="457">
        <f>+GPpcntMjr*(VLOOKUP($A63,FY15ProjRev!$A$4:$J$24,10,FALSE))*VLOOKUP($A63,FY15ProjMajors!$A$3:$S$23,MATCH(D$28,FY15ProjMajors!$A$2:$S$2,0),FALSE)</f>
        <v>3078.9126612614218</v>
      </c>
      <c r="E63" s="457">
        <f>+GPpcntMjr*(VLOOKUP($A63,FY15ProjRev!$A$4:$J$24,10,FALSE))*VLOOKUP($A63,FY15ProjMajors!$A$3:$S$23,MATCH(E$28,FY15ProjMajors!$A$2:$S$2,0),FALSE)</f>
        <v>6157.8253225228436</v>
      </c>
      <c r="F63" s="457">
        <f>+GPpcntMjr*(VLOOKUP($A63,FY15ProjRev!$A$4:$J$24,10,FALSE))*VLOOKUP($A63,FY15ProjMajors!$A$3:$S$23,MATCH(F$28,FY15ProjMajors!$A$2:$S$2,0),FALSE)</f>
        <v>0</v>
      </c>
      <c r="G63" s="457">
        <f>+GPpcntMjr*(VLOOKUP($A63,FY15ProjRev!$A$4:$J$24,10,FALSE))*VLOOKUP($A63,FY15ProjMajors!$A$3:$S$23,MATCH(G$28,FY15ProjMajors!$A$2:$S$2,0),FALSE)</f>
        <v>12315.650645045687</v>
      </c>
      <c r="H63" s="457">
        <f>+GPpcntMjr*(VLOOKUP($A63,FY15ProjRev!$A$4:$J$24,10,FALSE))*VLOOKUP($A63,FY15ProjMajors!$A$3:$S$23,MATCH(H$28,FY15ProjMajors!$A$2:$S$2,0),FALSE)</f>
        <v>9236.7379837842655</v>
      </c>
      <c r="I63" s="457">
        <f>+GPpcntMjr*(VLOOKUP($A63,FY15ProjRev!$A$4:$J$24,10,FALSE))*VLOOKUP($A63,FY15ProjMajors!$A$3:$S$23,MATCH(I$28,FY15ProjMajors!$A$2:$S$2,0),FALSE)</f>
        <v>0</v>
      </c>
      <c r="J63" s="457">
        <f>+GPpcntMjr*(VLOOKUP($A63,FY15ProjRev!$A$4:$J$24,10,FALSE))*VLOOKUP($A63,FY15ProjMajors!$A$3:$S$23,MATCH(J$28,FY15ProjMajors!$A$2:$S$2,0),FALSE)</f>
        <v>0</v>
      </c>
      <c r="K63" s="457">
        <f>+GPpcntMjr*(VLOOKUP($A63,FY15ProjRev!$A$4:$J$24,10,FALSE))*VLOOKUP($A63,FY15ProjMajors!$A$3:$S$23,MATCH(K$28,FY15ProjMajors!$A$2:$S$2,0),FALSE)</f>
        <v>18473.475967568531</v>
      </c>
      <c r="L63" s="457">
        <f>+GPpcntMjr*(VLOOKUP($A63,FY15ProjRev!$A$4:$J$24,10,FALSE))*VLOOKUP($A63,FY15ProjMajors!$A$3:$S$23,MATCH(L$28,FY15ProjMajors!$A$2:$S$2,0),FALSE)</f>
        <v>0</v>
      </c>
      <c r="M63" s="457">
        <f>+GPpcntMjr*(VLOOKUP($A63,FY15ProjRev!$A$4:$J$24,10,FALSE))*VLOOKUP($A63,FY15ProjMajors!$A$3:$S$23,MATCH(M$28,FY15ProjMajors!$A$2:$S$2,0),FALSE)</f>
        <v>0</v>
      </c>
      <c r="N63" s="457">
        <f>+GPpcntMjr*(VLOOKUP($A63,FY15ProjRev!$A$4:$J$24,10,FALSE))*VLOOKUP($A63,FY15ProjMajors!$A$3:$S$23,MATCH(N$28,FY15ProjMajors!$A$2:$S$2,0),FALSE)</f>
        <v>0</v>
      </c>
      <c r="O63" s="457">
        <f>+GPpcntMjr*(VLOOKUP($A63,FY15ProjRev!$A$4:$J$24,10,FALSE))*VLOOKUP($A63,FY15ProjMajors!$A$3:$S$23,MATCH(O$28,FY15ProjMajors!$A$2:$S$2,0),FALSE)</f>
        <v>0</v>
      </c>
      <c r="P63" s="457">
        <f>+GPpcntMjr*(VLOOKUP($A63,FY15ProjRev!$A$4:$J$24,10,FALSE))*VLOOKUP($A63,FY15ProjMajors!$A$3:$S$23,MATCH(P$28,FY15ProjMajors!$A$2:$S$2,0),FALSE)</f>
        <v>0</v>
      </c>
      <c r="Q63" s="457">
        <f>+GPpcntMjr*(VLOOKUP($A63,FY15ProjRev!$A$4:$J$24,10,FALSE))*VLOOKUP($A63,FY15ProjMajors!$A$3:$S$23,MATCH(Q$28,FY15ProjMajors!$A$2:$S$2,0),FALSE)</f>
        <v>0</v>
      </c>
      <c r="R63" s="457">
        <f>+GPpcntMjr*(VLOOKUP($A63,FY15ProjRev!$A$4:$J$24,10,FALSE))*VLOOKUP($A63,FY15ProjMajors!$A$3:$S$23,MATCH(R$28,FY15ProjMajors!$A$2:$S$2,0),FALSE)</f>
        <v>0</v>
      </c>
      <c r="S63" s="457">
        <f>+GPpcntMjr*(VLOOKUP($A63,FY15ProjRev!$A$4:$J$24,10,FALSE))*VLOOKUP($A63,FY15ProjMajors!$A$3:$S$23,MATCH(S$28,FY15ProjMajors!$A$2:$S$2,0),FALSE)</f>
        <v>61578.253225228436</v>
      </c>
      <c r="T63" s="457">
        <f t="shared" si="6"/>
        <v>3389882.8400488244</v>
      </c>
    </row>
    <row r="64" spans="1:20" s="18" customFormat="1" ht="20.100000000000001" customHeight="1">
      <c r="A64" s="404" t="s">
        <v>147</v>
      </c>
      <c r="B64" s="440" t="s">
        <v>208</v>
      </c>
      <c r="C64" s="410">
        <f>+GPpcntMjr*(VLOOKUP($A64,FY15ProjRev!$A$4:$J$24,10,FALSE))*VLOOKUP($A64,FY15ProjMajors!$A$3:$S$23,MATCH(C$28,FY15ProjMajors!$A$2:$S$2,0),FALSE)</f>
        <v>0</v>
      </c>
      <c r="D64" s="410">
        <f>+GPpcntMjr*(VLOOKUP($A64,FY15ProjRev!$A$4:$J$24,10,FALSE))*VLOOKUP($A64,FY15ProjMajors!$A$3:$S$23,MATCH(D$28,FY15ProjMajors!$A$2:$S$2,0),FALSE)</f>
        <v>0</v>
      </c>
      <c r="E64" s="410">
        <f>+GPpcntMjr*(VLOOKUP($A64,FY15ProjRev!$A$4:$J$24,10,FALSE))*VLOOKUP($A64,FY15ProjMajors!$A$3:$S$23,MATCH(E$28,FY15ProjMajors!$A$2:$S$2,0),FALSE)</f>
        <v>0</v>
      </c>
      <c r="F64" s="410">
        <f>+GPpcntMjr*(VLOOKUP($A64,FY15ProjRev!$A$4:$J$24,10,FALSE))*VLOOKUP($A64,FY15ProjMajors!$A$3:$S$23,MATCH(F$28,FY15ProjMajors!$A$2:$S$2,0),FALSE)</f>
        <v>0</v>
      </c>
      <c r="G64" s="410">
        <f>+GPpcntMjr*(VLOOKUP($A64,FY15ProjRev!$A$4:$J$24,10,FALSE))*VLOOKUP($A64,FY15ProjMajors!$A$3:$S$23,MATCH(G$28,FY15ProjMajors!$A$2:$S$2,0),FALSE)</f>
        <v>416676.60671313596</v>
      </c>
      <c r="H64" s="410">
        <f>+GPpcntMjr*(VLOOKUP($A64,FY15ProjRev!$A$4:$J$24,10,FALSE))*VLOOKUP($A64,FY15ProjMajors!$A$3:$S$23,MATCH(H$28,FY15ProjMajors!$A$2:$S$2,0),FALSE)</f>
        <v>0</v>
      </c>
      <c r="I64" s="410">
        <f>+GPpcntMjr*(VLOOKUP($A64,FY15ProjRev!$A$4:$J$24,10,FALSE))*VLOOKUP($A64,FY15ProjMajors!$A$3:$S$23,MATCH(I$28,FY15ProjMajors!$A$2:$S$2,0),FALSE)</f>
        <v>0</v>
      </c>
      <c r="J64" s="410">
        <f>+GPpcntMjr*(VLOOKUP($A64,FY15ProjRev!$A$4:$J$24,10,FALSE))*VLOOKUP($A64,FY15ProjMajors!$A$3:$S$23,MATCH(J$28,FY15ProjMajors!$A$2:$S$2,0),FALSE)</f>
        <v>0</v>
      </c>
      <c r="K64" s="410">
        <f>+GPpcntMjr*(VLOOKUP($A64,FY15ProjRev!$A$4:$J$24,10,FALSE))*VLOOKUP($A64,FY15ProjMajors!$A$3:$S$23,MATCH(K$28,FY15ProjMajors!$A$2:$S$2,0),FALSE)</f>
        <v>0</v>
      </c>
      <c r="L64" s="410">
        <f>+GPpcntMjr*(VLOOKUP($A64,FY15ProjRev!$A$4:$J$24,10,FALSE))*VLOOKUP($A64,FY15ProjMajors!$A$3:$S$23,MATCH(L$28,FY15ProjMajors!$A$2:$S$2,0),FALSE)</f>
        <v>0</v>
      </c>
      <c r="M64" s="410">
        <f>+GPpcntMjr*(VLOOKUP($A64,FY15ProjRev!$A$4:$J$24,10,FALSE))*VLOOKUP($A64,FY15ProjMajors!$A$3:$S$23,MATCH(M$28,FY15ProjMajors!$A$2:$S$2,0),FALSE)</f>
        <v>0</v>
      </c>
      <c r="N64" s="410">
        <f>+GPpcntMjr*(VLOOKUP($A64,FY15ProjRev!$A$4:$J$24,10,FALSE))*VLOOKUP($A64,FY15ProjMajors!$A$3:$S$23,MATCH(N$28,FY15ProjMajors!$A$2:$S$2,0),FALSE)</f>
        <v>0</v>
      </c>
      <c r="O64" s="410">
        <f>+GPpcntMjr*(VLOOKUP($A64,FY15ProjRev!$A$4:$J$24,10,FALSE))*VLOOKUP($A64,FY15ProjMajors!$A$3:$S$23,MATCH(O$28,FY15ProjMajors!$A$2:$S$2,0),FALSE)</f>
        <v>0</v>
      </c>
      <c r="P64" s="410">
        <f>+GPpcntMjr*(VLOOKUP($A64,FY15ProjRev!$A$4:$J$24,10,FALSE))*VLOOKUP($A64,FY15ProjMajors!$A$3:$S$23,MATCH(P$28,FY15ProjMajors!$A$2:$S$2,0),FALSE)</f>
        <v>0</v>
      </c>
      <c r="Q64" s="410">
        <f>+GPpcntMjr*(VLOOKUP($A64,FY15ProjRev!$A$4:$J$24,10,FALSE))*VLOOKUP($A64,FY15ProjMajors!$A$3:$S$23,MATCH(Q$28,FY15ProjMajors!$A$2:$S$2,0),FALSE)</f>
        <v>0</v>
      </c>
      <c r="R64" s="410">
        <f>+GPpcntMjr*(VLOOKUP($A64,FY15ProjRev!$A$4:$J$24,10,FALSE))*VLOOKUP($A64,FY15ProjMajors!$A$3:$S$23,MATCH(R$28,FY15ProjMajors!$A$2:$S$2,0),FALSE)</f>
        <v>0</v>
      </c>
      <c r="S64" s="410">
        <f>+GPpcntMjr*(VLOOKUP($A64,FY15ProjRev!$A$4:$J$24,10,FALSE))*VLOOKUP($A64,FY15ProjMajors!$A$3:$S$23,MATCH(S$28,FY15ProjMajors!$A$2:$S$2,0),FALSE)</f>
        <v>0</v>
      </c>
      <c r="T64" s="410">
        <f t="shared" si="6"/>
        <v>416676.60671313596</v>
      </c>
    </row>
    <row r="65" spans="1:20" ht="20.100000000000001" customHeight="1">
      <c r="A65" s="404" t="s">
        <v>148</v>
      </c>
      <c r="B65" s="456" t="s">
        <v>39</v>
      </c>
      <c r="C65" s="457">
        <f>+GPpcntMjr*(VLOOKUP($A65,FY15ProjRev!$A$4:$J$24,10,FALSE))*VLOOKUP($A65,FY15ProjMajors!$A$3:$S$23,MATCH(C$28,FY15ProjMajors!$A$2:$S$2,0),FALSE)</f>
        <v>59105.752923422187</v>
      </c>
      <c r="D65" s="457">
        <f>+GPpcntMjr*(VLOOKUP($A65,FY15ProjRev!$A$4:$J$24,10,FALSE))*VLOOKUP($A65,FY15ProjMajors!$A$3:$S$23,MATCH(D$28,FY15ProjMajors!$A$2:$S$2,0),FALSE)</f>
        <v>227090.52438999049</v>
      </c>
      <c r="E65" s="457">
        <f>+GPpcntMjr*(VLOOKUP($A65,FY15ProjRev!$A$4:$J$24,10,FALSE))*VLOOKUP($A65,FY15ProjMajors!$A$3:$S$23,MATCH(E$28,FY15ProjMajors!$A$2:$S$2,0),FALSE)</f>
        <v>0</v>
      </c>
      <c r="F65" s="457">
        <f>+GPpcntMjr*(VLOOKUP($A65,FY15ProjRev!$A$4:$J$24,10,FALSE))*VLOOKUP($A65,FY15ProjMajors!$A$3:$S$23,MATCH(F$28,FY15ProjMajors!$A$2:$S$2,0),FALSE)</f>
        <v>0</v>
      </c>
      <c r="G65" s="457">
        <f>+GPpcntMjr*(VLOOKUP($A65,FY15ProjRev!$A$4:$J$24,10,FALSE))*VLOOKUP($A65,FY15ProjMajors!$A$3:$S$23,MATCH(G$28,FY15ProjMajors!$A$2:$S$2,0),FALSE)</f>
        <v>0</v>
      </c>
      <c r="H65" s="457">
        <f>+GPpcntMjr*(VLOOKUP($A65,FY15ProjRev!$A$4:$J$24,10,FALSE))*VLOOKUP($A65,FY15ProjMajors!$A$3:$S$23,MATCH(H$28,FY15ProjMajors!$A$2:$S$2,0),FALSE)</f>
        <v>124433.16404930985</v>
      </c>
      <c r="I65" s="457">
        <f>+GPpcntMjr*(VLOOKUP($A65,FY15ProjRev!$A$4:$J$24,10,FALSE))*VLOOKUP($A65,FY15ProjMajors!$A$3:$S$23,MATCH(I$28,FY15ProjMajors!$A$2:$S$2,0),FALSE)</f>
        <v>24886.632809861971</v>
      </c>
      <c r="J65" s="457">
        <f>+GPpcntMjr*(VLOOKUP($A65,FY15ProjRev!$A$4:$J$24,10,FALSE))*VLOOKUP($A65,FY15ProjMajors!$A$3:$S$23,MATCH(J$28,FY15ProjMajors!$A$2:$S$2,0),FALSE)</f>
        <v>0</v>
      </c>
      <c r="K65" s="457">
        <f>+GPpcntMjr*(VLOOKUP($A65,FY15ProjRev!$A$4:$J$24,10,FALSE))*VLOOKUP($A65,FY15ProjMajors!$A$3:$S$23,MATCH(K$28,FY15ProjMajors!$A$2:$S$2,0),FALSE)</f>
        <v>3191710.6578647979</v>
      </c>
      <c r="L65" s="457">
        <f>+GPpcntMjr*(VLOOKUP($A65,FY15ProjRev!$A$4:$J$24,10,FALSE))*VLOOKUP($A65,FY15ProjMajors!$A$3:$S$23,MATCH(L$28,FY15ProjMajors!$A$2:$S$2,0),FALSE)</f>
        <v>24886.632809861971</v>
      </c>
      <c r="M65" s="457">
        <f>+GPpcntMjr*(VLOOKUP($A65,FY15ProjRev!$A$4:$J$24,10,FALSE))*VLOOKUP($A65,FY15ProjMajors!$A$3:$S$23,MATCH(M$28,FY15ProjMajors!$A$2:$S$2,0),FALSE)</f>
        <v>0</v>
      </c>
      <c r="N65" s="457">
        <f>+GPpcntMjr*(VLOOKUP($A65,FY15ProjRev!$A$4:$J$24,10,FALSE))*VLOOKUP($A65,FY15ProjMajors!$A$3:$S$23,MATCH(N$28,FY15ProjMajors!$A$2:$S$2,0),FALSE)</f>
        <v>6221.6582024654926</v>
      </c>
      <c r="O65" s="457">
        <f>+GPpcntMjr*(VLOOKUP($A65,FY15ProjRev!$A$4:$J$24,10,FALSE))*VLOOKUP($A65,FY15ProjMajors!$A$3:$S$23,MATCH(O$28,FY15ProjMajors!$A$2:$S$2,0),FALSE)</f>
        <v>0</v>
      </c>
      <c r="P65" s="457">
        <f>+GPpcntMjr*(VLOOKUP($A65,FY15ProjRev!$A$4:$J$24,10,FALSE))*VLOOKUP($A65,FY15ProjMajors!$A$3:$S$23,MATCH(P$28,FY15ProjMajors!$A$2:$S$2,0),FALSE)</f>
        <v>0</v>
      </c>
      <c r="Q65" s="457">
        <f>+GPpcntMjr*(VLOOKUP($A65,FY15ProjRev!$A$4:$J$24,10,FALSE))*VLOOKUP($A65,FY15ProjMajors!$A$3:$S$23,MATCH(Q$28,FY15ProjMajors!$A$2:$S$2,0),FALSE)</f>
        <v>68438.240227120419</v>
      </c>
      <c r="R65" s="457">
        <f>+GPpcntMjr*(VLOOKUP($A65,FY15ProjRev!$A$4:$J$24,10,FALSE))*VLOOKUP($A65,FY15ProjMajors!$A$3:$S$23,MATCH(R$28,FY15ProjMajors!$A$2:$S$2,0),FALSE)</f>
        <v>0</v>
      </c>
      <c r="S65" s="457">
        <f>+GPpcntMjr*(VLOOKUP($A65,FY15ProjRev!$A$4:$J$24,10,FALSE))*VLOOKUP($A65,FY15ProjMajors!$A$3:$S$23,MATCH(S$28,FY15ProjMajors!$A$2:$S$2,0),FALSE)</f>
        <v>3110.8291012327463</v>
      </c>
      <c r="T65" s="457">
        <f t="shared" si="6"/>
        <v>3729884.0923780631</v>
      </c>
    </row>
    <row r="66" spans="1:20" s="18" customFormat="1" ht="20.100000000000001" customHeight="1">
      <c r="A66" s="404" t="s">
        <v>149</v>
      </c>
      <c r="B66" s="440" t="s">
        <v>38</v>
      </c>
      <c r="C66" s="410">
        <f>+GPpcntMjr*(VLOOKUP($A66,FY15ProjRev!$A$4:$J$24,10,FALSE))*VLOOKUP($A66,FY15ProjMajors!$A$3:$S$23,MATCH(C$28,FY15ProjMajors!$A$2:$S$2,0),FALSE)</f>
        <v>0</v>
      </c>
      <c r="D66" s="410">
        <f>+GPpcntMjr*(VLOOKUP($A66,FY15ProjRev!$A$4:$J$24,10,FALSE))*VLOOKUP($A66,FY15ProjMajors!$A$3:$S$23,MATCH(D$28,FY15ProjMajors!$A$2:$S$2,0),FALSE)</f>
        <v>20148.768531736176</v>
      </c>
      <c r="E66" s="410">
        <f>+GPpcntMjr*(VLOOKUP($A66,FY15ProjRev!$A$4:$J$24,10,FALSE))*VLOOKUP($A66,FY15ProjMajors!$A$3:$S$23,MATCH(E$28,FY15ProjMajors!$A$2:$S$2,0),FALSE)</f>
        <v>3475662.5717244907</v>
      </c>
      <c r="F66" s="410">
        <f>+GPpcntMjr*(VLOOKUP($A66,FY15ProjRev!$A$4:$J$24,10,FALSE))*VLOOKUP($A66,FY15ProjMajors!$A$3:$S$23,MATCH(F$28,FY15ProjMajors!$A$2:$S$2,0),FALSE)</f>
        <v>0</v>
      </c>
      <c r="G66" s="410">
        <f>+GPpcntMjr*(VLOOKUP($A66,FY15ProjRev!$A$4:$J$24,10,FALSE))*VLOOKUP($A66,FY15ProjMajors!$A$3:$S$23,MATCH(G$28,FY15ProjMajors!$A$2:$S$2,0),FALSE)</f>
        <v>0</v>
      </c>
      <c r="H66" s="410">
        <f>+GPpcntMjr*(VLOOKUP($A66,FY15ProjRev!$A$4:$J$24,10,FALSE))*VLOOKUP($A66,FY15ProjMajors!$A$3:$S$23,MATCH(H$28,FY15ProjMajors!$A$2:$S$2,0),FALSE)</f>
        <v>15111.576398802134</v>
      </c>
      <c r="I66" s="410">
        <f>+GPpcntMjr*(VLOOKUP($A66,FY15ProjRev!$A$4:$J$24,10,FALSE))*VLOOKUP($A66,FY15ProjMajors!$A$3:$S$23,MATCH(I$28,FY15ProjMajors!$A$2:$S$2,0),FALSE)</f>
        <v>0</v>
      </c>
      <c r="J66" s="410">
        <f>+GPpcntMjr*(VLOOKUP($A66,FY15ProjRev!$A$4:$J$24,10,FALSE))*VLOOKUP($A66,FY15ProjMajors!$A$3:$S$23,MATCH(J$28,FY15ProjMajors!$A$2:$S$2,0),FALSE)</f>
        <v>5037.1921329340439</v>
      </c>
      <c r="K66" s="410">
        <f>+GPpcntMjr*(VLOOKUP($A66,FY15ProjRev!$A$4:$J$24,10,FALSE))*VLOOKUP($A66,FY15ProjMajors!$A$3:$S$23,MATCH(K$28,FY15ProjMajors!$A$2:$S$2,0),FALSE)</f>
        <v>0</v>
      </c>
      <c r="L66" s="410">
        <f>+GPpcntMjr*(VLOOKUP($A66,FY15ProjRev!$A$4:$J$24,10,FALSE))*VLOOKUP($A66,FY15ProjMajors!$A$3:$S$23,MATCH(L$28,FY15ProjMajors!$A$2:$S$2,0),FALSE)</f>
        <v>0</v>
      </c>
      <c r="M66" s="410">
        <f>+GPpcntMjr*(VLOOKUP($A66,FY15ProjRev!$A$4:$J$24,10,FALSE))*VLOOKUP($A66,FY15ProjMajors!$A$3:$S$23,MATCH(M$28,FY15ProjMajors!$A$2:$S$2,0),FALSE)</f>
        <v>0</v>
      </c>
      <c r="N66" s="410">
        <f>+GPpcntMjr*(VLOOKUP($A66,FY15ProjRev!$A$4:$J$24,10,FALSE))*VLOOKUP($A66,FY15ProjMajors!$A$3:$S$23,MATCH(N$28,FY15ProjMajors!$A$2:$S$2,0),FALSE)</f>
        <v>0</v>
      </c>
      <c r="O66" s="410">
        <f>+GPpcntMjr*(VLOOKUP($A66,FY15ProjRev!$A$4:$J$24,10,FALSE))*VLOOKUP($A66,FY15ProjMajors!$A$3:$S$23,MATCH(O$28,FY15ProjMajors!$A$2:$S$2,0),FALSE)</f>
        <v>0</v>
      </c>
      <c r="P66" s="410">
        <f>+GPpcntMjr*(VLOOKUP($A66,FY15ProjRev!$A$4:$J$24,10,FALSE))*VLOOKUP($A66,FY15ProjMajors!$A$3:$S$23,MATCH(P$28,FY15ProjMajors!$A$2:$S$2,0),FALSE)</f>
        <v>0</v>
      </c>
      <c r="Q66" s="410">
        <f>+GPpcntMjr*(VLOOKUP($A66,FY15ProjRev!$A$4:$J$24,10,FALSE))*VLOOKUP($A66,FY15ProjMajors!$A$3:$S$23,MATCH(Q$28,FY15ProjMajors!$A$2:$S$2,0),FALSE)</f>
        <v>0</v>
      </c>
      <c r="R66" s="410">
        <f>+GPpcntMjr*(VLOOKUP($A66,FY15ProjRev!$A$4:$J$24,10,FALSE))*VLOOKUP($A66,FY15ProjMajors!$A$3:$S$23,MATCH(R$28,FY15ProjMajors!$A$2:$S$2,0),FALSE)</f>
        <v>0</v>
      </c>
      <c r="S66" s="410">
        <f>+GPpcntMjr*(VLOOKUP($A66,FY15ProjRev!$A$4:$J$24,10,FALSE))*VLOOKUP($A66,FY15ProjMajors!$A$3:$S$23,MATCH(S$28,FY15ProjMajors!$A$2:$S$2,0),FALSE)</f>
        <v>40297.537063472351</v>
      </c>
      <c r="T66" s="410">
        <f t="shared" si="6"/>
        <v>3556257.6458514351</v>
      </c>
    </row>
    <row r="67" spans="1:20" ht="20.100000000000001" customHeight="1">
      <c r="A67" s="404" t="s">
        <v>150</v>
      </c>
      <c r="B67" s="456" t="s">
        <v>31</v>
      </c>
      <c r="C67" s="457">
        <f>+GPpcntMjr*(VLOOKUP($A67,FY15ProjRev!$A$4:$J$24,10,FALSE))*VLOOKUP($A67,FY15ProjMajors!$A$3:$S$23,MATCH(C$28,FY15ProjMajors!$A$2:$S$2,0),FALSE)</f>
        <v>0</v>
      </c>
      <c r="D67" s="457">
        <f>+GPpcntMjr*(VLOOKUP($A67,FY15ProjRev!$A$4:$J$24,10,FALSE))*VLOOKUP($A67,FY15ProjMajors!$A$3:$S$23,MATCH(D$28,FY15ProjMajors!$A$2:$S$2,0),FALSE)</f>
        <v>25408.671708923648</v>
      </c>
      <c r="E67" s="457">
        <f>+GPpcntMjr*(VLOOKUP($A67,FY15ProjRev!$A$4:$J$24,10,FALSE))*VLOOKUP($A67,FY15ProjMajors!$A$3:$S$23,MATCH(E$28,FY15ProjMajors!$A$2:$S$2,0),FALSE)</f>
        <v>55899.077759632033</v>
      </c>
      <c r="F67" s="457">
        <f>+GPpcntMjr*(VLOOKUP($A67,FY15ProjRev!$A$4:$J$24,10,FALSE))*VLOOKUP($A67,FY15ProjMajors!$A$3:$S$23,MATCH(F$28,FY15ProjMajors!$A$2:$S$2,0),FALSE)</f>
        <v>0</v>
      </c>
      <c r="G67" s="457">
        <f>+GPpcntMjr*(VLOOKUP($A67,FY15ProjRev!$A$4:$J$24,10,FALSE))*VLOOKUP($A67,FY15ProjMajors!$A$3:$S$23,MATCH(G$28,FY15ProjMajors!$A$2:$S$2,0),FALSE)</f>
        <v>20326.937367138918</v>
      </c>
      <c r="H67" s="457">
        <f>+GPpcntMjr*(VLOOKUP($A67,FY15ProjRev!$A$4:$J$24,10,FALSE))*VLOOKUP($A67,FY15ProjMajors!$A$3:$S$23,MATCH(H$28,FY15ProjMajors!$A$2:$S$2,0),FALSE)</f>
        <v>10163.468683569459</v>
      </c>
      <c r="I67" s="457">
        <f>+GPpcntMjr*(VLOOKUP($A67,FY15ProjRev!$A$4:$J$24,10,FALSE))*VLOOKUP($A67,FY15ProjMajors!$A$3:$S$23,MATCH(I$28,FY15ProjMajors!$A$2:$S$2,0),FALSE)</f>
        <v>15245.203025354191</v>
      </c>
      <c r="J67" s="457">
        <f>+GPpcntMjr*(VLOOKUP($A67,FY15ProjRev!$A$4:$J$24,10,FALSE))*VLOOKUP($A67,FY15ProjMajors!$A$3:$S$23,MATCH(J$28,FY15ProjMajors!$A$2:$S$2,0),FALSE)</f>
        <v>8115529.7438302133</v>
      </c>
      <c r="K67" s="457">
        <f>+GPpcntMjr*(VLOOKUP($A67,FY15ProjRev!$A$4:$J$24,10,FALSE))*VLOOKUP($A67,FY15ProjMajors!$A$3:$S$23,MATCH(K$28,FY15ProjMajors!$A$2:$S$2,0),FALSE)</f>
        <v>30490.406050708381</v>
      </c>
      <c r="L67" s="457">
        <f>+GPpcntMjr*(VLOOKUP($A67,FY15ProjRev!$A$4:$J$24,10,FALSE))*VLOOKUP($A67,FY15ProjMajors!$A$3:$S$23,MATCH(L$28,FY15ProjMajors!$A$2:$S$2,0),FALSE)</f>
        <v>0</v>
      </c>
      <c r="M67" s="457">
        <f>+GPpcntMjr*(VLOOKUP($A67,FY15ProjRev!$A$4:$J$24,10,FALSE))*VLOOKUP($A67,FY15ProjMajors!$A$3:$S$23,MATCH(M$28,FY15ProjMajors!$A$2:$S$2,0),FALSE)</f>
        <v>0</v>
      </c>
      <c r="N67" s="457">
        <f>+GPpcntMjr*(VLOOKUP($A67,FY15ProjRev!$A$4:$J$24,10,FALSE))*VLOOKUP($A67,FY15ProjMajors!$A$3:$S$23,MATCH(N$28,FY15ProjMajors!$A$2:$S$2,0),FALSE)</f>
        <v>0</v>
      </c>
      <c r="O67" s="457">
        <f>+GPpcntMjr*(VLOOKUP($A67,FY15ProjRev!$A$4:$J$24,10,FALSE))*VLOOKUP($A67,FY15ProjMajors!$A$3:$S$23,MATCH(O$28,FY15ProjMajors!$A$2:$S$2,0),FALSE)</f>
        <v>0</v>
      </c>
      <c r="P67" s="457">
        <f>+GPpcntMjr*(VLOOKUP($A67,FY15ProjRev!$A$4:$J$24,10,FALSE))*VLOOKUP($A67,FY15ProjMajors!$A$3:$S$23,MATCH(P$28,FY15ProjMajors!$A$2:$S$2,0),FALSE)</f>
        <v>0</v>
      </c>
      <c r="Q67" s="457">
        <f>+GPpcntMjr*(VLOOKUP($A67,FY15ProjRev!$A$4:$J$24,10,FALSE))*VLOOKUP($A67,FY15ProjMajors!$A$3:$S$23,MATCH(Q$28,FY15ProjMajors!$A$2:$S$2,0),FALSE)</f>
        <v>0</v>
      </c>
      <c r="R67" s="457">
        <f>+GPpcntMjr*(VLOOKUP($A67,FY15ProjRev!$A$4:$J$24,10,FALSE))*VLOOKUP($A67,FY15ProjMajors!$A$3:$S$23,MATCH(R$28,FY15ProjMajors!$A$2:$S$2,0),FALSE)</f>
        <v>0</v>
      </c>
      <c r="S67" s="457">
        <f>+GPpcntMjr*(VLOOKUP($A67,FY15ProjRev!$A$4:$J$24,10,FALSE))*VLOOKUP($A67,FY15ProjMajors!$A$3:$S$23,MATCH(S$28,FY15ProjMajors!$A$2:$S$2,0),FALSE)</f>
        <v>0</v>
      </c>
      <c r="T67" s="457">
        <f t="shared" si="6"/>
        <v>8273063.5084255394</v>
      </c>
    </row>
    <row r="68" spans="1:20" s="18" customFormat="1" ht="20.100000000000001" customHeight="1">
      <c r="A68" s="404" t="s">
        <v>151</v>
      </c>
      <c r="B68" s="440" t="s">
        <v>209</v>
      </c>
      <c r="C68" s="410">
        <f>+GPpcntMjr*(VLOOKUP($A68,FY15ProjRev!$A$4:$J$24,10,FALSE))*VLOOKUP($A68,FY15ProjMajors!$A$3:$S$23,MATCH(C$28,FY15ProjMajors!$A$2:$S$2,0),FALSE)</f>
        <v>0</v>
      </c>
      <c r="D68" s="410">
        <f>+GPpcntMjr*(VLOOKUP($A68,FY15ProjRev!$A$4:$J$24,10,FALSE))*VLOOKUP($A68,FY15ProjMajors!$A$3:$S$23,MATCH(D$28,FY15ProjMajors!$A$2:$S$2,0),FALSE)</f>
        <v>0</v>
      </c>
      <c r="E68" s="410">
        <f>+GPpcntMjr*(VLOOKUP($A68,FY15ProjRev!$A$4:$J$24,10,FALSE))*VLOOKUP($A68,FY15ProjMajors!$A$3:$S$23,MATCH(E$28,FY15ProjMajors!$A$2:$S$2,0),FALSE)</f>
        <v>0</v>
      </c>
      <c r="F68" s="410">
        <f>+GPpcntMjr*(VLOOKUP($A68,FY15ProjRev!$A$4:$J$24,10,FALSE))*VLOOKUP($A68,FY15ProjMajors!$A$3:$S$23,MATCH(F$28,FY15ProjMajors!$A$2:$S$2,0),FALSE)</f>
        <v>0</v>
      </c>
      <c r="G68" s="410">
        <f>+GPpcntMjr*(VLOOKUP($A68,FY15ProjRev!$A$4:$J$24,10,FALSE))*VLOOKUP($A68,FY15ProjMajors!$A$3:$S$23,MATCH(G$28,FY15ProjMajors!$A$2:$S$2,0),FALSE)</f>
        <v>0</v>
      </c>
      <c r="H68" s="410">
        <f>+GPpcntMjr*(VLOOKUP($A68,FY15ProjRev!$A$4:$J$24,10,FALSE))*VLOOKUP($A68,FY15ProjMajors!$A$3:$S$23,MATCH(H$28,FY15ProjMajors!$A$2:$S$2,0),FALSE)</f>
        <v>0</v>
      </c>
      <c r="I68" s="410">
        <f>+GPpcntMjr*(VLOOKUP($A68,FY15ProjRev!$A$4:$J$24,10,FALSE))*VLOOKUP($A68,FY15ProjMajors!$A$3:$S$23,MATCH(I$28,FY15ProjMajors!$A$2:$S$2,0),FALSE)</f>
        <v>0</v>
      </c>
      <c r="J68" s="410">
        <f>+GPpcntMjr*(VLOOKUP($A68,FY15ProjRev!$A$4:$J$24,10,FALSE))*VLOOKUP($A68,FY15ProjMajors!$A$3:$S$23,MATCH(J$28,FY15ProjMajors!$A$2:$S$2,0),FALSE)</f>
        <v>949087.89118450065</v>
      </c>
      <c r="K68" s="410">
        <f>+GPpcntMjr*(VLOOKUP($A68,FY15ProjRev!$A$4:$J$24,10,FALSE))*VLOOKUP($A68,FY15ProjMajors!$A$3:$S$23,MATCH(K$28,FY15ProjMajors!$A$2:$S$2,0),FALSE)</f>
        <v>0</v>
      </c>
      <c r="L68" s="410">
        <f>+GPpcntMjr*(VLOOKUP($A68,FY15ProjRev!$A$4:$J$24,10,FALSE))*VLOOKUP($A68,FY15ProjMajors!$A$3:$S$23,MATCH(L$28,FY15ProjMajors!$A$2:$S$2,0),FALSE)</f>
        <v>0</v>
      </c>
      <c r="M68" s="410">
        <f>+GPpcntMjr*(VLOOKUP($A68,FY15ProjRev!$A$4:$J$24,10,FALSE))*VLOOKUP($A68,FY15ProjMajors!$A$3:$S$23,MATCH(M$28,FY15ProjMajors!$A$2:$S$2,0),FALSE)</f>
        <v>0</v>
      </c>
      <c r="N68" s="410">
        <f>+GPpcntMjr*(VLOOKUP($A68,FY15ProjRev!$A$4:$J$24,10,FALSE))*VLOOKUP($A68,FY15ProjMajors!$A$3:$S$23,MATCH(N$28,FY15ProjMajors!$A$2:$S$2,0),FALSE)</f>
        <v>0</v>
      </c>
      <c r="O68" s="410">
        <f>+GPpcntMjr*(VLOOKUP($A68,FY15ProjRev!$A$4:$J$24,10,FALSE))*VLOOKUP($A68,FY15ProjMajors!$A$3:$S$23,MATCH(O$28,FY15ProjMajors!$A$2:$S$2,0),FALSE)</f>
        <v>0</v>
      </c>
      <c r="P68" s="410">
        <f>+GPpcntMjr*(VLOOKUP($A68,FY15ProjRev!$A$4:$J$24,10,FALSE))*VLOOKUP($A68,FY15ProjMajors!$A$3:$S$23,MATCH(P$28,FY15ProjMajors!$A$2:$S$2,0),FALSE)</f>
        <v>0</v>
      </c>
      <c r="Q68" s="410">
        <f>+GPpcntMjr*(VLOOKUP($A68,FY15ProjRev!$A$4:$J$24,10,FALSE))*VLOOKUP($A68,FY15ProjMajors!$A$3:$S$23,MATCH(Q$28,FY15ProjMajors!$A$2:$S$2,0),FALSE)</f>
        <v>0</v>
      </c>
      <c r="R68" s="410">
        <f>+GPpcntMjr*(VLOOKUP($A68,FY15ProjRev!$A$4:$J$24,10,FALSE))*VLOOKUP($A68,FY15ProjMajors!$A$3:$S$23,MATCH(R$28,FY15ProjMajors!$A$2:$S$2,0),FALSE)</f>
        <v>0</v>
      </c>
      <c r="S68" s="410">
        <f>+GPpcntMjr*(VLOOKUP($A68,FY15ProjRev!$A$4:$J$24,10,FALSE))*VLOOKUP($A68,FY15ProjMajors!$A$3:$S$23,MATCH(S$28,FY15ProjMajors!$A$2:$S$2,0),FALSE)</f>
        <v>0</v>
      </c>
      <c r="T68" s="410">
        <f t="shared" si="6"/>
        <v>949087.89118450065</v>
      </c>
    </row>
    <row r="69" spans="1:20" ht="20.100000000000001" customHeight="1">
      <c r="A69" s="404" t="s">
        <v>153</v>
      </c>
      <c r="B69" s="456" t="s">
        <v>100</v>
      </c>
      <c r="C69" s="457">
        <f>+GPpcntMjr*(VLOOKUP($A69,FY15ProjRev!$A$4:$J$24,10,FALSE))*VLOOKUP($A69,FY15ProjMajors!$A$3:$S$23,MATCH(C$28,FY15ProjMajors!$A$2:$S$2,0),FALSE)</f>
        <v>0</v>
      </c>
      <c r="D69" s="457">
        <f>+GPpcntMjr*(VLOOKUP($A69,FY15ProjRev!$A$4:$J$24,10,FALSE))*VLOOKUP($A69,FY15ProjMajors!$A$3:$S$23,MATCH(D$28,FY15ProjMajors!$A$2:$S$2,0),FALSE)</f>
        <v>0</v>
      </c>
      <c r="E69" s="457">
        <f>+GPpcntMjr*(VLOOKUP($A69,FY15ProjRev!$A$4:$J$24,10,FALSE))*VLOOKUP($A69,FY15ProjMajors!$A$3:$S$23,MATCH(E$28,FY15ProjMajors!$A$2:$S$2,0),FALSE)</f>
        <v>0</v>
      </c>
      <c r="F69" s="457">
        <f>+GPpcntMjr*(VLOOKUP($A69,FY15ProjRev!$A$4:$J$24,10,FALSE))*VLOOKUP($A69,FY15ProjMajors!$A$3:$S$23,MATCH(F$28,FY15ProjMajors!$A$2:$S$2,0),FALSE)</f>
        <v>0</v>
      </c>
      <c r="G69" s="457">
        <f>+GPpcntMjr*(VLOOKUP($A69,FY15ProjRev!$A$4:$J$24,10,FALSE))*VLOOKUP($A69,FY15ProjMajors!$A$3:$S$23,MATCH(G$28,FY15ProjMajors!$A$2:$S$2,0),FALSE)</f>
        <v>0</v>
      </c>
      <c r="H69" s="457">
        <f>+GPpcntMjr*(VLOOKUP($A69,FY15ProjRev!$A$4:$J$24,10,FALSE))*VLOOKUP($A69,FY15ProjMajors!$A$3:$S$23,MATCH(H$28,FY15ProjMajors!$A$2:$S$2,0),FALSE)</f>
        <v>0</v>
      </c>
      <c r="I69" s="457">
        <f>+GPpcntMjr*(VLOOKUP($A69,FY15ProjRev!$A$4:$J$24,10,FALSE))*VLOOKUP($A69,FY15ProjMajors!$A$3:$S$23,MATCH(I$28,FY15ProjMajors!$A$2:$S$2,0),FALSE)</f>
        <v>0</v>
      </c>
      <c r="J69" s="457">
        <f>+GPpcntMjr*(VLOOKUP($A69,FY15ProjRev!$A$4:$J$24,10,FALSE))*VLOOKUP($A69,FY15ProjMajors!$A$3:$S$23,MATCH(J$28,FY15ProjMajors!$A$2:$S$2,0),FALSE)</f>
        <v>0</v>
      </c>
      <c r="K69" s="457">
        <f>+GPpcntMjr*(VLOOKUP($A69,FY15ProjRev!$A$4:$J$24,10,FALSE))*VLOOKUP($A69,FY15ProjMajors!$A$3:$S$23,MATCH(K$28,FY15ProjMajors!$A$2:$S$2,0),FALSE)</f>
        <v>0</v>
      </c>
      <c r="L69" s="457">
        <f>+GPpcntMjr*(VLOOKUP($A69,FY15ProjRev!$A$4:$J$24,10,FALSE))*VLOOKUP($A69,FY15ProjMajors!$A$3:$S$23,MATCH(L$28,FY15ProjMajors!$A$2:$S$2,0),FALSE)</f>
        <v>0</v>
      </c>
      <c r="M69" s="457">
        <f>+GPpcntMjr*(VLOOKUP($A69,FY15ProjRev!$A$4:$J$24,10,FALSE))*VLOOKUP($A69,FY15ProjMajors!$A$3:$S$23,MATCH(M$28,FY15ProjMajors!$A$2:$S$2,0),FALSE)</f>
        <v>0</v>
      </c>
      <c r="N69" s="457">
        <f>+GPpcntMjr*(VLOOKUP($A69,FY15ProjRev!$A$4:$J$24,10,FALSE))*VLOOKUP($A69,FY15ProjMajors!$A$3:$S$23,MATCH(N$28,FY15ProjMajors!$A$2:$S$2,0),FALSE)</f>
        <v>0</v>
      </c>
      <c r="O69" s="457">
        <f>+GPpcntMjr*(VLOOKUP($A69,FY15ProjRev!$A$4:$J$24,10,FALSE))*VLOOKUP($A69,FY15ProjMajors!$A$3:$S$23,MATCH(O$28,FY15ProjMajors!$A$2:$S$2,0),FALSE)</f>
        <v>877735.47314381786</v>
      </c>
      <c r="P69" s="457">
        <f>+GPpcntMjr*(VLOOKUP($A69,FY15ProjRev!$A$4:$J$24,10,FALSE))*VLOOKUP($A69,FY15ProjMajors!$A$3:$S$23,MATCH(P$28,FY15ProjMajors!$A$2:$S$2,0),FALSE)</f>
        <v>0</v>
      </c>
      <c r="Q69" s="457">
        <f>+GPpcntMjr*(VLOOKUP($A69,FY15ProjRev!$A$4:$J$24,10,FALSE))*VLOOKUP($A69,FY15ProjMajors!$A$3:$S$23,MATCH(Q$28,FY15ProjMajors!$A$2:$S$2,0),FALSE)</f>
        <v>8052.6190196680518</v>
      </c>
      <c r="R69" s="457">
        <f>+GPpcntMjr*(VLOOKUP($A69,FY15ProjRev!$A$4:$J$24,10,FALSE))*VLOOKUP($A69,FY15ProjMajors!$A$3:$S$23,MATCH(R$28,FY15ProjMajors!$A$2:$S$2,0),FALSE)</f>
        <v>0</v>
      </c>
      <c r="S69" s="457">
        <f>+GPpcntMjr*(VLOOKUP($A69,FY15ProjRev!$A$4:$J$24,10,FALSE))*VLOOKUP($A69,FY15ProjMajors!$A$3:$S$23,MATCH(S$28,FY15ProjMajors!$A$2:$S$2,0),FALSE)</f>
        <v>0</v>
      </c>
      <c r="T69" s="457">
        <f t="shared" si="6"/>
        <v>885788.09216348594</v>
      </c>
    </row>
    <row r="70" spans="1:20" s="18" customFormat="1" ht="20.100000000000001" customHeight="1">
      <c r="A70" s="404" t="s">
        <v>155</v>
      </c>
      <c r="B70" s="440" t="s">
        <v>42</v>
      </c>
      <c r="C70" s="410">
        <f>+GPpcntMjr*(VLOOKUP($A70,FY15ProjRev!$A$4:$J$24,10,FALSE))*VLOOKUP($A70,FY15ProjMajors!$A$3:$S$23,MATCH(C$28,FY15ProjMajors!$A$2:$S$2,0),FALSE)</f>
        <v>0</v>
      </c>
      <c r="D70" s="410">
        <f>+GPpcntMjr*(VLOOKUP($A70,FY15ProjRev!$A$4:$J$24,10,FALSE))*VLOOKUP($A70,FY15ProjMajors!$A$3:$S$23,MATCH(D$28,FY15ProjMajors!$A$2:$S$2,0),FALSE)</f>
        <v>0</v>
      </c>
      <c r="E70" s="410">
        <f>+GPpcntMjr*(VLOOKUP($A70,FY15ProjRev!$A$4:$J$24,10,FALSE))*VLOOKUP($A70,FY15ProjMajors!$A$3:$S$23,MATCH(E$28,FY15ProjMajors!$A$2:$S$2,0),FALSE)</f>
        <v>0</v>
      </c>
      <c r="F70" s="410">
        <f>+GPpcntMjr*(VLOOKUP($A70,FY15ProjRev!$A$4:$J$24,10,FALSE))*VLOOKUP($A70,FY15ProjMajors!$A$3:$S$23,MATCH(F$28,FY15ProjMajors!$A$2:$S$2,0),FALSE)</f>
        <v>0</v>
      </c>
      <c r="G70" s="410">
        <f>+GPpcntMjr*(VLOOKUP($A70,FY15ProjRev!$A$4:$J$24,10,FALSE))*VLOOKUP($A70,FY15ProjMajors!$A$3:$S$23,MATCH(G$28,FY15ProjMajors!$A$2:$S$2,0),FALSE)</f>
        <v>0</v>
      </c>
      <c r="H70" s="410">
        <f>+GPpcntMjr*(VLOOKUP($A70,FY15ProjRev!$A$4:$J$24,10,FALSE))*VLOOKUP($A70,FY15ProjMajors!$A$3:$S$23,MATCH(H$28,FY15ProjMajors!$A$2:$S$2,0),FALSE)</f>
        <v>0</v>
      </c>
      <c r="I70" s="410">
        <f>+GPpcntMjr*(VLOOKUP($A70,FY15ProjRev!$A$4:$J$24,10,FALSE))*VLOOKUP($A70,FY15ProjMajors!$A$3:$S$23,MATCH(I$28,FY15ProjMajors!$A$2:$S$2,0),FALSE)</f>
        <v>0</v>
      </c>
      <c r="J70" s="410">
        <f>+GPpcntMjr*(VLOOKUP($A70,FY15ProjRev!$A$4:$J$24,10,FALSE))*VLOOKUP($A70,FY15ProjMajors!$A$3:$S$23,MATCH(J$28,FY15ProjMajors!$A$2:$S$2,0),FALSE)</f>
        <v>0</v>
      </c>
      <c r="K70" s="410">
        <f>+GPpcntMjr*(VLOOKUP($A70,FY15ProjRev!$A$4:$J$24,10,FALSE))*VLOOKUP($A70,FY15ProjMajors!$A$3:$S$23,MATCH(K$28,FY15ProjMajors!$A$2:$S$2,0),FALSE)</f>
        <v>0</v>
      </c>
      <c r="L70" s="410">
        <f>+GPpcntMjr*(VLOOKUP($A70,FY15ProjRev!$A$4:$J$24,10,FALSE))*VLOOKUP($A70,FY15ProjMajors!$A$3:$S$23,MATCH(L$28,FY15ProjMajors!$A$2:$S$2,0),FALSE)</f>
        <v>0</v>
      </c>
      <c r="M70" s="410">
        <f>+GPpcntMjr*(VLOOKUP($A70,FY15ProjRev!$A$4:$J$24,10,FALSE))*VLOOKUP($A70,FY15ProjMajors!$A$3:$S$23,MATCH(M$28,FY15ProjMajors!$A$2:$S$2,0),FALSE)</f>
        <v>0</v>
      </c>
      <c r="N70" s="410">
        <f>+GPpcntMjr*(VLOOKUP($A70,FY15ProjRev!$A$4:$J$24,10,FALSE))*VLOOKUP($A70,FY15ProjMajors!$A$3:$S$23,MATCH(N$28,FY15ProjMajors!$A$2:$S$2,0),FALSE)</f>
        <v>0</v>
      </c>
      <c r="O70" s="410">
        <f>+GPpcntMjr*(VLOOKUP($A70,FY15ProjRev!$A$4:$J$24,10,FALSE))*VLOOKUP($A70,FY15ProjMajors!$A$3:$S$23,MATCH(O$28,FY15ProjMajors!$A$2:$S$2,0),FALSE)</f>
        <v>0</v>
      </c>
      <c r="P70" s="410">
        <f>+GPpcntMjr*(VLOOKUP($A70,FY15ProjRev!$A$4:$J$24,10,FALSE))*VLOOKUP($A70,FY15ProjMajors!$A$3:$S$23,MATCH(P$28,FY15ProjMajors!$A$2:$S$2,0),FALSE)</f>
        <v>5408972.0272991285</v>
      </c>
      <c r="Q70" s="410">
        <f>+GPpcntMjr*(VLOOKUP($A70,FY15ProjRev!$A$4:$J$24,10,FALSE))*VLOOKUP($A70,FY15ProjMajors!$A$3:$S$23,MATCH(Q$28,FY15ProjMajors!$A$2:$S$2,0),FALSE)</f>
        <v>0</v>
      </c>
      <c r="R70" s="410">
        <f>+GPpcntMjr*(VLOOKUP($A70,FY15ProjRev!$A$4:$J$24,10,FALSE))*VLOOKUP($A70,FY15ProjMajors!$A$3:$S$23,MATCH(R$28,FY15ProjMajors!$A$2:$S$2,0),FALSE)</f>
        <v>0</v>
      </c>
      <c r="S70" s="410">
        <f>+GPpcntMjr*(VLOOKUP($A70,FY15ProjRev!$A$4:$J$24,10,FALSE))*VLOOKUP($A70,FY15ProjMajors!$A$3:$S$23,MATCH(S$28,FY15ProjMajors!$A$2:$S$2,0),FALSE)</f>
        <v>0</v>
      </c>
      <c r="T70" s="410">
        <f t="shared" si="6"/>
        <v>5408972.0272991285</v>
      </c>
    </row>
    <row r="71" spans="1:20" ht="20.100000000000001" customHeight="1">
      <c r="A71" s="404" t="s">
        <v>162</v>
      </c>
      <c r="B71" s="456" t="s">
        <v>76</v>
      </c>
      <c r="C71" s="457">
        <f>+GPpcntMjr*(VLOOKUP($A71,FY15ProjRev!$A$4:$J$24,10,FALSE))*VLOOKUP($A71,FY15ProjMajors!$A$3:$S$23,MATCH(C$28,FY15ProjMajors!$A$2:$S$2,0),FALSE)</f>
        <v>0</v>
      </c>
      <c r="D71" s="457">
        <f>+GPpcntMjr*(VLOOKUP($A71,FY15ProjRev!$A$4:$J$24,10,FALSE))*VLOOKUP($A71,FY15ProjMajors!$A$3:$S$23,MATCH(D$28,FY15ProjMajors!$A$2:$S$2,0),FALSE)</f>
        <v>0</v>
      </c>
      <c r="E71" s="457">
        <f>+GPpcntMjr*(VLOOKUP($A71,FY15ProjRev!$A$4:$J$24,10,FALSE))*VLOOKUP($A71,FY15ProjMajors!$A$3:$S$23,MATCH(E$28,FY15ProjMajors!$A$2:$S$2,0),FALSE)</f>
        <v>0</v>
      </c>
      <c r="F71" s="457">
        <f>+GPpcntMjr*(VLOOKUP($A71,FY15ProjRev!$A$4:$J$24,10,FALSE))*VLOOKUP($A71,FY15ProjMajors!$A$3:$S$23,MATCH(F$28,FY15ProjMajors!$A$2:$S$2,0),FALSE)</f>
        <v>0</v>
      </c>
      <c r="G71" s="457">
        <f>+GPpcntMjr*(VLOOKUP($A71,FY15ProjRev!$A$4:$J$24,10,FALSE))*VLOOKUP($A71,FY15ProjMajors!$A$3:$S$23,MATCH(G$28,FY15ProjMajors!$A$2:$S$2,0),FALSE)</f>
        <v>27193.841262460686</v>
      </c>
      <c r="H71" s="457">
        <f>+GPpcntMjr*(VLOOKUP($A71,FY15ProjRev!$A$4:$J$24,10,FALSE))*VLOOKUP($A71,FY15ProjMajors!$A$3:$S$23,MATCH(H$28,FY15ProjMajors!$A$2:$S$2,0),FALSE)</f>
        <v>0</v>
      </c>
      <c r="I71" s="457">
        <f>+GPpcntMjr*(VLOOKUP($A71,FY15ProjRev!$A$4:$J$24,10,FALSE))*VLOOKUP($A71,FY15ProjMajors!$A$3:$S$23,MATCH(I$28,FY15ProjMajors!$A$2:$S$2,0),FALSE)</f>
        <v>0</v>
      </c>
      <c r="J71" s="457">
        <f>+GPpcntMjr*(VLOOKUP($A71,FY15ProjRev!$A$4:$J$24,10,FALSE))*VLOOKUP($A71,FY15ProjMajors!$A$3:$S$23,MATCH(J$28,FY15ProjMajors!$A$2:$S$2,0),FALSE)</f>
        <v>0</v>
      </c>
      <c r="K71" s="457">
        <f>+GPpcntMjr*(VLOOKUP($A71,FY15ProjRev!$A$4:$J$24,10,FALSE))*VLOOKUP($A71,FY15ProjMajors!$A$3:$S$23,MATCH(K$28,FY15ProjMajors!$A$2:$S$2,0),FALSE)</f>
        <v>0</v>
      </c>
      <c r="L71" s="457">
        <f>+GPpcntMjr*(VLOOKUP($A71,FY15ProjRev!$A$4:$J$24,10,FALSE))*VLOOKUP($A71,FY15ProjMajors!$A$3:$S$23,MATCH(L$28,FY15ProjMajors!$A$2:$S$2,0),FALSE)</f>
        <v>0</v>
      </c>
      <c r="M71" s="457">
        <f>+GPpcntMjr*(VLOOKUP($A71,FY15ProjRev!$A$4:$J$24,10,FALSE))*VLOOKUP($A71,FY15ProjMajors!$A$3:$S$23,MATCH(M$28,FY15ProjMajors!$A$2:$S$2,0),FALSE)</f>
        <v>0</v>
      </c>
      <c r="N71" s="457">
        <f>+GPpcntMjr*(VLOOKUP($A71,FY15ProjRev!$A$4:$J$24,10,FALSE))*VLOOKUP($A71,FY15ProjMajors!$A$3:$S$23,MATCH(N$28,FY15ProjMajors!$A$2:$S$2,0),FALSE)</f>
        <v>10401644.282891212</v>
      </c>
      <c r="O71" s="457">
        <f>+GPpcntMjr*(VLOOKUP($A71,FY15ProjRev!$A$4:$J$24,10,FALSE))*VLOOKUP($A71,FY15ProjMajors!$A$3:$S$23,MATCH(O$28,FY15ProjMajors!$A$2:$S$2,0),FALSE)</f>
        <v>0</v>
      </c>
      <c r="P71" s="457">
        <f>+GPpcntMjr*(VLOOKUP($A71,FY15ProjRev!$A$4:$J$24,10,FALSE))*VLOOKUP($A71,FY15ProjMajors!$A$3:$S$23,MATCH(P$28,FY15ProjMajors!$A$2:$S$2,0),FALSE)</f>
        <v>0</v>
      </c>
      <c r="Q71" s="457">
        <f>+GPpcntMjr*(VLOOKUP($A71,FY15ProjRev!$A$4:$J$24,10,FALSE))*VLOOKUP($A71,FY15ProjMajors!$A$3:$S$23,MATCH(Q$28,FY15ProjMajors!$A$2:$S$2,0),FALSE)</f>
        <v>131436.89943522666</v>
      </c>
      <c r="R71" s="457">
        <f>+GPpcntMjr*(VLOOKUP($A71,FY15ProjRev!$A$4:$J$24,10,FALSE))*VLOOKUP($A71,FY15ProjMajors!$A$3:$S$23,MATCH(R$28,FY15ProjMajors!$A$2:$S$2,0),FALSE)</f>
        <v>0</v>
      </c>
      <c r="S71" s="457">
        <f>+GPpcntMjr*(VLOOKUP($A71,FY15ProjRev!$A$4:$J$24,10,FALSE))*VLOOKUP($A71,FY15ProjMajors!$A$3:$S$23,MATCH(S$28,FY15ProjMajors!$A$2:$S$2,0),FALSE)</f>
        <v>81581.523787382059</v>
      </c>
      <c r="T71" s="457">
        <f t="shared" si="6"/>
        <v>10641856.547376283</v>
      </c>
    </row>
    <row r="72" spans="1:20" s="18" customFormat="1" ht="20.100000000000001" customHeight="1">
      <c r="A72" s="404" t="s">
        <v>156</v>
      </c>
      <c r="B72" s="440" t="s">
        <v>77</v>
      </c>
      <c r="C72" s="410">
        <f>+GPpcntMjr*(VLOOKUP($A72,FY15ProjRev!$A$4:$J$24,10,FALSE))*VLOOKUP($A72,FY15ProjMajors!$A$3:$S$23,MATCH(C$28,FY15ProjMajors!$A$2:$S$2,0),FALSE)</f>
        <v>0</v>
      </c>
      <c r="D72" s="410">
        <f>+GPpcntMjr*(VLOOKUP($A72,FY15ProjRev!$A$4:$J$24,10,FALSE))*VLOOKUP($A72,FY15ProjMajors!$A$3:$S$23,MATCH(D$28,FY15ProjMajors!$A$2:$S$2,0),FALSE)</f>
        <v>0</v>
      </c>
      <c r="E72" s="410">
        <f>+GPpcntMjr*(VLOOKUP($A72,FY15ProjRev!$A$4:$J$24,10,FALSE))*VLOOKUP($A72,FY15ProjMajors!$A$3:$S$23,MATCH(E$28,FY15ProjMajors!$A$2:$S$2,0),FALSE)</f>
        <v>0</v>
      </c>
      <c r="F72" s="410">
        <f>+GPpcntMjr*(VLOOKUP($A72,FY15ProjRev!$A$4:$J$24,10,FALSE))*VLOOKUP($A72,FY15ProjMajors!$A$3:$S$23,MATCH(F$28,FY15ProjMajors!$A$2:$S$2,0),FALSE)</f>
        <v>0</v>
      </c>
      <c r="G72" s="410">
        <f>+GPpcntMjr*(VLOOKUP($A72,FY15ProjRev!$A$4:$J$24,10,FALSE))*VLOOKUP($A72,FY15ProjMajors!$A$3:$S$23,MATCH(G$28,FY15ProjMajors!$A$2:$S$2,0),FALSE)</f>
        <v>0</v>
      </c>
      <c r="H72" s="410">
        <f>+GPpcntMjr*(VLOOKUP($A72,FY15ProjRev!$A$4:$J$24,10,FALSE))*VLOOKUP($A72,FY15ProjMajors!$A$3:$S$23,MATCH(H$28,FY15ProjMajors!$A$2:$S$2,0),FALSE)</f>
        <v>0</v>
      </c>
      <c r="I72" s="410">
        <f>+GPpcntMjr*(VLOOKUP($A72,FY15ProjRev!$A$4:$J$24,10,FALSE))*VLOOKUP($A72,FY15ProjMajors!$A$3:$S$23,MATCH(I$28,FY15ProjMajors!$A$2:$S$2,0),FALSE)</f>
        <v>0</v>
      </c>
      <c r="J72" s="410">
        <f>+GPpcntMjr*(VLOOKUP($A72,FY15ProjRev!$A$4:$J$24,10,FALSE))*VLOOKUP($A72,FY15ProjMajors!$A$3:$S$23,MATCH(J$28,FY15ProjMajors!$A$2:$S$2,0),FALSE)</f>
        <v>0</v>
      </c>
      <c r="K72" s="410">
        <f>+GPpcntMjr*(VLOOKUP($A72,FY15ProjRev!$A$4:$J$24,10,FALSE))*VLOOKUP($A72,FY15ProjMajors!$A$3:$S$23,MATCH(K$28,FY15ProjMajors!$A$2:$S$2,0),FALSE)</f>
        <v>0</v>
      </c>
      <c r="L72" s="410">
        <f>+GPpcntMjr*(VLOOKUP($A72,FY15ProjRev!$A$4:$J$24,10,FALSE))*VLOOKUP($A72,FY15ProjMajors!$A$3:$S$23,MATCH(L$28,FY15ProjMajors!$A$2:$S$2,0),FALSE)</f>
        <v>0</v>
      </c>
      <c r="M72" s="410">
        <f>+GPpcntMjr*(VLOOKUP($A72,FY15ProjRev!$A$4:$J$24,10,FALSE))*VLOOKUP($A72,FY15ProjMajors!$A$3:$S$23,MATCH(M$28,FY15ProjMajors!$A$2:$S$2,0),FALSE)</f>
        <v>4476678.7493744064</v>
      </c>
      <c r="N72" s="410">
        <f>+GPpcntMjr*(VLOOKUP($A72,FY15ProjRev!$A$4:$J$24,10,FALSE))*VLOOKUP($A72,FY15ProjMajors!$A$3:$S$23,MATCH(N$28,FY15ProjMajors!$A$2:$S$2,0),FALSE)</f>
        <v>0</v>
      </c>
      <c r="O72" s="410">
        <f>+GPpcntMjr*(VLOOKUP($A72,FY15ProjRev!$A$4:$J$24,10,FALSE))*VLOOKUP($A72,FY15ProjMajors!$A$3:$S$23,MATCH(O$28,FY15ProjMajors!$A$2:$S$2,0),FALSE)</f>
        <v>0</v>
      </c>
      <c r="P72" s="410">
        <f>+GPpcntMjr*(VLOOKUP($A72,FY15ProjRev!$A$4:$J$24,10,FALSE))*VLOOKUP($A72,FY15ProjMajors!$A$3:$S$23,MATCH(P$28,FY15ProjMajors!$A$2:$S$2,0),FALSE)</f>
        <v>0</v>
      </c>
      <c r="Q72" s="410">
        <f>+GPpcntMjr*(VLOOKUP($A72,FY15ProjRev!$A$4:$J$24,10,FALSE))*VLOOKUP($A72,FY15ProjMajors!$A$3:$S$23,MATCH(Q$28,FY15ProjMajors!$A$2:$S$2,0),FALSE)</f>
        <v>0</v>
      </c>
      <c r="R72" s="410">
        <f>+GPpcntMjr*(VLOOKUP($A72,FY15ProjRev!$A$4:$J$24,10,FALSE))*VLOOKUP($A72,FY15ProjMajors!$A$3:$S$23,MATCH(R$28,FY15ProjMajors!$A$2:$S$2,0),FALSE)</f>
        <v>0</v>
      </c>
      <c r="S72" s="410">
        <f>+GPpcntMjr*(VLOOKUP($A72,FY15ProjRev!$A$4:$J$24,10,FALSE))*VLOOKUP($A72,FY15ProjMajors!$A$3:$S$23,MATCH(S$28,FY15ProjMajors!$A$2:$S$2,0),FALSE)</f>
        <v>0</v>
      </c>
      <c r="T72" s="410">
        <f t="shared" si="6"/>
        <v>4476678.7493744064</v>
      </c>
    </row>
    <row r="73" spans="1:20" ht="20.100000000000001" customHeight="1">
      <c r="A73" s="406" t="s">
        <v>163</v>
      </c>
      <c r="B73" s="458" t="s">
        <v>164</v>
      </c>
      <c r="C73" s="457">
        <f>+GPpcntMjr*(VLOOKUP($A73,FY15ProjRev!$A$4:$J$24,10,FALSE))*VLOOKUP($A73,FY15ProjMajors!$A$3:$S$23,MATCH(C$28,FY15ProjMajors!$A$2:$S$2,0),FALSE)</f>
        <v>0</v>
      </c>
      <c r="D73" s="457">
        <f>+GPpcntMjr*(VLOOKUP($A73,FY15ProjRev!$A$4:$J$24,10,FALSE))*VLOOKUP($A73,FY15ProjMajors!$A$3:$S$23,MATCH(D$28,FY15ProjMajors!$A$2:$S$2,0),FALSE)</f>
        <v>0</v>
      </c>
      <c r="E73" s="457">
        <f>+GPpcntMjr*(VLOOKUP($A73,FY15ProjRev!$A$4:$J$24,10,FALSE))*VLOOKUP($A73,FY15ProjMajors!$A$3:$S$23,MATCH(E$28,FY15ProjMajors!$A$2:$S$2,0),FALSE)</f>
        <v>0</v>
      </c>
      <c r="F73" s="457">
        <f>+GPpcntMjr*(VLOOKUP($A73,FY15ProjRev!$A$4:$J$24,10,FALSE))*VLOOKUP($A73,FY15ProjMajors!$A$3:$S$23,MATCH(F$28,FY15ProjMajors!$A$2:$S$2,0),FALSE)</f>
        <v>0</v>
      </c>
      <c r="G73" s="457">
        <f>+GPpcntMjr*(VLOOKUP($A73,FY15ProjRev!$A$4:$J$24,10,FALSE))*VLOOKUP($A73,FY15ProjMajors!$A$3:$S$23,MATCH(G$28,FY15ProjMajors!$A$2:$S$2,0),FALSE)</f>
        <v>0</v>
      </c>
      <c r="H73" s="457">
        <f>+GPpcntMjr*(VLOOKUP($A73,FY15ProjRev!$A$4:$J$24,10,FALSE))*VLOOKUP($A73,FY15ProjMajors!$A$3:$S$23,MATCH(H$28,FY15ProjMajors!$A$2:$S$2,0),FALSE)</f>
        <v>0</v>
      </c>
      <c r="I73" s="457">
        <f>+GPpcntMjr*(VLOOKUP($A73,FY15ProjRev!$A$4:$J$24,10,FALSE))*VLOOKUP($A73,FY15ProjMajors!$A$3:$S$23,MATCH(I$28,FY15ProjMajors!$A$2:$S$2,0),FALSE)</f>
        <v>0</v>
      </c>
      <c r="J73" s="457">
        <f>+GPpcntMjr*(VLOOKUP($A73,FY15ProjRev!$A$4:$J$24,10,FALSE))*VLOOKUP($A73,FY15ProjMajors!$A$3:$S$23,MATCH(J$28,FY15ProjMajors!$A$2:$S$2,0),FALSE)</f>
        <v>0</v>
      </c>
      <c r="K73" s="457">
        <f>+GPpcntMjr*(VLOOKUP($A73,FY15ProjRev!$A$4:$J$24,10,FALSE))*VLOOKUP($A73,FY15ProjMajors!$A$3:$S$23,MATCH(K$28,FY15ProjMajors!$A$2:$S$2,0),FALSE)</f>
        <v>0</v>
      </c>
      <c r="L73" s="457">
        <f>+GPpcntMjr*(VLOOKUP($A73,FY15ProjRev!$A$4:$J$24,10,FALSE))*VLOOKUP($A73,FY15ProjMajors!$A$3:$S$23,MATCH(L$28,FY15ProjMajors!$A$2:$S$2,0),FALSE)</f>
        <v>0</v>
      </c>
      <c r="M73" s="457">
        <f>+GPpcntMjr*(VLOOKUP($A73,FY15ProjRev!$A$4:$J$24,10,FALSE))*VLOOKUP($A73,FY15ProjMajors!$A$3:$S$23,MATCH(M$28,FY15ProjMajors!$A$2:$S$2,0),FALSE)</f>
        <v>748018.90381618415</v>
      </c>
      <c r="N73" s="457">
        <f>+GPpcntMjr*(VLOOKUP($A73,FY15ProjRev!$A$4:$J$24,10,FALSE))*VLOOKUP($A73,FY15ProjMajors!$A$3:$S$23,MATCH(N$28,FY15ProjMajors!$A$2:$S$2,0),FALSE)</f>
        <v>0</v>
      </c>
      <c r="O73" s="457">
        <f>+GPpcntMjr*(VLOOKUP($A73,FY15ProjRev!$A$4:$J$24,10,FALSE))*VLOOKUP($A73,FY15ProjMajors!$A$3:$S$23,MATCH(O$28,FY15ProjMajors!$A$2:$S$2,0),FALSE)</f>
        <v>0</v>
      </c>
      <c r="P73" s="457">
        <f>+GPpcntMjr*(VLOOKUP($A73,FY15ProjRev!$A$4:$J$24,10,FALSE))*VLOOKUP($A73,FY15ProjMajors!$A$3:$S$23,MATCH(P$28,FY15ProjMajors!$A$2:$S$2,0),FALSE)</f>
        <v>0</v>
      </c>
      <c r="Q73" s="457">
        <f>+GPpcntMjr*(VLOOKUP($A73,FY15ProjRev!$A$4:$J$24,10,FALSE))*VLOOKUP($A73,FY15ProjMajors!$A$3:$S$23,MATCH(Q$28,FY15ProjMajors!$A$2:$S$2,0),FALSE)</f>
        <v>0</v>
      </c>
      <c r="R73" s="457">
        <f>+GPpcntMjr*(VLOOKUP($A73,FY15ProjRev!$A$4:$J$24,10,FALSE))*VLOOKUP($A73,FY15ProjMajors!$A$3:$S$23,MATCH(R$28,FY15ProjMajors!$A$2:$S$2,0),FALSE)</f>
        <v>0</v>
      </c>
      <c r="S73" s="457">
        <f>+GPpcntMjr*(VLOOKUP($A73,FY15ProjRev!$A$4:$J$24,10,FALSE))*VLOOKUP($A73,FY15ProjMajors!$A$3:$S$23,MATCH(S$28,FY15ProjMajors!$A$2:$S$2,0),FALSE)</f>
        <v>0</v>
      </c>
      <c r="T73" s="457">
        <f t="shared" si="6"/>
        <v>748018.90381618415</v>
      </c>
    </row>
    <row r="74" spans="1:20" ht="20.100000000000001" customHeight="1">
      <c r="B74" s="459" t="s">
        <v>17</v>
      </c>
      <c r="C74" s="460">
        <f t="shared" ref="C74:S74" si="7">SUM(C53:C73)</f>
        <v>5042000.8358446835</v>
      </c>
      <c r="D74" s="460">
        <f t="shared" si="7"/>
        <v>81977851.358515829</v>
      </c>
      <c r="E74" s="460">
        <f t="shared" si="7"/>
        <v>13738955.540188355</v>
      </c>
      <c r="F74" s="460">
        <f t="shared" si="7"/>
        <v>4716702.6993742464</v>
      </c>
      <c r="G74" s="460">
        <f t="shared" si="7"/>
        <v>16918817.700388875</v>
      </c>
      <c r="H74" s="460">
        <f t="shared" si="7"/>
        <v>6495976.4798230808</v>
      </c>
      <c r="I74" s="460">
        <f t="shared" si="7"/>
        <v>1517623.8160414537</v>
      </c>
      <c r="J74" s="460">
        <f t="shared" si="7"/>
        <v>9107844.1643122043</v>
      </c>
      <c r="K74" s="460">
        <f t="shared" si="7"/>
        <v>3328055.2157595758</v>
      </c>
      <c r="L74" s="460">
        <f t="shared" si="7"/>
        <v>2975106.8175822184</v>
      </c>
      <c r="M74" s="460">
        <f t="shared" si="7"/>
        <v>5224697.6531905904</v>
      </c>
      <c r="N74" s="460">
        <f t="shared" si="7"/>
        <v>14945512.759388443</v>
      </c>
      <c r="O74" s="460">
        <f t="shared" si="7"/>
        <v>2880673.1356898365</v>
      </c>
      <c r="P74" s="460">
        <f t="shared" si="7"/>
        <v>5640650.4804674787</v>
      </c>
      <c r="Q74" s="460">
        <f t="shared" si="7"/>
        <v>4190525.7361020623</v>
      </c>
      <c r="R74" s="460">
        <f t="shared" si="7"/>
        <v>137592.46793169068</v>
      </c>
      <c r="S74" s="460">
        <f t="shared" si="7"/>
        <v>1960494.1889129819</v>
      </c>
      <c r="T74" s="460">
        <f t="shared" si="6"/>
        <v>180799081.04951361</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topLeftCell="B1" workbookViewId="0">
      <selection activeCell="K24" sqref="K24:K25"/>
    </sheetView>
  </sheetViews>
  <sheetFormatPr defaultColWidth="8.85546875" defaultRowHeight="15"/>
  <cols>
    <col min="1" max="1" width="0" style="32" hidden="1" customWidth="1"/>
    <col min="2" max="2" width="47.7109375" style="32" customWidth="1"/>
    <col min="3" max="4" width="15.85546875" style="32" customWidth="1"/>
    <col min="5" max="6" width="14.7109375" style="32" customWidth="1"/>
    <col min="7" max="9" width="18.140625" style="32" customWidth="1"/>
    <col min="10" max="10" width="18.7109375" style="32" customWidth="1"/>
    <col min="11" max="11" width="31.42578125" style="32" customWidth="1"/>
    <col min="12" max="12" width="21.28515625" style="32" customWidth="1"/>
    <col min="13" max="13" width="21.85546875" style="32" customWidth="1"/>
    <col min="14" max="16384" width="8.85546875" style="32"/>
  </cols>
  <sheetData>
    <row r="1" spans="1:12" ht="28.5" customHeight="1">
      <c r="B1" s="635" t="s">
        <v>201</v>
      </c>
      <c r="C1" s="635"/>
      <c r="D1" s="636"/>
      <c r="E1" s="635"/>
      <c r="F1" s="635"/>
      <c r="G1" s="635"/>
      <c r="H1" s="636"/>
      <c r="I1" s="636"/>
      <c r="J1" s="635"/>
      <c r="K1" s="253"/>
    </row>
    <row r="2" spans="1:12" s="2" customFormat="1" ht="30">
      <c r="B2" s="215" t="s">
        <v>103</v>
      </c>
      <c r="C2" s="215" t="s">
        <v>124</v>
      </c>
      <c r="D2" s="216" t="s">
        <v>199</v>
      </c>
      <c r="E2" s="217" t="s">
        <v>170</v>
      </c>
      <c r="F2" s="217" t="s">
        <v>176</v>
      </c>
      <c r="G2" s="217" t="s">
        <v>171</v>
      </c>
      <c r="H2" s="471" t="s">
        <v>214</v>
      </c>
      <c r="I2" s="217" t="s">
        <v>213</v>
      </c>
      <c r="J2" s="218" t="s">
        <v>81</v>
      </c>
      <c r="K2" s="274"/>
    </row>
    <row r="3" spans="1:12" s="2" customFormat="1" ht="15" customHeight="1">
      <c r="B3" s="248"/>
      <c r="C3" s="249"/>
      <c r="D3" s="250"/>
      <c r="E3" s="251"/>
      <c r="F3" s="251"/>
      <c r="G3" s="251"/>
      <c r="H3" s="472"/>
      <c r="I3" s="265">
        <v>0.01</v>
      </c>
      <c r="J3" s="252"/>
      <c r="K3" s="254"/>
    </row>
    <row r="4" spans="1:12" ht="15.95" customHeight="1">
      <c r="A4" s="32" t="s">
        <v>128</v>
      </c>
      <c r="B4" s="220" t="s">
        <v>21</v>
      </c>
      <c r="C4" s="227">
        <v>26450.159461224535</v>
      </c>
      <c r="D4" s="228">
        <f>405934713.379587</f>
        <v>405934713.37958699</v>
      </c>
      <c r="E4" s="229">
        <f>+FY13Revenue!D3+951000</f>
        <v>13463000</v>
      </c>
      <c r="F4" s="229">
        <v>6000000</v>
      </c>
      <c r="G4" s="229">
        <f>+D4-E4-F4</f>
        <v>386471713.37958699</v>
      </c>
      <c r="H4" s="473">
        <f>+G4-I4</f>
        <v>3864717.1337958574</v>
      </c>
      <c r="I4" s="229">
        <f>+G4*(1-$I$3)</f>
        <v>382606996.24579114</v>
      </c>
      <c r="J4" s="230">
        <f>+I4*0.7</f>
        <v>267824897.37205377</v>
      </c>
      <c r="K4" s="255"/>
      <c r="L4" s="8"/>
    </row>
    <row r="5" spans="1:12" ht="15.95" customHeight="1">
      <c r="A5" s="32" t="s">
        <v>129</v>
      </c>
      <c r="B5" s="222" t="s">
        <v>35</v>
      </c>
      <c r="C5" s="231">
        <v>3024.0944444286529</v>
      </c>
      <c r="D5" s="232">
        <v>21450926.060354911</v>
      </c>
      <c r="E5" s="233"/>
      <c r="F5" s="233"/>
      <c r="G5" s="233">
        <f t="shared" ref="G5:G24" si="0">+D5-E5-F5</f>
        <v>21450926.060354911</v>
      </c>
      <c r="H5" s="474">
        <f t="shared" ref="H5:H27" si="1">+G5-I5</f>
        <v>214509.26060355082</v>
      </c>
      <c r="I5" s="233">
        <f t="shared" ref="I5:I27" si="2">+G5*(1-$I$3)</f>
        <v>21236416.79975136</v>
      </c>
      <c r="J5" s="234">
        <f t="shared" ref="J5:J24" si="3">+I5*0.7</f>
        <v>14865491.75982595</v>
      </c>
      <c r="K5" s="255"/>
      <c r="L5" s="8"/>
    </row>
    <row r="6" spans="1:12" ht="15.95" customHeight="1">
      <c r="A6" s="32" t="s">
        <v>140</v>
      </c>
      <c r="B6" s="222" t="s">
        <v>36</v>
      </c>
      <c r="C6" s="231">
        <v>165.52777777681001</v>
      </c>
      <c r="D6" s="232">
        <v>1832546.8319316134</v>
      </c>
      <c r="E6" s="233"/>
      <c r="F6" s="233"/>
      <c r="G6" s="233">
        <f t="shared" si="0"/>
        <v>1832546.8319316134</v>
      </c>
      <c r="H6" s="474">
        <f t="shared" si="1"/>
        <v>18325.468319316162</v>
      </c>
      <c r="I6" s="233">
        <f t="shared" si="2"/>
        <v>1814221.3636122972</v>
      </c>
      <c r="J6" s="234">
        <f t="shared" si="3"/>
        <v>1269954.9545286079</v>
      </c>
      <c r="K6" s="255"/>
      <c r="L6" s="8"/>
    </row>
    <row r="7" spans="1:12" ht="15.95" customHeight="1">
      <c r="A7" s="32" t="s">
        <v>130</v>
      </c>
      <c r="B7" s="222" t="s">
        <v>37</v>
      </c>
      <c r="C7" s="231">
        <v>1095.5499999859619</v>
      </c>
      <c r="D7" s="232">
        <v>11603498.9380328</v>
      </c>
      <c r="E7" s="233"/>
      <c r="F7" s="233"/>
      <c r="G7" s="233">
        <f t="shared" si="0"/>
        <v>11603498.9380328</v>
      </c>
      <c r="H7" s="474">
        <f t="shared" si="1"/>
        <v>116034.98938032798</v>
      </c>
      <c r="I7" s="233">
        <f t="shared" si="2"/>
        <v>11487463.948652472</v>
      </c>
      <c r="J7" s="234">
        <f t="shared" si="3"/>
        <v>8041224.7640567301</v>
      </c>
      <c r="K7" s="255"/>
      <c r="L7" s="8"/>
    </row>
    <row r="8" spans="1:12" ht="15.95" customHeight="1">
      <c r="A8" s="32" t="s">
        <v>131</v>
      </c>
      <c r="B8" s="222" t="s">
        <v>141</v>
      </c>
      <c r="C8" s="231">
        <v>537.47777777416991</v>
      </c>
      <c r="D8" s="232">
        <v>5335460.2860207679</v>
      </c>
      <c r="E8" s="233"/>
      <c r="F8" s="233"/>
      <c r="G8" s="233">
        <f t="shared" si="0"/>
        <v>5335460.2860207679</v>
      </c>
      <c r="H8" s="474">
        <f t="shared" si="1"/>
        <v>53354.602860207669</v>
      </c>
      <c r="I8" s="233">
        <f t="shared" si="2"/>
        <v>5282105.6831605602</v>
      </c>
      <c r="J8" s="234">
        <f t="shared" si="3"/>
        <v>3697473.978212392</v>
      </c>
      <c r="K8" s="255"/>
      <c r="L8" s="8"/>
    </row>
    <row r="9" spans="1:12" ht="15.95" customHeight="1">
      <c r="A9" s="32" t="s">
        <v>132</v>
      </c>
      <c r="B9" s="222" t="s">
        <v>206</v>
      </c>
      <c r="C9" s="231">
        <v>689.25555555423398</v>
      </c>
      <c r="D9" s="232">
        <v>6792212.1887075612</v>
      </c>
      <c r="E9" s="233"/>
      <c r="F9" s="233"/>
      <c r="G9" s="233">
        <f t="shared" si="0"/>
        <v>6792212.1887075612</v>
      </c>
      <c r="H9" s="474">
        <f t="shared" si="1"/>
        <v>67922.121887075715</v>
      </c>
      <c r="I9" s="233">
        <f t="shared" si="2"/>
        <v>6724290.0668204855</v>
      </c>
      <c r="J9" s="234">
        <f t="shared" si="3"/>
        <v>4707003.0467743399</v>
      </c>
      <c r="K9" s="255"/>
      <c r="L9" s="8"/>
    </row>
    <row r="10" spans="1:12" ht="15.95" customHeight="1">
      <c r="A10" s="32" t="s">
        <v>134</v>
      </c>
      <c r="B10" s="222" t="s">
        <v>40</v>
      </c>
      <c r="C10" s="231">
        <v>0</v>
      </c>
      <c r="D10" s="232">
        <v>0</v>
      </c>
      <c r="E10" s="233"/>
      <c r="F10" s="233"/>
      <c r="G10" s="233">
        <f t="shared" si="0"/>
        <v>0</v>
      </c>
      <c r="H10" s="474">
        <f t="shared" si="1"/>
        <v>0</v>
      </c>
      <c r="I10" s="233">
        <f t="shared" si="2"/>
        <v>0</v>
      </c>
      <c r="J10" s="234">
        <f t="shared" si="3"/>
        <v>0</v>
      </c>
      <c r="K10" s="255"/>
      <c r="L10" s="8"/>
    </row>
    <row r="11" spans="1:12" ht="15.95" customHeight="1">
      <c r="A11" s="32" t="s">
        <v>135</v>
      </c>
      <c r="B11" s="222" t="s">
        <v>70</v>
      </c>
      <c r="C11" s="231">
        <v>313.93333333182102</v>
      </c>
      <c r="D11" s="232">
        <v>3876636.7871245756</v>
      </c>
      <c r="E11" s="233"/>
      <c r="F11" s="233"/>
      <c r="G11" s="233">
        <f t="shared" si="0"/>
        <v>3876636.7871245756</v>
      </c>
      <c r="H11" s="474">
        <f t="shared" si="1"/>
        <v>38766.367871245835</v>
      </c>
      <c r="I11" s="233">
        <f t="shared" si="2"/>
        <v>3837870.4192533297</v>
      </c>
      <c r="J11" s="234">
        <f t="shared" si="3"/>
        <v>2686509.2934773308</v>
      </c>
      <c r="K11" s="255"/>
      <c r="L11" s="8"/>
    </row>
    <row r="12" spans="1:12" ht="15.95" customHeight="1">
      <c r="A12" s="32" t="s">
        <v>136</v>
      </c>
      <c r="B12" s="222" t="s">
        <v>144</v>
      </c>
      <c r="C12" s="231">
        <v>328.39444443991999</v>
      </c>
      <c r="D12" s="232">
        <v>3598901.9179448369</v>
      </c>
      <c r="E12" s="233"/>
      <c r="F12" s="233"/>
      <c r="G12" s="233">
        <f t="shared" si="0"/>
        <v>3598901.9179448369</v>
      </c>
      <c r="H12" s="474">
        <f t="shared" si="1"/>
        <v>35989.019179448485</v>
      </c>
      <c r="I12" s="233">
        <f t="shared" si="2"/>
        <v>3562912.8987653884</v>
      </c>
      <c r="J12" s="234">
        <f t="shared" si="3"/>
        <v>2494039.0291357716</v>
      </c>
      <c r="K12" s="255"/>
      <c r="L12" s="8"/>
    </row>
    <row r="13" spans="1:12" ht="15.95" customHeight="1">
      <c r="A13" s="32" t="s">
        <v>137</v>
      </c>
      <c r="B13" s="222" t="s">
        <v>49</v>
      </c>
      <c r="C13" s="231">
        <v>184.0777777751801</v>
      </c>
      <c r="D13" s="232">
        <v>1774166.1891273505</v>
      </c>
      <c r="E13" s="233"/>
      <c r="F13" s="233"/>
      <c r="G13" s="233">
        <f t="shared" si="0"/>
        <v>1774166.1891273505</v>
      </c>
      <c r="H13" s="474">
        <f t="shared" si="1"/>
        <v>17741.661891273456</v>
      </c>
      <c r="I13" s="233">
        <f t="shared" si="2"/>
        <v>1756424.527236077</v>
      </c>
      <c r="J13" s="234">
        <f t="shared" si="3"/>
        <v>1229497.1690652538</v>
      </c>
      <c r="K13" s="255"/>
      <c r="L13" s="8"/>
    </row>
    <row r="14" spans="1:12" ht="15.95" customHeight="1">
      <c r="A14" s="32" t="s">
        <v>138</v>
      </c>
      <c r="B14" s="222" t="s">
        <v>207</v>
      </c>
      <c r="C14" s="231">
        <v>388.45555555622002</v>
      </c>
      <c r="D14" s="232">
        <v>6114507.2872453555</v>
      </c>
      <c r="E14" s="233"/>
      <c r="F14" s="233"/>
      <c r="G14" s="233">
        <f t="shared" si="0"/>
        <v>6114507.2872453555</v>
      </c>
      <c r="H14" s="474">
        <f t="shared" si="1"/>
        <v>61145.072872453369</v>
      </c>
      <c r="I14" s="233">
        <f t="shared" si="2"/>
        <v>6053362.2143729022</v>
      </c>
      <c r="J14" s="234">
        <f t="shared" si="3"/>
        <v>4237353.5500610312</v>
      </c>
      <c r="K14" s="255"/>
      <c r="L14" s="8"/>
    </row>
    <row r="15" spans="1:12" ht="15.95" customHeight="1">
      <c r="A15" s="32" t="s">
        <v>147</v>
      </c>
      <c r="B15" s="222" t="s">
        <v>208</v>
      </c>
      <c r="C15" s="231">
        <v>32.711111110769998</v>
      </c>
      <c r="D15" s="232">
        <v>751581.18093999999</v>
      </c>
      <c r="E15" s="233"/>
      <c r="F15" s="233"/>
      <c r="G15" s="233">
        <f t="shared" si="0"/>
        <v>751581.18093999999</v>
      </c>
      <c r="H15" s="474">
        <f t="shared" si="1"/>
        <v>7515.8118093999801</v>
      </c>
      <c r="I15" s="233">
        <f t="shared" si="2"/>
        <v>744065.36913060001</v>
      </c>
      <c r="J15" s="234">
        <f t="shared" si="3"/>
        <v>520845.75839141995</v>
      </c>
      <c r="K15" s="255"/>
      <c r="L15" s="8"/>
    </row>
    <row r="16" spans="1:12" ht="15.95" customHeight="1">
      <c r="A16" s="32" t="s">
        <v>148</v>
      </c>
      <c r="B16" s="222" t="s">
        <v>39</v>
      </c>
      <c r="C16" s="231">
        <v>414.57777776813094</v>
      </c>
      <c r="D16" s="232">
        <v>6727785.1594120907</v>
      </c>
      <c r="E16" s="233"/>
      <c r="F16" s="233"/>
      <c r="G16" s="233">
        <f t="shared" si="0"/>
        <v>6727785.1594120907</v>
      </c>
      <c r="H16" s="474">
        <f t="shared" si="1"/>
        <v>67277.851594121195</v>
      </c>
      <c r="I16" s="233">
        <f t="shared" si="2"/>
        <v>6660507.3078179695</v>
      </c>
      <c r="J16" s="234">
        <f t="shared" si="3"/>
        <v>4662355.1154725784</v>
      </c>
      <c r="K16" s="255"/>
      <c r="L16" s="8"/>
    </row>
    <row r="17" spans="1:13" ht="15.95" customHeight="1">
      <c r="A17" s="32" t="s">
        <v>149</v>
      </c>
      <c r="B17" s="222" t="s">
        <v>38</v>
      </c>
      <c r="C17" s="231">
        <v>354.54444444159003</v>
      </c>
      <c r="D17" s="232">
        <v>6414606.1433106707</v>
      </c>
      <c r="E17" s="233"/>
      <c r="F17" s="233"/>
      <c r="G17" s="233">
        <f t="shared" si="0"/>
        <v>6414606.1433106707</v>
      </c>
      <c r="H17" s="474">
        <f t="shared" si="1"/>
        <v>64146.061433106661</v>
      </c>
      <c r="I17" s="233">
        <f t="shared" si="2"/>
        <v>6350460.0818775641</v>
      </c>
      <c r="J17" s="234">
        <f t="shared" si="3"/>
        <v>4445322.0573142944</v>
      </c>
      <c r="K17" s="255"/>
      <c r="L17" s="8"/>
    </row>
    <row r="18" spans="1:13">
      <c r="A18" s="32" t="s">
        <v>150</v>
      </c>
      <c r="B18" s="222" t="s">
        <v>31</v>
      </c>
      <c r="C18" s="231">
        <v>766.01111110863894</v>
      </c>
      <c r="D18" s="232">
        <v>14922553.225875795</v>
      </c>
      <c r="E18" s="233"/>
      <c r="F18" s="233"/>
      <c r="G18" s="233">
        <f t="shared" si="0"/>
        <v>14922553.225875795</v>
      </c>
      <c r="H18" s="474">
        <f t="shared" si="1"/>
        <v>149225.53225875832</v>
      </c>
      <c r="I18" s="233">
        <f t="shared" si="2"/>
        <v>14773327.693617037</v>
      </c>
      <c r="J18" s="234">
        <f t="shared" si="3"/>
        <v>10341329.385531925</v>
      </c>
      <c r="K18" s="255"/>
      <c r="L18" s="8"/>
    </row>
    <row r="19" spans="1:13">
      <c r="A19" s="32" t="s">
        <v>151</v>
      </c>
      <c r="B19" s="222" t="s">
        <v>209</v>
      </c>
      <c r="C19" s="231">
        <v>80.144444444070103</v>
      </c>
      <c r="D19" s="232">
        <v>1711918.9956430388</v>
      </c>
      <c r="E19" s="233"/>
      <c r="F19" s="233"/>
      <c r="G19" s="233">
        <f t="shared" si="0"/>
        <v>1711918.9956430388</v>
      </c>
      <c r="H19" s="474">
        <f t="shared" si="1"/>
        <v>17119.189956430346</v>
      </c>
      <c r="I19" s="233">
        <f t="shared" si="2"/>
        <v>1694799.8056866084</v>
      </c>
      <c r="J19" s="234">
        <f t="shared" si="3"/>
        <v>1186359.8639806258</v>
      </c>
      <c r="K19" s="255"/>
      <c r="L19" s="8"/>
    </row>
    <row r="20" spans="1:13">
      <c r="A20" s="32" t="s">
        <v>153</v>
      </c>
      <c r="B20" s="222" t="s">
        <v>210</v>
      </c>
      <c r="C20" s="231">
        <v>78.322222222150003</v>
      </c>
      <c r="D20" s="232">
        <v>1597741.8689817567</v>
      </c>
      <c r="E20" s="233"/>
      <c r="F20" s="233"/>
      <c r="G20" s="233">
        <f t="shared" si="0"/>
        <v>1597741.8689817567</v>
      </c>
      <c r="H20" s="474">
        <f t="shared" si="1"/>
        <v>15977.418689817656</v>
      </c>
      <c r="I20" s="233">
        <f t="shared" si="2"/>
        <v>1581764.4502919391</v>
      </c>
      <c r="J20" s="234">
        <f t="shared" si="3"/>
        <v>1107235.1152043573</v>
      </c>
      <c r="K20" s="255"/>
      <c r="L20" s="8"/>
    </row>
    <row r="21" spans="1:13">
      <c r="A21" s="32" t="s">
        <v>155</v>
      </c>
      <c r="B21" s="222" t="s">
        <v>42</v>
      </c>
      <c r="C21" s="231">
        <v>605.36666666587803</v>
      </c>
      <c r="D21" s="232">
        <v>9756443.0506838523</v>
      </c>
      <c r="E21" s="233"/>
      <c r="F21" s="233"/>
      <c r="G21" s="233">
        <f t="shared" si="0"/>
        <v>9756443.0506838523</v>
      </c>
      <c r="H21" s="474">
        <f t="shared" si="1"/>
        <v>97564.430506838486</v>
      </c>
      <c r="I21" s="233">
        <f t="shared" si="2"/>
        <v>9658878.6201770138</v>
      </c>
      <c r="J21" s="234">
        <f t="shared" si="3"/>
        <v>6761215.0341239097</v>
      </c>
      <c r="K21" s="255"/>
      <c r="L21" s="8"/>
    </row>
    <row r="22" spans="1:13">
      <c r="A22" s="32" t="s">
        <v>162</v>
      </c>
      <c r="B22" s="222" t="s">
        <v>76</v>
      </c>
      <c r="C22" s="231">
        <v>1349.6166666610559</v>
      </c>
      <c r="D22" s="232">
        <v>19195267.942597911</v>
      </c>
      <c r="E22" s="233"/>
      <c r="F22" s="233"/>
      <c r="G22" s="233">
        <f t="shared" si="0"/>
        <v>19195267.942597911</v>
      </c>
      <c r="H22" s="474">
        <f t="shared" si="1"/>
        <v>191952.6794259809</v>
      </c>
      <c r="I22" s="233">
        <f t="shared" si="2"/>
        <v>19003315.26317193</v>
      </c>
      <c r="J22" s="234">
        <f t="shared" si="3"/>
        <v>13302320.684220349</v>
      </c>
      <c r="K22" s="255"/>
      <c r="L22" s="8"/>
    </row>
    <row r="23" spans="1:13">
      <c r="A23" s="32" t="s">
        <v>156</v>
      </c>
      <c r="B23" s="222" t="s">
        <v>77</v>
      </c>
      <c r="C23" s="231">
        <v>542.09999998996</v>
      </c>
      <c r="D23" s="232">
        <v>8074817.3690014537</v>
      </c>
      <c r="E23" s="233"/>
      <c r="F23" s="233"/>
      <c r="G23" s="233">
        <f t="shared" si="0"/>
        <v>8074817.3690014537</v>
      </c>
      <c r="H23" s="474">
        <f t="shared" si="1"/>
        <v>80748.173690014519</v>
      </c>
      <c r="I23" s="233">
        <f t="shared" si="2"/>
        <v>7994069.1953114392</v>
      </c>
      <c r="J23" s="234">
        <f t="shared" si="3"/>
        <v>5595848.4367180075</v>
      </c>
      <c r="K23" s="255"/>
      <c r="L23" s="8"/>
    </row>
    <row r="24" spans="1:13">
      <c r="A24" s="32" t="s">
        <v>163</v>
      </c>
      <c r="B24" s="222" t="s">
        <v>212</v>
      </c>
      <c r="C24" s="231">
        <v>94.188888887819999</v>
      </c>
      <c r="D24" s="232">
        <v>1349240.4469988893</v>
      </c>
      <c r="E24" s="233"/>
      <c r="F24" s="233"/>
      <c r="G24" s="233">
        <f t="shared" si="0"/>
        <v>1349240.4469988893</v>
      </c>
      <c r="H24" s="474">
        <f t="shared" si="1"/>
        <v>13492.404469989007</v>
      </c>
      <c r="I24" s="233">
        <f t="shared" si="2"/>
        <v>1335748.0425289003</v>
      </c>
      <c r="J24" s="234">
        <f t="shared" si="3"/>
        <v>935023.62977023015</v>
      </c>
      <c r="K24" s="610" t="s">
        <v>335</v>
      </c>
      <c r="L24" s="8"/>
    </row>
    <row r="25" spans="1:13">
      <c r="B25" s="223" t="s">
        <v>106</v>
      </c>
      <c r="C25" s="236">
        <f t="shared" ref="C25:I25" si="4">SUM(C4:C24)</f>
        <v>37494.509461147565</v>
      </c>
      <c r="D25" s="191">
        <f t="shared" si="4"/>
        <v>538815525.24952209</v>
      </c>
      <c r="E25" s="191">
        <f t="shared" si="4"/>
        <v>13463000</v>
      </c>
      <c r="F25" s="191">
        <f t="shared" si="4"/>
        <v>6000000</v>
      </c>
      <c r="G25" s="191">
        <f t="shared" si="4"/>
        <v>519352525.24952215</v>
      </c>
      <c r="H25" s="475">
        <f t="shared" si="4"/>
        <v>5193525.2524952153</v>
      </c>
      <c r="I25" s="191">
        <f t="shared" si="4"/>
        <v>514158999.99702704</v>
      </c>
      <c r="J25" s="237">
        <f>+I25*0.7</f>
        <v>359911299.9979189</v>
      </c>
      <c r="K25" s="606">
        <f>+I25-J25</f>
        <v>154247699.99910814</v>
      </c>
      <c r="L25" s="8"/>
      <c r="M25" s="59"/>
    </row>
    <row r="26" spans="1:13">
      <c r="B26" s="224" t="s">
        <v>107</v>
      </c>
      <c r="C26" s="246">
        <v>4348.9483791070879</v>
      </c>
      <c r="D26" s="228">
        <v>53513943.996427342</v>
      </c>
      <c r="E26" s="238">
        <v>2974000</v>
      </c>
      <c r="F26" s="239"/>
      <c r="G26" s="239">
        <f>+D26-E26-F26</f>
        <v>50539943.996427342</v>
      </c>
      <c r="H26" s="476">
        <f t="shared" si="1"/>
        <v>505399.43996427208</v>
      </c>
      <c r="I26" s="239">
        <f t="shared" si="2"/>
        <v>50034544.55646307</v>
      </c>
      <c r="J26" s="240"/>
      <c r="K26"/>
    </row>
    <row r="27" spans="1:13">
      <c r="B27" s="225" t="s">
        <v>108</v>
      </c>
      <c r="C27" s="247">
        <v>4049.8930772975937</v>
      </c>
      <c r="D27" s="235">
        <v>47674037.317305453</v>
      </c>
      <c r="E27" s="241">
        <v>2689000</v>
      </c>
      <c r="F27" s="242"/>
      <c r="G27" s="242">
        <f>+D27-E27-F27</f>
        <v>44985037.317305453</v>
      </c>
      <c r="H27" s="477">
        <f t="shared" si="1"/>
        <v>449850.37317305803</v>
      </c>
      <c r="I27" s="242">
        <f t="shared" si="2"/>
        <v>44535186.944132395</v>
      </c>
      <c r="J27" s="243"/>
      <c r="K27"/>
    </row>
    <row r="28" spans="1:13">
      <c r="B28" s="226" t="s">
        <v>109</v>
      </c>
      <c r="C28" s="244">
        <f t="shared" ref="C28:I28" si="5">SUM(C25:C27)</f>
        <v>45893.350917552249</v>
      </c>
      <c r="D28" s="193">
        <f t="shared" si="5"/>
        <v>640003506.56325483</v>
      </c>
      <c r="E28" s="193">
        <f t="shared" si="5"/>
        <v>19126000</v>
      </c>
      <c r="F28" s="191">
        <f t="shared" si="5"/>
        <v>6000000</v>
      </c>
      <c r="G28" s="193">
        <f t="shared" si="5"/>
        <v>614877506.56325495</v>
      </c>
      <c r="H28" s="478">
        <f t="shared" si="5"/>
        <v>6148775.0656325454</v>
      </c>
      <c r="I28" s="193">
        <f t="shared" si="5"/>
        <v>608728731.49762261</v>
      </c>
      <c r="J28" s="245"/>
      <c r="K28"/>
    </row>
    <row r="29" spans="1:13">
      <c r="B29" s="208"/>
      <c r="C29" s="209"/>
      <c r="D29" s="210"/>
      <c r="E29" s="210"/>
      <c r="F29" s="211"/>
      <c r="G29" s="210"/>
      <c r="H29" s="210"/>
      <c r="I29" s="210"/>
      <c r="K29"/>
    </row>
    <row r="30" spans="1:13">
      <c r="B30" s="208"/>
      <c r="C30" s="212"/>
      <c r="D30" s="214"/>
      <c r="E30" s="210"/>
      <c r="F30" s="211"/>
      <c r="G30" s="210"/>
      <c r="H30" s="210"/>
      <c r="I30" s="210">
        <f>+I25-FY14Revenue!H25</f>
        <v>25493944.997027099</v>
      </c>
      <c r="J30" s="210">
        <f>+J25-FY14Revenue!I25</f>
        <v>17845761.497918963</v>
      </c>
      <c r="K30" s="210"/>
      <c r="L30" s="59"/>
    </row>
    <row r="31" spans="1:13">
      <c r="B31" s="208"/>
      <c r="C31" s="496"/>
      <c r="D31" s="214"/>
      <c r="E31" s="210"/>
      <c r="F31" s="211"/>
      <c r="G31" s="210"/>
      <c r="H31" s="210"/>
      <c r="I31" s="210">
        <f>+I26-FY14Revenue!H26</f>
        <v>4867865.5564630702</v>
      </c>
      <c r="J31" s="59"/>
    </row>
    <row r="32" spans="1:13">
      <c r="C32" s="78"/>
      <c r="D32" s="214"/>
      <c r="E32" s="8"/>
      <c r="G32" s="210"/>
      <c r="H32" s="210"/>
      <c r="I32" s="210">
        <f>+I27-FY14Revenue!H27</f>
        <v>3461652.9441323951</v>
      </c>
      <c r="J32" s="10"/>
      <c r="K32" s="10"/>
    </row>
    <row r="33" spans="3:11">
      <c r="C33" s="78"/>
      <c r="D33" s="214"/>
      <c r="I33" s="8">
        <f>SUM(I30:I32)</f>
        <v>33823463.497622564</v>
      </c>
      <c r="J33" s="8"/>
      <c r="K33" s="8"/>
    </row>
    <row r="34" spans="3:11">
      <c r="C34" s="78"/>
      <c r="D34" s="213"/>
      <c r="J34" s="8"/>
      <c r="K34" s="8"/>
    </row>
  </sheetData>
  <mergeCells count="1">
    <mergeCell ref="B1:J1"/>
  </mergeCells>
  <pageMargins left="0.7" right="0.7" top="0.75" bottom="0.75" header="0.3" footer="0.3"/>
  <pageSetup scale="68" orientation="landscape" horizontalDpi="4294967293"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topLeftCell="T1" workbookViewId="0">
      <selection activeCell="T25" sqref="T25"/>
    </sheetView>
  </sheetViews>
  <sheetFormatPr defaultColWidth="8.85546875" defaultRowHeight="15"/>
  <cols>
    <col min="1" max="1" width="8.85546875" style="587"/>
    <col min="2" max="2" width="47.7109375" customWidth="1"/>
    <col min="3" max="5" width="20" style="32" customWidth="1"/>
    <col min="6" max="12" width="20.140625" style="32" customWidth="1"/>
    <col min="13" max="13" width="20.140625" customWidth="1"/>
    <col min="14" max="14" width="20.140625" style="32" customWidth="1"/>
    <col min="15" max="16" width="20.140625" customWidth="1"/>
    <col min="17" max="17" width="20.140625" style="32" customWidth="1"/>
    <col min="18" max="18" width="20.140625" customWidth="1"/>
    <col min="19" max="19" width="20.140625" style="32" customWidth="1"/>
    <col min="20" max="20" width="24.140625" customWidth="1"/>
    <col min="21" max="24" width="20.140625" customWidth="1"/>
    <col min="25" max="25" width="20.140625" style="32" customWidth="1"/>
    <col min="26" max="27" width="20.140625" customWidth="1"/>
    <col min="28" max="53" width="13.140625" customWidth="1"/>
  </cols>
  <sheetData>
    <row r="1" spans="1:32" s="589" customFormat="1" ht="42.75" customHeight="1">
      <c r="A1" s="622" t="s">
        <v>430</v>
      </c>
      <c r="B1" s="622"/>
      <c r="C1" s="590" t="s">
        <v>381</v>
      </c>
      <c r="D1" s="590" t="s">
        <v>317</v>
      </c>
      <c r="E1" s="590" t="s">
        <v>382</v>
      </c>
      <c r="F1" s="590" t="s">
        <v>312</v>
      </c>
      <c r="G1" s="590" t="s">
        <v>313</v>
      </c>
      <c r="H1" s="590" t="s">
        <v>308</v>
      </c>
      <c r="I1" s="590" t="s">
        <v>314</v>
      </c>
      <c r="J1" s="590" t="s">
        <v>309</v>
      </c>
      <c r="K1" s="590" t="s">
        <v>310</v>
      </c>
      <c r="L1" s="590" t="s">
        <v>383</v>
      </c>
      <c r="M1" s="590" t="s">
        <v>296</v>
      </c>
      <c r="N1" s="590" t="s">
        <v>315</v>
      </c>
      <c r="O1" s="590" t="s">
        <v>297</v>
      </c>
      <c r="P1" s="590" t="s">
        <v>298</v>
      </c>
      <c r="Q1" s="590" t="s">
        <v>384</v>
      </c>
      <c r="R1" s="590" t="s">
        <v>299</v>
      </c>
      <c r="S1" s="590" t="s">
        <v>304</v>
      </c>
      <c r="T1" s="590" t="s">
        <v>300</v>
      </c>
      <c r="U1" s="590" t="s">
        <v>302</v>
      </c>
      <c r="V1" s="590" t="s">
        <v>303</v>
      </c>
      <c r="W1" s="590" t="s">
        <v>301</v>
      </c>
      <c r="X1" s="590" t="s">
        <v>377</v>
      </c>
      <c r="Y1" s="590" t="s">
        <v>305</v>
      </c>
      <c r="Z1" s="590" t="s">
        <v>306</v>
      </c>
      <c r="AA1" s="590" t="s">
        <v>307</v>
      </c>
      <c r="AB1" s="590" t="s">
        <v>443</v>
      </c>
      <c r="AC1"/>
      <c r="AD1"/>
    </row>
    <row r="2" spans="1:32" s="591" customFormat="1" ht="22.5" customHeight="1">
      <c r="A2" s="626" t="s">
        <v>321</v>
      </c>
      <c r="B2" s="626"/>
      <c r="C2" s="590" t="s">
        <v>319</v>
      </c>
      <c r="D2" s="590" t="s">
        <v>320</v>
      </c>
      <c r="E2" s="590" t="s">
        <v>394</v>
      </c>
      <c r="F2" s="590" t="s">
        <v>322</v>
      </c>
      <c r="G2" s="590" t="s">
        <v>347</v>
      </c>
      <c r="H2" s="590" t="s">
        <v>348</v>
      </c>
      <c r="I2" s="590" t="s">
        <v>349</v>
      </c>
      <c r="J2" s="590" t="s">
        <v>350</v>
      </c>
      <c r="K2" s="590" t="s">
        <v>395</v>
      </c>
      <c r="L2" s="590" t="s">
        <v>396</v>
      </c>
      <c r="M2" s="590" t="s">
        <v>323</v>
      </c>
      <c r="N2" s="590" t="s">
        <v>397</v>
      </c>
      <c r="O2" s="590" t="s">
        <v>324</v>
      </c>
      <c r="P2" s="590" t="s">
        <v>398</v>
      </c>
      <c r="Q2" s="590" t="s">
        <v>399</v>
      </c>
      <c r="R2" s="590" t="s">
        <v>351</v>
      </c>
      <c r="S2" s="590" t="s">
        <v>400</v>
      </c>
      <c r="T2" s="590" t="s">
        <v>401</v>
      </c>
      <c r="U2" s="590" t="s">
        <v>402</v>
      </c>
      <c r="V2" s="590" t="s">
        <v>403</v>
      </c>
      <c r="W2" s="590" t="s">
        <v>404</v>
      </c>
      <c r="X2" s="590" t="s">
        <v>352</v>
      </c>
      <c r="Y2" s="590" t="s">
        <v>405</v>
      </c>
      <c r="Z2" s="590" t="s">
        <v>406</v>
      </c>
      <c r="AA2" s="590" t="s">
        <v>407</v>
      </c>
      <c r="AC2"/>
      <c r="AD2"/>
    </row>
    <row r="3" spans="1:32" s="589" customFormat="1">
      <c r="A3" s="625" t="s">
        <v>385</v>
      </c>
      <c r="B3" s="625"/>
      <c r="C3" s="624" t="s">
        <v>390</v>
      </c>
      <c r="D3" s="590" t="s">
        <v>346</v>
      </c>
      <c r="E3" s="599"/>
      <c r="F3" s="590" t="s">
        <v>318</v>
      </c>
      <c r="G3" s="607" t="s">
        <v>353</v>
      </c>
      <c r="H3" s="590" t="s">
        <v>354</v>
      </c>
      <c r="I3" s="607"/>
      <c r="J3" s="590" t="s">
        <v>355</v>
      </c>
      <c r="K3" s="607" t="s">
        <v>356</v>
      </c>
      <c r="L3" s="590"/>
      <c r="M3" s="590" t="s">
        <v>357</v>
      </c>
      <c r="N3" s="607"/>
      <c r="O3" s="590" t="s">
        <v>358</v>
      </c>
      <c r="P3" s="607" t="s">
        <v>359</v>
      </c>
      <c r="Q3" s="590"/>
      <c r="R3" s="590" t="s">
        <v>360</v>
      </c>
      <c r="S3" s="607" t="s">
        <v>361</v>
      </c>
      <c r="T3" s="590" t="s">
        <v>365</v>
      </c>
      <c r="U3" s="590" t="s">
        <v>364</v>
      </c>
      <c r="V3" s="607" t="s">
        <v>362</v>
      </c>
      <c r="W3" s="607" t="s">
        <v>363</v>
      </c>
      <c r="X3" s="590" t="s">
        <v>376</v>
      </c>
      <c r="Y3" s="607" t="s">
        <v>378</v>
      </c>
      <c r="Z3" s="590" t="s">
        <v>366</v>
      </c>
      <c r="AA3" s="607" t="s">
        <v>380</v>
      </c>
      <c r="AC3"/>
      <c r="AD3"/>
    </row>
    <row r="4" spans="1:32" s="589" customFormat="1" ht="17.25" customHeight="1">
      <c r="A4" s="626" t="s">
        <v>386</v>
      </c>
      <c r="B4" s="626"/>
      <c r="C4" s="624"/>
      <c r="D4" s="590" t="s">
        <v>367</v>
      </c>
      <c r="E4" s="600"/>
      <c r="F4" s="590" t="s">
        <v>368</v>
      </c>
      <c r="G4" s="607"/>
      <c r="H4" s="590" t="s">
        <v>369</v>
      </c>
      <c r="I4" s="607"/>
      <c r="J4" s="590" t="s">
        <v>370</v>
      </c>
      <c r="K4" s="607"/>
      <c r="L4" s="590"/>
      <c r="M4" s="590" t="s">
        <v>371</v>
      </c>
      <c r="N4" s="607"/>
      <c r="O4" s="590" t="s">
        <v>372</v>
      </c>
      <c r="P4" s="607"/>
      <c r="Q4" s="590"/>
      <c r="R4" s="590" t="s">
        <v>373</v>
      </c>
      <c r="S4" s="607"/>
      <c r="T4" s="590" t="s">
        <v>374</v>
      </c>
      <c r="U4" s="590" t="s">
        <v>374</v>
      </c>
      <c r="V4" s="607"/>
      <c r="W4" s="607"/>
      <c r="X4" s="590" t="s">
        <v>375</v>
      </c>
      <c r="Y4" s="590"/>
      <c r="Z4" s="590" t="s">
        <v>379</v>
      </c>
      <c r="AA4" s="590"/>
      <c r="AC4"/>
      <c r="AD4"/>
    </row>
    <row r="5" spans="1:32">
      <c r="A5" s="587">
        <v>252</v>
      </c>
      <c r="B5" t="s">
        <v>0</v>
      </c>
      <c r="C5" s="153">
        <v>7337741</v>
      </c>
      <c r="D5" s="153">
        <f>+ROUND(FY12ProjRevToColl!R3,0)</f>
        <v>7336132</v>
      </c>
      <c r="E5" s="153">
        <f>+D5-C5</f>
        <v>-1609</v>
      </c>
      <c r="F5" s="153">
        <f>ROUND(FY12RevToColl!R3,0)</f>
        <v>7308501</v>
      </c>
      <c r="G5" s="153">
        <f t="shared" ref="G5:G24" si="0">+F5-D5</f>
        <v>-27631</v>
      </c>
      <c r="H5" s="153">
        <f>ROUND(FY13ProjRevToColl!W3,0)</f>
        <v>7995397</v>
      </c>
      <c r="I5" s="153">
        <f>+H5-F5</f>
        <v>686896</v>
      </c>
      <c r="J5" s="153">
        <f>ROUND(FY13RevToColl!W3,0)</f>
        <v>7157857</v>
      </c>
      <c r="K5" s="153">
        <f>+J5-H5</f>
        <v>-837540</v>
      </c>
      <c r="L5" s="153"/>
      <c r="M5" s="153">
        <f>ROUND(SUMIF(FY14ProjRevToColl!$C$3:$S$3,$A5,FY14ProjRevToColl!$C$26:$S$26),0)</f>
        <v>7045525</v>
      </c>
      <c r="N5" s="153">
        <f>+M5-J5</f>
        <v>-112332</v>
      </c>
      <c r="O5" s="153">
        <f>ROUND(SUMIF(FY14RevToColl!$C$3:$S$3,$A5,FY14RevToColl!$C$26:$S$26),0)</f>
        <v>8748318</v>
      </c>
      <c r="P5" s="153">
        <f>+O5-M5</f>
        <v>1702793</v>
      </c>
      <c r="Q5" s="153"/>
      <c r="R5" s="153">
        <f>ROUND(SUMIF(FY15ProjRevToColl!$C$3:$S$3,$A5,FY15ProjRevToColl!$C$26:$S$26),0)</f>
        <v>9171028</v>
      </c>
      <c r="S5" s="153">
        <f t="shared" ref="S5:S24" si="1">+R5-O5</f>
        <v>422710</v>
      </c>
      <c r="T5" s="153">
        <f>ROUND(SUMIF(FY15RevToCollwoMapChg!$C$3:$S$3,$A5,FY15RevToCollwoMapChg!$C$26:$S$26),0)</f>
        <v>9524656</v>
      </c>
      <c r="U5" s="153">
        <f>ROUND(SUMIF(FY15RevToColl!$C$3:$S$3,$A5,FY15RevToColl!$C$26:$S$26),0)</f>
        <v>9543974</v>
      </c>
      <c r="V5" s="153">
        <f t="shared" ref="V5:V19" si="2">+U5-T5</f>
        <v>19318</v>
      </c>
      <c r="W5" s="153">
        <f>+U5-(R5+V5)</f>
        <v>353628</v>
      </c>
      <c r="X5" s="153">
        <f>ROUND(SUMIF(FY16ProjRevToColl0!$C$3:$S$3,$A5,FY16ProjRevToColl0!$C$26:$S$26),0)</f>
        <v>9780249</v>
      </c>
      <c r="Y5" s="153">
        <f>+X5-U5</f>
        <v>236275</v>
      </c>
      <c r="Z5" s="153">
        <f>ROUND(SUMIF(FY16ProjRevToColl!$C$3:$S$3,$A5,FY16ProjRevToColl!$C$26:$S$26),0)</f>
        <v>9645078</v>
      </c>
      <c r="AA5" s="153">
        <f>+Z5-X5</f>
        <v>-135171</v>
      </c>
      <c r="AB5" s="153">
        <v>604784.39061866968</v>
      </c>
      <c r="AE5" s="153"/>
      <c r="AF5" s="153"/>
    </row>
    <row r="6" spans="1:32">
      <c r="A6" s="587">
        <v>254</v>
      </c>
      <c r="B6" t="s">
        <v>1</v>
      </c>
      <c r="C6" s="153">
        <v>153347896</v>
      </c>
      <c r="D6" s="153">
        <f>+ROUND(FY12ProjRevToColl!R4,0)</f>
        <v>153314273</v>
      </c>
      <c r="E6" s="153">
        <f t="shared" ref="E6:E23" si="3">+D6-C6</f>
        <v>-33623</v>
      </c>
      <c r="F6" s="153">
        <f>ROUND(FY12RevToColl!R4,0)</f>
        <v>156262769</v>
      </c>
      <c r="G6" s="153">
        <f t="shared" si="0"/>
        <v>2948496</v>
      </c>
      <c r="H6" s="153">
        <f>ROUND(FY13ProjRevToColl!W4,0)</f>
        <v>166831866</v>
      </c>
      <c r="I6" s="153">
        <f t="shared" ref="I6:I24" si="4">+H6-F6</f>
        <v>10569097</v>
      </c>
      <c r="J6" s="153">
        <f>ROUND(FY13RevToColl!W4,0)</f>
        <v>173894916</v>
      </c>
      <c r="K6" s="153">
        <f t="shared" ref="K6:K24" si="5">+J6-H6</f>
        <v>7063050</v>
      </c>
      <c r="L6" s="153"/>
      <c r="M6" s="153">
        <f>ROUND(SUMIF(FY14ProjRevToColl!$C$3:$S$3,$A6,FY14ProjRevToColl!$C$26:$S$26),0)</f>
        <v>178230968</v>
      </c>
      <c r="N6" s="153">
        <f t="shared" ref="N6:N24" si="6">+M6-J6</f>
        <v>4336052</v>
      </c>
      <c r="O6" s="153">
        <f>ROUND(SUMIF(FY14RevToColl!$C$3:$S$3,$A6,FY14RevToColl!$C$26:$S$26),0)</f>
        <v>182178342</v>
      </c>
      <c r="P6" s="153">
        <f t="shared" ref="P6:P24" si="7">+O6-M6</f>
        <v>3947374</v>
      </c>
      <c r="Q6" s="153"/>
      <c r="R6" s="153">
        <f>ROUND(SUMIF(FY15ProjRevToColl!$C$3:$S$3,$A6,FY15ProjRevToColl!$C$26:$S$26),0)</f>
        <v>192055026</v>
      </c>
      <c r="S6" s="153">
        <f t="shared" si="1"/>
        <v>9876684</v>
      </c>
      <c r="T6" s="153">
        <f>ROUND(SUMIF(FY15RevToCollwoMapChg!$C$3:$S$3,$A6,FY15RevToCollwoMapChg!$C$26:$S$26),0)</f>
        <v>186540066</v>
      </c>
      <c r="U6" s="153">
        <f>ROUND(SUMIF(FY15RevToColl!$C$3:$S$3,$A6,FY15RevToColl!$C$26:$S$26),0)</f>
        <v>187208746</v>
      </c>
      <c r="V6" s="153">
        <f t="shared" si="2"/>
        <v>668680</v>
      </c>
      <c r="W6" s="153">
        <f t="shared" ref="W6:W24" si="8">+U6-(R6+V6)</f>
        <v>-5514960</v>
      </c>
      <c r="X6" s="153">
        <f>ROUND(SUMIF(FY16ProjRevToColl0!$C$3:$S$3,$A6,FY16ProjRevToColl0!$C$26:$S$26),0)</f>
        <v>195140335</v>
      </c>
      <c r="Y6" s="153">
        <f t="shared" ref="Y6:Y24" si="9">+X6-U6</f>
        <v>7931589</v>
      </c>
      <c r="Z6" s="153">
        <f>ROUND(SUMIF(FY16ProjRevToColl!$C$3:$S$3,$A6,FY16ProjRevToColl!$C$26:$S$26),0)</f>
        <v>190369868</v>
      </c>
      <c r="AA6" s="153">
        <f t="shared" ref="AA6:AA24" si="10">+Z6-X6</f>
        <v>-4770467</v>
      </c>
      <c r="AB6" s="153">
        <v>-4391031.5864906358</v>
      </c>
      <c r="AE6" s="153"/>
      <c r="AF6" s="153"/>
    </row>
    <row r="7" spans="1:32">
      <c r="A7" s="587">
        <v>256</v>
      </c>
      <c r="B7" t="s">
        <v>6</v>
      </c>
      <c r="C7" s="153">
        <v>20072182</v>
      </c>
      <c r="D7" s="153">
        <f>+ROUND(FY12ProjRevToColl!R5,0)</f>
        <v>20067781</v>
      </c>
      <c r="E7" s="153">
        <f t="shared" si="3"/>
        <v>-4401</v>
      </c>
      <c r="F7" s="153">
        <f>ROUND(FY12RevToColl!R5,0)</f>
        <v>20714022</v>
      </c>
      <c r="G7" s="153">
        <f t="shared" si="0"/>
        <v>646241</v>
      </c>
      <c r="H7" s="153">
        <f>ROUND(FY13ProjRevToColl!W5,0)</f>
        <v>21927106</v>
      </c>
      <c r="I7" s="153">
        <f t="shared" si="4"/>
        <v>1213084</v>
      </c>
      <c r="J7" s="153">
        <f>ROUND(FY13RevToColl!W5,0)</f>
        <v>22905616</v>
      </c>
      <c r="K7" s="153">
        <f t="shared" si="5"/>
        <v>978510</v>
      </c>
      <c r="L7" s="153"/>
      <c r="M7" s="153">
        <f>ROUND(SUMIF(FY14ProjRevToColl!$C$3:$S$3,$A7,FY14ProjRevToColl!$C$26:$S$26),0)</f>
        <v>23442507</v>
      </c>
      <c r="N7" s="153">
        <f t="shared" si="6"/>
        <v>536891</v>
      </c>
      <c r="O7" s="153">
        <f>ROUND(SUMIF(FY14RevToColl!$C$3:$S$3,$A7,FY14RevToColl!$C$26:$S$26),0)</f>
        <v>24141732</v>
      </c>
      <c r="P7" s="153">
        <f t="shared" si="7"/>
        <v>699225</v>
      </c>
      <c r="Q7" s="153"/>
      <c r="R7" s="153">
        <f>ROUND(SUMIF(FY15ProjRevToColl!$C$3:$S$3,$A7,FY15ProjRevToColl!$C$26:$S$26),0)</f>
        <v>25402146</v>
      </c>
      <c r="S7" s="153">
        <f t="shared" si="1"/>
        <v>1260414</v>
      </c>
      <c r="T7" s="153">
        <f>ROUND(SUMIF(FY15RevToCollwoMapChg!$C$3:$S$3,$A7,FY15RevToCollwoMapChg!$C$26:$S$26),0)</f>
        <v>26639395</v>
      </c>
      <c r="U7" s="153">
        <f>ROUND(SUMIF(FY15RevToColl!$C$3:$S$3,$A7,FY15RevToColl!$C$26:$S$26),0)</f>
        <v>26463840</v>
      </c>
      <c r="V7" s="153">
        <f t="shared" si="2"/>
        <v>-175555</v>
      </c>
      <c r="W7" s="153">
        <f t="shared" si="8"/>
        <v>1237249</v>
      </c>
      <c r="X7" s="153">
        <f>ROUND(SUMIF(FY16ProjRevToColl0!$C$3:$S$3,$A7,FY16ProjRevToColl0!$C$26:$S$26),0)</f>
        <v>28586966</v>
      </c>
      <c r="Y7" s="153">
        <f t="shared" si="9"/>
        <v>2123126</v>
      </c>
      <c r="Z7" s="153">
        <f>ROUND(SUMIF(FY16ProjRevToColl!$C$3:$S$3,$A7,FY16ProjRevToColl!$C$26:$S$26),0)</f>
        <v>27982334</v>
      </c>
      <c r="AA7" s="153">
        <f t="shared" si="10"/>
        <v>-604632</v>
      </c>
      <c r="AB7" s="153">
        <v>-640662.00811166363</v>
      </c>
      <c r="AE7" s="153"/>
      <c r="AF7" s="153"/>
    </row>
    <row r="8" spans="1:32">
      <c r="A8" s="587">
        <v>258</v>
      </c>
      <c r="B8" t="s">
        <v>2</v>
      </c>
      <c r="C8" s="153">
        <v>4782005</v>
      </c>
      <c r="D8" s="153">
        <f>+ROUND(FY12ProjRevToColl!R6,0)</f>
        <v>4780957</v>
      </c>
      <c r="E8" s="153">
        <f t="shared" si="3"/>
        <v>-1048</v>
      </c>
      <c r="F8" s="153">
        <f>ROUND(FY12RevToColl!R6,0)</f>
        <v>5495544</v>
      </c>
      <c r="G8" s="153">
        <f t="shared" si="0"/>
        <v>714587</v>
      </c>
      <c r="H8" s="153">
        <f>ROUND(FY13ProjRevToColl!W6,0)</f>
        <v>5815577</v>
      </c>
      <c r="I8" s="153">
        <f t="shared" si="4"/>
        <v>320033</v>
      </c>
      <c r="J8" s="153">
        <f>ROUND(FY13RevToColl!W6,0)</f>
        <v>6661604</v>
      </c>
      <c r="K8" s="153">
        <f t="shared" si="5"/>
        <v>846027</v>
      </c>
      <c r="L8" s="153"/>
      <c r="M8" s="153">
        <f>ROUND(SUMIF(FY14ProjRevToColl!$C$3:$S$3,$A8,FY14ProjRevToColl!$C$26:$S$26),0)</f>
        <v>6863080</v>
      </c>
      <c r="N8" s="153">
        <f t="shared" si="6"/>
        <v>201476</v>
      </c>
      <c r="O8" s="153">
        <f>ROUND(SUMIF(FY14RevToColl!$C$3:$S$3,$A8,FY14RevToColl!$C$26:$S$26),0)</f>
        <v>7517210</v>
      </c>
      <c r="P8" s="153">
        <f t="shared" si="7"/>
        <v>654130</v>
      </c>
      <c r="Q8" s="153"/>
      <c r="R8" s="153">
        <f>ROUND(SUMIF(FY15ProjRevToColl!$C$3:$S$3,$A8,FY15ProjRevToColl!$C$26:$S$26),0)</f>
        <v>7868881</v>
      </c>
      <c r="S8" s="153">
        <f t="shared" si="1"/>
        <v>351671</v>
      </c>
      <c r="T8" s="153">
        <f>ROUND(SUMIF(FY15RevToCollwoMapChg!$C$3:$S$3,$A8,FY15RevToCollwoMapChg!$C$26:$S$26),0)</f>
        <v>7941710</v>
      </c>
      <c r="U8" s="153">
        <f>ROUND(SUMIF(FY15RevToColl!$C$3:$S$3,$A8,FY15RevToColl!$C$26:$S$26),0)</f>
        <v>7913737</v>
      </c>
      <c r="V8" s="153">
        <f t="shared" si="2"/>
        <v>-27973</v>
      </c>
      <c r="W8" s="153">
        <f t="shared" si="8"/>
        <v>72829</v>
      </c>
      <c r="X8" s="153">
        <f>ROUND(SUMIF(FY16ProjRevToColl0!$C$3:$S$3,$A8,FY16ProjRevToColl0!$C$26:$S$26),0)</f>
        <v>8206513</v>
      </c>
      <c r="Y8" s="153">
        <f t="shared" si="9"/>
        <v>292776</v>
      </c>
      <c r="Z8" s="153">
        <f>ROUND(SUMIF(FY16ProjRevToColl!$C$3:$S$3,$A8,FY16ProjRevToColl!$C$26:$S$26),0)</f>
        <v>8111434</v>
      </c>
      <c r="AA8" s="153">
        <f t="shared" si="10"/>
        <v>-95079</v>
      </c>
      <c r="AB8" s="153">
        <v>343658.13154223707</v>
      </c>
      <c r="AE8" s="153"/>
      <c r="AF8" s="153"/>
    </row>
    <row r="9" spans="1:32">
      <c r="A9" s="587">
        <v>260</v>
      </c>
      <c r="B9" t="s">
        <v>3</v>
      </c>
      <c r="C9" s="153">
        <v>25187088</v>
      </c>
      <c r="D9" s="153">
        <f>+ROUND(FY12ProjRevToColl!R7,0)</f>
        <v>25181566</v>
      </c>
      <c r="E9" s="153">
        <f t="shared" si="3"/>
        <v>-5522</v>
      </c>
      <c r="F9" s="153">
        <f>ROUND(FY12RevToColl!R7,0)</f>
        <v>24499080</v>
      </c>
      <c r="G9" s="153">
        <f t="shared" si="0"/>
        <v>-682486</v>
      </c>
      <c r="H9" s="153">
        <f>ROUND(FY13ProjRevToColl!W7,0)</f>
        <v>25992104</v>
      </c>
      <c r="I9" s="153">
        <f t="shared" si="4"/>
        <v>1493024</v>
      </c>
      <c r="J9" s="153">
        <f>ROUND(FY13RevToColl!W7,0)</f>
        <v>27613127</v>
      </c>
      <c r="K9" s="153">
        <f t="shared" si="5"/>
        <v>1621023</v>
      </c>
      <c r="L9" s="153"/>
      <c r="M9" s="153">
        <f>ROUND(SUMIF(FY14ProjRevToColl!$C$3:$S$3,$A9,FY14ProjRevToColl!$C$26:$S$26),0)</f>
        <v>28399715</v>
      </c>
      <c r="N9" s="153">
        <f t="shared" si="6"/>
        <v>786588</v>
      </c>
      <c r="O9" s="153">
        <f>ROUND(SUMIF(FY14RevToColl!$C$3:$S$3,$A9,FY14RevToColl!$C$26:$S$26),0)</f>
        <v>31339851</v>
      </c>
      <c r="P9" s="153">
        <f t="shared" si="7"/>
        <v>2940136</v>
      </c>
      <c r="Q9" s="153"/>
      <c r="R9" s="153">
        <f>ROUND(SUMIF(FY15ProjRevToColl!$C$3:$S$3,$A9,FY15ProjRevToColl!$C$26:$S$26),0)</f>
        <v>33047593</v>
      </c>
      <c r="S9" s="153">
        <f t="shared" si="1"/>
        <v>1707742</v>
      </c>
      <c r="T9" s="153">
        <f>ROUND(SUMIF(FY15RevToCollwoMapChg!$C$3:$S$3,$A9,FY15RevToCollwoMapChg!$C$26:$S$26),0)</f>
        <v>36076702</v>
      </c>
      <c r="U9" s="153">
        <f>ROUND(SUMIF(FY15RevToColl!$C$3:$S$3,$A9,FY15RevToColl!$C$26:$S$26),0)</f>
        <v>35875223</v>
      </c>
      <c r="V9" s="153">
        <f t="shared" si="2"/>
        <v>-201479</v>
      </c>
      <c r="W9" s="153">
        <f t="shared" si="8"/>
        <v>3029109</v>
      </c>
      <c r="X9" s="153">
        <f>ROUND(SUMIF(FY16ProjRevToColl0!$C$3:$S$3,$A9,FY16ProjRevToColl0!$C$26:$S$26),0)</f>
        <v>38327056</v>
      </c>
      <c r="Y9" s="153">
        <f t="shared" si="9"/>
        <v>2451833</v>
      </c>
      <c r="Z9" s="153">
        <f>ROUND(SUMIF(FY16ProjRevToColl!$C$3:$S$3,$A9,FY16ProjRevToColl!$C$26:$S$26),0)</f>
        <v>37575116</v>
      </c>
      <c r="AA9" s="153">
        <f t="shared" si="10"/>
        <v>-751940</v>
      </c>
      <c r="AB9" s="153">
        <v>-334757.2361635355</v>
      </c>
      <c r="AE9" s="153"/>
      <c r="AF9" s="153"/>
    </row>
    <row r="10" spans="1:32">
      <c r="A10" s="587">
        <v>263</v>
      </c>
      <c r="B10" t="s">
        <v>4</v>
      </c>
      <c r="C10" s="153">
        <v>11725821</v>
      </c>
      <c r="D10" s="153">
        <f>+ROUND(FY12ProjRevToColl!R8,0)</f>
        <v>11723250</v>
      </c>
      <c r="E10" s="153">
        <f t="shared" si="3"/>
        <v>-2571</v>
      </c>
      <c r="F10" s="153">
        <f>ROUND(FY12RevToColl!R8,0)</f>
        <v>12477841</v>
      </c>
      <c r="G10" s="153">
        <f t="shared" si="0"/>
        <v>754591</v>
      </c>
      <c r="H10" s="153">
        <f>ROUND(FY13ProjRevToColl!W8,0)</f>
        <v>13575308</v>
      </c>
      <c r="I10" s="153">
        <f t="shared" si="4"/>
        <v>1097467</v>
      </c>
      <c r="J10" s="153">
        <f>ROUND(FY13RevToColl!W8,0)</f>
        <v>14708259</v>
      </c>
      <c r="K10" s="153">
        <f t="shared" si="5"/>
        <v>1132951</v>
      </c>
      <c r="L10" s="153"/>
      <c r="M10" s="153">
        <f>ROUND(SUMIF(FY14ProjRevToColl!$C$3:$S$3,$A10,FY14ProjRevToColl!$C$26:$S$26),0)</f>
        <v>15151896</v>
      </c>
      <c r="N10" s="153">
        <f t="shared" si="6"/>
        <v>443637</v>
      </c>
      <c r="O10" s="153">
        <f>ROUND(SUMIF(FY14RevToColl!$C$3:$S$3,$A10,FY14RevToColl!$C$26:$S$26),0)</f>
        <v>15991735</v>
      </c>
      <c r="P10" s="153">
        <f t="shared" si="7"/>
        <v>839839</v>
      </c>
      <c r="Q10" s="153"/>
      <c r="R10" s="153">
        <f>ROUND(SUMIF(FY15ProjRevToColl!$C$3:$S$3,$A10,FY15ProjRevToColl!$C$26:$S$26),0)</f>
        <v>16869592</v>
      </c>
      <c r="S10" s="153">
        <f t="shared" si="1"/>
        <v>877857</v>
      </c>
      <c r="T10" s="153">
        <f>ROUND(SUMIF(FY15RevToCollwoMapChg!$C$3:$S$3,$A10,FY15RevToCollwoMapChg!$C$26:$S$26),0)</f>
        <v>16722777</v>
      </c>
      <c r="U10" s="153">
        <f>ROUND(SUMIF(FY15RevToColl!$C$3:$S$3,$A10,FY15RevToColl!$C$26:$S$26),0)</f>
        <v>16675462</v>
      </c>
      <c r="V10" s="153">
        <f t="shared" si="2"/>
        <v>-47315</v>
      </c>
      <c r="W10" s="153">
        <f t="shared" si="8"/>
        <v>-146815</v>
      </c>
      <c r="X10" s="153">
        <f>ROUND(SUMIF(FY16ProjRevToColl0!$C$3:$S$3,$A10,FY16ProjRevToColl0!$C$26:$S$26),0)</f>
        <v>17424767</v>
      </c>
      <c r="Y10" s="153">
        <f t="shared" si="9"/>
        <v>749305</v>
      </c>
      <c r="Z10" s="153">
        <f>ROUND(SUMIF(FY16ProjRevToColl!$C$3:$S$3,$A10,FY16ProjRevToColl!$C$26:$S$26),0)</f>
        <v>17071026</v>
      </c>
      <c r="AA10" s="153">
        <f t="shared" si="10"/>
        <v>-353741</v>
      </c>
      <c r="AB10" s="153">
        <v>-575325.50578490645</v>
      </c>
      <c r="AE10" s="153"/>
      <c r="AF10" s="153"/>
    </row>
    <row r="11" spans="1:32">
      <c r="A11" s="587">
        <v>267</v>
      </c>
      <c r="B11" t="s">
        <v>14</v>
      </c>
      <c r="C11" s="153">
        <v>2119768</v>
      </c>
      <c r="D11" s="153">
        <f>+ROUND(FY12ProjRevToColl!R9,0)</f>
        <v>2119303</v>
      </c>
      <c r="E11" s="153">
        <f t="shared" si="3"/>
        <v>-465</v>
      </c>
      <c r="F11" s="153">
        <f>ROUND(FY12RevToColl!R9,0)</f>
        <v>2201745</v>
      </c>
      <c r="G11" s="153">
        <f t="shared" si="0"/>
        <v>82442</v>
      </c>
      <c r="H11" s="153">
        <f>ROUND(FY13ProjRevToColl!W9,0)</f>
        <v>2222580</v>
      </c>
      <c r="I11" s="153">
        <f t="shared" si="4"/>
        <v>20835</v>
      </c>
      <c r="J11" s="153">
        <f>ROUND(FY13RevToColl!W9,0)</f>
        <v>2577359</v>
      </c>
      <c r="K11" s="153">
        <f t="shared" si="5"/>
        <v>354779</v>
      </c>
      <c r="L11" s="153"/>
      <c r="M11" s="153">
        <f>ROUND(SUMIF(FY14ProjRevToColl!$C$3:$S$3,$A11,FY14ProjRevToColl!$C$26:$S$26),0)</f>
        <v>2638549</v>
      </c>
      <c r="N11" s="153">
        <f t="shared" si="6"/>
        <v>61190</v>
      </c>
      <c r="O11" s="153">
        <f>ROUND(SUMIF(FY14RevToColl!$C$3:$S$3,$A11,FY14RevToColl!$C$26:$S$26),0)</f>
        <v>3315542</v>
      </c>
      <c r="P11" s="153">
        <f t="shared" si="7"/>
        <v>676993</v>
      </c>
      <c r="Q11" s="153"/>
      <c r="R11" s="153">
        <f>ROUND(SUMIF(FY15ProjRevToColl!$C$3:$S$3,$A11,FY15ProjRevToColl!$C$26:$S$26),0)</f>
        <v>3485654</v>
      </c>
      <c r="S11" s="153">
        <f t="shared" si="1"/>
        <v>170112</v>
      </c>
      <c r="T11" s="153">
        <f>ROUND(SUMIF(FY15RevToCollwoMapChg!$C$3:$S$3,$A11,FY15RevToCollwoMapChg!$C$26:$S$26),0)</f>
        <v>3786411</v>
      </c>
      <c r="U11" s="153">
        <f>ROUND(SUMIF(FY15RevToColl!$C$3:$S$3,$A11,FY15RevToColl!$C$26:$S$26),0)</f>
        <v>3758788</v>
      </c>
      <c r="V11" s="153">
        <f t="shared" si="2"/>
        <v>-27623</v>
      </c>
      <c r="W11" s="153">
        <f t="shared" si="8"/>
        <v>300757</v>
      </c>
      <c r="X11" s="153">
        <f>ROUND(SUMIF(FY16ProjRevToColl0!$C$3:$S$3,$A11,FY16ProjRevToColl0!$C$26:$S$26),0)</f>
        <v>3964425</v>
      </c>
      <c r="Y11" s="153">
        <f t="shared" si="9"/>
        <v>205637</v>
      </c>
      <c r="Z11" s="153">
        <f>ROUND(SUMIF(FY16ProjRevToColl!$C$3:$S$3,$A11,FY16ProjRevToColl!$C$26:$S$26),0)</f>
        <v>3869422</v>
      </c>
      <c r="AA11" s="153">
        <f t="shared" si="10"/>
        <v>-95003</v>
      </c>
      <c r="AB11" s="153">
        <v>240865.34329947855</v>
      </c>
      <c r="AE11" s="153"/>
      <c r="AF11" s="153"/>
    </row>
    <row r="12" spans="1:32">
      <c r="A12" s="587">
        <v>268</v>
      </c>
      <c r="B12" t="s">
        <v>9</v>
      </c>
      <c r="C12" s="153">
        <v>9797630</v>
      </c>
      <c r="D12" s="153">
        <f>+ROUND(FY12ProjRevToColl!R10,0)</f>
        <v>9795482</v>
      </c>
      <c r="E12" s="153">
        <f t="shared" si="3"/>
        <v>-2148</v>
      </c>
      <c r="F12" s="153">
        <f>ROUND(FY12RevToColl!R10,0)</f>
        <v>9658982</v>
      </c>
      <c r="G12" s="153">
        <f t="shared" si="0"/>
        <v>-136500</v>
      </c>
      <c r="H12" s="153">
        <f>ROUND(FY13ProjRevToColl!W10,0)</f>
        <v>10929875</v>
      </c>
      <c r="I12" s="153">
        <f t="shared" si="4"/>
        <v>1270893</v>
      </c>
      <c r="J12" s="153">
        <f>ROUND(FY13RevToColl!W10,0)</f>
        <v>10795618</v>
      </c>
      <c r="K12" s="153">
        <f t="shared" si="5"/>
        <v>-134257</v>
      </c>
      <c r="L12" s="153"/>
      <c r="M12" s="153">
        <f>ROUND(SUMIF(FY14ProjRevToColl!$C$3:$S$3,$A12,FY14ProjRevToColl!$C$26:$S$26),0)</f>
        <v>11470616</v>
      </c>
      <c r="N12" s="153">
        <f t="shared" si="6"/>
        <v>674998</v>
      </c>
      <c r="O12" s="153">
        <f>ROUND(SUMIF(FY14RevToColl!$C$3:$S$3,$A12,FY14RevToColl!$C$26:$S$26),0)</f>
        <v>11447846</v>
      </c>
      <c r="P12" s="153">
        <f t="shared" si="7"/>
        <v>-22770</v>
      </c>
      <c r="Q12" s="153"/>
      <c r="R12" s="153">
        <f>ROUND(SUMIF(FY15ProjRevToColl!$C$3:$S$3,$A12,FY15ProjRevToColl!$C$26:$S$26),0)</f>
        <v>11397048</v>
      </c>
      <c r="S12" s="153">
        <f t="shared" si="1"/>
        <v>-50798</v>
      </c>
      <c r="T12" s="153">
        <f>ROUND(SUMIF(FY15RevToCollwoMapChg!$C$3:$S$3,$A12,FY15RevToCollwoMapChg!$C$26:$S$26),0)</f>
        <v>11358401</v>
      </c>
      <c r="U12" s="153">
        <f>ROUND(SUMIF(FY15RevToColl!$C$3:$S$3,$A12,FY15RevToColl!$C$26:$S$26),0)</f>
        <v>11357686</v>
      </c>
      <c r="V12" s="153">
        <f t="shared" si="2"/>
        <v>-715</v>
      </c>
      <c r="W12" s="153">
        <f t="shared" si="8"/>
        <v>-38647</v>
      </c>
      <c r="X12" s="153">
        <f>ROUND(SUMIF(FY16ProjRevToColl0!$C$3:$S$3,$A12,FY16ProjRevToColl0!$C$26:$S$26),0)</f>
        <v>11223250</v>
      </c>
      <c r="Y12" s="153">
        <f t="shared" si="9"/>
        <v>-134436</v>
      </c>
      <c r="Z12" s="153">
        <f>ROUND(SUMIF(FY16ProjRevToColl!$C$3:$S$3,$A12,FY16ProjRevToColl!$C$26:$S$26),0)</f>
        <v>11220670</v>
      </c>
      <c r="AA12" s="153">
        <f t="shared" si="10"/>
        <v>-2580</v>
      </c>
      <c r="AB12" s="153">
        <v>-148772.96039898627</v>
      </c>
      <c r="AE12" s="153"/>
      <c r="AF12" s="153"/>
    </row>
    <row r="13" spans="1:32">
      <c r="A13" s="587">
        <v>270</v>
      </c>
      <c r="B13" t="s">
        <v>5</v>
      </c>
      <c r="C13" s="153">
        <v>2899455</v>
      </c>
      <c r="D13" s="153">
        <f>+ROUND(FY12ProjRevToColl!R11,0)</f>
        <v>2898819</v>
      </c>
      <c r="E13" s="153">
        <f t="shared" si="3"/>
        <v>-636</v>
      </c>
      <c r="F13" s="153">
        <f>ROUND(FY12RevToColl!R11,0)</f>
        <v>3148777</v>
      </c>
      <c r="G13" s="153">
        <f t="shared" si="0"/>
        <v>249958</v>
      </c>
      <c r="H13" s="153">
        <f>ROUND(FY13ProjRevToColl!W11,0)</f>
        <v>3543125</v>
      </c>
      <c r="I13" s="153">
        <f t="shared" si="4"/>
        <v>394348</v>
      </c>
      <c r="J13" s="153">
        <f>ROUND(FY13RevToColl!W11,0)</f>
        <v>3808852</v>
      </c>
      <c r="K13" s="153">
        <f t="shared" si="5"/>
        <v>265727</v>
      </c>
      <c r="L13" s="153"/>
      <c r="M13" s="153">
        <f>ROUND(SUMIF(FY14ProjRevToColl!$C$3:$S$3,$A13,FY14ProjRevToColl!$C$26:$S$26),0)</f>
        <v>4059674</v>
      </c>
      <c r="N13" s="153">
        <f t="shared" si="6"/>
        <v>250822</v>
      </c>
      <c r="O13" s="153">
        <f>ROUND(SUMIF(FY14RevToColl!$C$3:$S$3,$A13,FY14RevToColl!$C$26:$S$26),0)</f>
        <v>3994626</v>
      </c>
      <c r="P13" s="153">
        <f t="shared" si="7"/>
        <v>-65048</v>
      </c>
      <c r="Q13" s="153"/>
      <c r="R13" s="153">
        <f>ROUND(SUMIF(FY15ProjRevToColl!$C$3:$S$3,$A13,FY15ProjRevToColl!$C$26:$S$26),0)</f>
        <v>4179627</v>
      </c>
      <c r="S13" s="153">
        <f t="shared" si="1"/>
        <v>185001</v>
      </c>
      <c r="T13" s="153">
        <f>ROUND(SUMIF(FY15RevToCollwoMapChg!$C$3:$S$3,$A13,FY15RevToCollwoMapChg!$C$26:$S$26),0)</f>
        <v>4021185</v>
      </c>
      <c r="U13" s="153">
        <f>ROUND(SUMIF(FY15RevToColl!$C$3:$S$3,$A13,FY15RevToColl!$C$26:$S$26),0)</f>
        <v>4020317</v>
      </c>
      <c r="V13" s="153">
        <f t="shared" si="2"/>
        <v>-868</v>
      </c>
      <c r="W13" s="153">
        <f t="shared" si="8"/>
        <v>-158442</v>
      </c>
      <c r="X13" s="153">
        <f>ROUND(SUMIF(FY16ProjRevToColl0!$C$3:$S$3,$A13,FY16ProjRevToColl0!$C$26:$S$26),0)</f>
        <v>4096889</v>
      </c>
      <c r="Y13" s="153">
        <f t="shared" si="9"/>
        <v>76572</v>
      </c>
      <c r="Z13" s="153">
        <f>ROUND(SUMIF(FY16ProjRevToColl!$C$3:$S$3,$A13,FY16ProjRevToColl!$C$26:$S$26),0)</f>
        <v>4096128</v>
      </c>
      <c r="AA13" s="153">
        <f t="shared" si="10"/>
        <v>-761</v>
      </c>
      <c r="AB13" s="153">
        <v>87148.256723161234</v>
      </c>
      <c r="AE13" s="153"/>
      <c r="AF13" s="153"/>
    </row>
    <row r="14" spans="1:32">
      <c r="A14" s="587">
        <v>272</v>
      </c>
      <c r="B14" t="s">
        <v>13</v>
      </c>
      <c r="C14" s="153">
        <v>3116869</v>
      </c>
      <c r="D14" s="153">
        <f>+ROUND(FY12ProjRevToColl!R12,0)</f>
        <v>3116185</v>
      </c>
      <c r="E14" s="153">
        <f t="shared" si="3"/>
        <v>-684</v>
      </c>
      <c r="F14" s="153">
        <f>ROUND(FY12RevToColl!R12,0)</f>
        <v>3506798</v>
      </c>
      <c r="G14" s="153">
        <f t="shared" si="0"/>
        <v>390613</v>
      </c>
      <c r="H14" s="153">
        <f>ROUND(FY13ProjRevToColl!W12,0)</f>
        <v>3815768</v>
      </c>
      <c r="I14" s="153">
        <f t="shared" si="4"/>
        <v>308970</v>
      </c>
      <c r="J14" s="153">
        <f>ROUND(FY13RevToColl!W12,0)</f>
        <v>3575084</v>
      </c>
      <c r="K14" s="153">
        <f t="shared" si="5"/>
        <v>-240684</v>
      </c>
      <c r="L14" s="153"/>
      <c r="M14" s="153">
        <f>ROUND(SUMIF(FY14ProjRevToColl!$C$3:$S$3,$A14,FY14ProjRevToColl!$C$26:$S$26),0)</f>
        <v>3734499</v>
      </c>
      <c r="N14" s="153">
        <f t="shared" si="6"/>
        <v>159415</v>
      </c>
      <c r="O14" s="153">
        <f>ROUND(SUMIF(FY14RevToColl!$C$3:$S$3,$A14,FY14RevToColl!$C$26:$S$26),0)</f>
        <v>3905246</v>
      </c>
      <c r="P14" s="153">
        <f t="shared" si="7"/>
        <v>170747</v>
      </c>
      <c r="Q14" s="153"/>
      <c r="R14" s="153">
        <f>ROUND(SUMIF(FY15ProjRevToColl!$C$3:$S$3,$A14,FY15ProjRevToColl!$C$26:$S$26),0)</f>
        <v>4073487</v>
      </c>
      <c r="S14" s="153">
        <f t="shared" si="1"/>
        <v>168241</v>
      </c>
      <c r="T14" s="153">
        <f>ROUND(SUMIF(FY15RevToCollwoMapChg!$C$3:$S$3,$A14,FY15RevToCollwoMapChg!$C$26:$S$26),0)</f>
        <v>4194460</v>
      </c>
      <c r="U14" s="153">
        <f>ROUND(SUMIF(FY15RevToColl!$C$3:$S$3,$A14,FY15RevToColl!$C$26:$S$26),0)</f>
        <v>4184979</v>
      </c>
      <c r="V14" s="153">
        <f t="shared" si="2"/>
        <v>-9481</v>
      </c>
      <c r="W14" s="153">
        <f t="shared" si="8"/>
        <v>120973</v>
      </c>
      <c r="X14" s="153">
        <f>ROUND(SUMIF(FY16ProjRevToColl0!$C$3:$S$3,$A14,FY16ProjRevToColl0!$C$26:$S$26),0)</f>
        <v>4301951</v>
      </c>
      <c r="Y14" s="153">
        <f t="shared" si="9"/>
        <v>116972</v>
      </c>
      <c r="Z14" s="153">
        <f>ROUND(SUMIF(FY16ProjRevToColl!$C$3:$S$3,$A14,FY16ProjRevToColl!$C$26:$S$26),0)</f>
        <v>4274211</v>
      </c>
      <c r="AA14" s="153">
        <f t="shared" si="10"/>
        <v>-27740</v>
      </c>
      <c r="AB14" s="153">
        <v>17379.322833167404</v>
      </c>
      <c r="AE14" s="153"/>
      <c r="AF14" s="153"/>
    </row>
    <row r="15" spans="1:32">
      <c r="A15" s="587">
        <v>302</v>
      </c>
      <c r="B15" t="s">
        <v>8</v>
      </c>
      <c r="C15" s="153">
        <v>3880328</v>
      </c>
      <c r="D15" s="153">
        <f>+ROUND(FY12ProjRevToColl!R13,0)</f>
        <v>3879477</v>
      </c>
      <c r="E15" s="153">
        <f t="shared" si="3"/>
        <v>-851</v>
      </c>
      <c r="F15" s="153">
        <f>ROUND(FY12RevToColl!R13,0)</f>
        <v>4323968</v>
      </c>
      <c r="G15" s="153">
        <f t="shared" si="0"/>
        <v>444491</v>
      </c>
      <c r="H15" s="153">
        <f>ROUND(FY13ProjRevToColl!W13,0)</f>
        <v>5085228</v>
      </c>
      <c r="I15" s="153">
        <f t="shared" si="4"/>
        <v>761260</v>
      </c>
      <c r="J15" s="153">
        <f>ROUND(FY13RevToColl!W13,0)</f>
        <v>4990434</v>
      </c>
      <c r="K15" s="153">
        <f t="shared" si="5"/>
        <v>-94794</v>
      </c>
      <c r="L15" s="153"/>
      <c r="M15" s="153">
        <f>ROUND(SUMIF(FY14ProjRevToColl!$C$3:$S$3,$A15,FY14ProjRevToColl!$C$26:$S$26),0)</f>
        <v>5648317</v>
      </c>
      <c r="N15" s="153">
        <f t="shared" si="6"/>
        <v>657883</v>
      </c>
      <c r="O15" s="153">
        <f>ROUND(SUMIF(FY14RevToColl!$C$3:$S$3,$A15,FY14RevToColl!$C$26:$S$26),0)</f>
        <v>5789373</v>
      </c>
      <c r="P15" s="153">
        <f t="shared" si="7"/>
        <v>141056</v>
      </c>
      <c r="Q15" s="153"/>
      <c r="R15" s="153">
        <f>ROUND(SUMIF(FY15ProjRevToColl!$C$3:$S$3,$A15,FY15ProjRevToColl!$C$26:$S$26),0)</f>
        <v>6390407</v>
      </c>
      <c r="S15" s="153">
        <f t="shared" si="1"/>
        <v>601034</v>
      </c>
      <c r="T15" s="153">
        <f>ROUND(SUMIF(FY15RevToCollwoMapChg!$C$3:$S$3,$A15,FY15RevToCollwoMapChg!$C$26:$S$26),0)</f>
        <v>6468427</v>
      </c>
      <c r="U15" s="153">
        <f>ROUND(SUMIF(FY15RevToColl!$C$3:$S$3,$A15,FY15RevToColl!$C$26:$S$26),0)</f>
        <v>6468366</v>
      </c>
      <c r="V15" s="153">
        <f t="shared" si="2"/>
        <v>-61</v>
      </c>
      <c r="W15" s="153">
        <f t="shared" si="8"/>
        <v>78020</v>
      </c>
      <c r="X15" s="153">
        <f>ROUND(SUMIF(FY16ProjRevToColl0!$C$3:$S$3,$A15,FY16ProjRevToColl0!$C$26:$S$26),0)</f>
        <v>6991952</v>
      </c>
      <c r="Y15" s="153">
        <f t="shared" si="9"/>
        <v>523586</v>
      </c>
      <c r="Z15" s="153">
        <f>ROUND(SUMIF(FY16ProjRevToColl!$C$3:$S$3,$A15,FY16ProjRevToColl!$C$26:$S$26),0)</f>
        <v>6991692</v>
      </c>
      <c r="AA15" s="153">
        <f t="shared" si="10"/>
        <v>-260</v>
      </c>
      <c r="AB15" s="153">
        <v>-459738.26651076163</v>
      </c>
      <c r="AE15" s="153"/>
      <c r="AF15" s="153"/>
    </row>
    <row r="16" spans="1:32">
      <c r="A16" s="587">
        <v>304</v>
      </c>
      <c r="B16" t="s">
        <v>10</v>
      </c>
      <c r="C16" s="153">
        <v>19164343</v>
      </c>
      <c r="D16" s="153">
        <f>+ROUND(FY12ProjRevToColl!R14,0)</f>
        <v>19160141</v>
      </c>
      <c r="E16" s="153">
        <f t="shared" si="3"/>
        <v>-4202</v>
      </c>
      <c r="F16" s="153">
        <f>ROUND(FY12RevToColl!R14,0)</f>
        <v>19561178</v>
      </c>
      <c r="G16" s="153">
        <f t="shared" si="0"/>
        <v>401037</v>
      </c>
      <c r="H16" s="153">
        <f>ROUND(FY13ProjRevToColl!W14,0)</f>
        <v>21585807</v>
      </c>
      <c r="I16" s="153">
        <f t="shared" si="4"/>
        <v>2024629</v>
      </c>
      <c r="J16" s="153">
        <f>ROUND(FY13RevToColl!W14,0)</f>
        <v>21110446</v>
      </c>
      <c r="K16" s="153">
        <f t="shared" si="5"/>
        <v>-475361</v>
      </c>
      <c r="L16" s="153"/>
      <c r="M16" s="153">
        <f>ROUND(SUMIF(FY14ProjRevToColl!$C$3:$S$3,$A16,FY14ProjRevToColl!$C$26:$S$26),0)</f>
        <v>22041764</v>
      </c>
      <c r="N16" s="153">
        <f t="shared" si="6"/>
        <v>931318</v>
      </c>
      <c r="O16" s="153">
        <f>ROUND(SUMIF(FY14RevToColl!$C$3:$S$3,$A16,FY14RevToColl!$C$26:$S$26),0)</f>
        <v>21760497</v>
      </c>
      <c r="P16" s="153">
        <f t="shared" si="7"/>
        <v>-281267</v>
      </c>
      <c r="Q16" s="153"/>
      <c r="R16" s="153">
        <f>ROUND(SUMIF(FY15ProjRevToColl!$C$3:$S$3,$A16,FY15ProjRevToColl!$C$26:$S$26),0)</f>
        <v>22879841</v>
      </c>
      <c r="S16" s="153">
        <f t="shared" si="1"/>
        <v>1119344</v>
      </c>
      <c r="T16" s="153">
        <f>ROUND(SUMIF(FY15RevToCollwoMapChg!$C$3:$S$3,$A16,FY15RevToCollwoMapChg!$C$26:$S$26),0)</f>
        <v>23794997</v>
      </c>
      <c r="U16" s="153">
        <f>ROUND(SUMIF(FY15RevToColl!$C$3:$S$3,$A16,FY15RevToColl!$C$26:$S$26),0)</f>
        <v>24523152</v>
      </c>
      <c r="V16" s="153">
        <f t="shared" si="2"/>
        <v>728155</v>
      </c>
      <c r="W16" s="153">
        <f t="shared" si="8"/>
        <v>915156</v>
      </c>
      <c r="X16" s="153">
        <f>ROUND(SUMIF(FY16ProjRevToColl0!$C$3:$S$3,$A16,FY16ProjRevToColl0!$C$26:$S$26),0)</f>
        <v>25492140</v>
      </c>
      <c r="Y16" s="153">
        <f t="shared" si="9"/>
        <v>968988</v>
      </c>
      <c r="Z16" s="153">
        <f>ROUND(SUMIF(FY16ProjRevToColl!$C$3:$S$3,$A16,FY16ProjRevToColl!$C$26:$S$26),0)</f>
        <v>25296748</v>
      </c>
      <c r="AA16" s="153">
        <f t="shared" si="10"/>
        <v>-195392</v>
      </c>
      <c r="AB16" s="153">
        <v>506020.9926212572</v>
      </c>
      <c r="AE16" s="153"/>
      <c r="AF16" s="153"/>
    </row>
    <row r="17" spans="1:32">
      <c r="A17" s="587">
        <v>306</v>
      </c>
      <c r="B17" t="s">
        <v>11</v>
      </c>
      <c r="C17" s="153">
        <v>3680427</v>
      </c>
      <c r="D17" s="153">
        <f>+ROUND(FY12ProjRevToColl!R15,0)</f>
        <v>3679620</v>
      </c>
      <c r="E17" s="153">
        <f t="shared" si="3"/>
        <v>-807</v>
      </c>
      <c r="F17" s="153">
        <f>ROUND(FY12RevToColl!R15,0)</f>
        <v>3758331</v>
      </c>
      <c r="G17" s="153">
        <f t="shared" si="0"/>
        <v>78711</v>
      </c>
      <c r="H17" s="153">
        <f>ROUND(FY13ProjRevToColl!W15,0)</f>
        <v>4042674</v>
      </c>
      <c r="I17" s="153">
        <f t="shared" si="4"/>
        <v>284343</v>
      </c>
      <c r="J17" s="153">
        <f>ROUND(FY13RevToColl!W15,0)</f>
        <v>4069542</v>
      </c>
      <c r="K17" s="153">
        <f t="shared" si="5"/>
        <v>26868</v>
      </c>
      <c r="L17" s="153"/>
      <c r="M17" s="153">
        <f>ROUND(SUMIF(FY14ProjRevToColl!$C$3:$S$3,$A17,FY14ProjRevToColl!$C$26:$S$26),0)</f>
        <v>4219997</v>
      </c>
      <c r="N17" s="153">
        <f t="shared" si="6"/>
        <v>150455</v>
      </c>
      <c r="O17" s="153">
        <f>ROUND(SUMIF(FY14RevToColl!$C$3:$S$3,$A17,FY14RevToColl!$C$26:$S$26),0)</f>
        <v>4202909</v>
      </c>
      <c r="P17" s="153">
        <f t="shared" si="7"/>
        <v>-17088</v>
      </c>
      <c r="Q17" s="153"/>
      <c r="R17" s="153">
        <f>ROUND(SUMIF(FY15ProjRevToColl!$C$3:$S$3,$A17,FY15ProjRevToColl!$C$26:$S$26),0)</f>
        <v>4455832</v>
      </c>
      <c r="S17" s="153">
        <f t="shared" si="1"/>
        <v>252923</v>
      </c>
      <c r="T17" s="153">
        <f>ROUND(SUMIF(FY15RevToCollwoMapChg!$C$3:$S$3,$A17,FY15RevToCollwoMapChg!$C$26:$S$26),0)</f>
        <v>4723417</v>
      </c>
      <c r="U17" s="153">
        <f>ROUND(SUMIF(FY15RevToColl!$C$3:$S$3,$A17,FY15RevToColl!$C$26:$S$26),0)</f>
        <v>4696670</v>
      </c>
      <c r="V17" s="153">
        <f t="shared" si="2"/>
        <v>-26747</v>
      </c>
      <c r="W17" s="153">
        <f t="shared" si="8"/>
        <v>267585</v>
      </c>
      <c r="X17" s="153">
        <f>ROUND(SUMIF(FY16ProjRevToColl0!$C$3:$S$3,$A17,FY16ProjRevToColl0!$C$26:$S$26),0)</f>
        <v>4890909</v>
      </c>
      <c r="Y17" s="153">
        <f t="shared" si="9"/>
        <v>194239</v>
      </c>
      <c r="Z17" s="153">
        <f>ROUND(SUMIF(FY16ProjRevToColl!$C$3:$S$3,$A17,FY16ProjRevToColl!$C$26:$S$26),0)</f>
        <v>4804425</v>
      </c>
      <c r="AA17" s="153">
        <f t="shared" si="10"/>
        <v>-86484</v>
      </c>
      <c r="AB17" s="153">
        <v>167912.60352321921</v>
      </c>
      <c r="AE17" s="153"/>
      <c r="AF17" s="153"/>
    </row>
    <row r="18" spans="1:32">
      <c r="A18" s="587">
        <v>308</v>
      </c>
      <c r="B18" t="s">
        <v>12</v>
      </c>
      <c r="C18" s="153">
        <v>4404148</v>
      </c>
      <c r="D18" s="153">
        <f>+ROUND(FY12ProjRevToColl!R16,0)</f>
        <v>4403182</v>
      </c>
      <c r="E18" s="153">
        <f t="shared" si="3"/>
        <v>-966</v>
      </c>
      <c r="F18" s="153">
        <f>ROUND(FY12RevToColl!R16,0)</f>
        <v>4622575</v>
      </c>
      <c r="G18" s="153">
        <f t="shared" si="0"/>
        <v>219393</v>
      </c>
      <c r="H18" s="153">
        <f>ROUND(FY13ProjRevToColl!W16,0)</f>
        <v>5950387</v>
      </c>
      <c r="I18" s="153">
        <f t="shared" si="4"/>
        <v>1327812</v>
      </c>
      <c r="J18" s="153">
        <f>ROUND(FY13RevToColl!W16,0)</f>
        <v>5555566</v>
      </c>
      <c r="K18" s="153">
        <f t="shared" si="5"/>
        <v>-394821</v>
      </c>
      <c r="L18" s="153"/>
      <c r="M18" s="153">
        <f>ROUND(SUMIF(FY14ProjRevToColl!$C$3:$S$3,$A18,FY14ProjRevToColl!$C$26:$S$26),0)</f>
        <v>6032912</v>
      </c>
      <c r="N18" s="153">
        <f t="shared" si="6"/>
        <v>477346</v>
      </c>
      <c r="O18" s="153">
        <f>ROUND(SUMIF(FY14RevToColl!$C$3:$S$3,$A18,FY14RevToColl!$C$26:$S$26),0)</f>
        <v>6631532</v>
      </c>
      <c r="P18" s="153">
        <f t="shared" si="7"/>
        <v>598620</v>
      </c>
      <c r="Q18" s="153"/>
      <c r="R18" s="153">
        <f>ROUND(SUMIF(FY15ProjRevToColl!$C$3:$S$3,$A18,FY15ProjRevToColl!$C$26:$S$26),0)</f>
        <v>6937351</v>
      </c>
      <c r="S18" s="153">
        <f t="shared" si="1"/>
        <v>305819</v>
      </c>
      <c r="T18" s="153">
        <f>ROUND(SUMIF(FY15RevToCollwoMapChg!$C$3:$S$3,$A18,FY15RevToCollwoMapChg!$C$26:$S$26),0)</f>
        <v>6859377</v>
      </c>
      <c r="U18" s="153">
        <f>ROUND(SUMIF(FY15RevToColl!$C$3:$S$3,$A18,FY15RevToColl!$C$26:$S$26),0)</f>
        <v>6857978</v>
      </c>
      <c r="V18" s="153">
        <f t="shared" si="2"/>
        <v>-1399</v>
      </c>
      <c r="W18" s="153">
        <f t="shared" si="8"/>
        <v>-77974</v>
      </c>
      <c r="X18" s="153">
        <f>ROUND(SUMIF(FY16ProjRevToColl0!$C$3:$S$3,$A18,FY16ProjRevToColl0!$C$26:$S$26),0)</f>
        <v>6937145</v>
      </c>
      <c r="Y18" s="153">
        <f t="shared" si="9"/>
        <v>79167</v>
      </c>
      <c r="Z18" s="153">
        <f>ROUND(SUMIF(FY16ProjRevToColl!$C$3:$S$3,$A18,FY16ProjRevToColl!$C$26:$S$26),0)</f>
        <v>6935650</v>
      </c>
      <c r="AA18" s="153">
        <f t="shared" si="10"/>
        <v>-1495</v>
      </c>
      <c r="AB18" s="153">
        <v>157375.86728274674</v>
      </c>
      <c r="AE18" s="153"/>
      <c r="AF18" s="153"/>
    </row>
    <row r="19" spans="1:32">
      <c r="A19" s="587">
        <v>310</v>
      </c>
      <c r="B19" t="s">
        <v>7</v>
      </c>
      <c r="C19" s="153">
        <v>5106698</v>
      </c>
      <c r="D19" s="153">
        <f>+ROUND(FY12ProjRevToColl!R17,0)</f>
        <v>5105579</v>
      </c>
      <c r="E19" s="153">
        <f t="shared" si="3"/>
        <v>-1119</v>
      </c>
      <c r="F19" s="153">
        <f>ROUND(FY12RevToColl!R17,0)</f>
        <v>5076971</v>
      </c>
      <c r="G19" s="153">
        <f t="shared" si="0"/>
        <v>-28608</v>
      </c>
      <c r="H19" s="153">
        <f>ROUND(FY13ProjRevToColl!W17,0)</f>
        <v>6426968</v>
      </c>
      <c r="I19" s="153">
        <f t="shared" si="4"/>
        <v>1349997</v>
      </c>
      <c r="J19" s="153">
        <f>ROUND(FY13RevToColl!W17,0)</f>
        <v>6848874</v>
      </c>
      <c r="K19" s="153">
        <f t="shared" si="5"/>
        <v>421906</v>
      </c>
      <c r="L19" s="153"/>
      <c r="M19" s="153">
        <f>ROUND(SUMIF(FY14ProjRevToColl!$C$3:$S$3,$A19,FY14ProjRevToColl!$C$26:$S$26),0)</f>
        <v>7116189</v>
      </c>
      <c r="N19" s="153">
        <f t="shared" si="6"/>
        <v>267315</v>
      </c>
      <c r="O19" s="153">
        <f>ROUND(SUMIF(FY14RevToColl!$C$3:$S$3,$A19,FY14RevToColl!$C$26:$S$26),0)</f>
        <v>6645629</v>
      </c>
      <c r="P19" s="153">
        <f t="shared" si="7"/>
        <v>-470560</v>
      </c>
      <c r="Q19" s="153"/>
      <c r="R19" s="153">
        <f>ROUND(SUMIF(FY15ProjRevToColl!$C$3:$S$3,$A19,FY15ProjRevToColl!$C$26:$S$26),0)</f>
        <v>6994658</v>
      </c>
      <c r="S19" s="153">
        <f t="shared" si="1"/>
        <v>349029</v>
      </c>
      <c r="T19" s="153">
        <f>ROUND(SUMIF(FY15RevToCollwoMapChg!$C$3:$S$3,$A19,FY15RevToCollwoMapChg!$C$26:$S$26),0)</f>
        <v>8627001</v>
      </c>
      <c r="U19" s="153">
        <f>ROUND(SUMIF(FY15RevToColl!$C$3:$S$3,$A19,FY15RevToColl!$C$26:$S$26),0)</f>
        <v>8585080</v>
      </c>
      <c r="V19" s="153">
        <f t="shared" si="2"/>
        <v>-41921</v>
      </c>
      <c r="W19" s="153">
        <f t="shared" si="8"/>
        <v>1632343</v>
      </c>
      <c r="X19" s="153">
        <f>ROUND(SUMIF(FY16ProjRevToColl0!$C$3:$S$3,$A19,FY16ProjRevToColl0!$C$26:$S$26),0)</f>
        <v>9001939</v>
      </c>
      <c r="Y19" s="153">
        <f t="shared" si="9"/>
        <v>416859</v>
      </c>
      <c r="Z19" s="153">
        <f>ROUND(SUMIF(FY16ProjRevToColl!$C$3:$S$3,$A19,FY16ProjRevToColl!$C$26:$S$26),0)</f>
        <v>8867503</v>
      </c>
      <c r="AA19" s="153">
        <f t="shared" si="10"/>
        <v>-134436</v>
      </c>
      <c r="AB19" s="153">
        <v>55054.259874004187</v>
      </c>
      <c r="AE19" s="153"/>
      <c r="AF19" s="153"/>
    </row>
    <row r="20" spans="1:32">
      <c r="A20" s="587">
        <v>266</v>
      </c>
      <c r="B20" t="s">
        <v>15</v>
      </c>
      <c r="C20" s="153">
        <v>2595732</v>
      </c>
      <c r="D20" s="153">
        <f>+ROUND(FY12ProjRevToColl!R19,0)</f>
        <v>2595163</v>
      </c>
      <c r="E20" s="153">
        <f t="shared" si="3"/>
        <v>-569</v>
      </c>
      <c r="F20" s="153">
        <f>ROUND(FY12RevToColl!R18,0)</f>
        <v>2936802</v>
      </c>
      <c r="G20" s="153">
        <f t="shared" si="0"/>
        <v>341639</v>
      </c>
      <c r="H20" s="153">
        <f>ROUND(FY13ProjRevToColl!W19,0)</f>
        <v>2486920</v>
      </c>
      <c r="I20" s="153">
        <f t="shared" si="4"/>
        <v>-449882</v>
      </c>
      <c r="J20" s="153">
        <f>ROUND(FY13RevToColl!W19,0)</f>
        <v>2346541</v>
      </c>
      <c r="K20" s="153">
        <f t="shared" si="5"/>
        <v>-140379</v>
      </c>
      <c r="L20" s="153">
        <f>+FY13TrueUp!W19</f>
        <v>-140379.12192683748</v>
      </c>
      <c r="M20" s="153">
        <f>ROUND(SUMIF(FY14ProjRevToColl!$C$3:$S$3,$A20,FY14ProjRevToColl!$C$26:$S$26),0)</f>
        <v>2418496</v>
      </c>
      <c r="N20" s="153">
        <f t="shared" si="6"/>
        <v>71955</v>
      </c>
      <c r="O20" s="153">
        <f>ROUND(SUMIF(FY14RevToColl!$C$3:$S$3,$A20,FY14RevToColl!$C$26:$S$26),0)</f>
        <v>2316566</v>
      </c>
      <c r="P20" s="153">
        <f t="shared" si="7"/>
        <v>-101930</v>
      </c>
      <c r="Q20" s="153">
        <f>+FY14TrueUp!S26</f>
        <v>-101929.70142152235</v>
      </c>
      <c r="R20" s="153">
        <f>ROUND(SUMIF(FY15ProjRevToColl!$C$3:$S$3,$A20,FY15ProjRevToColl!$C$26:$S$26),0)</f>
        <v>2449451</v>
      </c>
      <c r="S20" s="153">
        <f t="shared" si="1"/>
        <v>132885</v>
      </c>
      <c r="T20" s="153">
        <f>ROUND(SUMIF(FY15RevToCollwoMapChg!$C$3:$S$3,$A20,FY15RevToCollwoMapChg!$C$26:$S$26),0)</f>
        <v>2123812</v>
      </c>
      <c r="U20" s="153">
        <f>ROUND(SUMIF(FY15RevToColl!$C$3:$S$3,$A20,FY15RevToColl!$C$26:$S$26),0)-2</f>
        <v>1284169</v>
      </c>
      <c r="V20" s="153">
        <f>+U20-T20</f>
        <v>-839643</v>
      </c>
      <c r="W20" s="153">
        <f t="shared" si="8"/>
        <v>-325639</v>
      </c>
      <c r="X20" s="153">
        <f>ROUND(SUMIF(FY16ProjRevToColl0!$C$3:$S$3,$A20,FY16ProjRevToColl0!$C$26:$S$26),0)</f>
        <v>1280144</v>
      </c>
      <c r="Y20" s="153">
        <f t="shared" si="9"/>
        <v>-4025</v>
      </c>
      <c r="Z20" s="153">
        <f>ROUND(SUMIF(FY16ProjRevToColl!$C$3:$S$3,$A20,FY16ProjRevToColl!$C$26:$S$26),0)</f>
        <v>1279088</v>
      </c>
      <c r="AA20" s="153">
        <f t="shared" si="10"/>
        <v>-1056</v>
      </c>
      <c r="AB20" s="153">
        <v>-45268.368609656318</v>
      </c>
      <c r="AE20" s="153"/>
      <c r="AF20" s="153"/>
    </row>
    <row r="21" spans="1:32">
      <c r="A21" s="587">
        <v>282</v>
      </c>
      <c r="B21" t="s">
        <v>16</v>
      </c>
      <c r="C21" s="153">
        <v>3083503</v>
      </c>
      <c r="D21" s="153">
        <f>+ROUND(FY12ProjRevToColl!R18,0)</f>
        <v>3082827</v>
      </c>
      <c r="E21" s="153">
        <f t="shared" si="3"/>
        <v>-676</v>
      </c>
      <c r="F21" s="153">
        <f>ROUND(FY12RevToColl!R19,0)</f>
        <v>2334553</v>
      </c>
      <c r="G21" s="153">
        <f t="shared" si="0"/>
        <v>-748274</v>
      </c>
      <c r="H21" s="153">
        <f>ROUND(FY13ProjRevToColl!W18,0)</f>
        <v>3136681</v>
      </c>
      <c r="I21" s="153">
        <f t="shared" si="4"/>
        <v>802128</v>
      </c>
      <c r="J21" s="153">
        <f>ROUND(FY13RevToColl!W18,0)</f>
        <v>2365969</v>
      </c>
      <c r="K21" s="153">
        <f t="shared" si="5"/>
        <v>-770712</v>
      </c>
      <c r="L21" s="153">
        <f>+FY13TrueUp!W18</f>
        <v>-770712.20329359884</v>
      </c>
      <c r="M21" s="153">
        <f>ROUND(SUMIF(FY14ProjRevToColl!$C$3:$S$3,$A21,FY14ProjRevToColl!$C$26:$S$26),0)</f>
        <v>2386752</v>
      </c>
      <c r="N21" s="153">
        <f t="shared" si="6"/>
        <v>20783</v>
      </c>
      <c r="O21" s="153">
        <f>ROUND(SUMIF(FY14RevToColl!$C$3:$S$3,$A21,FY14RevToColl!$C$26:$S$26),0)</f>
        <v>2138584</v>
      </c>
      <c r="P21" s="153">
        <f t="shared" si="7"/>
        <v>-248168</v>
      </c>
      <c r="Q21" s="153">
        <f>+FY14TrueUp!R26</f>
        <v>-248168.13195091553</v>
      </c>
      <c r="R21" s="153">
        <f>ROUND(SUMIF(FY15ProjRevToColl!$C$3:$S$3,$A21,FY15ProjRevToColl!$C$26:$S$26),0)</f>
        <v>2253678</v>
      </c>
      <c r="S21" s="153">
        <f t="shared" si="1"/>
        <v>115094</v>
      </c>
      <c r="T21" s="153">
        <f>ROUND(SUMIF(FY15RevToCollwoMapChg!$C$3:$S$3,$A21,FY15RevToCollwoMapChg!$C$26:$S$26),0)</f>
        <v>2395828</v>
      </c>
      <c r="U21" s="153">
        <f>ROUND(SUMIF(FY15RevToColl!$C$3:$S$3,$A21,FY15RevToColl!$C$26:$S$26),0)-1</f>
        <v>2380455</v>
      </c>
      <c r="V21" s="153">
        <f>+U21-T21</f>
        <v>-15373</v>
      </c>
      <c r="W21" s="153">
        <f t="shared" si="8"/>
        <v>142150</v>
      </c>
      <c r="X21" s="153">
        <f>ROUND(SUMIF(FY16ProjRevToColl0!$C$3:$S$3,$A21,FY16ProjRevToColl0!$C$26:$S$26),0)</f>
        <v>2514064</v>
      </c>
      <c r="Y21" s="153">
        <f t="shared" si="9"/>
        <v>133609</v>
      </c>
      <c r="Z21" s="153">
        <f>ROUND(SUMIF(FY16ProjRevToColl!$C$3:$S$3,$A21,FY16ProjRevToColl!$C$26:$S$26),0)</f>
        <v>2449345</v>
      </c>
      <c r="AA21" s="153">
        <f t="shared" si="10"/>
        <v>-64719</v>
      </c>
      <c r="AB21" s="153">
        <v>-94981.942640111127</v>
      </c>
      <c r="AE21" s="153"/>
      <c r="AF21" s="153"/>
    </row>
    <row r="22" spans="1:32" s="32" customFormat="1">
      <c r="A22" s="588">
        <v>500</v>
      </c>
      <c r="B22" s="32" t="s">
        <v>260</v>
      </c>
      <c r="C22" s="153">
        <v>30515557</v>
      </c>
      <c r="D22" s="153">
        <f>+ROUND(FY12ProjRev!D20,0)</f>
        <v>30508867</v>
      </c>
      <c r="E22" s="153">
        <f t="shared" si="3"/>
        <v>-6690</v>
      </c>
      <c r="F22" s="153">
        <f>ROUND(FY12Revenue!C20,0)</f>
        <v>32022716</v>
      </c>
      <c r="G22" s="153">
        <f t="shared" si="0"/>
        <v>1513849</v>
      </c>
      <c r="H22" s="153">
        <f>ROUND(FY13ProjRev!C25,0)</f>
        <v>37238002</v>
      </c>
      <c r="I22" s="153">
        <f t="shared" si="4"/>
        <v>5215286</v>
      </c>
      <c r="J22" s="153">
        <f>ROUND(FY13Revenue!E25,0)</f>
        <v>39982807</v>
      </c>
      <c r="K22" s="153">
        <f t="shared" si="5"/>
        <v>2744805</v>
      </c>
      <c r="L22" s="153"/>
      <c r="M22" s="153">
        <f>ROUND(FY14ProjRev!J31,0)</f>
        <v>43958848</v>
      </c>
      <c r="N22" s="153">
        <f t="shared" si="6"/>
        <v>3976041</v>
      </c>
      <c r="O22" s="153">
        <f>ROUND(FY14Revenue!H26,0)</f>
        <v>45166679</v>
      </c>
      <c r="P22" s="153">
        <f t="shared" si="7"/>
        <v>1207831</v>
      </c>
      <c r="Q22" s="153"/>
      <c r="R22" s="153">
        <f>ROUND(FY15ProjRev!I26,0)</f>
        <v>50034545</v>
      </c>
      <c r="S22" s="153">
        <f t="shared" si="1"/>
        <v>4867866</v>
      </c>
      <c r="T22" s="153">
        <f>ROUND(FY15Revenue!G26,0)</f>
        <v>49605621</v>
      </c>
      <c r="U22" s="153">
        <f>ROUND(FY15Revenue!G26,0)</f>
        <v>49605621</v>
      </c>
      <c r="V22" s="153">
        <f>+U22-T22</f>
        <v>0</v>
      </c>
      <c r="W22" s="153">
        <f t="shared" si="8"/>
        <v>-428924</v>
      </c>
      <c r="X22" s="153">
        <f>ROUND(FY16ProjRev0!H26,0)</f>
        <v>53950019</v>
      </c>
      <c r="Y22" s="153">
        <f t="shared" si="9"/>
        <v>4344398</v>
      </c>
      <c r="Z22" s="153">
        <f>ROUND(FY16ProjRev!H26,0)</f>
        <v>52116007</v>
      </c>
      <c r="AA22" s="153">
        <f t="shared" si="10"/>
        <v>-1834012</v>
      </c>
      <c r="AB22" s="153">
        <f>+FY16ProjRevAut15!K25</f>
        <v>-688878.49831839651</v>
      </c>
      <c r="AC22"/>
      <c r="AD22"/>
      <c r="AE22" s="153"/>
      <c r="AF22" s="153"/>
    </row>
    <row r="23" spans="1:32" s="32" customFormat="1">
      <c r="A23" s="588">
        <v>600</v>
      </c>
      <c r="B23" s="32" t="s">
        <v>261</v>
      </c>
      <c r="C23" s="153">
        <v>29798042</v>
      </c>
      <c r="D23" s="153">
        <f>+ROUND(FY12ProjRev!D21,0)</f>
        <v>29791509</v>
      </c>
      <c r="E23" s="153">
        <f t="shared" si="3"/>
        <v>-6533</v>
      </c>
      <c r="F23" s="153">
        <f>ROUND(FY12Revenue!C21,0)</f>
        <v>30312583</v>
      </c>
      <c r="G23" s="153">
        <f t="shared" si="0"/>
        <v>521074</v>
      </c>
      <c r="H23" s="153">
        <f>ROUND(FY13ProjRev!C26,0)</f>
        <v>35351184</v>
      </c>
      <c r="I23" s="153">
        <f t="shared" si="4"/>
        <v>5038601</v>
      </c>
      <c r="J23" s="153">
        <f>ROUND(FY13Revenue!E26,0)</f>
        <v>37329891</v>
      </c>
      <c r="K23" s="153">
        <f t="shared" si="5"/>
        <v>1978707</v>
      </c>
      <c r="L23" s="153"/>
      <c r="M23" s="153">
        <f>ROUND(FY14ProjRev!J32,0)</f>
        <v>40214916</v>
      </c>
      <c r="N23" s="153">
        <f t="shared" si="6"/>
        <v>2885025</v>
      </c>
      <c r="O23" s="153">
        <f>ROUND(FY14Revenue!H27,0)</f>
        <v>41073534</v>
      </c>
      <c r="P23" s="153">
        <f t="shared" si="7"/>
        <v>858618</v>
      </c>
      <c r="Q23" s="153"/>
      <c r="R23" s="153">
        <f>ROUND(FY15ProjRev!I27,0)</f>
        <v>44535187</v>
      </c>
      <c r="S23" s="153">
        <f t="shared" si="1"/>
        <v>3461653</v>
      </c>
      <c r="T23" s="153">
        <f>ROUND(FY15Revenue!G27,0)</f>
        <v>43205852</v>
      </c>
      <c r="U23" s="153">
        <f>ROUND(FY15Revenue!G27,0)</f>
        <v>43205852</v>
      </c>
      <c r="V23" s="153">
        <f>+U23-T23</f>
        <v>0</v>
      </c>
      <c r="W23" s="153">
        <f t="shared" si="8"/>
        <v>-1329335</v>
      </c>
      <c r="X23" s="153">
        <f>ROUND(FY16ProjRev0!H27,0)</f>
        <v>45430709</v>
      </c>
      <c r="Y23" s="153">
        <f t="shared" si="9"/>
        <v>2224857</v>
      </c>
      <c r="Z23" s="153">
        <f>ROUND(FY16ProjRev!H27,0)</f>
        <v>43882602</v>
      </c>
      <c r="AA23" s="153">
        <f t="shared" si="10"/>
        <v>-1548107</v>
      </c>
      <c r="AB23" s="153">
        <f>+FY16ProjRevAut15!K26</f>
        <v>583357.54771844298</v>
      </c>
      <c r="AC23"/>
      <c r="AD23"/>
      <c r="AE23" s="153"/>
      <c r="AF23" s="153"/>
    </row>
    <row r="24" spans="1:32" s="32" customFormat="1">
      <c r="A24" s="588"/>
      <c r="B24" s="32" t="s">
        <v>316</v>
      </c>
      <c r="D24" s="153">
        <f>ROUND(FY12ProjRev!F19,0)</f>
        <v>120959887</v>
      </c>
      <c r="F24" s="153">
        <f>ROUND(FY12Revenue!E19,0)</f>
        <v>123380759</v>
      </c>
      <c r="G24" s="153">
        <f t="shared" si="0"/>
        <v>2420872</v>
      </c>
      <c r="H24" s="153">
        <f>+FY13ProjRev!E24</f>
        <v>133441444.19999987</v>
      </c>
      <c r="I24" s="153">
        <f t="shared" si="4"/>
        <v>10060685.199999869</v>
      </c>
      <c r="J24" s="153">
        <f>+FY13Revenue!G24</f>
        <v>137565283.84796649</v>
      </c>
      <c r="K24" s="153">
        <f t="shared" si="5"/>
        <v>4123839.6479666233</v>
      </c>
      <c r="L24" s="153"/>
      <c r="M24" s="153">
        <f>+FY14ProjRev!L30</f>
        <v>141814908.91952962</v>
      </c>
      <c r="N24" s="153">
        <f t="shared" si="6"/>
        <v>4249625.0715631247</v>
      </c>
      <c r="O24" s="153">
        <f>+FY14Revenue!J25</f>
        <v>146599516.5</v>
      </c>
      <c r="P24" s="153">
        <f t="shared" si="7"/>
        <v>4784607.5804703832</v>
      </c>
      <c r="Q24" s="153"/>
      <c r="R24" s="153">
        <f>+FY15ProjRev!K25</f>
        <v>154247699.99910814</v>
      </c>
      <c r="S24" s="153">
        <f t="shared" si="1"/>
        <v>7648183.4991081357</v>
      </c>
      <c r="T24" s="153">
        <f>+FY15Revenue!I25</f>
        <v>155056553.39999992</v>
      </c>
      <c r="U24" s="153">
        <f>+T24</f>
        <v>155056553.39999992</v>
      </c>
      <c r="V24" s="153">
        <f>+U24-T24</f>
        <v>0</v>
      </c>
      <c r="W24" s="153">
        <f t="shared" si="8"/>
        <v>808853.40089178085</v>
      </c>
      <c r="X24" s="153">
        <f>ROUND(FY16ProjRev0!J25,0)</f>
        <v>162068869</v>
      </c>
      <c r="Y24" s="153">
        <f t="shared" si="9"/>
        <v>7012315.6000000834</v>
      </c>
      <c r="Z24" s="153">
        <f>+FY16ProjRev!J25</f>
        <v>158931316.84677279</v>
      </c>
      <c r="AA24" s="153">
        <f t="shared" si="10"/>
        <v>-3137552.15322721</v>
      </c>
      <c r="AB24" s="153">
        <f>+FY16ProjRevAut15!K24</f>
        <v>-1933002.3027396202</v>
      </c>
      <c r="AC24"/>
      <c r="AD24"/>
      <c r="AE24" s="153"/>
      <c r="AF24" s="153"/>
    </row>
    <row r="25" spans="1:32">
      <c r="B25" t="s">
        <v>311</v>
      </c>
      <c r="D25" s="153">
        <f>SUM(D5:D21)+D24</f>
        <v>403199624</v>
      </c>
      <c r="E25" s="153">
        <f t="shared" ref="E25:AA25" si="11">SUM(E5:E21)+E24</f>
        <v>-61897</v>
      </c>
      <c r="F25" s="153">
        <f t="shared" si="11"/>
        <v>411269196</v>
      </c>
      <c r="G25" s="153">
        <f t="shared" si="11"/>
        <v>8069572</v>
      </c>
      <c r="H25" s="153">
        <f t="shared" si="11"/>
        <v>444804815.19999987</v>
      </c>
      <c r="I25" s="153">
        <f t="shared" si="11"/>
        <v>33535619.199999869</v>
      </c>
      <c r="J25" s="153">
        <f t="shared" si="11"/>
        <v>458550947.84796649</v>
      </c>
      <c r="K25" s="153">
        <f t="shared" si="11"/>
        <v>13746132.647966623</v>
      </c>
      <c r="L25" s="153">
        <f t="shared" si="11"/>
        <v>-911091.32522043632</v>
      </c>
      <c r="M25" s="153">
        <f t="shared" si="11"/>
        <v>472716364.91952962</v>
      </c>
      <c r="N25" s="153">
        <f t="shared" si="11"/>
        <v>14165417.071563125</v>
      </c>
      <c r="O25" s="153">
        <f t="shared" si="11"/>
        <v>488665054.5</v>
      </c>
      <c r="P25" s="153">
        <f t="shared" si="11"/>
        <v>15948689.580470383</v>
      </c>
      <c r="Q25" s="153">
        <f t="shared" si="11"/>
        <v>-350097.83337243786</v>
      </c>
      <c r="R25" s="153">
        <f t="shared" si="11"/>
        <v>514158999.99910814</v>
      </c>
      <c r="S25" s="153">
        <f t="shared" si="11"/>
        <v>25493945.499108136</v>
      </c>
      <c r="T25" s="153">
        <f t="shared" si="11"/>
        <v>516855175.39999992</v>
      </c>
      <c r="U25" s="153">
        <f t="shared" si="11"/>
        <v>516855175.39999992</v>
      </c>
      <c r="V25" s="153">
        <f t="shared" si="11"/>
        <v>0</v>
      </c>
      <c r="W25" s="153">
        <f t="shared" si="11"/>
        <v>2696175.4008917809</v>
      </c>
      <c r="X25" s="153">
        <f t="shared" si="11"/>
        <v>540229563</v>
      </c>
      <c r="Y25" s="153">
        <f t="shared" si="11"/>
        <v>23374387.600000083</v>
      </c>
      <c r="Z25" s="153">
        <f t="shared" si="11"/>
        <v>529771054.84677279</v>
      </c>
      <c r="AA25" s="153">
        <f t="shared" si="11"/>
        <v>-10458508.15322721</v>
      </c>
      <c r="AB25" s="153">
        <f>+AB24+SUM(AB5:AB21)</f>
        <v>-6443341.0091319364</v>
      </c>
      <c r="AE25" s="153"/>
      <c r="AF25" s="153"/>
    </row>
    <row r="26" spans="1:32">
      <c r="B26" t="s">
        <v>109</v>
      </c>
      <c r="D26" s="153">
        <f>+D22+D23+D25</f>
        <v>463500000</v>
      </c>
      <c r="E26" s="153">
        <f>+E22+E23+E25</f>
        <v>-75120</v>
      </c>
      <c r="F26" s="153">
        <f t="shared" ref="F26:AA26" si="12">+F22+F23+F25</f>
        <v>473604495</v>
      </c>
      <c r="G26" s="153">
        <f t="shared" si="12"/>
        <v>10104495</v>
      </c>
      <c r="H26" s="153">
        <f t="shared" si="12"/>
        <v>517394001.19999987</v>
      </c>
      <c r="I26" s="153">
        <f t="shared" si="12"/>
        <v>43789506.199999869</v>
      </c>
      <c r="J26" s="153">
        <f t="shared" si="12"/>
        <v>535863645.84796649</v>
      </c>
      <c r="K26" s="153">
        <f t="shared" si="12"/>
        <v>18469644.647966623</v>
      </c>
      <c r="L26" s="153">
        <f>+L22+L23+L25</f>
        <v>-911091.32522043632</v>
      </c>
      <c r="M26" s="153">
        <f t="shared" si="12"/>
        <v>556890128.91952968</v>
      </c>
      <c r="N26" s="153">
        <f t="shared" si="12"/>
        <v>21026483.071563125</v>
      </c>
      <c r="O26" s="153">
        <f t="shared" si="12"/>
        <v>574905267.5</v>
      </c>
      <c r="P26" s="153">
        <f t="shared" si="12"/>
        <v>18015138.580470383</v>
      </c>
      <c r="Q26" s="153">
        <f>+Q22+Q23+Q25</f>
        <v>-350097.83337243786</v>
      </c>
      <c r="R26" s="153">
        <f t="shared" si="12"/>
        <v>608728731.99910808</v>
      </c>
      <c r="S26" s="153">
        <f t="shared" si="12"/>
        <v>33823464.499108136</v>
      </c>
      <c r="T26" s="153">
        <f t="shared" si="12"/>
        <v>609666648.39999986</v>
      </c>
      <c r="U26" s="153">
        <f t="shared" si="12"/>
        <v>609666648.39999986</v>
      </c>
      <c r="V26" s="153">
        <f t="shared" si="12"/>
        <v>0</v>
      </c>
      <c r="W26" s="153">
        <f t="shared" si="12"/>
        <v>937916.40089178085</v>
      </c>
      <c r="X26" s="153">
        <f t="shared" si="12"/>
        <v>639610291</v>
      </c>
      <c r="Y26" s="153">
        <f t="shared" si="12"/>
        <v>29943642.600000083</v>
      </c>
      <c r="Z26" s="153">
        <f t="shared" si="12"/>
        <v>625769663.84677279</v>
      </c>
      <c r="AA26" s="153">
        <f t="shared" si="12"/>
        <v>-13840627.15322721</v>
      </c>
      <c r="AB26" s="153">
        <f>+AB25+AB22+AB23</f>
        <v>-6548861.9597318899</v>
      </c>
      <c r="AE26" s="153"/>
      <c r="AF26" s="153"/>
    </row>
    <row r="27" spans="1:32">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E27" s="153"/>
      <c r="AF27" s="153"/>
    </row>
    <row r="28" spans="1:32" s="32" customFormat="1" ht="16.5" customHeight="1">
      <c r="A28" s="602"/>
      <c r="B28" s="623" t="s">
        <v>393</v>
      </c>
      <c r="C28" s="623"/>
      <c r="D28" s="623"/>
      <c r="E28" s="623"/>
      <c r="F28" s="623"/>
      <c r="G28" s="623"/>
      <c r="H28" s="623"/>
      <c r="I28" s="623"/>
      <c r="J28" s="623"/>
      <c r="K28" s="623"/>
      <c r="L28" s="623"/>
      <c r="M28" s="623"/>
      <c r="N28" s="623"/>
      <c r="O28" s="623"/>
      <c r="P28" s="623"/>
      <c r="Q28" s="623"/>
      <c r="R28" s="623"/>
      <c r="S28" s="623"/>
      <c r="T28" s="623"/>
      <c r="U28" s="623"/>
      <c r="V28" s="623"/>
      <c r="W28" s="623"/>
      <c r="X28" s="623"/>
      <c r="Y28" s="623"/>
      <c r="Z28" s="623"/>
      <c r="AA28" s="623"/>
      <c r="AB28" s="153"/>
      <c r="AC28"/>
      <c r="AD28"/>
      <c r="AE28" s="153"/>
      <c r="AF28" s="153"/>
    </row>
    <row r="29" spans="1:32">
      <c r="B29" s="623" t="s">
        <v>387</v>
      </c>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153"/>
      <c r="AE29" s="153"/>
      <c r="AF29" s="153"/>
    </row>
    <row r="30" spans="1:32">
      <c r="B30" s="623" t="s">
        <v>388</v>
      </c>
      <c r="C30" s="623"/>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153"/>
      <c r="AE30" s="153"/>
      <c r="AF30" s="153"/>
    </row>
    <row r="31" spans="1:32">
      <c r="B31" s="623" t="s">
        <v>389</v>
      </c>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153"/>
      <c r="AE31" s="153"/>
      <c r="AF31" s="153"/>
    </row>
    <row r="32" spans="1:32">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E32" s="153"/>
      <c r="AF32" s="153"/>
    </row>
    <row r="33" spans="1:32" hidden="1">
      <c r="A33" s="587">
        <v>1</v>
      </c>
      <c r="B33" s="602">
        <f>+A33+1</f>
        <v>2</v>
      </c>
      <c r="C33" s="602">
        <f t="shared" ref="C33:AA33" si="13">+B33+1</f>
        <v>3</v>
      </c>
      <c r="D33" s="602">
        <f t="shared" si="13"/>
        <v>4</v>
      </c>
      <c r="E33" s="602">
        <f t="shared" si="13"/>
        <v>5</v>
      </c>
      <c r="F33" s="602">
        <f t="shared" si="13"/>
        <v>6</v>
      </c>
      <c r="G33" s="602">
        <f t="shared" si="13"/>
        <v>7</v>
      </c>
      <c r="H33" s="602">
        <f t="shared" si="13"/>
        <v>8</v>
      </c>
      <c r="I33" s="602">
        <f t="shared" si="13"/>
        <v>9</v>
      </c>
      <c r="J33" s="602">
        <f t="shared" si="13"/>
        <v>10</v>
      </c>
      <c r="K33" s="602">
        <f t="shared" si="13"/>
        <v>11</v>
      </c>
      <c r="L33" s="602">
        <f t="shared" si="13"/>
        <v>12</v>
      </c>
      <c r="M33" s="602">
        <f t="shared" si="13"/>
        <v>13</v>
      </c>
      <c r="N33" s="602">
        <f t="shared" si="13"/>
        <v>14</v>
      </c>
      <c r="O33" s="602">
        <f t="shared" si="13"/>
        <v>15</v>
      </c>
      <c r="P33" s="602">
        <f t="shared" si="13"/>
        <v>16</v>
      </c>
      <c r="Q33" s="602">
        <f t="shared" si="13"/>
        <v>17</v>
      </c>
      <c r="R33" s="602">
        <f t="shared" si="13"/>
        <v>18</v>
      </c>
      <c r="S33" s="602">
        <f t="shared" si="13"/>
        <v>19</v>
      </c>
      <c r="T33" s="602">
        <f t="shared" si="13"/>
        <v>20</v>
      </c>
      <c r="U33" s="602">
        <f t="shared" si="13"/>
        <v>21</v>
      </c>
      <c r="V33" s="602">
        <f t="shared" si="13"/>
        <v>22</v>
      </c>
      <c r="W33" s="602">
        <f t="shared" si="13"/>
        <v>23</v>
      </c>
      <c r="X33" s="602">
        <f t="shared" si="13"/>
        <v>24</v>
      </c>
      <c r="Y33" s="602">
        <f t="shared" si="13"/>
        <v>25</v>
      </c>
      <c r="Z33" s="602">
        <f t="shared" si="13"/>
        <v>26</v>
      </c>
      <c r="AA33" s="602">
        <f t="shared" si="13"/>
        <v>27</v>
      </c>
      <c r="AB33" s="153"/>
      <c r="AE33" s="153"/>
      <c r="AF33" s="153"/>
    </row>
    <row r="34" spans="1:32">
      <c r="F34"/>
      <c r="G34" s="153"/>
      <c r="H34" s="153"/>
      <c r="I34" s="153"/>
      <c r="J34" s="153"/>
      <c r="K34" s="153"/>
      <c r="L34" s="153"/>
      <c r="M34" s="153"/>
      <c r="N34" s="153"/>
      <c r="O34" s="153"/>
      <c r="P34" s="153"/>
      <c r="R34" s="153"/>
      <c r="S34" s="153"/>
      <c r="T34" s="153"/>
      <c r="U34" s="153"/>
      <c r="V34" s="153"/>
      <c r="W34" s="153"/>
      <c r="X34" s="153"/>
      <c r="Y34" s="153"/>
      <c r="Z34" s="153"/>
      <c r="AA34" s="153"/>
      <c r="AB34" s="153"/>
      <c r="AE34" s="153"/>
      <c r="AF34" s="153"/>
    </row>
    <row r="35" spans="1:32">
      <c r="F35"/>
      <c r="G35" s="153"/>
      <c r="H35" s="153"/>
      <c r="I35" s="153"/>
      <c r="J35" s="153"/>
      <c r="K35" s="153"/>
      <c r="L35" s="153"/>
      <c r="M35" s="153"/>
      <c r="N35" s="153"/>
      <c r="O35" s="153"/>
      <c r="P35" s="153"/>
      <c r="R35" s="153"/>
      <c r="S35" s="153"/>
      <c r="T35" s="153"/>
      <c r="U35" s="153"/>
      <c r="V35" s="153"/>
      <c r="W35" s="153"/>
      <c r="X35" s="153"/>
      <c r="Y35" s="153"/>
      <c r="Z35" s="153"/>
      <c r="AA35" s="153"/>
      <c r="AB35" s="153"/>
      <c r="AE35" s="153"/>
      <c r="AF35" s="153"/>
    </row>
    <row r="36" spans="1:32">
      <c r="F36"/>
      <c r="G36" s="153"/>
      <c r="H36" s="153"/>
      <c r="I36" s="153"/>
      <c r="J36" s="153"/>
      <c r="K36" s="153"/>
      <c r="L36" s="153"/>
      <c r="M36" s="153"/>
      <c r="N36" s="153"/>
      <c r="O36" s="153"/>
      <c r="P36" s="153"/>
      <c r="R36" s="153"/>
      <c r="S36" s="153"/>
      <c r="T36" s="153"/>
      <c r="U36" s="153"/>
      <c r="V36" s="153"/>
      <c r="W36" s="153"/>
      <c r="X36" s="153"/>
      <c r="Y36" s="153"/>
      <c r="Z36" s="153"/>
      <c r="AA36" s="153"/>
      <c r="AB36" s="153"/>
      <c r="AE36" s="153"/>
      <c r="AF36" s="153"/>
    </row>
    <row r="37" spans="1:32">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E37" s="153"/>
      <c r="AF37" s="153"/>
    </row>
  </sheetData>
  <mergeCells count="9">
    <mergeCell ref="A1:B1"/>
    <mergeCell ref="B31:AA31"/>
    <mergeCell ref="B28:AA28"/>
    <mergeCell ref="C3:C4"/>
    <mergeCell ref="A3:B3"/>
    <mergeCell ref="A2:B2"/>
    <mergeCell ref="A4:B4"/>
    <mergeCell ref="B29:AA29"/>
    <mergeCell ref="B30:AA30"/>
  </mergeCells>
  <hyperlinks>
    <hyperlink ref="C3"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topLeftCell="B1" workbookViewId="0">
      <selection sqref="A1:B1"/>
    </sheetView>
  </sheetViews>
  <sheetFormatPr defaultColWidth="8.85546875" defaultRowHeight="18" customHeight="1"/>
  <cols>
    <col min="1" max="1" width="0" style="32" hidden="1" customWidth="1"/>
    <col min="2" max="2" width="28.42578125" style="32" customWidth="1"/>
    <col min="3" max="3" width="15.85546875" style="32" customWidth="1"/>
    <col min="4" max="14" width="14" style="432" customWidth="1"/>
    <col min="15" max="20" width="14" style="32" customWidth="1"/>
    <col min="21" max="24" width="12.7109375" style="32" customWidth="1"/>
    <col min="25" max="30" width="12.85546875" style="32" customWidth="1"/>
    <col min="31" max="16384" width="8.85546875" style="32"/>
  </cols>
  <sheetData>
    <row r="1" spans="1:21" s="315" customFormat="1" ht="33.75" customHeight="1">
      <c r="A1" s="646" t="s">
        <v>258</v>
      </c>
      <c r="B1" s="647"/>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23.25" customHeight="1">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282</v>
      </c>
      <c r="S2" s="317">
        <v>266</v>
      </c>
      <c r="T2" s="318"/>
      <c r="U2" s="268"/>
    </row>
    <row r="3" spans="1:21" s="6" customFormat="1" ht="18" customHeight="1">
      <c r="A3" s="319" t="s">
        <v>128</v>
      </c>
      <c r="B3" s="320"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18" customHeight="1">
      <c r="A4" s="322" t="s">
        <v>129</v>
      </c>
      <c r="B4" s="323" t="s">
        <v>71</v>
      </c>
      <c r="C4" s="393">
        <f t="shared" ref="C4:T17" si="1">+C27/$T27</f>
        <v>7.8361179476239291E-3</v>
      </c>
      <c r="D4" s="393">
        <f t="shared" si="1"/>
        <v>0.68663333107858493</v>
      </c>
      <c r="E4" s="393">
        <f t="shared" si="1"/>
        <v>2.0469646750300489E-2</v>
      </c>
      <c r="F4" s="393">
        <f t="shared" si="1"/>
        <v>3.2052115907943825E-3</v>
      </c>
      <c r="G4" s="393">
        <f t="shared" si="1"/>
        <v>4.1428400464131286E-2</v>
      </c>
      <c r="H4" s="393">
        <f t="shared" si="1"/>
        <v>4.2770842981054913E-3</v>
      </c>
      <c r="I4" s="393">
        <f t="shared" si="1"/>
        <v>1.282084636317753E-2</v>
      </c>
      <c r="J4" s="393">
        <f t="shared" si="1"/>
        <v>1.8731756050097042E-3</v>
      </c>
      <c r="K4" s="393">
        <f t="shared" si="1"/>
        <v>4.443588796328576E-3</v>
      </c>
      <c r="L4" s="393">
        <f t="shared" si="1"/>
        <v>3.7463512100194084E-4</v>
      </c>
      <c r="M4" s="393">
        <f t="shared" si="1"/>
        <v>1.04065311389428E-5</v>
      </c>
      <c r="N4" s="393">
        <f t="shared" si="1"/>
        <v>0.1252269924604682</v>
      </c>
      <c r="O4" s="393">
        <f t="shared" si="1"/>
        <v>6.9723758630916763E-4</v>
      </c>
      <c r="P4" s="393">
        <f t="shared" si="1"/>
        <v>1.6140529796500283E-2</v>
      </c>
      <c r="Q4" s="393">
        <f t="shared" si="1"/>
        <v>9.9694568311072037E-3</v>
      </c>
      <c r="R4" s="393">
        <f t="shared" si="1"/>
        <v>0</v>
      </c>
      <c r="S4" s="393">
        <f t="shared" si="1"/>
        <v>6.4593338779417961E-2</v>
      </c>
      <c r="T4" s="393">
        <f t="shared" si="1"/>
        <v>1</v>
      </c>
    </row>
    <row r="5" spans="1:21" ht="18" customHeight="1">
      <c r="A5" s="322" t="s">
        <v>140</v>
      </c>
      <c r="B5" s="323" t="s">
        <v>72</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18" customHeight="1">
      <c r="A6" s="322" t="s">
        <v>130</v>
      </c>
      <c r="B6" s="323" t="s">
        <v>73</v>
      </c>
      <c r="C6" s="393">
        <f t="shared" si="1"/>
        <v>4.6651017907495167E-3</v>
      </c>
      <c r="D6" s="393">
        <f t="shared" si="1"/>
        <v>5.5833591685489466E-2</v>
      </c>
      <c r="E6" s="393">
        <f t="shared" si="1"/>
        <v>5.1965690833665496E-3</v>
      </c>
      <c r="F6" s="393">
        <f t="shared" si="1"/>
        <v>4.9603613977589793E-3</v>
      </c>
      <c r="G6" s="393">
        <f t="shared" si="1"/>
        <v>0.84320238569762462</v>
      </c>
      <c r="H6" s="393">
        <f t="shared" si="1"/>
        <v>8.1786911141621278E-3</v>
      </c>
      <c r="I6" s="393">
        <f t="shared" si="1"/>
        <v>1.3286682315425838E-3</v>
      </c>
      <c r="J6" s="393">
        <f t="shared" si="1"/>
        <v>4.5174719872447854E-3</v>
      </c>
      <c r="K6" s="393">
        <f t="shared" si="1"/>
        <v>5.9051921401892613E-4</v>
      </c>
      <c r="L6" s="393">
        <f t="shared" si="1"/>
        <v>7.9720093892555034E-4</v>
      </c>
      <c r="M6" s="393">
        <f t="shared" si="1"/>
        <v>0</v>
      </c>
      <c r="N6" s="393">
        <f t="shared" si="1"/>
        <v>1.5678285132202489E-2</v>
      </c>
      <c r="O6" s="393">
        <f t="shared" si="1"/>
        <v>3.6435035504967746E-2</v>
      </c>
      <c r="P6" s="393">
        <f t="shared" si="1"/>
        <v>3.5431152841135569E-4</v>
      </c>
      <c r="Q6" s="393">
        <f t="shared" si="1"/>
        <v>1.7302212970754537E-2</v>
      </c>
      <c r="R6" s="393">
        <f t="shared" si="1"/>
        <v>0</v>
      </c>
      <c r="S6" s="393">
        <f t="shared" si="1"/>
        <v>9.5959372278075496E-4</v>
      </c>
      <c r="T6" s="393">
        <f t="shared" si="1"/>
        <v>1</v>
      </c>
    </row>
    <row r="7" spans="1:21" ht="18" customHeight="1">
      <c r="A7" s="322" t="s">
        <v>131</v>
      </c>
      <c r="B7" s="323"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18" customHeight="1">
      <c r="A8" s="322" t="s">
        <v>132</v>
      </c>
      <c r="B8" s="331" t="s">
        <v>206</v>
      </c>
      <c r="C8" s="393">
        <f>+IF($T31&gt;0,C31/$T31,0)</f>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18" customHeight="1">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0</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0</v>
      </c>
    </row>
    <row r="10" spans="1:21" ht="18" customHeight="1">
      <c r="A10" s="322" t="s">
        <v>135</v>
      </c>
      <c r="B10" s="323"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18" customHeight="1">
      <c r="A11" s="322" t="s">
        <v>136</v>
      </c>
      <c r="B11" s="323"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18" customHeight="1">
      <c r="A12" s="322" t="s">
        <v>137</v>
      </c>
      <c r="B12" s="323"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18" customHeight="1">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18" customHeight="1">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18" customHeight="1">
      <c r="A15" s="322" t="s">
        <v>148</v>
      </c>
      <c r="B15" s="324"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18" customHeight="1">
      <c r="A16" s="322" t="s">
        <v>149</v>
      </c>
      <c r="B16" s="324" t="s">
        <v>38</v>
      </c>
      <c r="C16" s="393">
        <f t="shared" si="1"/>
        <v>8.4340736575766093E-4</v>
      </c>
      <c r="D16" s="393">
        <f t="shared" si="1"/>
        <v>6.4661231374754007E-3</v>
      </c>
      <c r="E16" s="393">
        <f t="shared" si="1"/>
        <v>0.98472495548683348</v>
      </c>
      <c r="F16" s="393">
        <f t="shared" si="1"/>
        <v>0</v>
      </c>
      <c r="G16" s="393">
        <f t="shared" si="1"/>
        <v>2.6239340268016118E-3</v>
      </c>
      <c r="H16" s="393">
        <f t="shared" si="1"/>
        <v>4.6855964764314496E-4</v>
      </c>
      <c r="I16" s="393">
        <f t="shared" si="1"/>
        <v>7.4969543622903194E-4</v>
      </c>
      <c r="J16" s="393">
        <f t="shared" si="1"/>
        <v>0</v>
      </c>
      <c r="K16" s="393">
        <f t="shared" si="1"/>
        <v>2.905069815387499E-3</v>
      </c>
      <c r="L16" s="393">
        <f t="shared" si="1"/>
        <v>0</v>
      </c>
      <c r="M16" s="393">
        <f t="shared" si="1"/>
        <v>0</v>
      </c>
      <c r="N16" s="393">
        <f t="shared" si="1"/>
        <v>4.6855964764314496E-4</v>
      </c>
      <c r="O16" s="393">
        <f t="shared" si="1"/>
        <v>0</v>
      </c>
      <c r="P16" s="393">
        <f t="shared" si="1"/>
        <v>0</v>
      </c>
      <c r="Q16" s="393">
        <f t="shared" si="1"/>
        <v>7.4969543622903194E-4</v>
      </c>
      <c r="R16" s="393">
        <f t="shared" si="1"/>
        <v>0</v>
      </c>
      <c r="S16" s="393">
        <f t="shared" si="1"/>
        <v>0</v>
      </c>
      <c r="T16" s="393">
        <f t="shared" si="1"/>
        <v>1</v>
      </c>
    </row>
    <row r="17" spans="1:20" ht="18" customHeight="1">
      <c r="A17" s="322" t="s">
        <v>150</v>
      </c>
      <c r="B17" s="324" t="s">
        <v>31</v>
      </c>
      <c r="C17" s="393">
        <f>+C40/$T40</f>
        <v>1.7803638890095098E-3</v>
      </c>
      <c r="D17" s="393">
        <f>+D40/$T40</f>
        <v>5.7753267619088978E-3</v>
      </c>
      <c r="E17" s="393">
        <f>+E40/$T40</f>
        <v>3.9081158539233142E-3</v>
      </c>
      <c r="F17" s="393">
        <f t="shared" si="1"/>
        <v>0</v>
      </c>
      <c r="G17" s="393">
        <f t="shared" si="1"/>
        <v>1.3027052846411048E-4</v>
      </c>
      <c r="H17" s="393">
        <f t="shared" si="1"/>
        <v>1.0855877372009206E-3</v>
      </c>
      <c r="I17" s="393">
        <f t="shared" si="1"/>
        <v>3.9949628728993877E-3</v>
      </c>
      <c r="J17" s="393">
        <f t="shared" si="1"/>
        <v>0.97898302140779014</v>
      </c>
      <c r="K17" s="393">
        <f t="shared" si="1"/>
        <v>6.9477615180858917E-4</v>
      </c>
      <c r="L17" s="393">
        <f t="shared" si="1"/>
        <v>1.3027052846411048E-4</v>
      </c>
      <c r="M17" s="393">
        <f t="shared" si="1"/>
        <v>0</v>
      </c>
      <c r="N17" s="393">
        <f t="shared" si="1"/>
        <v>5.2108211385644193E-4</v>
      </c>
      <c r="O17" s="393">
        <f t="shared" si="1"/>
        <v>0</v>
      </c>
      <c r="P17" s="393">
        <f t="shared" si="1"/>
        <v>0</v>
      </c>
      <c r="Q17" s="393">
        <f t="shared" si="1"/>
        <v>2.9962221546745407E-3</v>
      </c>
      <c r="R17" s="393">
        <f t="shared" si="1"/>
        <v>0</v>
      </c>
      <c r="S17" s="393">
        <f t="shared" si="1"/>
        <v>0</v>
      </c>
      <c r="T17" s="393">
        <f t="shared" si="1"/>
        <v>1</v>
      </c>
    </row>
    <row r="18" spans="1:20" ht="18" customHeight="1">
      <c r="A18" s="322" t="s">
        <v>151</v>
      </c>
      <c r="B18" s="331" t="s">
        <v>209</v>
      </c>
      <c r="C18" s="393">
        <f t="shared" ref="C18:T23" si="3">+C41/$T41</f>
        <v>0</v>
      </c>
      <c r="D18" s="393">
        <f t="shared" si="3"/>
        <v>3.6837748344370862E-2</v>
      </c>
      <c r="E18" s="393">
        <f t="shared" si="3"/>
        <v>0</v>
      </c>
      <c r="F18" s="393">
        <f t="shared" si="3"/>
        <v>0</v>
      </c>
      <c r="G18" s="393">
        <f t="shared" si="3"/>
        <v>0</v>
      </c>
      <c r="H18" s="393">
        <f t="shared" si="3"/>
        <v>0</v>
      </c>
      <c r="I18" s="393">
        <f t="shared" si="3"/>
        <v>1.2417218543046358E-3</v>
      </c>
      <c r="J18" s="393">
        <f t="shared" si="3"/>
        <v>0.94950331125827814</v>
      </c>
      <c r="K18" s="393">
        <f t="shared" si="3"/>
        <v>1.1589403973509934E-2</v>
      </c>
      <c r="L18" s="393">
        <f t="shared" si="3"/>
        <v>0</v>
      </c>
      <c r="M18" s="393">
        <f t="shared" si="3"/>
        <v>0</v>
      </c>
      <c r="N18" s="393">
        <f t="shared" si="3"/>
        <v>0</v>
      </c>
      <c r="O18" s="393">
        <f t="shared" si="3"/>
        <v>0</v>
      </c>
      <c r="P18" s="393">
        <f t="shared" si="3"/>
        <v>0</v>
      </c>
      <c r="Q18" s="393">
        <f t="shared" si="3"/>
        <v>8.2781456953642384E-4</v>
      </c>
      <c r="R18" s="393">
        <f t="shared" si="3"/>
        <v>0</v>
      </c>
      <c r="S18" s="393">
        <f t="shared" si="3"/>
        <v>0</v>
      </c>
      <c r="T18" s="393">
        <f t="shared" si="3"/>
        <v>1</v>
      </c>
    </row>
    <row r="19" spans="1:20" ht="18" customHeight="1">
      <c r="A19" s="322" t="s">
        <v>153</v>
      </c>
      <c r="B19" s="324" t="s">
        <v>100</v>
      </c>
      <c r="C19" s="393">
        <f t="shared" si="3"/>
        <v>0</v>
      </c>
      <c r="D19" s="393">
        <f t="shared" si="3"/>
        <v>5.9121621621621625E-3</v>
      </c>
      <c r="E19" s="393">
        <f t="shared" si="3"/>
        <v>0</v>
      </c>
      <c r="F19" s="393">
        <f t="shared" si="3"/>
        <v>0</v>
      </c>
      <c r="G19" s="393">
        <f t="shared" si="3"/>
        <v>0</v>
      </c>
      <c r="H19" s="393">
        <f t="shared" si="3"/>
        <v>4.2229729729729732E-4</v>
      </c>
      <c r="I19" s="393">
        <f t="shared" si="3"/>
        <v>0</v>
      </c>
      <c r="J19" s="393">
        <f t="shared" si="3"/>
        <v>0</v>
      </c>
      <c r="K19" s="393">
        <f t="shared" si="3"/>
        <v>8.4459459459459464E-3</v>
      </c>
      <c r="L19" s="393">
        <f t="shared" si="3"/>
        <v>5.0675675675675678E-3</v>
      </c>
      <c r="M19" s="393">
        <f t="shared" si="3"/>
        <v>8.4459459459459464E-4</v>
      </c>
      <c r="N19" s="393">
        <f t="shared" si="3"/>
        <v>1.266891891891892E-2</v>
      </c>
      <c r="O19" s="393">
        <f t="shared" si="3"/>
        <v>0.88935810810810811</v>
      </c>
      <c r="P19" s="393">
        <f t="shared" si="3"/>
        <v>2.4915540540540539E-2</v>
      </c>
      <c r="Q19" s="393">
        <f t="shared" si="3"/>
        <v>5.2364864864864864E-2</v>
      </c>
      <c r="R19" s="393">
        <f t="shared" si="3"/>
        <v>0</v>
      </c>
      <c r="S19" s="393">
        <f t="shared" si="3"/>
        <v>0</v>
      </c>
      <c r="T19" s="393">
        <f t="shared" si="3"/>
        <v>1</v>
      </c>
    </row>
    <row r="20" spans="1:20" ht="18" customHeight="1">
      <c r="A20" s="322" t="s">
        <v>155</v>
      </c>
      <c r="B20" s="324" t="s">
        <v>42</v>
      </c>
      <c r="C20" s="393">
        <f t="shared" si="3"/>
        <v>0</v>
      </c>
      <c r="D20" s="393">
        <f t="shared" si="3"/>
        <v>1.9003378378378379E-3</v>
      </c>
      <c r="E20" s="393">
        <f t="shared" si="3"/>
        <v>0</v>
      </c>
      <c r="F20" s="393">
        <f t="shared" si="3"/>
        <v>0</v>
      </c>
      <c r="G20" s="393">
        <f t="shared" si="3"/>
        <v>0</v>
      </c>
      <c r="H20" s="393">
        <f t="shared" si="3"/>
        <v>3.1672297297297299E-4</v>
      </c>
      <c r="I20" s="393">
        <f t="shared" si="3"/>
        <v>0</v>
      </c>
      <c r="J20" s="393">
        <f t="shared" si="3"/>
        <v>5.2787162162162165E-5</v>
      </c>
      <c r="K20" s="393">
        <f t="shared" si="3"/>
        <v>0</v>
      </c>
      <c r="L20" s="393">
        <f t="shared" si="3"/>
        <v>0</v>
      </c>
      <c r="M20" s="393">
        <f t="shared" si="3"/>
        <v>5.2787162162162165E-5</v>
      </c>
      <c r="N20" s="393">
        <f t="shared" si="3"/>
        <v>0.11270059121621621</v>
      </c>
      <c r="O20" s="393">
        <f t="shared" si="3"/>
        <v>4.592483108108108E-3</v>
      </c>
      <c r="P20" s="393">
        <f t="shared" si="3"/>
        <v>0.87220228040540537</v>
      </c>
      <c r="Q20" s="393">
        <f t="shared" si="3"/>
        <v>8.1820101351351357E-3</v>
      </c>
      <c r="R20" s="393">
        <f t="shared" si="3"/>
        <v>0</v>
      </c>
      <c r="S20" s="393">
        <f t="shared" si="3"/>
        <v>0</v>
      </c>
      <c r="T20" s="393">
        <f t="shared" si="3"/>
        <v>1</v>
      </c>
    </row>
    <row r="21" spans="1:20" ht="18" customHeight="1">
      <c r="A21" s="322" t="s">
        <v>162</v>
      </c>
      <c r="B21" s="324" t="s">
        <v>76</v>
      </c>
      <c r="C21" s="393">
        <f t="shared" si="3"/>
        <v>0</v>
      </c>
      <c r="D21" s="393">
        <f t="shared" si="3"/>
        <v>4.4405521086455081E-4</v>
      </c>
      <c r="E21" s="393">
        <f t="shared" si="3"/>
        <v>0</v>
      </c>
      <c r="F21" s="393">
        <f t="shared" si="3"/>
        <v>0</v>
      </c>
      <c r="G21" s="393">
        <f t="shared" si="3"/>
        <v>0</v>
      </c>
      <c r="H21" s="393">
        <f t="shared" si="3"/>
        <v>0</v>
      </c>
      <c r="I21" s="393">
        <f t="shared" si="3"/>
        <v>0</v>
      </c>
      <c r="J21" s="393">
        <f t="shared" si="3"/>
        <v>0</v>
      </c>
      <c r="K21" s="393">
        <f t="shared" si="3"/>
        <v>0</v>
      </c>
      <c r="L21" s="393">
        <f t="shared" si="3"/>
        <v>0</v>
      </c>
      <c r="M21" s="393">
        <f t="shared" si="3"/>
        <v>7.4009201810758469E-5</v>
      </c>
      <c r="N21" s="393">
        <f t="shared" si="3"/>
        <v>0.9976810450099296</v>
      </c>
      <c r="O21" s="393">
        <f t="shared" si="3"/>
        <v>0</v>
      </c>
      <c r="P21" s="393">
        <f t="shared" si="3"/>
        <v>0</v>
      </c>
      <c r="Q21" s="393">
        <f t="shared" si="3"/>
        <v>1.7268813755843644E-3</v>
      </c>
      <c r="R21" s="393">
        <f t="shared" si="3"/>
        <v>0</v>
      </c>
      <c r="S21" s="393">
        <f t="shared" si="3"/>
        <v>7.4009201810758469E-5</v>
      </c>
      <c r="T21" s="393">
        <f t="shared" si="3"/>
        <v>1</v>
      </c>
    </row>
    <row r="22" spans="1:20" ht="19.5" customHeight="1">
      <c r="A22" s="322" t="s">
        <v>156</v>
      </c>
      <c r="B22" s="324" t="s">
        <v>77</v>
      </c>
      <c r="C22" s="393">
        <f t="shared" si="3"/>
        <v>0</v>
      </c>
      <c r="D22" s="393">
        <f t="shared" si="3"/>
        <v>0</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0.86797289873649519</v>
      </c>
      <c r="N22" s="393">
        <f t="shared" si="3"/>
        <v>0.13202710126350486</v>
      </c>
      <c r="O22" s="393">
        <f t="shared" si="3"/>
        <v>0</v>
      </c>
      <c r="P22" s="393">
        <f t="shared" si="3"/>
        <v>0</v>
      </c>
      <c r="Q22" s="393">
        <f t="shared" si="3"/>
        <v>0</v>
      </c>
      <c r="R22" s="393">
        <f t="shared" si="3"/>
        <v>0</v>
      </c>
      <c r="S22" s="393">
        <f t="shared" si="3"/>
        <v>0</v>
      </c>
      <c r="T22" s="393">
        <f t="shared" si="3"/>
        <v>1</v>
      </c>
    </row>
    <row r="23" spans="1:20" ht="18" customHeight="1">
      <c r="A23" s="325" t="s">
        <v>163</v>
      </c>
      <c r="B23" s="326" t="s">
        <v>164</v>
      </c>
      <c r="C23" s="394">
        <f t="shared" si="3"/>
        <v>0</v>
      </c>
      <c r="D23" s="394">
        <f t="shared" si="3"/>
        <v>8.7935279634189234E-3</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0.96623285262047132</v>
      </c>
      <c r="N23" s="394">
        <f t="shared" si="3"/>
        <v>1.8290538163911362E-2</v>
      </c>
      <c r="O23" s="394">
        <f t="shared" si="3"/>
        <v>0</v>
      </c>
      <c r="P23" s="394">
        <f t="shared" si="3"/>
        <v>0</v>
      </c>
      <c r="Q23" s="394">
        <f t="shared" si="3"/>
        <v>6.3313401336616247E-3</v>
      </c>
      <c r="R23" s="394">
        <f t="shared" si="3"/>
        <v>0</v>
      </c>
      <c r="S23" s="394">
        <f t="shared" si="3"/>
        <v>3.5174111853675694E-4</v>
      </c>
      <c r="T23" s="394">
        <f t="shared" si="3"/>
        <v>1</v>
      </c>
    </row>
    <row r="24" spans="1:20" ht="18" customHeight="1">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c r="A25" s="316"/>
      <c r="B25" s="309" t="s">
        <v>78</v>
      </c>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18" customHeight="1">
      <c r="A26" s="319" t="s">
        <v>128</v>
      </c>
      <c r="B26" s="320" t="s">
        <v>21</v>
      </c>
      <c r="C26" s="329">
        <v>23963</v>
      </c>
      <c r="D26" s="329">
        <f>785955</f>
        <v>785955</v>
      </c>
      <c r="E26" s="329">
        <v>77951</v>
      </c>
      <c r="F26" s="329">
        <v>16347</v>
      </c>
      <c r="G26" s="329">
        <f>106100</f>
        <v>106100</v>
      </c>
      <c r="H26" s="329">
        <v>70090</v>
      </c>
      <c r="I26" s="329">
        <v>13983</v>
      </c>
      <c r="J26" s="329">
        <v>154</v>
      </c>
      <c r="K26" s="329">
        <v>110</v>
      </c>
      <c r="L26" s="329">
        <v>3827</v>
      </c>
      <c r="M26" s="329">
        <v>91</v>
      </c>
      <c r="N26" s="329">
        <v>31306.5</v>
      </c>
      <c r="O26" s="329">
        <v>9559</v>
      </c>
      <c r="P26" s="329">
        <v>421</v>
      </c>
      <c r="Q26" s="329">
        <f>15027</f>
        <v>15027</v>
      </c>
      <c r="R26" s="329">
        <v>15439</v>
      </c>
      <c r="S26" s="329">
        <v>2110</v>
      </c>
      <c r="T26" s="330">
        <f t="shared" ref="T26:T46" si="4">SUM(C26:S26)</f>
        <v>1172433.5</v>
      </c>
    </row>
    <row r="27" spans="1:20" s="6" customFormat="1" ht="18" customHeight="1">
      <c r="A27" s="331" t="s">
        <v>129</v>
      </c>
      <c r="B27" s="323" t="s">
        <v>71</v>
      </c>
      <c r="C27" s="332">
        <v>753</v>
      </c>
      <c r="D27" s="332">
        <v>65981</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4"/>
        <v>96093.5</v>
      </c>
    </row>
    <row r="28" spans="1:20" s="6" customFormat="1" ht="18" customHeight="1">
      <c r="A28" s="331" t="s">
        <v>140</v>
      </c>
      <c r="B28" s="323" t="s">
        <v>72</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4"/>
        <v>4985.5</v>
      </c>
    </row>
    <row r="29" spans="1:20" s="6" customFormat="1" ht="18" customHeight="1">
      <c r="A29" s="331" t="s">
        <v>130</v>
      </c>
      <c r="B29" s="323" t="s">
        <v>73</v>
      </c>
      <c r="C29" s="332">
        <v>158</v>
      </c>
      <c r="D29" s="332">
        <v>1891</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4"/>
        <v>33868.5</v>
      </c>
    </row>
    <row r="30" spans="1:20" s="6" customFormat="1" ht="18" customHeight="1">
      <c r="A30" s="331" t="s">
        <v>131</v>
      </c>
      <c r="B30" s="323"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4"/>
        <v>16872</v>
      </c>
    </row>
    <row r="31" spans="1:20" s="6" customFormat="1" ht="18" customHeight="1">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18" customHeight="1">
      <c r="A32" s="331" t="s">
        <v>134</v>
      </c>
      <c r="B32" s="323" t="s">
        <v>40</v>
      </c>
      <c r="C32" s="332"/>
      <c r="D32" s="332"/>
      <c r="E32" s="332"/>
      <c r="F32" s="332"/>
      <c r="G32" s="332"/>
      <c r="H32" s="332"/>
      <c r="I32" s="333">
        <v>0</v>
      </c>
      <c r="J32" s="333"/>
      <c r="K32" s="332"/>
      <c r="L32" s="332"/>
      <c r="M32" s="333"/>
      <c r="N32" s="332"/>
      <c r="O32" s="333"/>
      <c r="P32" s="333"/>
      <c r="Q32" s="332"/>
      <c r="R32" s="333"/>
      <c r="S32" s="333"/>
      <c r="T32" s="334">
        <f t="shared" si="4"/>
        <v>0</v>
      </c>
    </row>
    <row r="33" spans="1:20" s="6" customFormat="1" ht="18" customHeight="1">
      <c r="A33" s="331" t="s">
        <v>135</v>
      </c>
      <c r="B33" s="323"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4"/>
        <v>9505</v>
      </c>
    </row>
    <row r="34" spans="1:20" s="6" customFormat="1" ht="18" customHeight="1">
      <c r="A34" s="331" t="s">
        <v>136</v>
      </c>
      <c r="B34" s="323"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4"/>
        <v>10041.5</v>
      </c>
    </row>
    <row r="35" spans="1:20" s="6" customFormat="1" ht="18" customHeight="1">
      <c r="A35" s="331" t="s">
        <v>137</v>
      </c>
      <c r="B35" s="323"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4"/>
        <v>6566</v>
      </c>
    </row>
    <row r="36" spans="1:20" s="6" customFormat="1" ht="18" customHeight="1">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18" customHeight="1">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18" customHeight="1">
      <c r="A38" s="331" t="s">
        <v>148</v>
      </c>
      <c r="B38" s="324"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4"/>
        <v>12624</v>
      </c>
    </row>
    <row r="39" spans="1:20" s="6" customFormat="1" ht="18" customHeight="1">
      <c r="A39" s="331" t="s">
        <v>149</v>
      </c>
      <c r="B39" s="324"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4"/>
        <v>10671</v>
      </c>
    </row>
    <row r="40" spans="1:20" s="6" customFormat="1" ht="18" customHeight="1">
      <c r="A40" s="331" t="s">
        <v>150</v>
      </c>
      <c r="B40" s="324"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4"/>
        <v>23029</v>
      </c>
    </row>
    <row r="41" spans="1:20" s="6" customFormat="1" ht="18" customHeight="1">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18" customHeight="1">
      <c r="A42" s="331" t="s">
        <v>153</v>
      </c>
      <c r="B42" s="324"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4"/>
        <v>2368</v>
      </c>
    </row>
    <row r="43" spans="1:20" s="6" customFormat="1" ht="18" customHeight="1">
      <c r="A43" s="331" t="s">
        <v>155</v>
      </c>
      <c r="B43" s="324"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4"/>
        <v>18944</v>
      </c>
    </row>
    <row r="44" spans="1:20" s="6" customFormat="1" ht="18" customHeight="1">
      <c r="A44" s="331" t="s">
        <v>162</v>
      </c>
      <c r="B44" s="324" t="s">
        <v>76</v>
      </c>
      <c r="C44" s="333"/>
      <c r="D44" s="332">
        <v>18</v>
      </c>
      <c r="E44" s="333"/>
      <c r="F44" s="332"/>
      <c r="G44" s="333"/>
      <c r="H44" s="333"/>
      <c r="I44" s="333"/>
      <c r="J44" s="333"/>
      <c r="K44" s="332"/>
      <c r="L44" s="333"/>
      <c r="M44" s="333">
        <v>3</v>
      </c>
      <c r="N44" s="333">
        <v>40441.5</v>
      </c>
      <c r="O44" s="333"/>
      <c r="P44" s="333"/>
      <c r="Q44" s="333">
        <v>70</v>
      </c>
      <c r="R44" s="333"/>
      <c r="S44" s="333">
        <v>3</v>
      </c>
      <c r="T44" s="334">
        <f t="shared" si="4"/>
        <v>40535.5</v>
      </c>
    </row>
    <row r="45" spans="1:20" s="6" customFormat="1" ht="18" customHeight="1">
      <c r="A45" s="331" t="s">
        <v>156</v>
      </c>
      <c r="B45" s="324" t="s">
        <v>77</v>
      </c>
      <c r="C45" s="333"/>
      <c r="D45" s="333"/>
      <c r="E45" s="333"/>
      <c r="F45" s="333"/>
      <c r="G45" s="332"/>
      <c r="H45" s="333"/>
      <c r="I45" s="333"/>
      <c r="J45" s="333"/>
      <c r="K45" s="333"/>
      <c r="L45" s="333"/>
      <c r="M45" s="333">
        <v>14220</v>
      </c>
      <c r="N45" s="332">
        <v>2163</v>
      </c>
      <c r="O45" s="333"/>
      <c r="P45" s="333"/>
      <c r="Q45" s="333"/>
      <c r="R45" s="333"/>
      <c r="S45" s="333"/>
      <c r="T45" s="334">
        <f t="shared" si="4"/>
        <v>16383</v>
      </c>
    </row>
    <row r="46" spans="1:20" s="6" customFormat="1" ht="18" customHeight="1">
      <c r="A46" s="335" t="s">
        <v>163</v>
      </c>
      <c r="B46" s="326" t="s">
        <v>164</v>
      </c>
      <c r="C46" s="336"/>
      <c r="D46" s="337">
        <v>25</v>
      </c>
      <c r="E46" s="336"/>
      <c r="F46" s="336"/>
      <c r="G46" s="337"/>
      <c r="H46" s="336"/>
      <c r="I46" s="336"/>
      <c r="J46" s="336"/>
      <c r="K46" s="336"/>
      <c r="L46" s="336"/>
      <c r="M46" s="336">
        <v>2747</v>
      </c>
      <c r="N46" s="337">
        <v>52</v>
      </c>
      <c r="O46" s="336"/>
      <c r="P46" s="336"/>
      <c r="Q46" s="336">
        <v>18</v>
      </c>
      <c r="R46" s="336"/>
      <c r="S46" s="336">
        <v>1</v>
      </c>
      <c r="T46" s="338">
        <f t="shared" si="4"/>
        <v>2843</v>
      </c>
    </row>
    <row r="47" spans="1:20" s="466" customFormat="1" ht="18" customHeight="1">
      <c r="A47" s="339"/>
      <c r="B47" s="467" t="s">
        <v>17</v>
      </c>
      <c r="C47" s="468">
        <f t="shared" ref="C47:T47" si="5">SUM(C26:C46)</f>
        <v>37140</v>
      </c>
      <c r="D47" s="469">
        <f t="shared" si="5"/>
        <v>857752</v>
      </c>
      <c r="E47" s="468">
        <f t="shared" si="5"/>
        <v>91065</v>
      </c>
      <c r="F47" s="468">
        <f t="shared" si="5"/>
        <v>36672</v>
      </c>
      <c r="G47" s="469">
        <f t="shared" si="5"/>
        <v>139906</v>
      </c>
      <c r="H47" s="468">
        <f t="shared" si="5"/>
        <v>87278</v>
      </c>
      <c r="I47" s="468">
        <f t="shared" si="5"/>
        <v>15400</v>
      </c>
      <c r="J47" s="468">
        <f t="shared" si="5"/>
        <v>25422</v>
      </c>
      <c r="K47" s="468">
        <f t="shared" si="5"/>
        <v>11854</v>
      </c>
      <c r="L47" s="468">
        <f t="shared" si="5"/>
        <v>14089</v>
      </c>
      <c r="M47" s="468">
        <f t="shared" si="5"/>
        <v>17078</v>
      </c>
      <c r="N47" s="469">
        <f t="shared" si="5"/>
        <v>94467</v>
      </c>
      <c r="O47" s="468">
        <f t="shared" si="5"/>
        <v>13082</v>
      </c>
      <c r="P47" s="468">
        <f t="shared" si="5"/>
        <v>18682</v>
      </c>
      <c r="Q47" s="468">
        <f t="shared" si="5"/>
        <v>31236.5</v>
      </c>
      <c r="R47" s="468">
        <f t="shared" si="5"/>
        <v>15439</v>
      </c>
      <c r="S47" s="468">
        <f t="shared" si="5"/>
        <v>8478.5</v>
      </c>
      <c r="T47" s="342">
        <f t="shared" si="5"/>
        <v>1515041</v>
      </c>
    </row>
    <row r="48" spans="1:20" ht="18" customHeight="1">
      <c r="D48" s="32"/>
      <c r="E48" s="32"/>
      <c r="F48" s="32"/>
      <c r="G48" s="32"/>
      <c r="H48" s="32"/>
      <c r="I48" s="32"/>
      <c r="J48" s="32"/>
      <c r="K48" s="32"/>
      <c r="L48" s="32"/>
      <c r="M48" s="32"/>
      <c r="N48" s="32"/>
    </row>
    <row r="50" spans="3:4" ht="18" customHeight="1">
      <c r="C50" s="7"/>
      <c r="D50" s="498"/>
    </row>
  </sheetData>
  <mergeCells count="1">
    <mergeCell ref="A1:B1"/>
  </mergeCells>
  <printOptions horizontalCentered="1"/>
  <pageMargins left="0.2" right="0.2" top="0.8" bottom="0.2" header="0.2" footer="0.2"/>
  <pageSetup paperSize="5" scale="63" orientation="landscape" r:id="rId1"/>
  <headerFooter>
    <oddFooter xml:space="preserve">&amp;L&amp;9&amp;Z&amp;F, &amp;A
Revised/Printed &amp;D, &amp;T&amp;R&amp;9Page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B1" workbookViewId="0">
      <selection activeCell="B1" sqref="B1"/>
    </sheetView>
  </sheetViews>
  <sheetFormatPr defaultColWidth="8.85546875" defaultRowHeight="50.25" customHeight="1"/>
  <cols>
    <col min="1" max="1" width="0" style="502" hidden="1" customWidth="1"/>
    <col min="2" max="2" width="53.7109375" style="502" customWidth="1"/>
    <col min="3" max="19" width="25" style="502" customWidth="1"/>
    <col min="20" max="30" width="13.7109375" style="502" customWidth="1"/>
    <col min="31" max="16384" width="8.85546875" style="502"/>
  </cols>
  <sheetData>
    <row r="1" spans="1:21" ht="74.25" customHeight="1">
      <c r="A1" s="530" t="s">
        <v>259</v>
      </c>
      <c r="B1" s="530" t="s">
        <v>259</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29.25" customHeight="1">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row>
    <row r="3" spans="1:21" s="507" customFormat="1" ht="29.25" customHeight="1">
      <c r="A3" s="505" t="s">
        <v>128</v>
      </c>
      <c r="B3" s="533" t="s">
        <v>173</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9.25" customHeight="1">
      <c r="A4" s="508" t="s">
        <v>129</v>
      </c>
      <c r="B4" s="534" t="s">
        <v>71</v>
      </c>
      <c r="C4" s="509">
        <f t="shared" ref="C4:T17"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9.25" customHeight="1">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9.25" customHeight="1">
      <c r="A6" s="508" t="s">
        <v>130</v>
      </c>
      <c r="B6" s="534" t="s">
        <v>73</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9.25" customHeight="1">
      <c r="A7" s="508" t="s">
        <v>131</v>
      </c>
      <c r="B7" s="534"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9.25" customHeight="1">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9.25" customHeight="1">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0</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0</v>
      </c>
    </row>
    <row r="10" spans="1:21" s="507" customFormat="1" ht="29.25" customHeight="1">
      <c r="A10" s="508" t="s">
        <v>135</v>
      </c>
      <c r="B10" s="534"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9.25" customHeight="1">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9.25" customHeight="1">
      <c r="A12" s="508" t="s">
        <v>137</v>
      </c>
      <c r="B12" s="534"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9.25" customHeight="1">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9.25" customHeight="1">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9.25" customHeight="1">
      <c r="A15" s="508" t="s">
        <v>148</v>
      </c>
      <c r="B15" s="535"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9.25" customHeight="1">
      <c r="A16" s="508" t="s">
        <v>149</v>
      </c>
      <c r="B16" s="535" t="s">
        <v>38</v>
      </c>
      <c r="C16" s="509">
        <f t="shared" si="1"/>
        <v>0</v>
      </c>
      <c r="D16" s="509">
        <f t="shared" si="1"/>
        <v>5.6657223796033988E-3</v>
      </c>
      <c r="E16" s="509">
        <f t="shared" si="1"/>
        <v>0.97733711048158634</v>
      </c>
      <c r="F16" s="509">
        <f t="shared" si="1"/>
        <v>0</v>
      </c>
      <c r="G16" s="509">
        <f t="shared" si="1"/>
        <v>0</v>
      </c>
      <c r="H16" s="509">
        <f t="shared" si="1"/>
        <v>4.2492917847025491E-3</v>
      </c>
      <c r="I16" s="509">
        <f t="shared" si="1"/>
        <v>0</v>
      </c>
      <c r="J16" s="509">
        <f t="shared" si="1"/>
        <v>1.4164305949008497E-3</v>
      </c>
      <c r="K16" s="509">
        <f t="shared" si="1"/>
        <v>0</v>
      </c>
      <c r="L16" s="509">
        <f t="shared" si="1"/>
        <v>0</v>
      </c>
      <c r="M16" s="509">
        <f t="shared" si="1"/>
        <v>0</v>
      </c>
      <c r="N16" s="509">
        <f t="shared" si="1"/>
        <v>0</v>
      </c>
      <c r="O16" s="509">
        <f t="shared" si="1"/>
        <v>0</v>
      </c>
      <c r="P16" s="509">
        <f t="shared" si="1"/>
        <v>0</v>
      </c>
      <c r="Q16" s="509">
        <f t="shared" si="1"/>
        <v>0</v>
      </c>
      <c r="R16" s="509">
        <f t="shared" si="1"/>
        <v>0</v>
      </c>
      <c r="S16" s="509">
        <f t="shared" si="1"/>
        <v>1.1331444759206798E-2</v>
      </c>
      <c r="T16" s="509">
        <f t="shared" si="1"/>
        <v>1</v>
      </c>
    </row>
    <row r="17" spans="1:21" s="507" customFormat="1" ht="29.25" customHeight="1">
      <c r="A17" s="508" t="s">
        <v>150</v>
      </c>
      <c r="B17" s="535" t="s">
        <v>31</v>
      </c>
      <c r="C17" s="509">
        <f>+C40/$T40</f>
        <v>0</v>
      </c>
      <c r="D17" s="509">
        <f>+D40/$T40</f>
        <v>3.0712530712530711E-3</v>
      </c>
      <c r="E17" s="509">
        <f>+E40/$T40</f>
        <v>6.7567567567567571E-3</v>
      </c>
      <c r="F17" s="509">
        <f t="shared" si="1"/>
        <v>0</v>
      </c>
      <c r="G17" s="509">
        <f t="shared" si="1"/>
        <v>2.4570024570024569E-3</v>
      </c>
      <c r="H17" s="509">
        <f t="shared" si="1"/>
        <v>1.2285012285012285E-3</v>
      </c>
      <c r="I17" s="509">
        <f t="shared" si="1"/>
        <v>1.8427518427518428E-3</v>
      </c>
      <c r="J17" s="509">
        <f t="shared" si="1"/>
        <v>0.98095823095823087</v>
      </c>
      <c r="K17" s="509">
        <f t="shared" si="1"/>
        <v>3.6855036855036856E-3</v>
      </c>
      <c r="L17" s="509">
        <f t="shared" si="1"/>
        <v>0</v>
      </c>
      <c r="M17" s="509">
        <f t="shared" si="1"/>
        <v>0</v>
      </c>
      <c r="N17" s="509">
        <f t="shared" si="1"/>
        <v>0</v>
      </c>
      <c r="O17" s="509">
        <f t="shared" si="1"/>
        <v>0</v>
      </c>
      <c r="P17" s="509">
        <f t="shared" si="1"/>
        <v>0</v>
      </c>
      <c r="Q17" s="509">
        <f t="shared" si="1"/>
        <v>0</v>
      </c>
      <c r="R17" s="509">
        <f t="shared" si="1"/>
        <v>0</v>
      </c>
      <c r="S17" s="509">
        <f t="shared" si="1"/>
        <v>0</v>
      </c>
      <c r="T17" s="509">
        <f t="shared" si="1"/>
        <v>1</v>
      </c>
    </row>
    <row r="18" spans="1:21" s="507" customFormat="1" ht="29.25" customHeight="1">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9.25" customHeight="1">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0.99090909090909085</v>
      </c>
      <c r="P19" s="509">
        <f t="shared" si="3"/>
        <v>0</v>
      </c>
      <c r="Q19" s="509">
        <f t="shared" si="3"/>
        <v>9.0909090909090887E-3</v>
      </c>
      <c r="R19" s="509">
        <f t="shared" si="3"/>
        <v>0</v>
      </c>
      <c r="S19" s="509">
        <f t="shared" si="3"/>
        <v>0</v>
      </c>
      <c r="T19" s="509">
        <f t="shared" si="3"/>
        <v>1</v>
      </c>
    </row>
    <row r="20" spans="1:21" s="507" customFormat="1" ht="29.25" customHeight="1">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9.25" customHeight="1">
      <c r="A21" s="508" t="s">
        <v>162</v>
      </c>
      <c r="B21" s="535" t="s">
        <v>76</v>
      </c>
      <c r="C21" s="509">
        <f t="shared" si="3"/>
        <v>0</v>
      </c>
      <c r="D21" s="509">
        <f t="shared" si="3"/>
        <v>0</v>
      </c>
      <c r="E21" s="509">
        <f t="shared" si="3"/>
        <v>0</v>
      </c>
      <c r="F21" s="509">
        <f t="shared" si="3"/>
        <v>0</v>
      </c>
      <c r="G21" s="509">
        <f t="shared" si="3"/>
        <v>2.5553662691652473E-3</v>
      </c>
      <c r="H21" s="509">
        <f t="shared" si="3"/>
        <v>0</v>
      </c>
      <c r="I21" s="509">
        <f t="shared" si="3"/>
        <v>0</v>
      </c>
      <c r="J21" s="509">
        <f t="shared" si="3"/>
        <v>0</v>
      </c>
      <c r="K21" s="509">
        <f t="shared" si="3"/>
        <v>0</v>
      </c>
      <c r="L21" s="509">
        <f t="shared" si="3"/>
        <v>0</v>
      </c>
      <c r="M21" s="509">
        <f t="shared" si="3"/>
        <v>0</v>
      </c>
      <c r="N21" s="509">
        <f t="shared" si="3"/>
        <v>0.97742759795570699</v>
      </c>
      <c r="O21" s="509">
        <f t="shared" si="3"/>
        <v>0</v>
      </c>
      <c r="P21" s="509">
        <f t="shared" si="3"/>
        <v>0</v>
      </c>
      <c r="Q21" s="509">
        <f t="shared" si="3"/>
        <v>1.235093696763203E-2</v>
      </c>
      <c r="R21" s="509">
        <f t="shared" si="3"/>
        <v>0</v>
      </c>
      <c r="S21" s="509">
        <f t="shared" si="3"/>
        <v>7.6660988074957418E-3</v>
      </c>
      <c r="T21" s="509">
        <f t="shared" si="3"/>
        <v>1</v>
      </c>
    </row>
    <row r="22" spans="1:21" s="507" customFormat="1" ht="29.25" customHeight="1">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9.25" customHeight="1">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c r="B24" s="537"/>
    </row>
    <row r="25" spans="1:21" ht="60" customHeight="1">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9.25" customHeight="1">
      <c r="A26" s="505" t="s">
        <v>128</v>
      </c>
      <c r="B26" s="533" t="s">
        <v>173</v>
      </c>
      <c r="C26" s="515">
        <v>134</v>
      </c>
      <c r="D26" s="515">
        <v>6064</v>
      </c>
      <c r="E26" s="515">
        <v>815</v>
      </c>
      <c r="F26" s="515">
        <v>79</v>
      </c>
      <c r="G26" s="515">
        <v>844</v>
      </c>
      <c r="H26" s="515">
        <v>282</v>
      </c>
      <c r="I26" s="515">
        <v>107</v>
      </c>
      <c r="J26" s="515"/>
      <c r="K26" s="515"/>
      <c r="L26" s="515">
        <v>43</v>
      </c>
      <c r="M26" s="515"/>
      <c r="N26" s="515">
        <v>152</v>
      </c>
      <c r="O26" s="515">
        <v>134</v>
      </c>
      <c r="P26" s="515"/>
      <c r="Q26" s="515">
        <v>104</v>
      </c>
      <c r="R26" s="515">
        <v>11</v>
      </c>
      <c r="S26" s="515">
        <v>50</v>
      </c>
      <c r="T26" s="517">
        <f t="shared" ref="T26:T46" si="4">SUM(C26:S26)</f>
        <v>8819</v>
      </c>
    </row>
    <row r="27" spans="1:21" s="507" customFormat="1" ht="29.25" customHeight="1">
      <c r="A27" s="508" t="s">
        <v>129</v>
      </c>
      <c r="B27" s="534" t="s">
        <v>71</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4"/>
        <v>3045.6666666666652</v>
      </c>
    </row>
    <row r="28" spans="1:21" s="507" customFormat="1" ht="29.25" customHeight="1">
      <c r="A28" s="508" t="s">
        <v>140</v>
      </c>
      <c r="B28" s="534" t="s">
        <v>72</v>
      </c>
      <c r="C28" s="519"/>
      <c r="D28" s="518"/>
      <c r="E28" s="519"/>
      <c r="F28" s="518"/>
      <c r="G28" s="519"/>
      <c r="H28" s="518"/>
      <c r="I28" s="518"/>
      <c r="J28" s="519"/>
      <c r="K28" s="518"/>
      <c r="L28" s="518">
        <v>34.666666666666664</v>
      </c>
      <c r="M28" s="518"/>
      <c r="N28" s="518">
        <v>97.333333333333329</v>
      </c>
      <c r="O28" s="518"/>
      <c r="P28" s="518"/>
      <c r="Q28" s="518"/>
      <c r="R28" s="519"/>
      <c r="S28" s="518"/>
      <c r="T28" s="520">
        <f t="shared" si="4"/>
        <v>132</v>
      </c>
    </row>
    <row r="29" spans="1:21" s="507" customFormat="1" ht="29.25" customHeight="1">
      <c r="A29" s="508" t="s">
        <v>130</v>
      </c>
      <c r="B29" s="534" t="s">
        <v>73</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4"/>
        <v>1080.666666666667</v>
      </c>
    </row>
    <row r="30" spans="1:21" s="507" customFormat="1" ht="29.25" customHeight="1">
      <c r="A30" s="508" t="s">
        <v>131</v>
      </c>
      <c r="B30" s="534" t="s">
        <v>141</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4"/>
        <v>487.99999999999994</v>
      </c>
    </row>
    <row r="31" spans="1:21" s="507" customFormat="1" ht="29.25" customHeight="1">
      <c r="A31" s="508" t="s">
        <v>132</v>
      </c>
      <c r="B31" s="508" t="s">
        <v>206</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9.25" customHeight="1">
      <c r="A32" s="508" t="s">
        <v>134</v>
      </c>
      <c r="B32" s="534" t="s">
        <v>40</v>
      </c>
      <c r="C32" s="518"/>
      <c r="D32" s="518"/>
      <c r="E32" s="518"/>
      <c r="F32" s="518"/>
      <c r="G32" s="518"/>
      <c r="H32" s="518"/>
      <c r="I32" s="519">
        <v>0</v>
      </c>
      <c r="J32" s="519"/>
      <c r="K32" s="518"/>
      <c r="L32" s="518"/>
      <c r="M32" s="519"/>
      <c r="N32" s="518"/>
      <c r="O32" s="519"/>
      <c r="P32" s="519"/>
      <c r="Q32" s="518"/>
      <c r="R32" s="519"/>
      <c r="S32" s="519"/>
      <c r="T32" s="520">
        <f t="shared" si="4"/>
        <v>0</v>
      </c>
    </row>
    <row r="33" spans="1:20" s="507" customFormat="1" ht="29.25" customHeight="1">
      <c r="A33" s="508" t="s">
        <v>135</v>
      </c>
      <c r="B33" s="534"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4"/>
        <v>244.33333333333334</v>
      </c>
    </row>
    <row r="34" spans="1:20" s="507" customFormat="1" ht="29.25" customHeight="1">
      <c r="A34" s="508" t="s">
        <v>136</v>
      </c>
      <c r="B34" s="534" t="s">
        <v>144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4"/>
        <v>317.66666666666674</v>
      </c>
    </row>
    <row r="35" spans="1:20" s="507" customFormat="1" ht="29.25" customHeight="1">
      <c r="A35" s="508" t="s">
        <v>137</v>
      </c>
      <c r="B35" s="534"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4"/>
        <v>219.33333333333331</v>
      </c>
    </row>
    <row r="36" spans="1:20" s="507" customFormat="1" ht="29.25" customHeight="1">
      <c r="A36" s="508" t="s">
        <v>138</v>
      </c>
      <c r="B36" s="508" t="s">
        <v>211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9.25" customHeight="1">
      <c r="A37" s="508" t="s">
        <v>147</v>
      </c>
      <c r="B37" s="508" t="s">
        <v>208</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9.25" customHeight="1">
      <c r="A38" s="508" t="s">
        <v>148</v>
      </c>
      <c r="B38" s="535"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4"/>
        <v>399.66666666666669</v>
      </c>
    </row>
    <row r="39" spans="1:20" s="507" customFormat="1" ht="29.25" customHeight="1">
      <c r="A39" s="508" t="s">
        <v>149</v>
      </c>
      <c r="B39" s="535"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4"/>
        <v>235.33333333333334</v>
      </c>
    </row>
    <row r="40" spans="1:20" s="507" customFormat="1" ht="29.25" customHeight="1">
      <c r="A40" s="508" t="s">
        <v>150</v>
      </c>
      <c r="B40" s="535" t="s">
        <v>31</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4"/>
        <v>542.66666666666663</v>
      </c>
    </row>
    <row r="41" spans="1:20" s="507" customFormat="1" ht="29.25" customHeight="1">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9.25" customHeight="1">
      <c r="A42" s="508" t="s">
        <v>153</v>
      </c>
      <c r="B42" s="535" t="s">
        <v>100</v>
      </c>
      <c r="C42" s="518"/>
      <c r="D42" s="518"/>
      <c r="E42" s="518"/>
      <c r="F42" s="518"/>
      <c r="G42" s="518"/>
      <c r="H42" s="518"/>
      <c r="I42" s="518"/>
      <c r="J42" s="518"/>
      <c r="K42" s="518"/>
      <c r="L42" s="518"/>
      <c r="M42" s="519"/>
      <c r="N42" s="518"/>
      <c r="O42" s="519">
        <v>72.666666666666671</v>
      </c>
      <c r="P42" s="518"/>
      <c r="Q42" s="518">
        <v>0.66666666666666663</v>
      </c>
      <c r="R42" s="519"/>
      <c r="S42" s="518"/>
      <c r="T42" s="520">
        <f t="shared" si="4"/>
        <v>73.333333333333343</v>
      </c>
    </row>
    <row r="43" spans="1:20" s="507" customFormat="1" ht="29.25" customHeight="1">
      <c r="A43" s="508" t="s">
        <v>155</v>
      </c>
      <c r="B43" s="535" t="s">
        <v>42</v>
      </c>
      <c r="C43" s="518"/>
      <c r="D43" s="518"/>
      <c r="E43" s="518"/>
      <c r="F43" s="518"/>
      <c r="G43" s="519"/>
      <c r="H43" s="518"/>
      <c r="I43" s="518"/>
      <c r="J43" s="518"/>
      <c r="K43" s="518"/>
      <c r="L43" s="518"/>
      <c r="M43" s="519"/>
      <c r="N43" s="518"/>
      <c r="O43" s="518"/>
      <c r="P43" s="519">
        <v>364.66666666666669</v>
      </c>
      <c r="Q43" s="519"/>
      <c r="R43" s="519"/>
      <c r="S43" s="518"/>
      <c r="T43" s="520">
        <f t="shared" si="4"/>
        <v>364.66666666666669</v>
      </c>
    </row>
    <row r="44" spans="1:20" s="507" customFormat="1" ht="29.25" customHeight="1">
      <c r="A44" s="508" t="s">
        <v>162</v>
      </c>
      <c r="B44" s="535" t="s">
        <v>76</v>
      </c>
      <c r="C44" s="519"/>
      <c r="D44" s="518"/>
      <c r="E44" s="519"/>
      <c r="F44" s="518"/>
      <c r="G44" s="519">
        <v>2</v>
      </c>
      <c r="H44" s="519"/>
      <c r="I44" s="519"/>
      <c r="J44" s="519"/>
      <c r="K44" s="518"/>
      <c r="L44" s="519"/>
      <c r="M44" s="519"/>
      <c r="N44" s="519">
        <v>765</v>
      </c>
      <c r="O44" s="519"/>
      <c r="P44" s="519"/>
      <c r="Q44" s="519">
        <v>9.6666666666666679</v>
      </c>
      <c r="R44" s="519"/>
      <c r="S44" s="519">
        <v>6</v>
      </c>
      <c r="T44" s="520">
        <f t="shared" si="4"/>
        <v>782.66666666666663</v>
      </c>
    </row>
    <row r="45" spans="1:20" s="507" customFormat="1" ht="29.25" customHeight="1">
      <c r="A45" s="508" t="s">
        <v>156</v>
      </c>
      <c r="B45" s="535" t="s">
        <v>77</v>
      </c>
      <c r="C45" s="519"/>
      <c r="D45" s="519"/>
      <c r="E45" s="519"/>
      <c r="F45" s="519"/>
      <c r="G45" s="518"/>
      <c r="H45" s="519"/>
      <c r="I45" s="519"/>
      <c r="J45" s="519"/>
      <c r="K45" s="519"/>
      <c r="L45" s="519"/>
      <c r="M45" s="519">
        <v>243</v>
      </c>
      <c r="N45" s="518"/>
      <c r="O45" s="519"/>
      <c r="P45" s="519"/>
      <c r="Q45" s="519"/>
      <c r="R45" s="519"/>
      <c r="S45" s="519"/>
      <c r="T45" s="520">
        <f t="shared" si="4"/>
        <v>243</v>
      </c>
    </row>
    <row r="46" spans="1:20" s="507" customFormat="1" ht="29.25" customHeight="1">
      <c r="A46" s="511" t="s">
        <v>163</v>
      </c>
      <c r="B46" s="536" t="s">
        <v>164</v>
      </c>
      <c r="C46" s="521"/>
      <c r="D46" s="522"/>
      <c r="E46" s="521"/>
      <c r="F46" s="521"/>
      <c r="G46" s="522"/>
      <c r="H46" s="521"/>
      <c r="I46" s="521"/>
      <c r="J46" s="521"/>
      <c r="K46" s="521"/>
      <c r="L46" s="521"/>
      <c r="M46" s="521">
        <v>76.333333333333329</v>
      </c>
      <c r="N46" s="522"/>
      <c r="O46" s="521"/>
      <c r="P46" s="521"/>
      <c r="Q46" s="521"/>
      <c r="R46" s="521"/>
      <c r="S46" s="521"/>
      <c r="T46" s="523">
        <f t="shared" si="4"/>
        <v>76.333333333333329</v>
      </c>
    </row>
    <row r="47" spans="1:20" ht="29.25" customHeight="1">
      <c r="B47" s="539" t="s">
        <v>17</v>
      </c>
      <c r="C47" s="524">
        <f t="shared" ref="C47:T47" si="5">SUM(C26:C46)</f>
        <v>514.66666666666674</v>
      </c>
      <c r="D47" s="525">
        <f t="shared" si="5"/>
        <v>8139.9999999999991</v>
      </c>
      <c r="E47" s="524">
        <f t="shared" si="5"/>
        <v>1125</v>
      </c>
      <c r="F47" s="524">
        <f t="shared" si="5"/>
        <v>678.66666666666663</v>
      </c>
      <c r="G47" s="525">
        <f t="shared" si="5"/>
        <v>1968.6666666666665</v>
      </c>
      <c r="H47" s="524">
        <f t="shared" si="5"/>
        <v>778.33333333333326</v>
      </c>
      <c r="I47" s="524">
        <f t="shared" si="5"/>
        <v>156</v>
      </c>
      <c r="J47" s="524">
        <f t="shared" si="5"/>
        <v>607</v>
      </c>
      <c r="K47" s="524">
        <f t="shared" si="5"/>
        <v>367</v>
      </c>
      <c r="L47" s="524">
        <f t="shared" si="5"/>
        <v>329.33333333333331</v>
      </c>
      <c r="M47" s="524">
        <f t="shared" si="5"/>
        <v>319.33333333333331</v>
      </c>
      <c r="N47" s="525">
        <f t="shared" si="5"/>
        <v>1496.6666666666667</v>
      </c>
      <c r="O47" s="524">
        <f t="shared" si="5"/>
        <v>270</v>
      </c>
      <c r="P47" s="524">
        <f t="shared" si="5"/>
        <v>424</v>
      </c>
      <c r="Q47" s="524">
        <f t="shared" si="5"/>
        <v>598.33333333333337</v>
      </c>
      <c r="R47" s="524">
        <f t="shared" si="5"/>
        <v>11.666666666666666</v>
      </c>
      <c r="S47" s="524">
        <f t="shared" si="5"/>
        <v>355</v>
      </c>
      <c r="T47" s="526">
        <f t="shared" si="5"/>
        <v>18139.666666666664</v>
      </c>
    </row>
  </sheetData>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B1" workbookViewId="0">
      <selection activeCell="B1" sqref="B1:F1"/>
    </sheetView>
  </sheetViews>
  <sheetFormatPr defaultColWidth="8.85546875" defaultRowHeight="1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c r="B1" s="639" t="s">
        <v>220</v>
      </c>
      <c r="C1" s="639"/>
      <c r="D1" s="639"/>
      <c r="E1" s="639"/>
      <c r="F1" s="639"/>
    </row>
    <row r="2" spans="1:20" ht="60"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hidden="1"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0" ht="24.75" customHeight="1">
      <c r="A4" s="400"/>
      <c r="B4" s="631" t="s">
        <v>111</v>
      </c>
      <c r="C4" s="631"/>
      <c r="D4" s="631"/>
      <c r="E4" s="631"/>
      <c r="F4" s="631"/>
      <c r="G4" s="631"/>
      <c r="H4" s="631"/>
      <c r="I4" s="631"/>
      <c r="J4" s="631"/>
      <c r="K4" s="631"/>
      <c r="L4" s="631"/>
      <c r="M4" s="631"/>
      <c r="N4" s="631"/>
      <c r="O4" s="631"/>
      <c r="P4" s="631"/>
      <c r="Q4" s="631"/>
      <c r="R4" s="631"/>
      <c r="S4" s="631"/>
      <c r="T4" s="631"/>
    </row>
    <row r="5" spans="1:20" ht="20.100000000000001" customHeight="1">
      <c r="A5" s="411" t="s">
        <v>128</v>
      </c>
      <c r="B5" s="412" t="s">
        <v>21</v>
      </c>
      <c r="C5" s="413">
        <f t="shared" ref="C5:S19" si="0">+C29+C53</f>
        <v>859740.83844105178</v>
      </c>
      <c r="D5" s="413">
        <f t="shared" si="0"/>
        <v>4135454.7101522386</v>
      </c>
      <c r="E5" s="413">
        <f t="shared" si="0"/>
        <v>218295.34982331097</v>
      </c>
      <c r="F5" s="413">
        <f t="shared" si="0"/>
        <v>356722.27801800577</v>
      </c>
      <c r="G5" s="413">
        <f t="shared" si="0"/>
        <v>2565292.1392087936</v>
      </c>
      <c r="H5" s="413">
        <f t="shared" si="0"/>
        <v>922628.85416130582</v>
      </c>
      <c r="I5" s="413">
        <f t="shared" si="0"/>
        <v>705697.59271674044</v>
      </c>
      <c r="J5" s="413">
        <f t="shared" si="0"/>
        <v>13759.951505845238</v>
      </c>
      <c r="K5" s="413">
        <f t="shared" si="0"/>
        <v>2535.3034760259907</v>
      </c>
      <c r="L5" s="413">
        <f t="shared" si="0"/>
        <v>4734.2191313531366</v>
      </c>
      <c r="M5" s="413">
        <f t="shared" si="0"/>
        <v>-703.58639388140364</v>
      </c>
      <c r="N5" s="413">
        <f t="shared" si="0"/>
        <v>6836.8160463529639</v>
      </c>
      <c r="O5" s="413">
        <f t="shared" si="0"/>
        <v>58896.907585483976</v>
      </c>
      <c r="P5" s="413">
        <f t="shared" si="0"/>
        <v>2679.9257998545654</v>
      </c>
      <c r="Q5" s="413">
        <f t="shared" si="0"/>
        <v>-233171.61219713697</v>
      </c>
      <c r="R5" s="413">
        <f t="shared" si="0"/>
        <v>-236328.29419145628</v>
      </c>
      <c r="S5" s="413">
        <f t="shared" si="0"/>
        <v>108174.64237198097</v>
      </c>
      <c r="T5" s="413">
        <f t="shared" ref="T5:T26" si="1">SUM(C5:S5)</f>
        <v>9491246.0356558692</v>
      </c>
    </row>
    <row r="6" spans="1:20" ht="20.100000000000001" customHeight="1">
      <c r="A6" s="401" t="s">
        <v>129</v>
      </c>
      <c r="B6" s="408" t="s">
        <v>35</v>
      </c>
      <c r="C6" s="410">
        <f t="shared" si="0"/>
        <v>5839.9897642275464</v>
      </c>
      <c r="D6" s="410">
        <f t="shared" si="0"/>
        <v>21158.768790571718</v>
      </c>
      <c r="E6" s="410">
        <f t="shared" si="0"/>
        <v>7009.0624672025297</v>
      </c>
      <c r="F6" s="410">
        <f t="shared" si="0"/>
        <v>637.02447922206375</v>
      </c>
      <c r="G6" s="410">
        <f t="shared" si="0"/>
        <v>-9887.8129520621733</v>
      </c>
      <c r="H6" s="410">
        <f t="shared" si="0"/>
        <v>-20151.305335405661</v>
      </c>
      <c r="I6" s="410">
        <f t="shared" si="0"/>
        <v>-2347.3404815016911</v>
      </c>
      <c r="J6" s="410">
        <f t="shared" si="0"/>
        <v>1685.06113495311</v>
      </c>
      <c r="K6" s="410">
        <f t="shared" si="0"/>
        <v>-30024.703886673993</v>
      </c>
      <c r="L6" s="410">
        <f t="shared" si="0"/>
        <v>-1436.5219596244992</v>
      </c>
      <c r="M6" s="410">
        <f t="shared" si="0"/>
        <v>-58.579717036567985</v>
      </c>
      <c r="N6" s="410">
        <f t="shared" si="0"/>
        <v>-13493.245841098542</v>
      </c>
      <c r="O6" s="410">
        <f t="shared" si="0"/>
        <v>2501.3441753157094</v>
      </c>
      <c r="P6" s="410">
        <f t="shared" si="0"/>
        <v>6689.5839855880113</v>
      </c>
      <c r="Q6" s="410">
        <f t="shared" si="0"/>
        <v>-13280.131568623077</v>
      </c>
      <c r="R6" s="410">
        <f t="shared" si="0"/>
        <v>0</v>
      </c>
      <c r="S6" s="410">
        <f t="shared" si="0"/>
        <v>-94442.249171026575</v>
      </c>
      <c r="T6" s="410">
        <f t="shared" si="1"/>
        <v>-139601.05611597211</v>
      </c>
    </row>
    <row r="7" spans="1:20" ht="20.100000000000001" customHeight="1">
      <c r="A7" s="401" t="s">
        <v>140</v>
      </c>
      <c r="B7" s="414" t="s">
        <v>36</v>
      </c>
      <c r="C7" s="415">
        <f t="shared" si="0"/>
        <v>145.15058834756999</v>
      </c>
      <c r="D7" s="415">
        <f t="shared" si="0"/>
        <v>909.00707074298407</v>
      </c>
      <c r="E7" s="415">
        <f t="shared" si="0"/>
        <v>0</v>
      </c>
      <c r="F7" s="415">
        <f t="shared" si="0"/>
        <v>273.7589075390681</v>
      </c>
      <c r="G7" s="415">
        <f t="shared" si="0"/>
        <v>-512.76027598418455</v>
      </c>
      <c r="H7" s="415">
        <f t="shared" si="0"/>
        <v>0</v>
      </c>
      <c r="I7" s="415">
        <f t="shared" si="0"/>
        <v>580.60235339027997</v>
      </c>
      <c r="J7" s="415">
        <f t="shared" si="0"/>
        <v>-134.53683491653069</v>
      </c>
      <c r="K7" s="415">
        <f t="shared" si="0"/>
        <v>-1251.5175690677602</v>
      </c>
      <c r="L7" s="415">
        <f t="shared" si="0"/>
        <v>22525.961612095802</v>
      </c>
      <c r="M7" s="415">
        <f t="shared" si="0"/>
        <v>0</v>
      </c>
      <c r="N7" s="415">
        <f t="shared" si="0"/>
        <v>43447.463044002448</v>
      </c>
      <c r="O7" s="415">
        <f t="shared" si="0"/>
        <v>-559.37484652820137</v>
      </c>
      <c r="P7" s="415">
        <f t="shared" si="0"/>
        <v>-419.531134896151</v>
      </c>
      <c r="Q7" s="415">
        <f t="shared" si="0"/>
        <v>647.20115277734931</v>
      </c>
      <c r="R7" s="415">
        <f t="shared" si="0"/>
        <v>-93.229141088033572</v>
      </c>
      <c r="S7" s="415">
        <f t="shared" si="0"/>
        <v>96.76705889838</v>
      </c>
      <c r="T7" s="415">
        <f t="shared" si="1"/>
        <v>65654.961985313013</v>
      </c>
    </row>
    <row r="8" spans="1:20" ht="20.100000000000001" customHeight="1">
      <c r="A8" s="401" t="s">
        <v>130</v>
      </c>
      <c r="B8" s="408" t="s">
        <v>37</v>
      </c>
      <c r="C8" s="410">
        <f t="shared" si="0"/>
        <v>-3446.9306023998829</v>
      </c>
      <c r="D8" s="410">
        <f t="shared" si="0"/>
        <v>3666.4069370179786</v>
      </c>
      <c r="E8" s="410">
        <f t="shared" si="0"/>
        <v>-41946.900153158771</v>
      </c>
      <c r="F8" s="410">
        <f t="shared" si="0"/>
        <v>2150.6011398815176</v>
      </c>
      <c r="G8" s="410">
        <f t="shared" si="0"/>
        <v>212759.71328357258</v>
      </c>
      <c r="H8" s="410">
        <f t="shared" si="0"/>
        <v>-3126.2227965899956</v>
      </c>
      <c r="I8" s="410">
        <f t="shared" si="0"/>
        <v>718.30854867788571</v>
      </c>
      <c r="J8" s="410">
        <f t="shared" si="0"/>
        <v>7860.0719346083961</v>
      </c>
      <c r="K8" s="410">
        <f t="shared" si="0"/>
        <v>-2747.3788362603796</v>
      </c>
      <c r="L8" s="410">
        <f t="shared" si="0"/>
        <v>3711.3836545438826</v>
      </c>
      <c r="M8" s="410">
        <f t="shared" si="0"/>
        <v>0</v>
      </c>
      <c r="N8" s="410">
        <f t="shared" si="0"/>
        <v>45441.78545163566</v>
      </c>
      <c r="O8" s="410">
        <f t="shared" si="0"/>
        <v>13626.237358055121</v>
      </c>
      <c r="P8" s="410">
        <f t="shared" si="0"/>
        <v>-158.33843702228205</v>
      </c>
      <c r="Q8" s="410">
        <f t="shared" si="0"/>
        <v>42816.793904768987</v>
      </c>
      <c r="R8" s="410">
        <f t="shared" si="0"/>
        <v>-10647.618357738849</v>
      </c>
      <c r="S8" s="410">
        <f t="shared" si="0"/>
        <v>-35389.638119893614</v>
      </c>
      <c r="T8" s="410">
        <f t="shared" si="1"/>
        <v>235288.27490969823</v>
      </c>
    </row>
    <row r="9" spans="1:20" ht="20.100000000000001" customHeight="1">
      <c r="A9" s="416" t="s">
        <v>131</v>
      </c>
      <c r="B9" s="414" t="s">
        <v>141</v>
      </c>
      <c r="C9" s="415">
        <f t="shared" si="0"/>
        <v>-8361.5841201643143</v>
      </c>
      <c r="D9" s="415">
        <f t="shared" si="0"/>
        <v>-26588.898273080271</v>
      </c>
      <c r="E9" s="415">
        <f t="shared" si="0"/>
        <v>-5252.4596937108545</v>
      </c>
      <c r="F9" s="415">
        <f t="shared" si="0"/>
        <v>334.514271345917</v>
      </c>
      <c r="G9" s="415">
        <f t="shared" si="0"/>
        <v>-5011.6571633408767</v>
      </c>
      <c r="H9" s="415">
        <f t="shared" si="0"/>
        <v>-29814.566564772744</v>
      </c>
      <c r="I9" s="415">
        <f t="shared" si="0"/>
        <v>-82.31936242907868</v>
      </c>
      <c r="J9" s="415">
        <f t="shared" si="0"/>
        <v>2694.814042113876</v>
      </c>
      <c r="K9" s="415">
        <f t="shared" si="0"/>
        <v>-12055.973880958838</v>
      </c>
      <c r="L9" s="415">
        <f t="shared" si="0"/>
        <v>0</v>
      </c>
      <c r="M9" s="415">
        <f t="shared" si="0"/>
        <v>0</v>
      </c>
      <c r="N9" s="415">
        <f t="shared" si="0"/>
        <v>-2539.0870960832935</v>
      </c>
      <c r="O9" s="415">
        <f t="shared" si="0"/>
        <v>0</v>
      </c>
      <c r="P9" s="415">
        <f t="shared" si="0"/>
        <v>-123.68576028689179</v>
      </c>
      <c r="Q9" s="415">
        <f t="shared" si="0"/>
        <v>-2541.4298847070631</v>
      </c>
      <c r="R9" s="415">
        <f t="shared" si="0"/>
        <v>0</v>
      </c>
      <c r="S9" s="415">
        <f t="shared" si="0"/>
        <v>2019.4692742787188</v>
      </c>
      <c r="T9" s="415">
        <f t="shared" si="1"/>
        <v>-87322.864211795721</v>
      </c>
    </row>
    <row r="10" spans="1:20" ht="20.100000000000001" customHeight="1">
      <c r="A10" s="401" t="s">
        <v>132</v>
      </c>
      <c r="B10" s="408" t="s">
        <v>206</v>
      </c>
      <c r="C10" s="410">
        <f t="shared" si="0"/>
        <v>174.22109413727287</v>
      </c>
      <c r="D10" s="410">
        <f t="shared" si="0"/>
        <v>-11032.935179402184</v>
      </c>
      <c r="E10" s="410">
        <f t="shared" si="0"/>
        <v>-1447.5721465190036</v>
      </c>
      <c r="F10" s="410">
        <f t="shared" si="0"/>
        <v>296984.49238729186</v>
      </c>
      <c r="G10" s="410">
        <f t="shared" si="0"/>
        <v>46.707703654696473</v>
      </c>
      <c r="H10" s="410">
        <f t="shared" si="0"/>
        <v>-825.47146886063456</v>
      </c>
      <c r="I10" s="410">
        <f t="shared" si="0"/>
        <v>560.36404286543439</v>
      </c>
      <c r="J10" s="410">
        <f t="shared" si="0"/>
        <v>-168.81692821662443</v>
      </c>
      <c r="K10" s="410">
        <f t="shared" si="0"/>
        <v>-9816.3120712198324</v>
      </c>
      <c r="L10" s="410">
        <f t="shared" si="0"/>
        <v>1241.1148957981682</v>
      </c>
      <c r="M10" s="410">
        <f t="shared" si="0"/>
        <v>0</v>
      </c>
      <c r="N10" s="410">
        <f t="shared" si="0"/>
        <v>480.31076982165598</v>
      </c>
      <c r="O10" s="410">
        <f t="shared" si="0"/>
        <v>-12445.553566990269</v>
      </c>
      <c r="P10" s="410">
        <f t="shared" si="0"/>
        <v>0</v>
      </c>
      <c r="Q10" s="410">
        <f t="shared" si="0"/>
        <v>-702.93109145910103</v>
      </c>
      <c r="R10" s="410">
        <f t="shared" si="0"/>
        <v>-253.22539232493668</v>
      </c>
      <c r="S10" s="410">
        <f t="shared" si="0"/>
        <v>-30865.00633372318</v>
      </c>
      <c r="T10" s="410">
        <f t="shared" si="1"/>
        <v>231929.38671485338</v>
      </c>
    </row>
    <row r="11" spans="1:20" ht="20.100000000000001" customHeight="1">
      <c r="A11" s="401" t="s">
        <v>134</v>
      </c>
      <c r="B11" s="414" t="s">
        <v>40</v>
      </c>
      <c r="C11" s="415">
        <f t="shared" si="0"/>
        <v>0</v>
      </c>
      <c r="D11" s="415">
        <f t="shared" si="0"/>
        <v>-9722.6680425874965</v>
      </c>
      <c r="E11" s="415">
        <f t="shared" si="0"/>
        <v>0</v>
      </c>
      <c r="F11" s="415">
        <f t="shared" si="0"/>
        <v>0</v>
      </c>
      <c r="G11" s="415">
        <f t="shared" si="0"/>
        <v>0</v>
      </c>
      <c r="H11" s="415">
        <f t="shared" si="0"/>
        <v>0</v>
      </c>
      <c r="I11" s="415">
        <f t="shared" si="0"/>
        <v>-24772.294534364413</v>
      </c>
      <c r="J11" s="415">
        <f t="shared" si="0"/>
        <v>0</v>
      </c>
      <c r="K11" s="415">
        <f t="shared" si="0"/>
        <v>-403.86467253824981</v>
      </c>
      <c r="L11" s="415">
        <f t="shared" si="0"/>
        <v>0</v>
      </c>
      <c r="M11" s="415">
        <f t="shared" si="0"/>
        <v>0</v>
      </c>
      <c r="N11" s="415">
        <f t="shared" si="0"/>
        <v>0</v>
      </c>
      <c r="O11" s="415">
        <f t="shared" si="0"/>
        <v>0</v>
      </c>
      <c r="P11" s="415">
        <f t="shared" si="0"/>
        <v>0</v>
      </c>
      <c r="Q11" s="415">
        <f t="shared" si="0"/>
        <v>-179.49541001699993</v>
      </c>
      <c r="R11" s="415">
        <f t="shared" si="0"/>
        <v>0</v>
      </c>
      <c r="S11" s="415">
        <f t="shared" si="0"/>
        <v>0</v>
      </c>
      <c r="T11" s="415">
        <f t="shared" si="1"/>
        <v>-35078.322659507161</v>
      </c>
    </row>
    <row r="12" spans="1:20" ht="20.100000000000001" customHeight="1">
      <c r="A12" s="401" t="s">
        <v>135</v>
      </c>
      <c r="B12" s="408" t="s">
        <v>70</v>
      </c>
      <c r="C12" s="410">
        <f t="shared" si="0"/>
        <v>0</v>
      </c>
      <c r="D12" s="410">
        <f t="shared" si="0"/>
        <v>-20938.833825911504</v>
      </c>
      <c r="E12" s="410">
        <f t="shared" si="0"/>
        <v>0</v>
      </c>
      <c r="F12" s="410">
        <f t="shared" si="0"/>
        <v>-1077.6008514584216</v>
      </c>
      <c r="G12" s="410">
        <f t="shared" si="0"/>
        <v>0</v>
      </c>
      <c r="H12" s="410">
        <f t="shared" si="0"/>
        <v>-51.70849851098243</v>
      </c>
      <c r="I12" s="410">
        <f t="shared" si="0"/>
        <v>0</v>
      </c>
      <c r="J12" s="410">
        <f t="shared" si="0"/>
        <v>-48.949292753579357</v>
      </c>
      <c r="K12" s="410">
        <f t="shared" si="0"/>
        <v>-28601.17201599709</v>
      </c>
      <c r="L12" s="410">
        <f t="shared" si="0"/>
        <v>106045.30561359564</v>
      </c>
      <c r="M12" s="410">
        <f t="shared" si="0"/>
        <v>435.74163414708403</v>
      </c>
      <c r="N12" s="410">
        <f t="shared" si="0"/>
        <v>-9222.0907852681667</v>
      </c>
      <c r="O12" s="410">
        <f t="shared" si="0"/>
        <v>-775.62747766473649</v>
      </c>
      <c r="P12" s="410">
        <f t="shared" si="0"/>
        <v>0</v>
      </c>
      <c r="Q12" s="410">
        <f t="shared" si="0"/>
        <v>-8207.4128281507328</v>
      </c>
      <c r="R12" s="410">
        <f t="shared" si="0"/>
        <v>0</v>
      </c>
      <c r="S12" s="410">
        <f t="shared" si="0"/>
        <v>2825.1870617790132</v>
      </c>
      <c r="T12" s="410">
        <f t="shared" si="1"/>
        <v>40382.838733806522</v>
      </c>
    </row>
    <row r="13" spans="1:20" ht="20.100000000000001" customHeight="1">
      <c r="A13" s="416" t="s">
        <v>136</v>
      </c>
      <c r="B13" s="414" t="s">
        <v>144</v>
      </c>
      <c r="C13" s="415">
        <f t="shared" si="0"/>
        <v>-106.50679480469239</v>
      </c>
      <c r="D13" s="415">
        <f t="shared" si="0"/>
        <v>3105.4247615334643</v>
      </c>
      <c r="E13" s="415">
        <f t="shared" si="0"/>
        <v>-543.4971206820062</v>
      </c>
      <c r="F13" s="415">
        <f t="shared" si="0"/>
        <v>-6.3435376115702695</v>
      </c>
      <c r="G13" s="415">
        <f t="shared" si="0"/>
        <v>-1.3333445920025042</v>
      </c>
      <c r="H13" s="415">
        <f t="shared" si="0"/>
        <v>-2702.0483003583659</v>
      </c>
      <c r="I13" s="415">
        <f t="shared" si="0"/>
        <v>-345.28511883295215</v>
      </c>
      <c r="J13" s="415">
        <f t="shared" si="0"/>
        <v>140.72957937232775</v>
      </c>
      <c r="K13" s="415">
        <f t="shared" si="0"/>
        <v>1296.5599738442047</v>
      </c>
      <c r="L13" s="415">
        <f t="shared" si="0"/>
        <v>466.98408537056901</v>
      </c>
      <c r="M13" s="415">
        <f t="shared" si="0"/>
        <v>-100.16325719312211</v>
      </c>
      <c r="N13" s="415">
        <f t="shared" si="0"/>
        <v>-9515.6866879367299</v>
      </c>
      <c r="O13" s="415">
        <f t="shared" si="0"/>
        <v>-692.68475020309427</v>
      </c>
      <c r="P13" s="415">
        <f t="shared" si="0"/>
        <v>1419.040108327009</v>
      </c>
      <c r="Q13" s="415">
        <f t="shared" si="0"/>
        <v>-164834.21953517961</v>
      </c>
      <c r="R13" s="415">
        <f t="shared" si="0"/>
        <v>-196.09748931186402</v>
      </c>
      <c r="S13" s="415">
        <f t="shared" si="0"/>
        <v>390.39750535302392</v>
      </c>
      <c r="T13" s="415">
        <f t="shared" si="1"/>
        <v>-172224.72992290539</v>
      </c>
    </row>
    <row r="14" spans="1:20" ht="20.100000000000001" customHeight="1">
      <c r="A14" s="401" t="s">
        <v>137</v>
      </c>
      <c r="B14" s="408" t="s">
        <v>49</v>
      </c>
      <c r="C14" s="410">
        <f t="shared" si="0"/>
        <v>-694.44477960078621</v>
      </c>
      <c r="D14" s="410">
        <f t="shared" si="0"/>
        <v>234.22543920771386</v>
      </c>
      <c r="E14" s="410">
        <f t="shared" si="0"/>
        <v>290.58523192172134</v>
      </c>
      <c r="F14" s="410">
        <f t="shared" si="0"/>
        <v>0</v>
      </c>
      <c r="G14" s="410">
        <f t="shared" si="0"/>
        <v>2454.1494636979328</v>
      </c>
      <c r="H14" s="410">
        <f t="shared" si="0"/>
        <v>-92.838953572251143</v>
      </c>
      <c r="I14" s="410">
        <f t="shared" si="0"/>
        <v>-79.377189844370605</v>
      </c>
      <c r="J14" s="410">
        <f t="shared" si="0"/>
        <v>4755.0933615572112</v>
      </c>
      <c r="K14" s="410">
        <f t="shared" si="0"/>
        <v>-9484.2892568044899</v>
      </c>
      <c r="L14" s="410">
        <f t="shared" si="0"/>
        <v>14141.816161984632</v>
      </c>
      <c r="M14" s="410">
        <f t="shared" si="0"/>
        <v>-5819.5005629240895</v>
      </c>
      <c r="N14" s="410">
        <f t="shared" si="0"/>
        <v>54026.302428035036</v>
      </c>
      <c r="O14" s="410">
        <f t="shared" si="0"/>
        <v>-3590.0522971156001</v>
      </c>
      <c r="P14" s="410">
        <f t="shared" si="0"/>
        <v>362.53484364069527</v>
      </c>
      <c r="Q14" s="410">
        <f t="shared" si="0"/>
        <v>-84838.386251349904</v>
      </c>
      <c r="R14" s="410">
        <f t="shared" si="0"/>
        <v>-79.377189844370605</v>
      </c>
      <c r="S14" s="410">
        <f t="shared" si="0"/>
        <v>6134.0359689882534</v>
      </c>
      <c r="T14" s="410">
        <f t="shared" si="1"/>
        <v>-22279.52358202267</v>
      </c>
    </row>
    <row r="15" spans="1:20" ht="20.100000000000001" customHeight="1">
      <c r="A15" s="401" t="s">
        <v>138</v>
      </c>
      <c r="B15" s="414" t="s">
        <v>207</v>
      </c>
      <c r="C15" s="415">
        <f t="shared" si="0"/>
        <v>856606.13298978319</v>
      </c>
      <c r="D15" s="415">
        <f t="shared" si="0"/>
        <v>-3844.2546076816161</v>
      </c>
      <c r="E15" s="415">
        <f t="shared" si="0"/>
        <v>-7178.8808838730756</v>
      </c>
      <c r="F15" s="415">
        <f t="shared" si="0"/>
        <v>-84.215299951971446</v>
      </c>
      <c r="G15" s="415">
        <f t="shared" si="0"/>
        <v>1019.0093606433156</v>
      </c>
      <c r="H15" s="415">
        <f t="shared" si="0"/>
        <v>-1955.4447520390404</v>
      </c>
      <c r="I15" s="415">
        <f t="shared" si="0"/>
        <v>0</v>
      </c>
      <c r="J15" s="415">
        <f t="shared" si="0"/>
        <v>0</v>
      </c>
      <c r="K15" s="415">
        <f t="shared" si="0"/>
        <v>-14891.100478437384</v>
      </c>
      <c r="L15" s="415">
        <f t="shared" si="0"/>
        <v>-177.07107665280301</v>
      </c>
      <c r="M15" s="415">
        <f t="shared" si="0"/>
        <v>0</v>
      </c>
      <c r="N15" s="415">
        <f t="shared" si="0"/>
        <v>-1524.3309848216136</v>
      </c>
      <c r="O15" s="415">
        <f t="shared" si="0"/>
        <v>0</v>
      </c>
      <c r="P15" s="415">
        <f t="shared" si="0"/>
        <v>0</v>
      </c>
      <c r="Q15" s="415">
        <f t="shared" si="0"/>
        <v>-1587.9831275253518</v>
      </c>
      <c r="R15" s="415">
        <f t="shared" si="0"/>
        <v>-570.29018915119173</v>
      </c>
      <c r="S15" s="415">
        <f t="shared" si="0"/>
        <v>-37790.055407631153</v>
      </c>
      <c r="T15" s="415">
        <f t="shared" si="1"/>
        <v>788021.51554266131</v>
      </c>
    </row>
    <row r="16" spans="1:20" ht="20.100000000000001" customHeight="1">
      <c r="A16" s="401" t="s">
        <v>147</v>
      </c>
      <c r="B16" s="408" t="s">
        <v>208</v>
      </c>
      <c r="C16" s="410">
        <f t="shared" si="0"/>
        <v>0</v>
      </c>
      <c r="D16" s="410">
        <f t="shared" si="0"/>
        <v>2421.0616186024527</v>
      </c>
      <c r="E16" s="410">
        <f t="shared" si="0"/>
        <v>0</v>
      </c>
      <c r="F16" s="410">
        <f t="shared" si="0"/>
        <v>0</v>
      </c>
      <c r="G16" s="410">
        <f t="shared" si="0"/>
        <v>145061.65132280038</v>
      </c>
      <c r="H16" s="410">
        <f t="shared" si="0"/>
        <v>713.37631193036202</v>
      </c>
      <c r="I16" s="410">
        <f t="shared" si="0"/>
        <v>0</v>
      </c>
      <c r="J16" s="410">
        <f t="shared" si="0"/>
        <v>0</v>
      </c>
      <c r="K16" s="410">
        <f t="shared" si="0"/>
        <v>0</v>
      </c>
      <c r="L16" s="410">
        <f t="shared" si="0"/>
        <v>0</v>
      </c>
      <c r="M16" s="410">
        <f t="shared" si="0"/>
        <v>0</v>
      </c>
      <c r="N16" s="410">
        <f t="shared" si="0"/>
        <v>4667.3819045698319</v>
      </c>
      <c r="O16" s="410">
        <f t="shared" si="0"/>
        <v>0</v>
      </c>
      <c r="P16" s="410">
        <f t="shared" si="0"/>
        <v>0</v>
      </c>
      <c r="Q16" s="410">
        <f t="shared" si="0"/>
        <v>570.94787644618577</v>
      </c>
      <c r="R16" s="410">
        <f t="shared" si="0"/>
        <v>0</v>
      </c>
      <c r="S16" s="410">
        <f t="shared" si="0"/>
        <v>89.172038991295253</v>
      </c>
      <c r="T16" s="410">
        <f t="shared" si="1"/>
        <v>153523.5910733405</v>
      </c>
    </row>
    <row r="17" spans="1:21" ht="20.100000000000001" customHeight="1">
      <c r="A17" s="416" t="s">
        <v>148</v>
      </c>
      <c r="B17" s="414" t="s">
        <v>39</v>
      </c>
      <c r="C17" s="415">
        <f t="shared" si="0"/>
        <v>4064.1158631276139</v>
      </c>
      <c r="D17" s="415">
        <f t="shared" si="0"/>
        <v>-91101.569262338453</v>
      </c>
      <c r="E17" s="415">
        <f t="shared" si="0"/>
        <v>3606.1567172767864</v>
      </c>
      <c r="F17" s="415">
        <f t="shared" si="0"/>
        <v>-256.01886396394821</v>
      </c>
      <c r="G17" s="415">
        <f t="shared" si="0"/>
        <v>1164.2940406374451</v>
      </c>
      <c r="H17" s="415">
        <f t="shared" si="0"/>
        <v>-30576.717648107213</v>
      </c>
      <c r="I17" s="415">
        <f t="shared" si="0"/>
        <v>62.619915517011464</v>
      </c>
      <c r="J17" s="415">
        <f t="shared" si="0"/>
        <v>-848.74461609972468</v>
      </c>
      <c r="K17" s="415">
        <f t="shared" si="0"/>
        <v>85097.377268713899</v>
      </c>
      <c r="L17" s="415">
        <f t="shared" si="0"/>
        <v>19189.722983061365</v>
      </c>
      <c r="M17" s="415">
        <f t="shared" si="0"/>
        <v>0</v>
      </c>
      <c r="N17" s="415">
        <f t="shared" si="0"/>
        <v>4803.1580211757582</v>
      </c>
      <c r="O17" s="415">
        <f t="shared" si="0"/>
        <v>0</v>
      </c>
      <c r="P17" s="415">
        <f t="shared" si="0"/>
        <v>0</v>
      </c>
      <c r="Q17" s="415">
        <f t="shared" si="0"/>
        <v>15931.390825245779</v>
      </c>
      <c r="R17" s="415">
        <f t="shared" si="0"/>
        <v>0</v>
      </c>
      <c r="S17" s="415">
        <f t="shared" si="0"/>
        <v>2972.8510472261646</v>
      </c>
      <c r="T17" s="415">
        <f t="shared" si="1"/>
        <v>14108.63629147249</v>
      </c>
    </row>
    <row r="18" spans="1:21" ht="20.100000000000001" customHeight="1">
      <c r="A18" s="401" t="s">
        <v>149</v>
      </c>
      <c r="B18" s="408" t="s">
        <v>38</v>
      </c>
      <c r="C18" s="410">
        <f t="shared" si="0"/>
        <v>717.68432246658415</v>
      </c>
      <c r="D18" s="410">
        <f t="shared" si="0"/>
        <v>-7230.8152681464335</v>
      </c>
      <c r="E18" s="410">
        <f t="shared" si="0"/>
        <v>536597.61514175555</v>
      </c>
      <c r="F18" s="410">
        <f t="shared" si="0"/>
        <v>-232.58729606417688</v>
      </c>
      <c r="G18" s="410">
        <f t="shared" si="0"/>
        <v>1922.6792751438034</v>
      </c>
      <c r="H18" s="410">
        <f t="shared" si="0"/>
        <v>4041.8615095270666</v>
      </c>
      <c r="I18" s="410">
        <f t="shared" si="0"/>
        <v>637.94161997029698</v>
      </c>
      <c r="J18" s="410">
        <f t="shared" si="0"/>
        <v>-22600.428201521929</v>
      </c>
      <c r="K18" s="410">
        <f t="shared" si="0"/>
        <v>-44087.392359446363</v>
      </c>
      <c r="L18" s="410">
        <f t="shared" si="0"/>
        <v>0</v>
      </c>
      <c r="M18" s="410">
        <f t="shared" si="0"/>
        <v>0</v>
      </c>
      <c r="N18" s="410">
        <f t="shared" si="0"/>
        <v>-66.461079646918165</v>
      </c>
      <c r="O18" s="410">
        <f t="shared" si="0"/>
        <v>-232.58729606417688</v>
      </c>
      <c r="P18" s="410">
        <f t="shared" si="0"/>
        <v>0</v>
      </c>
      <c r="Q18" s="410">
        <f t="shared" si="0"/>
        <v>-14933.549824765498</v>
      </c>
      <c r="R18" s="410">
        <f t="shared" si="0"/>
        <v>0</v>
      </c>
      <c r="S18" s="410">
        <f t="shared" si="0"/>
        <v>25246.116024600567</v>
      </c>
      <c r="T18" s="410">
        <f t="shared" si="1"/>
        <v>479780.0765678084</v>
      </c>
    </row>
    <row r="19" spans="1:21" ht="20.100000000000001" customHeight="1">
      <c r="A19" s="401" t="s">
        <v>150</v>
      </c>
      <c r="B19" s="414" t="s">
        <v>31</v>
      </c>
      <c r="C19" s="415">
        <f t="shared" si="0"/>
        <v>-11790.222449658268</v>
      </c>
      <c r="D19" s="415">
        <f t="shared" si="0"/>
        <v>-30671.254828729179</v>
      </c>
      <c r="E19" s="415">
        <f t="shared" si="0"/>
        <v>-9822.5637197867691</v>
      </c>
      <c r="F19" s="415">
        <f t="shared" si="0"/>
        <v>-1064.578723306</v>
      </c>
      <c r="G19" s="415">
        <f t="shared" si="0"/>
        <v>397.43923333662781</v>
      </c>
      <c r="H19" s="415">
        <f t="shared" si="0"/>
        <v>1964.6784210502638</v>
      </c>
      <c r="I19" s="415">
        <f t="shared" si="0"/>
        <v>-3933.5695313551005</v>
      </c>
      <c r="J19" s="415">
        <f t="shared" si="0"/>
        <v>-272165.20299683721</v>
      </c>
      <c r="K19" s="415">
        <f t="shared" si="0"/>
        <v>4934.4512639027616</v>
      </c>
      <c r="L19" s="415">
        <f t="shared" si="0"/>
        <v>270.74277176390854</v>
      </c>
      <c r="M19" s="415">
        <f t="shared" si="0"/>
        <v>0</v>
      </c>
      <c r="N19" s="415">
        <f t="shared" si="0"/>
        <v>-15117.121725580049</v>
      </c>
      <c r="O19" s="415">
        <f t="shared" si="0"/>
        <v>0</v>
      </c>
      <c r="P19" s="415">
        <f t="shared" si="0"/>
        <v>0</v>
      </c>
      <c r="Q19" s="415">
        <f t="shared" si="0"/>
        <v>-29899.12740627247</v>
      </c>
      <c r="R19" s="415">
        <f t="shared" si="0"/>
        <v>0</v>
      </c>
      <c r="S19" s="415">
        <f t="shared" si="0"/>
        <v>0</v>
      </c>
      <c r="T19" s="415">
        <f t="shared" si="1"/>
        <v>-366896.32969147147</v>
      </c>
    </row>
    <row r="20" spans="1:21" ht="20.100000000000001" customHeight="1">
      <c r="A20" s="401" t="s">
        <v>151</v>
      </c>
      <c r="B20" s="408" t="s">
        <v>209</v>
      </c>
      <c r="C20" s="410">
        <f t="shared" ref="C20:S25" si="2">+C44+C68</f>
        <v>-95.508055131725513</v>
      </c>
      <c r="D20" s="410">
        <f t="shared" si="2"/>
        <v>-13761.475860780381</v>
      </c>
      <c r="E20" s="410">
        <f t="shared" si="2"/>
        <v>0</v>
      </c>
      <c r="F20" s="410">
        <f t="shared" si="2"/>
        <v>0</v>
      </c>
      <c r="G20" s="410">
        <f t="shared" si="2"/>
        <v>0</v>
      </c>
      <c r="H20" s="410">
        <f t="shared" si="2"/>
        <v>-191.01611026345103</v>
      </c>
      <c r="I20" s="410">
        <f t="shared" si="2"/>
        <v>296.07549792270015</v>
      </c>
      <c r="J20" s="410">
        <f t="shared" si="2"/>
        <v>242233.32090676788</v>
      </c>
      <c r="K20" s="410">
        <f t="shared" si="2"/>
        <v>964.91361267272396</v>
      </c>
      <c r="L20" s="410">
        <f t="shared" si="2"/>
        <v>0</v>
      </c>
      <c r="M20" s="410">
        <f t="shared" si="2"/>
        <v>0</v>
      </c>
      <c r="N20" s="410">
        <f t="shared" si="2"/>
        <v>0</v>
      </c>
      <c r="O20" s="410">
        <f t="shared" si="2"/>
        <v>0</v>
      </c>
      <c r="P20" s="410">
        <f t="shared" si="2"/>
        <v>-265.5797776397954</v>
      </c>
      <c r="Q20" s="410">
        <f t="shared" si="2"/>
        <v>197.38366528180006</v>
      </c>
      <c r="R20" s="410">
        <f t="shared" si="2"/>
        <v>0</v>
      </c>
      <c r="S20" s="410">
        <f t="shared" si="2"/>
        <v>0</v>
      </c>
      <c r="T20" s="410">
        <f t="shared" si="1"/>
        <v>229378.11387882975</v>
      </c>
    </row>
    <row r="21" spans="1:21" ht="20.100000000000001" customHeight="1">
      <c r="A21" s="416" t="s">
        <v>153</v>
      </c>
      <c r="B21" s="414" t="s">
        <v>100</v>
      </c>
      <c r="C21" s="415">
        <f t="shared" si="2"/>
        <v>0</v>
      </c>
      <c r="D21" s="415">
        <f t="shared" si="2"/>
        <v>-7535.7222783672905</v>
      </c>
      <c r="E21" s="415">
        <f t="shared" si="2"/>
        <v>0</v>
      </c>
      <c r="F21" s="415">
        <f t="shared" si="2"/>
        <v>-251.64645980714258</v>
      </c>
      <c r="G21" s="415">
        <f t="shared" si="2"/>
        <v>0</v>
      </c>
      <c r="H21" s="415">
        <f t="shared" si="2"/>
        <v>86.639971362286985</v>
      </c>
      <c r="I21" s="415">
        <f t="shared" si="2"/>
        <v>0</v>
      </c>
      <c r="J21" s="415">
        <f t="shared" si="2"/>
        <v>0</v>
      </c>
      <c r="K21" s="415">
        <f t="shared" si="2"/>
        <v>-6512.5895305792837</v>
      </c>
      <c r="L21" s="415">
        <f t="shared" si="2"/>
        <v>33.093817118873517</v>
      </c>
      <c r="M21" s="415">
        <f t="shared" si="2"/>
        <v>173.27994272457397</v>
      </c>
      <c r="N21" s="415">
        <f t="shared" si="2"/>
        <v>-16060.045791047489</v>
      </c>
      <c r="O21" s="415">
        <f t="shared" si="2"/>
        <v>-75678.961034442123</v>
      </c>
      <c r="P21" s="415">
        <f t="shared" si="2"/>
        <v>-3779.7499361441069</v>
      </c>
      <c r="Q21" s="415">
        <f t="shared" si="2"/>
        <v>-17617.234454398738</v>
      </c>
      <c r="R21" s="415">
        <f t="shared" si="2"/>
        <v>0</v>
      </c>
      <c r="S21" s="415">
        <f t="shared" si="2"/>
        <v>0</v>
      </c>
      <c r="T21" s="415">
        <f t="shared" si="1"/>
        <v>-127142.93575358044</v>
      </c>
    </row>
    <row r="22" spans="1:21" ht="20.100000000000001" customHeight="1">
      <c r="A22" s="401" t="s">
        <v>155</v>
      </c>
      <c r="B22" s="408" t="s">
        <v>42</v>
      </c>
      <c r="C22" s="410">
        <f t="shared" si="2"/>
        <v>0</v>
      </c>
      <c r="D22" s="410">
        <f t="shared" si="2"/>
        <v>1810.3179592800107</v>
      </c>
      <c r="E22" s="410">
        <f t="shared" si="2"/>
        <v>-259.17958034435503</v>
      </c>
      <c r="F22" s="410">
        <f t="shared" si="2"/>
        <v>0</v>
      </c>
      <c r="G22" s="410">
        <f t="shared" si="2"/>
        <v>-323.97447543044382</v>
      </c>
      <c r="H22" s="410">
        <f t="shared" si="2"/>
        <v>-108.64800899856033</v>
      </c>
      <c r="I22" s="410">
        <f t="shared" si="2"/>
        <v>0</v>
      </c>
      <c r="J22" s="410">
        <f t="shared" si="2"/>
        <v>68.285191948358289</v>
      </c>
      <c r="K22" s="410">
        <f t="shared" si="2"/>
        <v>0</v>
      </c>
      <c r="L22" s="410">
        <f t="shared" si="2"/>
        <v>0</v>
      </c>
      <c r="M22" s="410">
        <f t="shared" si="2"/>
        <v>68.285191948358289</v>
      </c>
      <c r="N22" s="410">
        <f t="shared" si="2"/>
        <v>6058.6935565945168</v>
      </c>
      <c r="O22" s="410">
        <f t="shared" si="2"/>
        <v>1923.5282041696673</v>
      </c>
      <c r="P22" s="410">
        <f t="shared" si="2"/>
        <v>592216.03280943271</v>
      </c>
      <c r="Q22" s="410">
        <f t="shared" si="2"/>
        <v>3391.9713974396818</v>
      </c>
      <c r="R22" s="410">
        <f t="shared" si="2"/>
        <v>0</v>
      </c>
      <c r="S22" s="410">
        <f t="shared" si="2"/>
        <v>0</v>
      </c>
      <c r="T22" s="410">
        <f t="shared" si="1"/>
        <v>604845.31224603998</v>
      </c>
    </row>
    <row r="23" spans="1:21" ht="20.100000000000001" customHeight="1">
      <c r="A23" s="401" t="s">
        <v>162</v>
      </c>
      <c r="B23" s="414" t="s">
        <v>76</v>
      </c>
      <c r="C23" s="415">
        <f t="shared" si="2"/>
        <v>0</v>
      </c>
      <c r="D23" s="415">
        <f t="shared" si="2"/>
        <v>-526.59113892765276</v>
      </c>
      <c r="E23" s="415">
        <f t="shared" si="2"/>
        <v>-122.48215556810919</v>
      </c>
      <c r="F23" s="415">
        <f t="shared" si="2"/>
        <v>0</v>
      </c>
      <c r="G23" s="415">
        <f t="shared" si="2"/>
        <v>25756.187622932819</v>
      </c>
      <c r="H23" s="415">
        <f t="shared" si="2"/>
        <v>0</v>
      </c>
      <c r="I23" s="415">
        <f t="shared" si="2"/>
        <v>0</v>
      </c>
      <c r="J23" s="415">
        <f t="shared" si="2"/>
        <v>0</v>
      </c>
      <c r="K23" s="415">
        <f t="shared" si="2"/>
        <v>0</v>
      </c>
      <c r="L23" s="415">
        <f t="shared" si="2"/>
        <v>0</v>
      </c>
      <c r="M23" s="415">
        <f t="shared" si="2"/>
        <v>187.81966020697024</v>
      </c>
      <c r="N23" s="415">
        <f t="shared" si="2"/>
        <v>-380856.83492532559</v>
      </c>
      <c r="O23" s="415">
        <f t="shared" si="2"/>
        <v>-61.241077784054596</v>
      </c>
      <c r="P23" s="415">
        <f t="shared" si="2"/>
        <v>0</v>
      </c>
      <c r="Q23" s="415">
        <f t="shared" si="2"/>
        <v>38555.708326645166</v>
      </c>
      <c r="R23" s="415">
        <f t="shared" si="2"/>
        <v>0</v>
      </c>
      <c r="S23" s="415">
        <f t="shared" si="2"/>
        <v>-51203.033451057643</v>
      </c>
      <c r="T23" s="415">
        <f t="shared" si="1"/>
        <v>-368270.46713887807</v>
      </c>
    </row>
    <row r="24" spans="1:21" ht="20.100000000000001" customHeight="1">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83248.158007242135</v>
      </c>
      <c r="N24" s="410">
        <f t="shared" si="2"/>
        <v>2371.5161811233556</v>
      </c>
      <c r="O24" s="410">
        <f t="shared" si="2"/>
        <v>0</v>
      </c>
      <c r="P24" s="410">
        <f t="shared" si="2"/>
        <v>0</v>
      </c>
      <c r="Q24" s="410">
        <f t="shared" si="2"/>
        <v>-124.23298268574425</v>
      </c>
      <c r="R24" s="410">
        <f t="shared" si="2"/>
        <v>0</v>
      </c>
      <c r="S24" s="410">
        <f t="shared" si="2"/>
        <v>0</v>
      </c>
      <c r="T24" s="410">
        <f t="shared" si="1"/>
        <v>85495.441205679745</v>
      </c>
    </row>
    <row r="25" spans="1:21" ht="20.100000000000001" customHeight="1">
      <c r="A25" s="417" t="s">
        <v>163</v>
      </c>
      <c r="B25" s="418" t="s">
        <v>164</v>
      </c>
      <c r="C25" s="419">
        <f t="shared" si="2"/>
        <v>0</v>
      </c>
      <c r="D25" s="419">
        <f t="shared" si="2"/>
        <v>1569.2610314064843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63624.193495689105</v>
      </c>
      <c r="N25" s="419">
        <f t="shared" si="2"/>
        <v>-1005.1084909026827</v>
      </c>
      <c r="O25" s="419">
        <f t="shared" si="2"/>
        <v>0</v>
      </c>
      <c r="P25" s="419">
        <f t="shared" si="2"/>
        <v>0</v>
      </c>
      <c r="Q25" s="419">
        <f t="shared" si="2"/>
        <v>-753.59004395858278</v>
      </c>
      <c r="R25" s="419">
        <f t="shared" si="2"/>
        <v>0</v>
      </c>
      <c r="S25" s="419">
        <f t="shared" si="2"/>
        <v>-188.35729028657414</v>
      </c>
      <c r="T25" s="420">
        <f t="shared" si="1"/>
        <v>63246.398701947757</v>
      </c>
    </row>
    <row r="26" spans="1:21" ht="20.100000000000001" customHeight="1">
      <c r="A26" s="402"/>
      <c r="B26" s="421" t="s">
        <v>17</v>
      </c>
      <c r="C26" s="422">
        <f t="shared" ref="C26:S26" si="3">SUM(C5:C25)</f>
        <v>1702792.936261382</v>
      </c>
      <c r="D26" s="422">
        <f t="shared" si="3"/>
        <v>3947374.1651946492</v>
      </c>
      <c r="E26" s="422">
        <f t="shared" si="3"/>
        <v>699225.23392782465</v>
      </c>
      <c r="F26" s="422">
        <f t="shared" si="3"/>
        <v>654129.67817112326</v>
      </c>
      <c r="G26" s="422">
        <f t="shared" si="3"/>
        <v>2940136.432303803</v>
      </c>
      <c r="H26" s="422">
        <f t="shared" si="3"/>
        <v>839839.4219376971</v>
      </c>
      <c r="I26" s="422">
        <f t="shared" si="3"/>
        <v>676993.31847675657</v>
      </c>
      <c r="J26" s="422">
        <f t="shared" si="3"/>
        <v>-22769.351213179201</v>
      </c>
      <c r="K26" s="422">
        <f t="shared" si="3"/>
        <v>-65047.688962824075</v>
      </c>
      <c r="L26" s="422">
        <f t="shared" si="3"/>
        <v>170746.75169040871</v>
      </c>
      <c r="M26" s="422">
        <f t="shared" si="3"/>
        <v>141055.64800092304</v>
      </c>
      <c r="N26" s="422">
        <f t="shared" si="3"/>
        <v>-281266.58600439993</v>
      </c>
      <c r="O26" s="422">
        <f t="shared" si="3"/>
        <v>-17088.06502376778</v>
      </c>
      <c r="P26" s="422">
        <f t="shared" si="3"/>
        <v>598620.23250085372</v>
      </c>
      <c r="Q26" s="422">
        <f t="shared" si="3"/>
        <v>-470559.93945762492</v>
      </c>
      <c r="R26" s="423">
        <f t="shared" si="3"/>
        <v>-248168.13195091553</v>
      </c>
      <c r="S26" s="423">
        <f t="shared" si="3"/>
        <v>-101929.70142152235</v>
      </c>
      <c r="T26" s="422">
        <f t="shared" si="1"/>
        <v>11164084.354431186</v>
      </c>
    </row>
    <row r="27" spans="1:2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row>
    <row r="28" spans="1:2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c r="A29" s="403" t="s">
        <v>128</v>
      </c>
      <c r="B29" s="437" t="s">
        <v>21</v>
      </c>
      <c r="C29" s="438">
        <f>+FY14RevToColl!C29-FY14ProjRevToColl!C29</f>
        <v>745227.22562627681</v>
      </c>
      <c r="D29" s="438">
        <f>+FY14RevToColl!D29-FY14ProjRevToColl!D29</f>
        <v>429174.90944094956</v>
      </c>
      <c r="E29" s="438">
        <f>+FY14RevToColl!E29-FY14ProjRevToColl!E29</f>
        <v>673266.30511528999</v>
      </c>
      <c r="F29" s="438">
        <f>+FY14RevToColl!F29-FY14ProjRevToColl!F29</f>
        <v>241785.00549400714</v>
      </c>
      <c r="G29" s="438">
        <f>+FY14RevToColl!G29-FY14ProjRevToColl!G29</f>
        <v>1771966.1892187297</v>
      </c>
      <c r="H29" s="438">
        <f>+FY14RevToColl!H29-FY14ProjRevToColl!H29</f>
        <v>715019.94703572802</v>
      </c>
      <c r="I29" s="438">
        <f>+FY14RevToColl!I29-FY14ProjRevToColl!I29</f>
        <v>311007.15487334621</v>
      </c>
      <c r="J29" s="438">
        <f>+FY14RevToColl!J29-FY14ProjRevToColl!J29</f>
        <v>13759.951505845238</v>
      </c>
      <c r="K29" s="438">
        <f>+FY14RevToColl!K29-FY14ProjRevToColl!K29</f>
        <v>2535.3034760259907</v>
      </c>
      <c r="L29" s="438">
        <f>+FY14RevToColl!L29-FY14ProjRevToColl!L29</f>
        <v>68214.841662643768</v>
      </c>
      <c r="M29" s="438">
        <f>+FY14RevToColl!M29-FY14ProjRevToColl!M29</f>
        <v>-703.58639388140364</v>
      </c>
      <c r="N29" s="438">
        <f>+FY14RevToColl!N29-FY14ProjRevToColl!N29</f>
        <v>125704.05803127354</v>
      </c>
      <c r="O29" s="438">
        <f>+FY14RevToColl!O29-FY14ProjRevToColl!O29</f>
        <v>41160.235468911007</v>
      </c>
      <c r="P29" s="438">
        <f>+FY14RevToColl!P29-FY14ProjRevToColl!P29</f>
        <v>2679.9257998545654</v>
      </c>
      <c r="Q29" s="438">
        <f>+FY14RevToColl!Q29-FY14ProjRevToColl!Q29</f>
        <v>395995.32293792279</v>
      </c>
      <c r="R29" s="438">
        <f>+FY14RevToColl!R29-FY14ProjRevToColl!R29</f>
        <v>99249.832170821959</v>
      </c>
      <c r="S29" s="438">
        <f>+FY14RevToColl!S29-FY14ProjRevToColl!S29</f>
        <v>58704.999929777259</v>
      </c>
      <c r="T29" s="439">
        <f t="shared" ref="T29:T49" si="4">SUM(C29:S29)</f>
        <v>5694747.6213935213</v>
      </c>
    </row>
    <row r="30" spans="1:21" s="18" customFormat="1" ht="20.100000000000001" customHeight="1">
      <c r="A30" s="404" t="s">
        <v>129</v>
      </c>
      <c r="B30" s="440" t="s">
        <v>35</v>
      </c>
      <c r="C30" s="410">
        <f>+FY14RevToColl!C30-FY14ProjRevToColl!C30</f>
        <v>-3038.8428225710159</v>
      </c>
      <c r="D30" s="410">
        <f>+FY14RevToColl!D30-FY14ProjRevToColl!D30</f>
        <v>-11809.041435584659</v>
      </c>
      <c r="E30" s="410">
        <f>+FY14RevToColl!E30-FY14ProjRevToColl!E30</f>
        <v>183.66730106262548</v>
      </c>
      <c r="F30" s="410">
        <f>+FY14RevToColl!F30-FY14ProjRevToColl!F30</f>
        <v>637.02447922206375</v>
      </c>
      <c r="G30" s="410">
        <f>+FY14RevToColl!G30-FY14ProjRevToColl!G30</f>
        <v>-1596.6341833898332</v>
      </c>
      <c r="H30" s="410">
        <f>+FY14RevToColl!H30-FY14ProjRevToColl!H30</f>
        <v>-2239.5747147300699</v>
      </c>
      <c r="I30" s="410">
        <f>+FY14RevToColl!I30-FY14ProjRevToColl!I30</f>
        <v>-1778.3143590425389</v>
      </c>
      <c r="J30" s="410">
        <f>+FY14RevToColl!J30-FY14ProjRevToColl!J30</f>
        <v>2785.6779457450898</v>
      </c>
      <c r="K30" s="410">
        <f>+FY14RevToColl!K30-FY14ProjRevToColl!K30</f>
        <v>-9081.8182936531412</v>
      </c>
      <c r="L30" s="410">
        <f>+FY14RevToColl!L30-FY14ProjRevToColl!L30</f>
        <v>-1436.5219596244992</v>
      </c>
      <c r="M30" s="410">
        <f>+FY14RevToColl!M30-FY14ProjRevToColl!M30</f>
        <v>-58.579717036567985</v>
      </c>
      <c r="N30" s="410">
        <f>+FY14RevToColl!N30-FY14ProjRevToColl!N30</f>
        <v>-4873.3629470219021</v>
      </c>
      <c r="O30" s="410">
        <f>+FY14RevToColl!O30-FY14ProjRevToColl!O30</f>
        <v>50.781049945814402</v>
      </c>
      <c r="P30" s="410">
        <f>+FY14RevToColl!P30-FY14ProjRevToColl!P30</f>
        <v>2336.117901062702</v>
      </c>
      <c r="Q30" s="410">
        <f>+FY14RevToColl!Q30-FY14ProjRevToColl!Q30</f>
        <v>4538.1004881327863</v>
      </c>
      <c r="R30" s="410">
        <f>+FY14RevToColl!R30-FY14ProjRevToColl!R30</f>
        <v>0</v>
      </c>
      <c r="S30" s="410">
        <f>+FY14RevToColl!S30-FY14ProjRevToColl!S30</f>
        <v>-2538.8899557121913</v>
      </c>
      <c r="T30" s="441">
        <f t="shared" si="4"/>
        <v>-27920.21122319534</v>
      </c>
    </row>
    <row r="31" spans="1:21" ht="20.100000000000001" customHeight="1">
      <c r="A31" s="404" t="s">
        <v>140</v>
      </c>
      <c r="B31" s="442" t="s">
        <v>36</v>
      </c>
      <c r="C31" s="443">
        <f>+FY14RevToColl!C31-FY14ProjRevToColl!C31</f>
        <v>145.15058834756999</v>
      </c>
      <c r="D31" s="443">
        <f>+FY14RevToColl!D31-FY14ProjRevToColl!D31</f>
        <v>909.00707074298407</v>
      </c>
      <c r="E31" s="443">
        <f>+FY14RevToColl!E31-FY14ProjRevToColl!E31</f>
        <v>0</v>
      </c>
      <c r="F31" s="443">
        <f>+FY14RevToColl!F31-FY14ProjRevToColl!F31</f>
        <v>273.7589075390681</v>
      </c>
      <c r="G31" s="443">
        <f>+FY14RevToColl!G31-FY14ProjRevToColl!G31</f>
        <v>-512.76027598418455</v>
      </c>
      <c r="H31" s="443">
        <f>+FY14RevToColl!H31-FY14ProjRevToColl!H31</f>
        <v>0</v>
      </c>
      <c r="I31" s="443">
        <f>+FY14RevToColl!I31-FY14ProjRevToColl!I31</f>
        <v>580.60235339027997</v>
      </c>
      <c r="J31" s="443">
        <f>+FY14RevToColl!J31-FY14ProjRevToColl!J31</f>
        <v>-134.53683491653069</v>
      </c>
      <c r="K31" s="443">
        <f>+FY14RevToColl!K31-FY14ProjRevToColl!K31</f>
        <v>-1251.5175690677602</v>
      </c>
      <c r="L31" s="443">
        <f>+FY14RevToColl!L31-FY14ProjRevToColl!L31</f>
        <v>4874.1117779311971</v>
      </c>
      <c r="M31" s="443">
        <f>+FY14RevToColl!M31-FY14ProjRevToColl!M31</f>
        <v>0</v>
      </c>
      <c r="N31" s="443">
        <f>+FY14RevToColl!N31-FY14ProjRevToColl!N31</f>
        <v>8575.3432899166655</v>
      </c>
      <c r="O31" s="443">
        <f>+FY14RevToColl!O31-FY14ProjRevToColl!O31</f>
        <v>-559.37484652820137</v>
      </c>
      <c r="P31" s="443">
        <f>+FY14RevToColl!P31-FY14ProjRevToColl!P31</f>
        <v>-419.531134896151</v>
      </c>
      <c r="Q31" s="443">
        <f>+FY14RevToColl!Q31-FY14ProjRevToColl!Q31</f>
        <v>647.20115277734931</v>
      </c>
      <c r="R31" s="443">
        <f>+FY14RevToColl!R31-FY14ProjRevToColl!R31</f>
        <v>-93.229141088033572</v>
      </c>
      <c r="S31" s="443">
        <f>+FY14RevToColl!S31-FY14ProjRevToColl!S31</f>
        <v>96.76705889838</v>
      </c>
      <c r="T31" s="444">
        <f t="shared" si="4"/>
        <v>13130.992397062633</v>
      </c>
    </row>
    <row r="32" spans="1:21" s="18" customFormat="1" ht="20.100000000000001" customHeight="1">
      <c r="A32" s="404" t="s">
        <v>130</v>
      </c>
      <c r="B32" s="440" t="s">
        <v>37</v>
      </c>
      <c r="C32" s="410">
        <f>+FY14RevToColl!C32-FY14ProjRevToColl!C32</f>
        <v>402.15291919664651</v>
      </c>
      <c r="D32" s="410">
        <f>+FY14RevToColl!D32-FY14ProjRevToColl!D32</f>
        <v>10963.41594298424</v>
      </c>
      <c r="E32" s="410">
        <f>+FY14RevToColl!E32-FY14ProjRevToColl!E32</f>
        <v>-6924.3025278971299</v>
      </c>
      <c r="F32" s="410">
        <f>+FY14RevToColl!F32-FY14ProjRevToColl!F32</f>
        <v>2245.8126226047343</v>
      </c>
      <c r="G32" s="410">
        <f>+FY14RevToColl!G32-FY14ProjRevToColl!G32</f>
        <v>24949.931019627722</v>
      </c>
      <c r="H32" s="410">
        <f>+FY14RevToColl!H32-FY14ProjRevToColl!H32</f>
        <v>865.67794909135773</v>
      </c>
      <c r="I32" s="410">
        <f>+FY14RevToColl!I32-FY14ProjRevToColl!I32</f>
        <v>765.91429003949406</v>
      </c>
      <c r="J32" s="410">
        <f>+FY14RevToColl!J32-FY14ProjRevToColl!J32</f>
        <v>828.3852704778501</v>
      </c>
      <c r="K32" s="410">
        <f>+FY14RevToColl!K32-FY14ProjRevToColl!K32</f>
        <v>-775.2313341005065</v>
      </c>
      <c r="L32" s="410">
        <f>+FY14RevToColl!L32-FY14ProjRevToColl!L32</f>
        <v>-42.488384329430346</v>
      </c>
      <c r="M32" s="410">
        <f>+FY14RevToColl!M32-FY14ProjRevToColl!M32</f>
        <v>0</v>
      </c>
      <c r="N32" s="410">
        <f>+FY14RevToColl!N32-FY14ProjRevToColl!N32</f>
        <v>4672.8561790068961</v>
      </c>
      <c r="O32" s="410">
        <f>+FY14RevToColl!O32-FY14ProjRevToColl!O32</f>
        <v>1358.5516238949349</v>
      </c>
      <c r="P32" s="410">
        <f>+FY14RevToColl!P32-FY14ProjRevToColl!P32</f>
        <v>-158.33843702228205</v>
      </c>
      <c r="Q32" s="410">
        <f>+FY14RevToColl!Q32-FY14ProjRevToColl!Q32</f>
        <v>7631.0669490885957</v>
      </c>
      <c r="R32" s="410">
        <f>+FY14RevToColl!R32-FY14ProjRevToColl!R32</f>
        <v>-929.69807102430866</v>
      </c>
      <c r="S32" s="410">
        <f>+FY14RevToColl!S32-FY14ProjRevToColl!S32</f>
        <v>1203.948970301095</v>
      </c>
      <c r="T32" s="441">
        <f t="shared" si="4"/>
        <v>47057.654981939908</v>
      </c>
    </row>
    <row r="33" spans="1:20" ht="20.100000000000001" customHeight="1">
      <c r="A33" s="404" t="s">
        <v>131</v>
      </c>
      <c r="B33" s="442" t="s">
        <v>141</v>
      </c>
      <c r="C33" s="443">
        <f>+FY14RevToColl!C33-FY14ProjRevToColl!C33</f>
        <v>-1317.6610432473221</v>
      </c>
      <c r="D33" s="443">
        <f>+FY14RevToColl!D33-FY14ProjRevToColl!D33</f>
        <v>6295.6393795214062</v>
      </c>
      <c r="E33" s="443">
        <f>+FY14RevToColl!E33-FY14ProjRevToColl!E33</f>
        <v>-1730.4981552523582</v>
      </c>
      <c r="F33" s="443">
        <f>+FY14RevToColl!F33-FY14ProjRevToColl!F33</f>
        <v>334.514271345917</v>
      </c>
      <c r="G33" s="443">
        <f>+FY14RevToColl!G33-FY14ProjRevToColl!G33</f>
        <v>-1635.637983131337</v>
      </c>
      <c r="H33" s="443">
        <f>+FY14RevToColl!H33-FY14ProjRevToColl!H33</f>
        <v>-17796.100803887006</v>
      </c>
      <c r="I33" s="443">
        <f>+FY14RevToColl!I33-FY14ProjRevToColl!I33</f>
        <v>-82.31936242907868</v>
      </c>
      <c r="J33" s="443">
        <f>+FY14RevToColl!J33-FY14ProjRevToColl!J33</f>
        <v>787.89091463567115</v>
      </c>
      <c r="K33" s="443">
        <f>+FY14RevToColl!K33-FY14ProjRevToColl!K33</f>
        <v>-312.8779293499274</v>
      </c>
      <c r="L33" s="443">
        <f>+FY14RevToColl!L33-FY14ProjRevToColl!L33</f>
        <v>0</v>
      </c>
      <c r="M33" s="443">
        <f>+FY14RevToColl!M33-FY14ProjRevToColl!M33</f>
        <v>0</v>
      </c>
      <c r="N33" s="443">
        <f>+FY14RevToColl!N33-FY14ProjRevToColl!N33</f>
        <v>-778.10632685404562</v>
      </c>
      <c r="O33" s="443">
        <f>+FY14RevToColl!O33-FY14ProjRevToColl!O33</f>
        <v>0</v>
      </c>
      <c r="P33" s="443">
        <f>+FY14RevToColl!P33-FY14ProjRevToColl!P33</f>
        <v>-123.68576028689179</v>
      </c>
      <c r="Q33" s="443">
        <f>+FY14RevToColl!Q33-FY14ProjRevToColl!Q33</f>
        <v>-780.44911547781498</v>
      </c>
      <c r="R33" s="443">
        <f>+FY14RevToColl!R33-FY14ProjRevToColl!R33</f>
        <v>0</v>
      </c>
      <c r="S33" s="443">
        <f>+FY14RevToColl!S33-FY14ProjRevToColl!S33</f>
        <v>-325.28092794635495</v>
      </c>
      <c r="T33" s="444">
        <f t="shared" si="4"/>
        <v>-17464.572842359143</v>
      </c>
    </row>
    <row r="34" spans="1:20" s="18" customFormat="1" ht="20.100000000000001" customHeight="1">
      <c r="A34" s="404" t="s">
        <v>132</v>
      </c>
      <c r="B34" s="440" t="s">
        <v>206</v>
      </c>
      <c r="C34" s="410">
        <f>+FY14RevToColl!C34-FY14ProjRevToColl!C34</f>
        <v>174.22109413727287</v>
      </c>
      <c r="D34" s="410">
        <f>+FY14RevToColl!D34-FY14ProjRevToColl!D34</f>
        <v>-5968.6298542916156</v>
      </c>
      <c r="E34" s="410">
        <f>+FY14RevToColl!E34-FY14ProjRevToColl!E34</f>
        <v>-1447.5721465190036</v>
      </c>
      <c r="F34" s="410">
        <f>+FY14RevToColl!F34-FY14ProjRevToColl!F34</f>
        <v>52435.953308483469</v>
      </c>
      <c r="G34" s="410">
        <f>+FY14RevToColl!G34-FY14ProjRevToColl!G34</f>
        <v>46.707703654696473</v>
      </c>
      <c r="H34" s="410">
        <f>+FY14RevToColl!H34-FY14ProjRevToColl!H34</f>
        <v>-825.47146886063456</v>
      </c>
      <c r="I34" s="410">
        <f>+FY14RevToColl!I34-FY14ProjRevToColl!I34</f>
        <v>560.36404286543439</v>
      </c>
      <c r="J34" s="410">
        <f>+FY14RevToColl!J34-FY14ProjRevToColl!J34</f>
        <v>-168.81692821662443</v>
      </c>
      <c r="K34" s="410">
        <f>+FY14RevToColl!K34-FY14ProjRevToColl!K34</f>
        <v>905.83095266468172</v>
      </c>
      <c r="L34" s="410">
        <f>+FY14RevToColl!L34-FY14ProjRevToColl!L34</f>
        <v>1241.1148957981682</v>
      </c>
      <c r="M34" s="410">
        <f>+FY14RevToColl!M34-FY14ProjRevToColl!M34</f>
        <v>0</v>
      </c>
      <c r="N34" s="410">
        <f>+FY14RevToColl!N34-FY14ProjRevToColl!N34</f>
        <v>480.31076982165598</v>
      </c>
      <c r="O34" s="410">
        <f>+FY14RevToColl!O34-FY14ProjRevToColl!O34</f>
        <v>-385.39053494405988</v>
      </c>
      <c r="P34" s="410">
        <f>+FY14RevToColl!P34-FY14ProjRevToColl!P34</f>
        <v>0</v>
      </c>
      <c r="Q34" s="410">
        <f>+FY14RevToColl!Q34-FY14ProjRevToColl!Q34</f>
        <v>-702.93109145910103</v>
      </c>
      <c r="R34" s="410">
        <f>+FY14RevToColl!R34-FY14ProjRevToColl!R34</f>
        <v>-253.22539232493668</v>
      </c>
      <c r="S34" s="410">
        <f>+FY14RevToColl!S34-FY14ProjRevToColl!S34</f>
        <v>293.41199216135192</v>
      </c>
      <c r="T34" s="441">
        <f t="shared" si="4"/>
        <v>46385.877342970758</v>
      </c>
    </row>
    <row r="35" spans="1:20" ht="20.100000000000001" customHeight="1">
      <c r="A35" s="404" t="s">
        <v>134</v>
      </c>
      <c r="B35" s="442" t="s">
        <v>40</v>
      </c>
      <c r="C35" s="443">
        <f>+FY14RevToColl!C35-FY14ProjRevToColl!C35</f>
        <v>0</v>
      </c>
      <c r="D35" s="443">
        <f>+FY14RevToColl!D35-FY14ProjRevToColl!D35</f>
        <v>-2064.1972151954992</v>
      </c>
      <c r="E35" s="443">
        <f>+FY14RevToColl!E35-FY14ProjRevToColl!E35</f>
        <v>0</v>
      </c>
      <c r="F35" s="443">
        <f>+FY14RevToColl!F35-FY14ProjRevToColl!F35</f>
        <v>0</v>
      </c>
      <c r="G35" s="443">
        <f>+FY14RevToColl!G35-FY14ProjRevToColl!G35</f>
        <v>0</v>
      </c>
      <c r="H35" s="443">
        <f>+FY14RevToColl!H35-FY14ProjRevToColl!H35</f>
        <v>0</v>
      </c>
      <c r="I35" s="443">
        <f>+FY14RevToColl!I35-FY14ProjRevToColl!I35</f>
        <v>-4368.1072341506833</v>
      </c>
      <c r="J35" s="443">
        <f>+FY14RevToColl!J35-FY14ProjRevToColl!J35</f>
        <v>0</v>
      </c>
      <c r="K35" s="443">
        <f>+FY14RevToColl!K35-FY14ProjRevToColl!K35</f>
        <v>-403.86467253824981</v>
      </c>
      <c r="L35" s="443">
        <f>+FY14RevToColl!L35-FY14ProjRevToColl!L35</f>
        <v>0</v>
      </c>
      <c r="M35" s="443">
        <f>+FY14RevToColl!M35-FY14ProjRevToColl!M35</f>
        <v>0</v>
      </c>
      <c r="N35" s="443">
        <f>+FY14RevToColl!N35-FY14ProjRevToColl!N35</f>
        <v>0</v>
      </c>
      <c r="O35" s="443">
        <f>+FY14RevToColl!O35-FY14ProjRevToColl!O35</f>
        <v>0</v>
      </c>
      <c r="P35" s="443">
        <f>+FY14RevToColl!P35-FY14ProjRevToColl!P35</f>
        <v>0</v>
      </c>
      <c r="Q35" s="443">
        <f>+FY14RevToColl!Q35-FY14ProjRevToColl!Q35</f>
        <v>-179.49541001699993</v>
      </c>
      <c r="R35" s="443">
        <f>+FY14RevToColl!R35-FY14ProjRevToColl!R35</f>
        <v>0</v>
      </c>
      <c r="S35" s="443">
        <f>+FY14RevToColl!S35-FY14ProjRevToColl!S35</f>
        <v>0</v>
      </c>
      <c r="T35" s="444">
        <f t="shared" si="4"/>
        <v>-7015.6645319014315</v>
      </c>
    </row>
    <row r="36" spans="1:20" s="18" customFormat="1" ht="20.100000000000001" customHeight="1">
      <c r="A36" s="404" t="s">
        <v>135</v>
      </c>
      <c r="B36" s="440" t="s">
        <v>70</v>
      </c>
      <c r="C36" s="410">
        <f>+FY14RevToColl!C36-FY14ProjRevToColl!C36</f>
        <v>0</v>
      </c>
      <c r="D36" s="410">
        <f>+FY14RevToColl!D36-FY14ProjRevToColl!D36</f>
        <v>-2597.0717216971088</v>
      </c>
      <c r="E36" s="410">
        <f>+FY14RevToColl!E36-FY14ProjRevToColl!E36</f>
        <v>0</v>
      </c>
      <c r="F36" s="410">
        <f>+FY14RevToColl!F36-FY14ProjRevToColl!F36</f>
        <v>-1077.6008514584216</v>
      </c>
      <c r="G36" s="410">
        <f>+FY14RevToColl!G36-FY14ProjRevToColl!G36</f>
        <v>0</v>
      </c>
      <c r="H36" s="410">
        <f>+FY14RevToColl!H36-FY14ProjRevToColl!H36</f>
        <v>-51.70849851098243</v>
      </c>
      <c r="I36" s="410">
        <f>+FY14RevToColl!I36-FY14ProjRevToColl!I36</f>
        <v>0</v>
      </c>
      <c r="J36" s="410">
        <f>+FY14RevToColl!J36-FY14ProjRevToColl!J36</f>
        <v>-48.949292753579357</v>
      </c>
      <c r="K36" s="410">
        <f>+FY14RevToColl!K36-FY14ProjRevToColl!K36</f>
        <v>16.661672305719549</v>
      </c>
      <c r="L36" s="410">
        <f>+FY14RevToColl!L36-FY14ProjRevToColl!L36</f>
        <v>14907.792183799087</v>
      </c>
      <c r="M36" s="410">
        <f>+FY14RevToColl!M36-FY14ProjRevToColl!M36</f>
        <v>435.74163414708403</v>
      </c>
      <c r="N36" s="410">
        <f>+FY14RevToColl!N36-FY14ProjRevToColl!N36</f>
        <v>-1566.2709303532383</v>
      </c>
      <c r="O36" s="410">
        <f>+FY14RevToColl!O36-FY14ProjRevToColl!O36</f>
        <v>-775.62747766473649</v>
      </c>
      <c r="P36" s="410">
        <f>+FY14RevToColl!P36-FY14ProjRevToColl!P36</f>
        <v>0</v>
      </c>
      <c r="Q36" s="410">
        <f>+FY14RevToColl!Q36-FY14ProjRevToColl!Q36</f>
        <v>-1166.3989710523938</v>
      </c>
      <c r="R36" s="410">
        <f>+FY14RevToColl!R36-FY14ProjRevToColl!R36</f>
        <v>0</v>
      </c>
      <c r="S36" s="410">
        <f>+FY14RevToColl!S36-FY14ProjRevToColl!S36</f>
        <v>0</v>
      </c>
      <c r="T36" s="441">
        <f t="shared" si="4"/>
        <v>8076.5677467614287</v>
      </c>
    </row>
    <row r="37" spans="1:20" ht="20.100000000000001" customHeight="1">
      <c r="A37" s="404" t="s">
        <v>136</v>
      </c>
      <c r="B37" s="442" t="s">
        <v>144</v>
      </c>
      <c r="C37" s="443">
        <f>+FY14RevToColl!C37-FY14ProjRevToColl!C37</f>
        <v>-106.50679480469239</v>
      </c>
      <c r="D37" s="443">
        <f>+FY14RevToColl!D37-FY14ProjRevToColl!D37</f>
        <v>3105.4247615334643</v>
      </c>
      <c r="E37" s="443">
        <f>+FY14RevToColl!E37-FY14ProjRevToColl!E37</f>
        <v>-543.4971206820062</v>
      </c>
      <c r="F37" s="443">
        <f>+FY14RevToColl!F37-FY14ProjRevToColl!F37</f>
        <v>-6.3435376115702695</v>
      </c>
      <c r="G37" s="443">
        <f>+FY14RevToColl!G37-FY14ProjRevToColl!G37</f>
        <v>-1.3333445920025042</v>
      </c>
      <c r="H37" s="443">
        <f>+FY14RevToColl!H37-FY14ProjRevToColl!H37</f>
        <v>1354.0423963209312</v>
      </c>
      <c r="I37" s="443">
        <f>+FY14RevToColl!I37-FY14ProjRevToColl!I37</f>
        <v>-345.28511883295215</v>
      </c>
      <c r="J37" s="443">
        <f>+FY14RevToColl!J37-FY14ProjRevToColl!J37</f>
        <v>140.72957937232775</v>
      </c>
      <c r="K37" s="443">
        <f>+FY14RevToColl!K37-FY14ProjRevToColl!K37</f>
        <v>1296.5599738442047</v>
      </c>
      <c r="L37" s="443">
        <f>+FY14RevToColl!L37-FY14ProjRevToColl!L37</f>
        <v>466.98408537056901</v>
      </c>
      <c r="M37" s="443">
        <f>+FY14RevToColl!M37-FY14ProjRevToColl!M37</f>
        <v>-100.16325719312211</v>
      </c>
      <c r="N37" s="443">
        <f>+FY14RevToColl!N37-FY14ProjRevToColl!N37</f>
        <v>3263.8650068614588</v>
      </c>
      <c r="O37" s="443">
        <f>+FY14RevToColl!O37-FY14ProjRevToColl!O37</f>
        <v>-692.68475020309427</v>
      </c>
      <c r="P37" s="443">
        <f>+FY14RevToColl!P37-FY14ProjRevToColl!P37</f>
        <v>1419.040108327009</v>
      </c>
      <c r="Q37" s="443">
        <f>+FY14RevToColl!Q37-FY14ProjRevToColl!Q37</f>
        <v>-43991.957922459522</v>
      </c>
      <c r="R37" s="443">
        <f>+FY14RevToColl!R37-FY14ProjRevToColl!R37</f>
        <v>-196.09748931186402</v>
      </c>
      <c r="S37" s="443">
        <f>+FY14RevToColl!S37-FY14ProjRevToColl!S37</f>
        <v>492.27743947974022</v>
      </c>
      <c r="T37" s="444">
        <f t="shared" si="4"/>
        <v>-34444.945984581122</v>
      </c>
    </row>
    <row r="38" spans="1:20" s="18" customFormat="1" ht="20.100000000000001" customHeight="1">
      <c r="A38" s="404" t="s">
        <v>137</v>
      </c>
      <c r="B38" s="440" t="s">
        <v>49</v>
      </c>
      <c r="C38" s="410">
        <f>+FY14RevToColl!C38-FY14ProjRevToColl!C38</f>
        <v>-349.19112028812651</v>
      </c>
      <c r="D38" s="410">
        <f>+FY14RevToColl!D38-FY14ProjRevToColl!D38</f>
        <v>-1284.4295782498903</v>
      </c>
      <c r="E38" s="410">
        <f>+FY14RevToColl!E38-FY14ProjRevToColl!E38</f>
        <v>290.58523192172134</v>
      </c>
      <c r="F38" s="410">
        <f>+FY14RevToColl!F38-FY14ProjRevToColl!F38</f>
        <v>0</v>
      </c>
      <c r="G38" s="410">
        <f>+FY14RevToColl!G38-FY14ProjRevToColl!G38</f>
        <v>-100.26653169764779</v>
      </c>
      <c r="H38" s="410">
        <f>+FY14RevToColl!H38-FY14ProjRevToColl!H38</f>
        <v>-92.838953572251143</v>
      </c>
      <c r="I38" s="410">
        <f>+FY14RevToColl!I38-FY14ProjRevToColl!I38</f>
        <v>-79.377189844370605</v>
      </c>
      <c r="J38" s="410">
        <f>+FY14RevToColl!J38-FY14ProjRevToColl!J38</f>
        <v>405.58887949485074</v>
      </c>
      <c r="K38" s="410">
        <f>+FY14RevToColl!K38-FY14ProjRevToColl!K38</f>
        <v>-1544.6078014085683</v>
      </c>
      <c r="L38" s="410">
        <f>+FY14RevToColl!L38-FY14ProjRevToColl!L38</f>
        <v>679.22886638140972</v>
      </c>
      <c r="M38" s="410">
        <f>+FY14RevToColl!M38-FY14ProjRevToColl!M38</f>
        <v>-1124.7424215490689</v>
      </c>
      <c r="N38" s="410">
        <f>+FY14RevToColl!N38-FY14ProjRevToColl!N38</f>
        <v>7886.6183036049188</v>
      </c>
      <c r="O38" s="410">
        <f>+FY14RevToColl!O38-FY14ProjRevToColl!O38</f>
        <v>-345.12898309469995</v>
      </c>
      <c r="P38" s="410">
        <f>+FY14RevToColl!P38-FY14ProjRevToColl!P38</f>
        <v>362.53484364069527</v>
      </c>
      <c r="Q38" s="410">
        <f>+FY14RevToColl!Q38-FY14ProjRevToColl!Q38</f>
        <v>-9001.1238820547878</v>
      </c>
      <c r="R38" s="410">
        <f>+FY14RevToColl!R38-FY14ProjRevToColl!R38</f>
        <v>-79.377189844370605</v>
      </c>
      <c r="S38" s="410">
        <f>+FY14RevToColl!S38-FY14ProjRevToColl!S38</f>
        <v>-79.377189844370605</v>
      </c>
      <c r="T38" s="441">
        <f t="shared" si="4"/>
        <v>-4455.9047164045551</v>
      </c>
    </row>
    <row r="39" spans="1:20" ht="20.100000000000001" customHeight="1">
      <c r="A39" s="404" t="s">
        <v>138</v>
      </c>
      <c r="B39" s="442" t="s">
        <v>207</v>
      </c>
      <c r="C39" s="443">
        <f>+FY14RevToColl!C39-FY14ProjRevToColl!C39</f>
        <v>154638.93726934667</v>
      </c>
      <c r="D39" s="443">
        <f>+FY14RevToColl!D39-FY14ProjRevToColl!D39</f>
        <v>4779.2866977511785</v>
      </c>
      <c r="E39" s="443">
        <f>+FY14RevToColl!E39-FY14ProjRevToColl!E39</f>
        <v>-6143.2900742905749</v>
      </c>
      <c r="F39" s="443">
        <f>+FY14RevToColl!F39-FY14ProjRevToColl!F39</f>
        <v>-84.215299951971446</v>
      </c>
      <c r="G39" s="443">
        <f>+FY14RevToColl!G39-FY14ProjRevToColl!G39</f>
        <v>774.26357962501879</v>
      </c>
      <c r="H39" s="443">
        <f>+FY14RevToColl!H39-FY14ProjRevToColl!H39</f>
        <v>755.90516242635931</v>
      </c>
      <c r="I39" s="443">
        <f>+FY14RevToColl!I39-FY14ProjRevToColl!I39</f>
        <v>0</v>
      </c>
      <c r="J39" s="443">
        <f>+FY14RevToColl!J39-FY14ProjRevToColl!J39</f>
        <v>0</v>
      </c>
      <c r="K39" s="443">
        <f>+FY14RevToColl!K39-FY14ProjRevToColl!K39</f>
        <v>2111.2363514099088</v>
      </c>
      <c r="L39" s="443">
        <f>+FY14RevToColl!L39-FY14ProjRevToColl!L39</f>
        <v>-177.07107665280301</v>
      </c>
      <c r="M39" s="443">
        <f>+FY14RevToColl!M39-FY14ProjRevToColl!M39</f>
        <v>0</v>
      </c>
      <c r="N39" s="443">
        <f>+FY14RevToColl!N39-FY14ProjRevToColl!N39</f>
        <v>791.59641536168476</v>
      </c>
      <c r="O39" s="443">
        <f>+FY14RevToColl!O39-FY14ProjRevToColl!O39</f>
        <v>0</v>
      </c>
      <c r="P39" s="443">
        <f>+FY14RevToColl!P39-FY14ProjRevToColl!P39</f>
        <v>0</v>
      </c>
      <c r="Q39" s="443">
        <f>+FY14RevToColl!Q39-FY14ProjRevToColl!Q39</f>
        <v>727.9442726579465</v>
      </c>
      <c r="R39" s="443">
        <f>+FY14RevToColl!R39-FY14ProjRevToColl!R39</f>
        <v>-570.29018915119173</v>
      </c>
      <c r="S39" s="443">
        <f>+FY14RevToColl!S39-FY14ProjRevToColl!S39</f>
        <v>0</v>
      </c>
      <c r="T39" s="444">
        <f t="shared" si="4"/>
        <v>157604.30310853224</v>
      </c>
    </row>
    <row r="40" spans="1:20" s="18" customFormat="1" ht="20.100000000000001" customHeight="1">
      <c r="A40" s="404" t="s">
        <v>147</v>
      </c>
      <c r="B40" s="440" t="s">
        <v>208</v>
      </c>
      <c r="C40" s="410">
        <f>+FY14RevToColl!C40-FY14ProjRevToColl!C40</f>
        <v>0</v>
      </c>
      <c r="D40" s="410">
        <f>+FY14RevToColl!D40-FY14ProjRevToColl!D40</f>
        <v>2421.0616186024527</v>
      </c>
      <c r="E40" s="410">
        <f>+FY14RevToColl!E40-FY14ProjRevToColl!E40</f>
        <v>0</v>
      </c>
      <c r="F40" s="410">
        <f>+FY14RevToColl!F40-FY14ProjRevToColl!F40</f>
        <v>0</v>
      </c>
      <c r="G40" s="410">
        <f>+FY14RevToColl!G40-FY14ProjRevToColl!G40</f>
        <v>22242.778464127972</v>
      </c>
      <c r="H40" s="410">
        <f>+FY14RevToColl!H40-FY14ProjRevToColl!H40</f>
        <v>713.37631193036202</v>
      </c>
      <c r="I40" s="410">
        <f>+FY14RevToColl!I40-FY14ProjRevToColl!I40</f>
        <v>0</v>
      </c>
      <c r="J40" s="410">
        <f>+FY14RevToColl!J40-FY14ProjRevToColl!J40</f>
        <v>0</v>
      </c>
      <c r="K40" s="410">
        <f>+FY14RevToColl!K40-FY14ProjRevToColl!K40</f>
        <v>0</v>
      </c>
      <c r="L40" s="410">
        <f>+FY14RevToColl!L40-FY14ProjRevToColl!L40</f>
        <v>0</v>
      </c>
      <c r="M40" s="410">
        <f>+FY14RevToColl!M40-FY14ProjRevToColl!M40</f>
        <v>0</v>
      </c>
      <c r="N40" s="410">
        <f>+FY14RevToColl!N40-FY14ProjRevToColl!N40</f>
        <v>4667.3819045698319</v>
      </c>
      <c r="O40" s="410">
        <f>+FY14RevToColl!O40-FY14ProjRevToColl!O40</f>
        <v>0</v>
      </c>
      <c r="P40" s="410">
        <f>+FY14RevToColl!P40-FY14ProjRevToColl!P40</f>
        <v>0</v>
      </c>
      <c r="Q40" s="410">
        <f>+FY14RevToColl!Q40-FY14ProjRevToColl!Q40</f>
        <v>570.94787644618577</v>
      </c>
      <c r="R40" s="410">
        <f>+FY14RevToColl!R40-FY14ProjRevToColl!R40</f>
        <v>0</v>
      </c>
      <c r="S40" s="410">
        <f>+FY14RevToColl!S40-FY14ProjRevToColl!S40</f>
        <v>89.172038991295253</v>
      </c>
      <c r="T40" s="441">
        <f t="shared" si="4"/>
        <v>30704.718214668101</v>
      </c>
    </row>
    <row r="41" spans="1:20" ht="20.100000000000001" customHeight="1">
      <c r="A41" s="404" t="s">
        <v>148</v>
      </c>
      <c r="B41" s="442" t="s">
        <v>39</v>
      </c>
      <c r="C41" s="443">
        <f>+FY14RevToColl!C41-FY14ProjRevToColl!C41</f>
        <v>2205.2342003731701</v>
      </c>
      <c r="D41" s="443">
        <f>+FY14RevToColl!D41-FY14ProjRevToColl!D41</f>
        <v>4024.8084875383138</v>
      </c>
      <c r="E41" s="443">
        <f>+FY14RevToColl!E41-FY14ProjRevToColl!E41</f>
        <v>3606.1567172767864</v>
      </c>
      <c r="F41" s="443">
        <f>+FY14RevToColl!F41-FY14ProjRevToColl!F41</f>
        <v>2345.1853376809422</v>
      </c>
      <c r="G41" s="443">
        <f>+FY14RevToColl!G41-FY14ProjRevToColl!G41</f>
        <v>1164.2940406374451</v>
      </c>
      <c r="H41" s="443">
        <f>+FY14RevToColl!H41-FY14ProjRevToColl!H41</f>
        <v>-3823.3242450399739</v>
      </c>
      <c r="I41" s="443">
        <f>+FY14RevToColl!I41-FY14ProjRevToColl!I41</f>
        <v>-309.35064748829166</v>
      </c>
      <c r="J41" s="443">
        <f>+FY14RevToColl!J41-FY14ProjRevToColl!J41</f>
        <v>-848.74461609972468</v>
      </c>
      <c r="K41" s="443">
        <f>+FY14RevToColl!K41-FY14ProjRevToColl!K41</f>
        <v>-12764.471174307168</v>
      </c>
      <c r="L41" s="443">
        <f>+FY14RevToColl!L41-FY14ProjRevToColl!L41</f>
        <v>3210.5272101867185</v>
      </c>
      <c r="M41" s="443">
        <f>+FY14RevToColl!M41-FY14ProjRevToColl!M41</f>
        <v>0</v>
      </c>
      <c r="N41" s="443">
        <f>+FY14RevToColl!N41-FY14ProjRevToColl!N41</f>
        <v>1458.6601283683194</v>
      </c>
      <c r="O41" s="443">
        <f>+FY14RevToColl!O41-FY14ProjRevToColl!O41</f>
        <v>0</v>
      </c>
      <c r="P41" s="443">
        <f>+FY14RevToColl!P41-FY14ProjRevToColl!P41</f>
        <v>0</v>
      </c>
      <c r="Q41" s="443">
        <f>+FY14RevToColl!Q41-FY14ProjRevToColl!Q41</f>
        <v>2552.7518191679574</v>
      </c>
      <c r="R41" s="443">
        <f>+FY14RevToColl!R41-FY14ProjRevToColl!R41</f>
        <v>0</v>
      </c>
      <c r="S41" s="443">
        <f>+FY14RevToColl!S41-FY14ProjRevToColl!S41</f>
        <v>0</v>
      </c>
      <c r="T41" s="444">
        <f t="shared" si="4"/>
        <v>2821.7272582944961</v>
      </c>
    </row>
    <row r="42" spans="1:20" s="18" customFormat="1" ht="20.100000000000001" customHeight="1">
      <c r="A42" s="404" t="s">
        <v>149</v>
      </c>
      <c r="B42" s="440" t="s">
        <v>38</v>
      </c>
      <c r="C42" s="410">
        <f>+FY14RevToColl!C42-FY14ProjRevToColl!C42</f>
        <v>717.68432246658415</v>
      </c>
      <c r="D42" s="410">
        <f>+FY14RevToColl!D42-FY14ProjRevToColl!D42</f>
        <v>4571.8972879871044</v>
      </c>
      <c r="E42" s="410">
        <f>+FY14RevToColl!E42-FY14ProjRevToColl!E42</f>
        <v>96680.60527445341</v>
      </c>
      <c r="F42" s="410">
        <f>+FY14RevToColl!F42-FY14ProjRevToColl!F42</f>
        <v>-232.58729606417688</v>
      </c>
      <c r="G42" s="410">
        <f>+FY14RevToColl!G42-FY14ProjRevToColl!G42</f>
        <v>1922.6792751438034</v>
      </c>
      <c r="H42" s="410">
        <f>+FY14RevToColl!H42-FY14ProjRevToColl!H42</f>
        <v>-1539.5139547200383</v>
      </c>
      <c r="I42" s="410">
        <f>+FY14RevToColl!I42-FY14ProjRevToColl!I42</f>
        <v>637.94161997029698</v>
      </c>
      <c r="J42" s="410">
        <f>+FY14RevToColl!J42-FY14ProjRevToColl!J42</f>
        <v>-775.29098688058957</v>
      </c>
      <c r="K42" s="410">
        <f>+FY14RevToColl!K42-FY14ProjRevToColl!K42</f>
        <v>-4117.9496111001117</v>
      </c>
      <c r="L42" s="410">
        <f>+FY14RevToColl!L42-FY14ProjRevToColl!L42</f>
        <v>0</v>
      </c>
      <c r="M42" s="410">
        <f>+FY14RevToColl!M42-FY14ProjRevToColl!M42</f>
        <v>0</v>
      </c>
      <c r="N42" s="410">
        <f>+FY14RevToColl!N42-FY14ProjRevToColl!N42</f>
        <v>-66.461079646918165</v>
      </c>
      <c r="O42" s="410">
        <f>+FY14RevToColl!O42-FY14ProjRevToColl!O42</f>
        <v>-232.58729606417688</v>
      </c>
      <c r="P42" s="410">
        <f>+FY14RevToColl!P42-FY14ProjRevToColl!P42</f>
        <v>0</v>
      </c>
      <c r="Q42" s="410">
        <f>+FY14RevToColl!Q42-FY14ProjRevToColl!Q42</f>
        <v>-1610.4022419834128</v>
      </c>
      <c r="R42" s="410">
        <f>+FY14RevToColl!R42-FY14ProjRevToColl!R42</f>
        <v>0</v>
      </c>
      <c r="S42" s="410">
        <f>+FY14RevToColl!S42-FY14ProjRevToColl!S42</f>
        <v>0</v>
      </c>
      <c r="T42" s="441">
        <f t="shared" si="4"/>
        <v>95956.015313561802</v>
      </c>
    </row>
    <row r="43" spans="1:20" ht="20.100000000000001" customHeight="1">
      <c r="A43" s="404" t="s">
        <v>150</v>
      </c>
      <c r="B43" s="442" t="s">
        <v>31</v>
      </c>
      <c r="C43" s="443">
        <f>+FY14RevToColl!C43-FY14ProjRevToColl!C43</f>
        <v>3434.0065332802496</v>
      </c>
      <c r="D43" s="443">
        <f>+FY14RevToColl!D43-FY14ProjRevToColl!D43</f>
        <v>-10530.653428443722</v>
      </c>
      <c r="E43" s="443">
        <f>+FY14RevToColl!E43-FY14ProjRevToColl!E43</f>
        <v>-5096.2359947989089</v>
      </c>
      <c r="F43" s="443">
        <f>+FY14RevToColl!F43-FY14ProjRevToColl!F43</f>
        <v>-1064.578723306</v>
      </c>
      <c r="G43" s="443">
        <f>+FY14RevToColl!G43-FY14ProjRevToColl!G43</f>
        <v>270.74277176390854</v>
      </c>
      <c r="H43" s="443">
        <f>+FY14RevToColl!H43-FY14ProjRevToColl!H43</f>
        <v>1901.3301902639041</v>
      </c>
      <c r="I43" s="443">
        <f>+FY14RevToColl!I43-FY14ProjRevToColl!I43</f>
        <v>-4028.5918775346399</v>
      </c>
      <c r="J43" s="443">
        <f>+FY14RevToColl!J43-FY14ProjRevToColl!J43</f>
        <v>-58862.129575476283</v>
      </c>
      <c r="K43" s="443">
        <f>+FY14RevToColl!K43-FY14ProjRevToColl!K43</f>
        <v>-330.33642276915452</v>
      </c>
      <c r="L43" s="443">
        <f>+FY14RevToColl!L43-FY14ProjRevToColl!L43</f>
        <v>270.74277176390854</v>
      </c>
      <c r="M43" s="443">
        <f>+FY14RevToColl!M43-FY14ProjRevToColl!M43</f>
        <v>0</v>
      </c>
      <c r="N43" s="443">
        <f>+FY14RevToColl!N43-FY14ProjRevToColl!N43</f>
        <v>107.10725735846756</v>
      </c>
      <c r="O43" s="443">
        <f>+FY14RevToColl!O43-FY14ProjRevToColl!O43</f>
        <v>0</v>
      </c>
      <c r="P43" s="443">
        <f>+FY14RevToColl!P43-FY14ProjRevToColl!P43</f>
        <v>0</v>
      </c>
      <c r="Q43" s="443">
        <f>+FY14RevToColl!Q43-FY14ProjRevToColl!Q43</f>
        <v>549.33055960456295</v>
      </c>
      <c r="R43" s="443">
        <f>+FY14RevToColl!R43-FY14ProjRevToColl!R43</f>
        <v>0</v>
      </c>
      <c r="S43" s="443">
        <f>+FY14RevToColl!S43-FY14ProjRevToColl!S43</f>
        <v>0</v>
      </c>
      <c r="T43" s="444">
        <f t="shared" si="4"/>
        <v>-73379.265938293698</v>
      </c>
    </row>
    <row r="44" spans="1:20" s="18" customFormat="1" ht="20.100000000000001" customHeight="1">
      <c r="A44" s="404" t="s">
        <v>151</v>
      </c>
      <c r="B44" s="440" t="s">
        <v>209</v>
      </c>
      <c r="C44" s="410">
        <f>+FY14RevToColl!C44-FY14ProjRevToColl!C44</f>
        <v>-95.508055131725513</v>
      </c>
      <c r="D44" s="410">
        <f>+FY14RevToColl!D44-FY14ProjRevToColl!D44</f>
        <v>2817.668290897338</v>
      </c>
      <c r="E44" s="410">
        <f>+FY14RevToColl!E44-FY14ProjRevToColl!E44</f>
        <v>0</v>
      </c>
      <c r="F44" s="410">
        <f>+FY14RevToColl!F44-FY14ProjRevToColl!F44</f>
        <v>0</v>
      </c>
      <c r="G44" s="410">
        <f>+FY14RevToColl!G44-FY14ProjRevToColl!G44</f>
        <v>0</v>
      </c>
      <c r="H44" s="410">
        <f>+FY14RevToColl!H44-FY14ProjRevToColl!H44</f>
        <v>-191.01611026345103</v>
      </c>
      <c r="I44" s="410">
        <f>+FY14RevToColl!I44-FY14ProjRevToColl!I44</f>
        <v>296.07549792270015</v>
      </c>
      <c r="J44" s="410">
        <f>+FY14RevToColl!J44-FY14ProjRevToColl!J44</f>
        <v>42151.685652026354</v>
      </c>
      <c r="K44" s="410">
        <f>+FY14RevToColl!K44-FY14ProjRevToColl!K44</f>
        <v>964.91361267272396</v>
      </c>
      <c r="L44" s="410">
        <f>+FY14RevToColl!L44-FY14ProjRevToColl!L44</f>
        <v>0</v>
      </c>
      <c r="M44" s="410">
        <f>+FY14RevToColl!M44-FY14ProjRevToColl!M44</f>
        <v>0</v>
      </c>
      <c r="N44" s="410">
        <f>+FY14RevToColl!N44-FY14ProjRevToColl!N44</f>
        <v>0</v>
      </c>
      <c r="O44" s="410">
        <f>+FY14RevToColl!O44-FY14ProjRevToColl!O44</f>
        <v>0</v>
      </c>
      <c r="P44" s="410">
        <f>+FY14RevToColl!P44-FY14ProjRevToColl!P44</f>
        <v>-265.5797776397954</v>
      </c>
      <c r="Q44" s="410">
        <f>+FY14RevToColl!Q44-FY14ProjRevToColl!Q44</f>
        <v>197.38366528180006</v>
      </c>
      <c r="R44" s="410">
        <f>+FY14RevToColl!R44-FY14ProjRevToColl!R44</f>
        <v>0</v>
      </c>
      <c r="S44" s="410">
        <f>+FY14RevToColl!S44-FY14ProjRevToColl!S44</f>
        <v>0</v>
      </c>
      <c r="T44" s="441">
        <f t="shared" si="4"/>
        <v>45875.622775765944</v>
      </c>
    </row>
    <row r="45" spans="1:20" ht="20.100000000000001" customHeight="1">
      <c r="A45" s="404" t="s">
        <v>153</v>
      </c>
      <c r="B45" s="442" t="s">
        <v>100</v>
      </c>
      <c r="C45" s="443">
        <f>+FY14RevToColl!C45-FY14ProjRevToColl!C45</f>
        <v>0</v>
      </c>
      <c r="D45" s="443">
        <f>+FY14RevToColl!D45-FY14ProjRevToColl!D45</f>
        <v>-1303.5049989994079</v>
      </c>
      <c r="E45" s="443">
        <f>+FY14RevToColl!E45-FY14ProjRevToColl!E45</f>
        <v>0</v>
      </c>
      <c r="F45" s="443">
        <f>+FY14RevToColl!F45-FY14ProjRevToColl!F45</f>
        <v>-251.64645980714258</v>
      </c>
      <c r="G45" s="443">
        <f>+FY14RevToColl!G45-FY14ProjRevToColl!G45</f>
        <v>0</v>
      </c>
      <c r="H45" s="443">
        <f>+FY14RevToColl!H45-FY14ProjRevToColl!H45</f>
        <v>86.639971362286985</v>
      </c>
      <c r="I45" s="443">
        <f>+FY14RevToColl!I45-FY14ProjRevToColl!I45</f>
        <v>0</v>
      </c>
      <c r="J45" s="443">
        <f>+FY14RevToColl!J45-FY14ProjRevToColl!J45</f>
        <v>0</v>
      </c>
      <c r="K45" s="443">
        <f>+FY14RevToColl!K45-FY14ProjRevToColl!K45</f>
        <v>-280.37225121140068</v>
      </c>
      <c r="L45" s="443">
        <f>+FY14RevToColl!L45-FY14ProjRevToColl!L45</f>
        <v>33.093817118873517</v>
      </c>
      <c r="M45" s="443">
        <f>+FY14RevToColl!M45-FY14ProjRevToColl!M45</f>
        <v>173.27994272457397</v>
      </c>
      <c r="N45" s="443">
        <f>+FY14RevToColl!N45-FY14ProjRevToColl!N45</f>
        <v>-6711.719871995665</v>
      </c>
      <c r="O45" s="443">
        <f>+FY14RevToColl!O45-FY14ProjRevToColl!O45</f>
        <v>-10129.644216756744</v>
      </c>
      <c r="P45" s="443">
        <f>+FY14RevToColl!P45-FY14ProjRevToColl!P45</f>
        <v>-3779.7499361441069</v>
      </c>
      <c r="Q45" s="443">
        <f>+FY14RevToColl!Q45-FY14ProjRevToColl!Q45</f>
        <v>-3264.9631470073509</v>
      </c>
      <c r="R45" s="443">
        <f>+FY14RevToColl!R45-FY14ProjRevToColl!R45</f>
        <v>0</v>
      </c>
      <c r="S45" s="443">
        <f>+FY14RevToColl!S45-FY14ProjRevToColl!S45</f>
        <v>0</v>
      </c>
      <c r="T45" s="444">
        <f t="shared" si="4"/>
        <v>-25428.587150716085</v>
      </c>
    </row>
    <row r="46" spans="1:20" s="18" customFormat="1" ht="20.100000000000001" customHeight="1">
      <c r="A46" s="404" t="s">
        <v>155</v>
      </c>
      <c r="B46" s="440" t="s">
        <v>42</v>
      </c>
      <c r="C46" s="410">
        <f>+FY14RevToColl!C46-FY14ProjRevToColl!C46</f>
        <v>0</v>
      </c>
      <c r="D46" s="410">
        <f>+FY14RevToColl!D46-FY14ProjRevToColl!D46</f>
        <v>1810.3179592800107</v>
      </c>
      <c r="E46" s="410">
        <f>+FY14RevToColl!E46-FY14ProjRevToColl!E46</f>
        <v>-259.17958034435503</v>
      </c>
      <c r="F46" s="410">
        <f>+FY14RevToColl!F46-FY14ProjRevToColl!F46</f>
        <v>0</v>
      </c>
      <c r="G46" s="410">
        <f>+FY14RevToColl!G46-FY14ProjRevToColl!G46</f>
        <v>-323.97447543044382</v>
      </c>
      <c r="H46" s="410">
        <f>+FY14RevToColl!H46-FY14ProjRevToColl!H46</f>
        <v>-108.64800899856033</v>
      </c>
      <c r="I46" s="410">
        <f>+FY14RevToColl!I46-FY14ProjRevToColl!I46</f>
        <v>0</v>
      </c>
      <c r="J46" s="410">
        <f>+FY14RevToColl!J46-FY14ProjRevToColl!J46</f>
        <v>68.285191948358289</v>
      </c>
      <c r="K46" s="410">
        <f>+FY14RevToColl!K46-FY14ProjRevToColl!K46</f>
        <v>0</v>
      </c>
      <c r="L46" s="410">
        <f>+FY14RevToColl!L46-FY14ProjRevToColl!L46</f>
        <v>0</v>
      </c>
      <c r="M46" s="410">
        <f>+FY14RevToColl!M46-FY14ProjRevToColl!M46</f>
        <v>68.285191948358289</v>
      </c>
      <c r="N46" s="410">
        <f>+FY14RevToColl!N46-FY14ProjRevToColl!N46</f>
        <v>6058.6935565945168</v>
      </c>
      <c r="O46" s="410">
        <f>+FY14RevToColl!O46-FY14ProjRevToColl!O46</f>
        <v>1923.5282041696673</v>
      </c>
      <c r="P46" s="410">
        <f>+FY14RevToColl!P46-FY14ProjRevToColl!P46</f>
        <v>108339.78301260073</v>
      </c>
      <c r="Q46" s="410">
        <f>+FY14RevToColl!Q46-FY14ProjRevToColl!Q46</f>
        <v>3391.9713974396818</v>
      </c>
      <c r="R46" s="410">
        <f>+FY14RevToColl!R46-FY14ProjRevToColl!R46</f>
        <v>0</v>
      </c>
      <c r="S46" s="410">
        <f>+FY14RevToColl!S46-FY14ProjRevToColl!S46</f>
        <v>0</v>
      </c>
      <c r="T46" s="441">
        <f t="shared" si="4"/>
        <v>120969.06244920797</v>
      </c>
    </row>
    <row r="47" spans="1:20" ht="20.100000000000001" customHeight="1">
      <c r="A47" s="404" t="s">
        <v>162</v>
      </c>
      <c r="B47" s="442" t="s">
        <v>76</v>
      </c>
      <c r="C47" s="443">
        <f>+FY14RevToColl!C47-FY14ProjRevToColl!C47</f>
        <v>0</v>
      </c>
      <c r="D47" s="443">
        <f>+FY14RevToColl!D47-FY14ProjRevToColl!D47</f>
        <v>-526.59113892765276</v>
      </c>
      <c r="E47" s="443">
        <f>+FY14RevToColl!E47-FY14ProjRevToColl!E47</f>
        <v>-122.48215556810919</v>
      </c>
      <c r="F47" s="443">
        <f>+FY14RevToColl!F47-FY14ProjRevToColl!F47</f>
        <v>0</v>
      </c>
      <c r="G47" s="443">
        <f>+FY14RevToColl!G47-FY14ProjRevToColl!G47</f>
        <v>-183.72323335216379</v>
      </c>
      <c r="H47" s="443">
        <f>+FY14RevToColl!H47-FY14ProjRevToColl!H47</f>
        <v>0</v>
      </c>
      <c r="I47" s="443">
        <f>+FY14RevToColl!I47-FY14ProjRevToColl!I47</f>
        <v>0</v>
      </c>
      <c r="J47" s="443">
        <f>+FY14RevToColl!J47-FY14ProjRevToColl!J47</f>
        <v>0</v>
      </c>
      <c r="K47" s="443">
        <f>+FY14RevToColl!K47-FY14ProjRevToColl!K47</f>
        <v>0</v>
      </c>
      <c r="L47" s="443">
        <f>+FY14RevToColl!L47-FY14ProjRevToColl!L47</f>
        <v>0</v>
      </c>
      <c r="M47" s="443">
        <f>+FY14RevToColl!M47-FY14ProjRevToColl!M47</f>
        <v>187.81966020697024</v>
      </c>
      <c r="N47" s="443">
        <f>+FY14RevToColl!N47-FY14ProjRevToColl!N47</f>
        <v>-71332.805024530739</v>
      </c>
      <c r="O47" s="443">
        <f>+FY14RevToColl!O47-FY14ProjRevToColl!O47</f>
        <v>-61.241077784054596</v>
      </c>
      <c r="P47" s="443">
        <f>+FY14RevToColl!P47-FY14ProjRevToColl!P47</f>
        <v>0</v>
      </c>
      <c r="Q47" s="443">
        <f>+FY14RevToColl!Q47-FY14ProjRevToColl!Q47</f>
        <v>-1129.2382624022757</v>
      </c>
      <c r="R47" s="443">
        <f>+FY14RevToColl!R47-FY14ProjRevToColl!R47</f>
        <v>0</v>
      </c>
      <c r="S47" s="443">
        <f>+FY14RevToColl!S47-FY14ProjRevToColl!S47</f>
        <v>-485.83219541763043</v>
      </c>
      <c r="T47" s="444">
        <f t="shared" si="4"/>
        <v>-73654.093427775661</v>
      </c>
    </row>
    <row r="48" spans="1:20" s="18" customFormat="1" ht="20.100000000000001" customHeight="1">
      <c r="A48" s="404" t="s">
        <v>156</v>
      </c>
      <c r="B48" s="440" t="s">
        <v>77</v>
      </c>
      <c r="C48" s="410">
        <f>+FY14RevToColl!C48-FY14ProjRevToColl!C48</f>
        <v>0</v>
      </c>
      <c r="D48" s="410">
        <f>+FY14RevToColl!D48-FY14ProjRevToColl!D48</f>
        <v>0</v>
      </c>
      <c r="E48" s="410">
        <f>+FY14RevToColl!E48-FY14ProjRevToColl!E48</f>
        <v>0</v>
      </c>
      <c r="F48" s="410">
        <f>+FY14RevToColl!F48-FY14ProjRevToColl!F48</f>
        <v>0</v>
      </c>
      <c r="G48" s="410">
        <f>+FY14RevToColl!G48-FY14ProjRevToColl!G48</f>
        <v>0</v>
      </c>
      <c r="H48" s="410">
        <f>+FY14RevToColl!H48-FY14ProjRevToColl!H48</f>
        <v>0</v>
      </c>
      <c r="I48" s="410">
        <f>+FY14RevToColl!I48-FY14ProjRevToColl!I48</f>
        <v>0</v>
      </c>
      <c r="J48" s="410">
        <f>+FY14RevToColl!J48-FY14ProjRevToColl!J48</f>
        <v>0</v>
      </c>
      <c r="K48" s="410">
        <f>+FY14RevToColl!K48-FY14ProjRevToColl!K48</f>
        <v>0</v>
      </c>
      <c r="L48" s="410">
        <f>+FY14RevToColl!L48-FY14ProjRevToColl!L48</f>
        <v>0</v>
      </c>
      <c r="M48" s="410">
        <f>+FY14RevToColl!M48-FY14ProjRevToColl!M48</f>
        <v>14851.805042698397</v>
      </c>
      <c r="N48" s="410">
        <f>+FY14RevToColl!N48-FY14ProjRevToColl!N48</f>
        <v>2371.5161811233556</v>
      </c>
      <c r="O48" s="410">
        <f>+FY14RevToColl!O48-FY14ProjRevToColl!O48</f>
        <v>0</v>
      </c>
      <c r="P48" s="410">
        <f>+FY14RevToColl!P48-FY14ProjRevToColl!P48</f>
        <v>0</v>
      </c>
      <c r="Q48" s="410">
        <f>+FY14RevToColl!Q48-FY14ProjRevToColl!Q48</f>
        <v>-124.23298268574425</v>
      </c>
      <c r="R48" s="410">
        <f>+FY14RevToColl!R48-FY14ProjRevToColl!R48</f>
        <v>0</v>
      </c>
      <c r="S48" s="410">
        <f>+FY14RevToColl!S48-FY14ProjRevToColl!S48</f>
        <v>0</v>
      </c>
      <c r="T48" s="441">
        <f t="shared" si="4"/>
        <v>17099.088241136007</v>
      </c>
    </row>
    <row r="49" spans="1:20" ht="20.100000000000001" customHeight="1">
      <c r="A49" s="404" t="s">
        <v>163</v>
      </c>
      <c r="B49" s="445" t="s">
        <v>164</v>
      </c>
      <c r="C49" s="443">
        <f>+FY14RevToColl!C49-FY14ProjRevToColl!C49</f>
        <v>0</v>
      </c>
      <c r="D49" s="443">
        <f>+FY14RevToColl!D49-FY14ProjRevToColl!D49</f>
        <v>1569.2610314064843</v>
      </c>
      <c r="E49" s="443">
        <f>+FY14RevToColl!E49-FY14ProjRevToColl!E49</f>
        <v>0</v>
      </c>
      <c r="F49" s="443">
        <f>+FY14RevToColl!F49-FY14ProjRevToColl!F49</f>
        <v>0</v>
      </c>
      <c r="G49" s="443">
        <f>+FY14RevToColl!G49-FY14ProjRevToColl!G49</f>
        <v>0</v>
      </c>
      <c r="H49" s="443">
        <f>+FY14RevToColl!H49-FY14ProjRevToColl!H49</f>
        <v>0</v>
      </c>
      <c r="I49" s="443">
        <f>+FY14RevToColl!I49-FY14ProjRevToColl!I49</f>
        <v>0</v>
      </c>
      <c r="J49" s="443">
        <f>+FY14RevToColl!J49-FY14ProjRevToColl!J49</f>
        <v>0</v>
      </c>
      <c r="K49" s="443">
        <f>+FY14RevToColl!K49-FY14ProjRevToColl!K49</f>
        <v>0</v>
      </c>
      <c r="L49" s="443">
        <f>+FY14RevToColl!L49-FY14ProjRevToColl!L49</f>
        <v>0</v>
      </c>
      <c r="M49" s="443">
        <f>+FY14RevToColl!M49-FY14ProjRevToColl!M49</f>
        <v>13027.074534130894</v>
      </c>
      <c r="N49" s="443">
        <f>+FY14RevToColl!N49-FY14ProjRevToColl!N49</f>
        <v>-1005.1084909026827</v>
      </c>
      <c r="O49" s="443">
        <f>+FY14RevToColl!O49-FY14ProjRevToColl!O49</f>
        <v>0</v>
      </c>
      <c r="P49" s="443">
        <f>+FY14RevToColl!P49-FY14ProjRevToColl!P49</f>
        <v>0</v>
      </c>
      <c r="Q49" s="443">
        <f>+FY14RevToColl!Q49-FY14ProjRevToColl!Q49</f>
        <v>-753.59004395858278</v>
      </c>
      <c r="R49" s="443">
        <f>+FY14RevToColl!R49-FY14ProjRevToColl!R49</f>
        <v>0</v>
      </c>
      <c r="S49" s="443">
        <f>+FY14RevToColl!S49-FY14ProjRevToColl!S49</f>
        <v>-188.35729028657414</v>
      </c>
      <c r="T49" s="446">
        <f t="shared" si="4"/>
        <v>12649.279740389538</v>
      </c>
    </row>
    <row r="50" spans="1:20" ht="20.100000000000001" customHeight="1">
      <c r="A50" s="405"/>
      <c r="B50" s="447" t="s">
        <v>17</v>
      </c>
      <c r="C50" s="448">
        <f t="shared" ref="C50:S50" si="5">SUM(C29:C49)</f>
        <v>902036.90271738207</v>
      </c>
      <c r="D50" s="448">
        <f t="shared" si="5"/>
        <v>436358.57859780494</v>
      </c>
      <c r="E50" s="448">
        <f t="shared" si="5"/>
        <v>751760.26188465208</v>
      </c>
      <c r="F50" s="448">
        <f t="shared" si="5"/>
        <v>297340.282252684</v>
      </c>
      <c r="G50" s="448">
        <f t="shared" si="5"/>
        <v>1818983.2560457326</v>
      </c>
      <c r="H50" s="448">
        <f t="shared" si="5"/>
        <v>694028.72225854045</v>
      </c>
      <c r="I50" s="448">
        <f t="shared" si="5"/>
        <v>302856.70688821189</v>
      </c>
      <c r="J50" s="448">
        <f t="shared" si="5"/>
        <v>89.726705202410841</v>
      </c>
      <c r="K50" s="448">
        <f t="shared" si="5"/>
        <v>-23032.541020582761</v>
      </c>
      <c r="L50" s="448">
        <f t="shared" si="5"/>
        <v>92242.355850386957</v>
      </c>
      <c r="M50" s="448">
        <f t="shared" si="5"/>
        <v>26756.934216196114</v>
      </c>
      <c r="N50" s="448">
        <f t="shared" si="5"/>
        <v>79704.172352556154</v>
      </c>
      <c r="O50" s="448">
        <f t="shared" si="5"/>
        <v>31311.417163881652</v>
      </c>
      <c r="P50" s="448">
        <f t="shared" si="5"/>
        <v>110390.51661949647</v>
      </c>
      <c r="Q50" s="448">
        <f t="shared" si="5"/>
        <v>354097.23804796173</v>
      </c>
      <c r="R50" s="448">
        <f t="shared" si="5"/>
        <v>97127.914698077264</v>
      </c>
      <c r="S50" s="448">
        <f t="shared" si="5"/>
        <v>57262.839870402007</v>
      </c>
      <c r="T50" s="448">
        <f>SUM(T29:T49)</f>
        <v>6029315.2851485843</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+FY14RevToColl!C53-FY14ProjRevToColl!C53</f>
        <v>114513.61281477497</v>
      </c>
      <c r="D53" s="455">
        <f>+FY14RevToColl!D53-FY14ProjRevToColl!D53</f>
        <v>3706279.800711289</v>
      </c>
      <c r="E53" s="455">
        <f>+FY14RevToColl!E53-FY14ProjRevToColl!E53</f>
        <v>-454970.95529197901</v>
      </c>
      <c r="F53" s="455">
        <f>+FY14RevToColl!F53-FY14ProjRevToColl!F53</f>
        <v>114937.27252399863</v>
      </c>
      <c r="G53" s="455">
        <f>+FY14RevToColl!G53-FY14ProjRevToColl!G53</f>
        <v>793325.94999006391</v>
      </c>
      <c r="H53" s="455">
        <f>+FY14RevToColl!H53-FY14ProjRevToColl!H53</f>
        <v>207608.9071255778</v>
      </c>
      <c r="I53" s="455">
        <f>+FY14RevToColl!I53-FY14ProjRevToColl!I53</f>
        <v>394690.43784339423</v>
      </c>
      <c r="J53" s="455">
        <f>+FY14RevToColl!J53-FY14ProjRevToColl!J53</f>
        <v>0</v>
      </c>
      <c r="K53" s="455">
        <f>+FY14RevToColl!K53-FY14ProjRevToColl!K53</f>
        <v>0</v>
      </c>
      <c r="L53" s="455">
        <f>+FY14RevToColl!L53-FY14ProjRevToColl!L53</f>
        <v>-63480.622531290632</v>
      </c>
      <c r="M53" s="455">
        <f>+FY14RevToColl!M53-FY14ProjRevToColl!M53</f>
        <v>0</v>
      </c>
      <c r="N53" s="455">
        <f>+FY14RevToColl!N53-FY14ProjRevToColl!N53</f>
        <v>-118867.24198492058</v>
      </c>
      <c r="O53" s="455">
        <f>+FY14RevToColl!O53-FY14ProjRevToColl!O53</f>
        <v>17736.672116572969</v>
      </c>
      <c r="P53" s="455">
        <f>+FY14RevToColl!P53-FY14ProjRevToColl!P53</f>
        <v>0</v>
      </c>
      <c r="Q53" s="455">
        <f>+FY14RevToColl!Q53-FY14ProjRevToColl!Q53</f>
        <v>-629166.93513505976</v>
      </c>
      <c r="R53" s="455">
        <f>+FY14RevToColl!R53-FY14ProjRevToColl!R53</f>
        <v>-335578.12636227824</v>
      </c>
      <c r="S53" s="455">
        <f>+FY14RevToColl!S53-FY14ProjRevToColl!S53</f>
        <v>49469.642442203709</v>
      </c>
      <c r="T53" s="455">
        <f t="shared" ref="T53:T73" si="6">SUM(C53:S53)</f>
        <v>3796498.4142623474</v>
      </c>
    </row>
    <row r="54" spans="1:20" s="18" customFormat="1" ht="20.100000000000001" customHeight="1">
      <c r="A54" s="404" t="s">
        <v>129</v>
      </c>
      <c r="B54" s="440" t="s">
        <v>35</v>
      </c>
      <c r="C54" s="410">
        <f>+FY14RevToColl!C54-FY14ProjRevToColl!C54</f>
        <v>8878.8325867985623</v>
      </c>
      <c r="D54" s="410">
        <f>+FY14RevToColl!D54-FY14ProjRevToColl!D54</f>
        <v>32967.810226156376</v>
      </c>
      <c r="E54" s="410">
        <f>+FY14RevToColl!E54-FY14ProjRevToColl!E54</f>
        <v>6825.3951661399042</v>
      </c>
      <c r="F54" s="410">
        <f>+FY14RevToColl!F54-FY14ProjRevToColl!F54</f>
        <v>0</v>
      </c>
      <c r="G54" s="410">
        <f>+FY14RevToColl!G54-FY14ProjRevToColl!G54</f>
        <v>-8291.1787686723401</v>
      </c>
      <c r="H54" s="410">
        <f>+FY14RevToColl!H54-FY14ProjRevToColl!H54</f>
        <v>-17911.730620675589</v>
      </c>
      <c r="I54" s="410">
        <f>+FY14RevToColl!I54-FY14ProjRevToColl!I54</f>
        <v>-569.02612245915225</v>
      </c>
      <c r="J54" s="410">
        <f>+FY14RevToColl!J54-FY14ProjRevToColl!J54</f>
        <v>-1100.6168107919798</v>
      </c>
      <c r="K54" s="410">
        <f>+FY14RevToColl!K54-FY14ProjRevToColl!K54</f>
        <v>-20942.885593020852</v>
      </c>
      <c r="L54" s="410">
        <f>+FY14RevToColl!L54-FY14ProjRevToColl!L54</f>
        <v>0</v>
      </c>
      <c r="M54" s="410">
        <f>+FY14RevToColl!M54-FY14ProjRevToColl!M54</f>
        <v>0</v>
      </c>
      <c r="N54" s="410">
        <f>+FY14RevToColl!N54-FY14ProjRevToColl!N54</f>
        <v>-8619.8828940766398</v>
      </c>
      <c r="O54" s="410">
        <f>+FY14RevToColl!O54-FY14ProjRevToColl!O54</f>
        <v>2450.5631253698953</v>
      </c>
      <c r="P54" s="410">
        <f>+FY14RevToColl!P54-FY14ProjRevToColl!P54</f>
        <v>4353.4660845253093</v>
      </c>
      <c r="Q54" s="410">
        <f>+FY14RevToColl!Q54-FY14ProjRevToColl!Q54</f>
        <v>-17818.232056755864</v>
      </c>
      <c r="R54" s="410">
        <f>+FY14RevToColl!R54-FY14ProjRevToColl!R54</f>
        <v>0</v>
      </c>
      <c r="S54" s="410">
        <f>+FY14RevToColl!S54-FY14ProjRevToColl!S54</f>
        <v>-91903.359215314384</v>
      </c>
      <c r="T54" s="410">
        <f t="shared" si="6"/>
        <v>-111680.84489277675</v>
      </c>
    </row>
    <row r="55" spans="1:20" ht="20.100000000000001" customHeight="1">
      <c r="A55" s="404" t="s">
        <v>140</v>
      </c>
      <c r="B55" s="456" t="s">
        <v>36</v>
      </c>
      <c r="C55" s="457">
        <f>+FY14RevToColl!C55-FY14ProjRevToColl!C55</f>
        <v>0</v>
      </c>
      <c r="D55" s="457">
        <f>+FY14RevToColl!D55-FY14ProjRevToColl!D55</f>
        <v>0</v>
      </c>
      <c r="E55" s="457">
        <f>+FY14RevToColl!E55-FY14ProjRevToColl!E55</f>
        <v>0</v>
      </c>
      <c r="F55" s="457">
        <f>+FY14RevToColl!F55-FY14ProjRevToColl!F55</f>
        <v>0</v>
      </c>
      <c r="G55" s="457">
        <f>+FY14RevToColl!G55-FY14ProjRevToColl!G55</f>
        <v>0</v>
      </c>
      <c r="H55" s="457">
        <f>+FY14RevToColl!H55-FY14ProjRevToColl!H55</f>
        <v>0</v>
      </c>
      <c r="I55" s="457">
        <f>+FY14RevToColl!I55-FY14ProjRevToColl!I55</f>
        <v>0</v>
      </c>
      <c r="J55" s="457">
        <f>+FY14RevToColl!J55-FY14ProjRevToColl!J55</f>
        <v>0</v>
      </c>
      <c r="K55" s="457">
        <f>+FY14RevToColl!K55-FY14ProjRevToColl!K55</f>
        <v>0</v>
      </c>
      <c r="L55" s="457">
        <f>+FY14RevToColl!L55-FY14ProjRevToColl!L55</f>
        <v>17651.849834164605</v>
      </c>
      <c r="M55" s="457">
        <f>+FY14RevToColl!M55-FY14ProjRevToColl!M55</f>
        <v>0</v>
      </c>
      <c r="N55" s="457">
        <f>+FY14RevToColl!N55-FY14ProjRevToColl!N55</f>
        <v>34872.119754085783</v>
      </c>
      <c r="O55" s="457">
        <f>+FY14RevToColl!O55-FY14ProjRevToColl!O55</f>
        <v>0</v>
      </c>
      <c r="P55" s="457">
        <f>+FY14RevToColl!P55-FY14ProjRevToColl!P55</f>
        <v>0</v>
      </c>
      <c r="Q55" s="457">
        <f>+FY14RevToColl!Q55-FY14ProjRevToColl!Q55</f>
        <v>0</v>
      </c>
      <c r="R55" s="457">
        <f>+FY14RevToColl!R55-FY14ProjRevToColl!R55</f>
        <v>0</v>
      </c>
      <c r="S55" s="457">
        <f>+FY14RevToColl!S55-FY14ProjRevToColl!S55</f>
        <v>0</v>
      </c>
      <c r="T55" s="457">
        <f t="shared" si="6"/>
        <v>52523.969588250387</v>
      </c>
    </row>
    <row r="56" spans="1:20" s="18" customFormat="1" ht="20.100000000000001" customHeight="1">
      <c r="A56" s="404" t="s">
        <v>130</v>
      </c>
      <c r="B56" s="440" t="s">
        <v>37</v>
      </c>
      <c r="C56" s="410">
        <f>+FY14RevToColl!C56-FY14ProjRevToColl!C56</f>
        <v>-3849.0835215965294</v>
      </c>
      <c r="D56" s="410">
        <f>+FY14RevToColl!D56-FY14ProjRevToColl!D56</f>
        <v>-7297.0090059662616</v>
      </c>
      <c r="E56" s="410">
        <f>+FY14RevToColl!E56-FY14ProjRevToColl!E56</f>
        <v>-35022.597625261638</v>
      </c>
      <c r="F56" s="410">
        <f>+FY14RevToColl!F56-FY14ProjRevToColl!F56</f>
        <v>-95.211482723216704</v>
      </c>
      <c r="G56" s="410">
        <f>+FY14RevToColl!G56-FY14ProjRevToColl!G56</f>
        <v>187809.78226394486</v>
      </c>
      <c r="H56" s="410">
        <f>+FY14RevToColl!H56-FY14ProjRevToColl!H56</f>
        <v>-3991.9007456813533</v>
      </c>
      <c r="I56" s="410">
        <f>+FY14RevToColl!I56-FY14ProjRevToColl!I56</f>
        <v>-47.605741361608352</v>
      </c>
      <c r="J56" s="410">
        <f>+FY14RevToColl!J56-FY14ProjRevToColl!J56</f>
        <v>7031.686664130546</v>
      </c>
      <c r="K56" s="410">
        <f>+FY14RevToColl!K56-FY14ProjRevToColl!K56</f>
        <v>-1972.1475021598731</v>
      </c>
      <c r="L56" s="410">
        <f>+FY14RevToColl!L56-FY14ProjRevToColl!L56</f>
        <v>3753.8720388733127</v>
      </c>
      <c r="M56" s="410">
        <f>+FY14RevToColl!M56-FY14ProjRevToColl!M56</f>
        <v>0</v>
      </c>
      <c r="N56" s="410">
        <f>+FY14RevToColl!N56-FY14ProjRevToColl!N56</f>
        <v>40768.929272628768</v>
      </c>
      <c r="O56" s="410">
        <f>+FY14RevToColl!O56-FY14ProjRevToColl!O56</f>
        <v>12267.685734160186</v>
      </c>
      <c r="P56" s="410">
        <f>+FY14RevToColl!P56-FY14ProjRevToColl!P56</f>
        <v>0</v>
      </c>
      <c r="Q56" s="410">
        <f>+FY14RevToColl!Q56-FY14ProjRevToColl!Q56</f>
        <v>35185.726955680395</v>
      </c>
      <c r="R56" s="410">
        <f>+FY14RevToColl!R56-FY14ProjRevToColl!R56</f>
        <v>-9717.9202867145414</v>
      </c>
      <c r="S56" s="410">
        <f>+FY14RevToColl!S56-FY14ProjRevToColl!S56</f>
        <v>-36593.587090194706</v>
      </c>
      <c r="T56" s="410">
        <f t="shared" si="6"/>
        <v>188230.61992775835</v>
      </c>
    </row>
    <row r="57" spans="1:20" ht="20.100000000000001" customHeight="1">
      <c r="A57" s="404" t="s">
        <v>131</v>
      </c>
      <c r="B57" s="456" t="s">
        <v>141</v>
      </c>
      <c r="C57" s="457">
        <f>+FY14RevToColl!C57-FY14ProjRevToColl!C57</f>
        <v>-7043.9230769169926</v>
      </c>
      <c r="D57" s="457">
        <f>+FY14RevToColl!D57-FY14ProjRevToColl!D57</f>
        <v>-32884.537652601677</v>
      </c>
      <c r="E57" s="457">
        <f>+FY14RevToColl!E57-FY14ProjRevToColl!E57</f>
        <v>-3521.9615384584963</v>
      </c>
      <c r="F57" s="457">
        <f>+FY14RevToColl!F57-FY14ProjRevToColl!F57</f>
        <v>0</v>
      </c>
      <c r="G57" s="457">
        <f>+FY14RevToColl!G57-FY14ProjRevToColl!G57</f>
        <v>-3376.0191802095401</v>
      </c>
      <c r="H57" s="457">
        <f>+FY14RevToColl!H57-FY14ProjRevToColl!H57</f>
        <v>-12018.465760885738</v>
      </c>
      <c r="I57" s="457">
        <f>+FY14RevToColl!I57-FY14ProjRevToColl!I57</f>
        <v>0</v>
      </c>
      <c r="J57" s="457">
        <f>+FY14RevToColl!J57-FY14ProjRevToColl!J57</f>
        <v>1906.9231274782046</v>
      </c>
      <c r="K57" s="457">
        <f>+FY14RevToColl!K57-FY14ProjRevToColl!K57</f>
        <v>-11743.095951608911</v>
      </c>
      <c r="L57" s="457">
        <f>+FY14RevToColl!L57-FY14ProjRevToColl!L57</f>
        <v>0</v>
      </c>
      <c r="M57" s="457">
        <f>+FY14RevToColl!M57-FY14ProjRevToColl!M57</f>
        <v>0</v>
      </c>
      <c r="N57" s="457">
        <f>+FY14RevToColl!N57-FY14ProjRevToColl!N57</f>
        <v>-1760.9807692292482</v>
      </c>
      <c r="O57" s="457">
        <f>+FY14RevToColl!O57-FY14ProjRevToColl!O57</f>
        <v>0</v>
      </c>
      <c r="P57" s="457">
        <f>+FY14RevToColl!P57-FY14ProjRevToColl!P57</f>
        <v>0</v>
      </c>
      <c r="Q57" s="457">
        <f>+FY14RevToColl!Q57-FY14ProjRevToColl!Q57</f>
        <v>-1760.9807692292482</v>
      </c>
      <c r="R57" s="457">
        <f>+FY14RevToColl!R57-FY14ProjRevToColl!R57</f>
        <v>0</v>
      </c>
      <c r="S57" s="457">
        <f>+FY14RevToColl!S57-FY14ProjRevToColl!S57</f>
        <v>2344.7502022250737</v>
      </c>
      <c r="T57" s="457">
        <f t="shared" si="6"/>
        <v>-69858.291369436585</v>
      </c>
    </row>
    <row r="58" spans="1:20" s="18" customFormat="1" ht="20.100000000000001" customHeight="1">
      <c r="A58" s="404" t="s">
        <v>132</v>
      </c>
      <c r="B58" s="440" t="s">
        <v>206</v>
      </c>
      <c r="C58" s="410">
        <f>+FY14RevToColl!C58-FY14ProjRevToColl!C58</f>
        <v>0</v>
      </c>
      <c r="D58" s="410">
        <f>+FY14RevToColl!D58-FY14ProjRevToColl!D58</f>
        <v>-5064.3053251105684</v>
      </c>
      <c r="E58" s="410">
        <f>+FY14RevToColl!E58-FY14ProjRevToColl!E58</f>
        <v>0</v>
      </c>
      <c r="F58" s="410">
        <f>+FY14RevToColl!F58-FY14ProjRevToColl!F58</f>
        <v>244548.53907880839</v>
      </c>
      <c r="G58" s="410">
        <f>+FY14RevToColl!G58-FY14ProjRevToColl!G58</f>
        <v>0</v>
      </c>
      <c r="H58" s="410">
        <f>+FY14RevToColl!H58-FY14ProjRevToColl!H58</f>
        <v>0</v>
      </c>
      <c r="I58" s="410">
        <f>+FY14RevToColl!I58-FY14ProjRevToColl!I58</f>
        <v>0</v>
      </c>
      <c r="J58" s="410">
        <f>+FY14RevToColl!J58-FY14ProjRevToColl!J58</f>
        <v>0</v>
      </c>
      <c r="K58" s="410">
        <f>+FY14RevToColl!K58-FY14ProjRevToColl!K58</f>
        <v>-10722.143023884513</v>
      </c>
      <c r="L58" s="410">
        <f>+FY14RevToColl!L58-FY14ProjRevToColl!L58</f>
        <v>0</v>
      </c>
      <c r="M58" s="410">
        <f>+FY14RevToColl!M58-FY14ProjRevToColl!M58</f>
        <v>0</v>
      </c>
      <c r="N58" s="410">
        <f>+FY14RevToColl!N58-FY14ProjRevToColl!N58</f>
        <v>0</v>
      </c>
      <c r="O58" s="410">
        <f>+FY14RevToColl!O58-FY14ProjRevToColl!O58</f>
        <v>-12060.16303204621</v>
      </c>
      <c r="P58" s="410">
        <f>+FY14RevToColl!P58-FY14ProjRevToColl!P58</f>
        <v>0</v>
      </c>
      <c r="Q58" s="410">
        <f>+FY14RevToColl!Q58-FY14ProjRevToColl!Q58</f>
        <v>0</v>
      </c>
      <c r="R58" s="410">
        <f>+FY14RevToColl!R58-FY14ProjRevToColl!R58</f>
        <v>0</v>
      </c>
      <c r="S58" s="410">
        <f>+FY14RevToColl!S58-FY14ProjRevToColl!S58</f>
        <v>-31158.418325884533</v>
      </c>
      <c r="T58" s="410">
        <f t="shared" si="6"/>
        <v>185543.5093718826</v>
      </c>
    </row>
    <row r="59" spans="1:20" ht="20.100000000000001" customHeight="1">
      <c r="A59" s="404" t="s">
        <v>134</v>
      </c>
      <c r="B59" s="456" t="s">
        <v>40</v>
      </c>
      <c r="C59" s="457">
        <f>+FY14RevToColl!C59-FY14ProjRevToColl!C59</f>
        <v>0</v>
      </c>
      <c r="D59" s="457">
        <f>+FY14RevToColl!D59-FY14ProjRevToColl!D59</f>
        <v>-7658.4708273919969</v>
      </c>
      <c r="E59" s="457">
        <f>+FY14RevToColl!E59-FY14ProjRevToColl!E59</f>
        <v>0</v>
      </c>
      <c r="F59" s="457">
        <f>+FY14RevToColl!F59-FY14ProjRevToColl!F59</f>
        <v>0</v>
      </c>
      <c r="G59" s="457">
        <f>+FY14RevToColl!G59-FY14ProjRevToColl!G59</f>
        <v>0</v>
      </c>
      <c r="H59" s="457">
        <f>+FY14RevToColl!H59-FY14ProjRevToColl!H59</f>
        <v>0</v>
      </c>
      <c r="I59" s="457">
        <f>+FY14RevToColl!I59-FY14ProjRevToColl!I59</f>
        <v>-20404.187300213729</v>
      </c>
      <c r="J59" s="457">
        <f>+FY14RevToColl!J59-FY14ProjRevToColl!J59</f>
        <v>0</v>
      </c>
      <c r="K59" s="457">
        <f>+FY14RevToColl!K59-FY14ProjRevToColl!K59</f>
        <v>0</v>
      </c>
      <c r="L59" s="457">
        <f>+FY14RevToColl!L59-FY14ProjRevToColl!L59</f>
        <v>0</v>
      </c>
      <c r="M59" s="457">
        <f>+FY14RevToColl!M59-FY14ProjRevToColl!M59</f>
        <v>0</v>
      </c>
      <c r="N59" s="457">
        <f>+FY14RevToColl!N59-FY14ProjRevToColl!N59</f>
        <v>0</v>
      </c>
      <c r="O59" s="457">
        <f>+FY14RevToColl!O59-FY14ProjRevToColl!O59</f>
        <v>0</v>
      </c>
      <c r="P59" s="457">
        <f>+FY14RevToColl!P59-FY14ProjRevToColl!P59</f>
        <v>0</v>
      </c>
      <c r="Q59" s="457">
        <f>+FY14RevToColl!Q59-FY14ProjRevToColl!Q59</f>
        <v>0</v>
      </c>
      <c r="R59" s="457">
        <f>+FY14RevToColl!R59-FY14ProjRevToColl!R59</f>
        <v>0</v>
      </c>
      <c r="S59" s="457">
        <f>+FY14RevToColl!S59-FY14ProjRevToColl!S59</f>
        <v>0</v>
      </c>
      <c r="T59" s="457">
        <f t="shared" si="6"/>
        <v>-28062.658127605726</v>
      </c>
    </row>
    <row r="60" spans="1:20" s="18" customFormat="1" ht="20.100000000000001" customHeight="1">
      <c r="A60" s="404" t="s">
        <v>135</v>
      </c>
      <c r="B60" s="440" t="s">
        <v>70</v>
      </c>
      <c r="C60" s="410">
        <f>+FY14RevToColl!C60-FY14ProjRevToColl!C60</f>
        <v>0</v>
      </c>
      <c r="D60" s="410">
        <f>+FY14RevToColl!D60-FY14ProjRevToColl!D60</f>
        <v>-18341.762104214395</v>
      </c>
      <c r="E60" s="410">
        <f>+FY14RevToColl!E60-FY14ProjRevToColl!E60</f>
        <v>0</v>
      </c>
      <c r="F60" s="410">
        <f>+FY14RevToColl!F60-FY14ProjRevToColl!F60</f>
        <v>0</v>
      </c>
      <c r="G60" s="410">
        <f>+FY14RevToColl!G60-FY14ProjRevToColl!G60</f>
        <v>0</v>
      </c>
      <c r="H60" s="410">
        <f>+FY14RevToColl!H60-FY14ProjRevToColl!H60</f>
        <v>0</v>
      </c>
      <c r="I60" s="410">
        <f>+FY14RevToColl!I60-FY14ProjRevToColl!I60</f>
        <v>0</v>
      </c>
      <c r="J60" s="410">
        <f>+FY14RevToColl!J60-FY14ProjRevToColl!J60</f>
        <v>0</v>
      </c>
      <c r="K60" s="410">
        <f>+FY14RevToColl!K60-FY14ProjRevToColl!K60</f>
        <v>-28617.83368830281</v>
      </c>
      <c r="L60" s="410">
        <f>+FY14RevToColl!L60-FY14ProjRevToColl!L60</f>
        <v>91137.513429796556</v>
      </c>
      <c r="M60" s="410">
        <f>+FY14RevToColl!M60-FY14ProjRevToColl!M60</f>
        <v>0</v>
      </c>
      <c r="N60" s="410">
        <f>+FY14RevToColl!N60-FY14ProjRevToColl!N60</f>
        <v>-7655.8198549149274</v>
      </c>
      <c r="O60" s="410">
        <f>+FY14RevToColl!O60-FY14ProjRevToColl!O60</f>
        <v>0</v>
      </c>
      <c r="P60" s="410">
        <f>+FY14RevToColl!P60-FY14ProjRevToColl!P60</f>
        <v>0</v>
      </c>
      <c r="Q60" s="410">
        <f>+FY14RevToColl!Q60-FY14ProjRevToColl!Q60</f>
        <v>-7041.0138570983381</v>
      </c>
      <c r="R60" s="410">
        <f>+FY14RevToColl!R60-FY14ProjRevToColl!R60</f>
        <v>0</v>
      </c>
      <c r="S60" s="410">
        <f>+FY14RevToColl!S60-FY14ProjRevToColl!S60</f>
        <v>2825.1870617790132</v>
      </c>
      <c r="T60" s="410">
        <f t="shared" si="6"/>
        <v>32306.270987045093</v>
      </c>
    </row>
    <row r="61" spans="1:20" ht="20.100000000000001" customHeight="1">
      <c r="A61" s="404" t="s">
        <v>136</v>
      </c>
      <c r="B61" s="456" t="s">
        <v>144</v>
      </c>
      <c r="C61" s="457">
        <f>+FY14RevToColl!C61-FY14ProjRevToColl!C61</f>
        <v>0</v>
      </c>
      <c r="D61" s="457">
        <f>+FY14RevToColl!D61-FY14ProjRevToColl!D61</f>
        <v>0</v>
      </c>
      <c r="E61" s="457">
        <f>+FY14RevToColl!E61-FY14ProjRevToColl!E61</f>
        <v>0</v>
      </c>
      <c r="F61" s="457">
        <f>+FY14RevToColl!F61-FY14ProjRevToColl!F61</f>
        <v>0</v>
      </c>
      <c r="G61" s="457">
        <f>+FY14RevToColl!G61-FY14ProjRevToColl!G61</f>
        <v>0</v>
      </c>
      <c r="H61" s="457">
        <f>+FY14RevToColl!H61-FY14ProjRevToColl!H61</f>
        <v>-4056.0906966792968</v>
      </c>
      <c r="I61" s="457">
        <f>+FY14RevToColl!I61-FY14ProjRevToColl!I61</f>
        <v>0</v>
      </c>
      <c r="J61" s="457">
        <f>+FY14RevToColl!J61-FY14ProjRevToColl!J61</f>
        <v>0</v>
      </c>
      <c r="K61" s="457">
        <f>+FY14RevToColl!K61-FY14ProjRevToColl!K61</f>
        <v>0</v>
      </c>
      <c r="L61" s="457">
        <f>+FY14RevToColl!L61-FY14ProjRevToColl!L61</f>
        <v>0</v>
      </c>
      <c r="M61" s="457">
        <f>+FY14RevToColl!M61-FY14ProjRevToColl!M61</f>
        <v>0</v>
      </c>
      <c r="N61" s="457">
        <f>+FY14RevToColl!N61-FY14ProjRevToColl!N61</f>
        <v>-12779.551694798189</v>
      </c>
      <c r="O61" s="457">
        <f>+FY14RevToColl!O61-FY14ProjRevToColl!O61</f>
        <v>0</v>
      </c>
      <c r="P61" s="457">
        <f>+FY14RevToColl!P61-FY14ProjRevToColl!P61</f>
        <v>0</v>
      </c>
      <c r="Q61" s="457">
        <f>+FY14RevToColl!Q61-FY14ProjRevToColl!Q61</f>
        <v>-120842.26161272009</v>
      </c>
      <c r="R61" s="457">
        <f>+FY14RevToColl!R61-FY14ProjRevToColl!R61</f>
        <v>0</v>
      </c>
      <c r="S61" s="457">
        <f>+FY14RevToColl!S61-FY14ProjRevToColl!S61</f>
        <v>-101.87993412671631</v>
      </c>
      <c r="T61" s="457">
        <f t="shared" si="6"/>
        <v>-137779.78393832428</v>
      </c>
    </row>
    <row r="62" spans="1:20" s="18" customFormat="1" ht="20.100000000000001" customHeight="1">
      <c r="A62" s="404" t="s">
        <v>137</v>
      </c>
      <c r="B62" s="440" t="s">
        <v>49</v>
      </c>
      <c r="C62" s="410">
        <f>+FY14RevToColl!C62-FY14ProjRevToColl!C62</f>
        <v>-345.25365931265969</v>
      </c>
      <c r="D62" s="410">
        <f>+FY14RevToColl!D62-FY14ProjRevToColl!D62</f>
        <v>1518.6550174576041</v>
      </c>
      <c r="E62" s="410">
        <f>+FY14RevToColl!E62-FY14ProjRevToColl!E62</f>
        <v>0</v>
      </c>
      <c r="F62" s="410">
        <f>+FY14RevToColl!F62-FY14ProjRevToColl!F62</f>
        <v>0</v>
      </c>
      <c r="G62" s="410">
        <f>+FY14RevToColl!G62-FY14ProjRevToColl!G62</f>
        <v>2554.4159953955805</v>
      </c>
      <c r="H62" s="410">
        <f>+FY14RevToColl!H62-FY14ProjRevToColl!H62</f>
        <v>0</v>
      </c>
      <c r="I62" s="410">
        <f>+FY14RevToColl!I62-FY14ProjRevToColl!I62</f>
        <v>0</v>
      </c>
      <c r="J62" s="410">
        <f>+FY14RevToColl!J62-FY14ProjRevToColl!J62</f>
        <v>4349.5044820623607</v>
      </c>
      <c r="K62" s="410">
        <f>+FY14RevToColl!K62-FY14ProjRevToColl!K62</f>
        <v>-7939.6814553959211</v>
      </c>
      <c r="L62" s="410">
        <f>+FY14RevToColl!L62-FY14ProjRevToColl!L62</f>
        <v>13462.587295603222</v>
      </c>
      <c r="M62" s="410">
        <f>+FY14RevToColl!M62-FY14ProjRevToColl!M62</f>
        <v>-4694.7581413750204</v>
      </c>
      <c r="N62" s="410">
        <f>+FY14RevToColl!N62-FY14ProjRevToColl!N62</f>
        <v>46139.684124430118</v>
      </c>
      <c r="O62" s="410">
        <f>+FY14RevToColl!O62-FY14ProjRevToColl!O62</f>
        <v>-3244.9233140209003</v>
      </c>
      <c r="P62" s="410">
        <f>+FY14RevToColl!P62-FY14ProjRevToColl!P62</f>
        <v>0</v>
      </c>
      <c r="Q62" s="410">
        <f>+FY14RevToColl!Q62-FY14ProjRevToColl!Q62</f>
        <v>-75837.262369295117</v>
      </c>
      <c r="R62" s="410">
        <f>+FY14RevToColl!R62-FY14ProjRevToColl!R62</f>
        <v>0</v>
      </c>
      <c r="S62" s="410">
        <f>+FY14RevToColl!S62-FY14ProjRevToColl!S62</f>
        <v>6213.4131588326236</v>
      </c>
      <c r="T62" s="410">
        <f t="shared" si="6"/>
        <v>-17823.618865618115</v>
      </c>
    </row>
    <row r="63" spans="1:20" ht="20.100000000000001" customHeight="1">
      <c r="A63" s="404" t="s">
        <v>138</v>
      </c>
      <c r="B63" s="456" t="s">
        <v>207</v>
      </c>
      <c r="C63" s="457">
        <f>+FY14RevToColl!C63-FY14ProjRevToColl!C63</f>
        <v>701967.19572043652</v>
      </c>
      <c r="D63" s="457">
        <f>+FY14RevToColl!D63-FY14ProjRevToColl!D63</f>
        <v>-8623.5413054327946</v>
      </c>
      <c r="E63" s="457">
        <f>+FY14RevToColl!E63-FY14ProjRevToColl!E63</f>
        <v>-1035.5908095825007</v>
      </c>
      <c r="F63" s="457">
        <f>+FY14RevToColl!F63-FY14ProjRevToColl!F63</f>
        <v>0</v>
      </c>
      <c r="G63" s="457">
        <f>+FY14RevToColl!G63-FY14ProjRevToColl!G63</f>
        <v>244.74578101829684</v>
      </c>
      <c r="H63" s="457">
        <f>+FY14RevToColl!H63-FY14ProjRevToColl!H63</f>
        <v>-2711.3499144653997</v>
      </c>
      <c r="I63" s="457">
        <f>+FY14RevToColl!I63-FY14ProjRevToColl!I63</f>
        <v>0</v>
      </c>
      <c r="J63" s="457">
        <f>+FY14RevToColl!J63-FY14ProjRevToColl!J63</f>
        <v>0</v>
      </c>
      <c r="K63" s="457">
        <f>+FY14RevToColl!K63-FY14ProjRevToColl!K63</f>
        <v>-17002.336829847292</v>
      </c>
      <c r="L63" s="457">
        <f>+FY14RevToColl!L63-FY14ProjRevToColl!L63</f>
        <v>0</v>
      </c>
      <c r="M63" s="457">
        <f>+FY14RevToColl!M63-FY14ProjRevToColl!M63</f>
        <v>0</v>
      </c>
      <c r="N63" s="457">
        <f>+FY14RevToColl!N63-FY14ProjRevToColl!N63</f>
        <v>-2315.9274001832982</v>
      </c>
      <c r="O63" s="457">
        <f>+FY14RevToColl!O63-FY14ProjRevToColl!O63</f>
        <v>0</v>
      </c>
      <c r="P63" s="457">
        <f>+FY14RevToColl!P63-FY14ProjRevToColl!P63</f>
        <v>0</v>
      </c>
      <c r="Q63" s="457">
        <f>+FY14RevToColl!Q63-FY14ProjRevToColl!Q63</f>
        <v>-2315.9274001832982</v>
      </c>
      <c r="R63" s="457">
        <f>+FY14RevToColl!R63-FY14ProjRevToColl!R63</f>
        <v>0</v>
      </c>
      <c r="S63" s="457">
        <f>+FY14RevToColl!S63-FY14ProjRevToColl!S63</f>
        <v>-37790.055407631153</v>
      </c>
      <c r="T63" s="457">
        <f t="shared" si="6"/>
        <v>630417.21243412909</v>
      </c>
    </row>
    <row r="64" spans="1:20" s="18" customFormat="1" ht="20.100000000000001" customHeight="1">
      <c r="A64" s="404" t="s">
        <v>147</v>
      </c>
      <c r="B64" s="440" t="s">
        <v>208</v>
      </c>
      <c r="C64" s="410">
        <f>+FY14RevToColl!C64-FY14ProjRevToColl!C64</f>
        <v>0</v>
      </c>
      <c r="D64" s="410">
        <f>+FY14RevToColl!D64-FY14ProjRevToColl!D64</f>
        <v>0</v>
      </c>
      <c r="E64" s="410">
        <f>+FY14RevToColl!E64-FY14ProjRevToColl!E64</f>
        <v>0</v>
      </c>
      <c r="F64" s="410">
        <f>+FY14RevToColl!F64-FY14ProjRevToColl!F64</f>
        <v>0</v>
      </c>
      <c r="G64" s="410">
        <f>+FY14RevToColl!G64-FY14ProjRevToColl!G64</f>
        <v>122818.8728586724</v>
      </c>
      <c r="H64" s="410">
        <f>+FY14RevToColl!H64-FY14ProjRevToColl!H64</f>
        <v>0</v>
      </c>
      <c r="I64" s="410">
        <f>+FY14RevToColl!I64-FY14ProjRevToColl!I64</f>
        <v>0</v>
      </c>
      <c r="J64" s="410">
        <f>+FY14RevToColl!J64-FY14ProjRevToColl!J64</f>
        <v>0</v>
      </c>
      <c r="K64" s="410">
        <f>+FY14RevToColl!K64-FY14ProjRevToColl!K64</f>
        <v>0</v>
      </c>
      <c r="L64" s="410">
        <f>+FY14RevToColl!L64-FY14ProjRevToColl!L64</f>
        <v>0</v>
      </c>
      <c r="M64" s="410">
        <f>+FY14RevToColl!M64-FY14ProjRevToColl!M64</f>
        <v>0</v>
      </c>
      <c r="N64" s="410">
        <f>+FY14RevToColl!N64-FY14ProjRevToColl!N64</f>
        <v>0</v>
      </c>
      <c r="O64" s="410">
        <f>+FY14RevToColl!O64-FY14ProjRevToColl!O64</f>
        <v>0</v>
      </c>
      <c r="P64" s="410">
        <f>+FY14RevToColl!P64-FY14ProjRevToColl!P64</f>
        <v>0</v>
      </c>
      <c r="Q64" s="410">
        <f>+FY14RevToColl!Q64-FY14ProjRevToColl!Q64</f>
        <v>0</v>
      </c>
      <c r="R64" s="410">
        <f>+FY14RevToColl!R64-FY14ProjRevToColl!R64</f>
        <v>0</v>
      </c>
      <c r="S64" s="410">
        <f>+FY14RevToColl!S64-FY14ProjRevToColl!S64</f>
        <v>0</v>
      </c>
      <c r="T64" s="410">
        <f t="shared" si="6"/>
        <v>122818.8728586724</v>
      </c>
    </row>
    <row r="65" spans="1:20" ht="20.100000000000001" customHeight="1">
      <c r="A65" s="404" t="s">
        <v>148</v>
      </c>
      <c r="B65" s="456" t="s">
        <v>39</v>
      </c>
      <c r="C65" s="457">
        <f>+FY14RevToColl!C65-FY14ProjRevToColl!C65</f>
        <v>1858.8816627544438</v>
      </c>
      <c r="D65" s="457">
        <f>+FY14RevToColl!D65-FY14ProjRevToColl!D65</f>
        <v>-95126.377749876759</v>
      </c>
      <c r="E65" s="457">
        <f>+FY14RevToColl!E65-FY14ProjRevToColl!E65</f>
        <v>0</v>
      </c>
      <c r="F65" s="457">
        <f>+FY14RevToColl!F65-FY14ProjRevToColl!F65</f>
        <v>-2601.2042016448904</v>
      </c>
      <c r="G65" s="457">
        <f>+FY14RevToColl!G65-FY14ProjRevToColl!G65</f>
        <v>0</v>
      </c>
      <c r="H65" s="457">
        <f>+FY14RevToColl!H65-FY14ProjRevToColl!H65</f>
        <v>-26753.393403067239</v>
      </c>
      <c r="I65" s="457">
        <f>+FY14RevToColl!I65-FY14ProjRevToColl!I65</f>
        <v>371.97056300530312</v>
      </c>
      <c r="J65" s="457">
        <f>+FY14RevToColl!J65-FY14ProjRevToColl!J65</f>
        <v>0</v>
      </c>
      <c r="K65" s="457">
        <f>+FY14RevToColl!K65-FY14ProjRevToColl!K65</f>
        <v>97861.848443021066</v>
      </c>
      <c r="L65" s="457">
        <f>+FY14RevToColl!L65-FY14ProjRevToColl!L65</f>
        <v>15979.195772874646</v>
      </c>
      <c r="M65" s="457">
        <f>+FY14RevToColl!M65-FY14ProjRevToColl!M65</f>
        <v>0</v>
      </c>
      <c r="N65" s="457">
        <f>+FY14RevToColl!N65-FY14ProjRevToColl!N65</f>
        <v>3344.4978928074388</v>
      </c>
      <c r="O65" s="457">
        <f>+FY14RevToColl!O65-FY14ProjRevToColl!O65</f>
        <v>0</v>
      </c>
      <c r="P65" s="457">
        <f>+FY14RevToColl!P65-FY14ProjRevToColl!P65</f>
        <v>0</v>
      </c>
      <c r="Q65" s="457">
        <f>+FY14RevToColl!Q65-FY14ProjRevToColl!Q65</f>
        <v>13378.639006077821</v>
      </c>
      <c r="R65" s="457">
        <f>+FY14RevToColl!R65-FY14ProjRevToColl!R65</f>
        <v>0</v>
      </c>
      <c r="S65" s="457">
        <f>+FY14RevToColl!S65-FY14ProjRevToColl!S65</f>
        <v>2972.8510472261646</v>
      </c>
      <c r="T65" s="457">
        <f t="shared" si="6"/>
        <v>11286.909033178004</v>
      </c>
    </row>
    <row r="66" spans="1:20" s="18" customFormat="1" ht="20.100000000000001" customHeight="1">
      <c r="A66" s="404" t="s">
        <v>149</v>
      </c>
      <c r="B66" s="440" t="s">
        <v>38</v>
      </c>
      <c r="C66" s="410">
        <f>+FY14RevToColl!C66-FY14ProjRevToColl!C66</f>
        <v>0</v>
      </c>
      <c r="D66" s="410">
        <f>+FY14RevToColl!D66-FY14ProjRevToColl!D66</f>
        <v>-11802.712556133538</v>
      </c>
      <c r="E66" s="410">
        <f>+FY14RevToColl!E66-FY14ProjRevToColl!E66</f>
        <v>439917.00986730214</v>
      </c>
      <c r="F66" s="410">
        <f>+FY14RevToColl!F66-FY14ProjRevToColl!F66</f>
        <v>0</v>
      </c>
      <c r="G66" s="410">
        <f>+FY14RevToColl!G66-FY14ProjRevToColl!G66</f>
        <v>0</v>
      </c>
      <c r="H66" s="410">
        <f>+FY14RevToColl!H66-FY14ProjRevToColl!H66</f>
        <v>5581.3754642471049</v>
      </c>
      <c r="I66" s="410">
        <f>+FY14RevToColl!I66-FY14ProjRevToColl!I66</f>
        <v>0</v>
      </c>
      <c r="J66" s="410">
        <f>+FY14RevToColl!J66-FY14ProjRevToColl!J66</f>
        <v>-21825.137214641338</v>
      </c>
      <c r="K66" s="410">
        <f>+FY14RevToColl!K66-FY14ProjRevToColl!K66</f>
        <v>-39969.44274834625</v>
      </c>
      <c r="L66" s="410">
        <f>+FY14RevToColl!L66-FY14ProjRevToColl!L66</f>
        <v>0</v>
      </c>
      <c r="M66" s="410">
        <f>+FY14RevToColl!M66-FY14ProjRevToColl!M66</f>
        <v>0</v>
      </c>
      <c r="N66" s="410">
        <f>+FY14RevToColl!N66-FY14ProjRevToColl!N66</f>
        <v>0</v>
      </c>
      <c r="O66" s="410">
        <f>+FY14RevToColl!O66-FY14ProjRevToColl!O66</f>
        <v>0</v>
      </c>
      <c r="P66" s="410">
        <f>+FY14RevToColl!P66-FY14ProjRevToColl!P66</f>
        <v>0</v>
      </c>
      <c r="Q66" s="410">
        <f>+FY14RevToColl!Q66-FY14ProjRevToColl!Q66</f>
        <v>-13323.147582782085</v>
      </c>
      <c r="R66" s="410">
        <f>+FY14RevToColl!R66-FY14ProjRevToColl!R66</f>
        <v>0</v>
      </c>
      <c r="S66" s="410">
        <f>+FY14RevToColl!S66-FY14ProjRevToColl!S66</f>
        <v>25246.116024600567</v>
      </c>
      <c r="T66" s="410">
        <f t="shared" si="6"/>
        <v>383824.06125424668</v>
      </c>
    </row>
    <row r="67" spans="1:20" ht="20.100000000000001" customHeight="1">
      <c r="A67" s="404" t="s">
        <v>150</v>
      </c>
      <c r="B67" s="456" t="s">
        <v>31</v>
      </c>
      <c r="C67" s="457">
        <f>+FY14RevToColl!C67-FY14ProjRevToColl!C67</f>
        <v>-15224.228982938517</v>
      </c>
      <c r="D67" s="457">
        <f>+FY14RevToColl!D67-FY14ProjRevToColl!D67</f>
        <v>-20140.601400285457</v>
      </c>
      <c r="E67" s="457">
        <f>+FY14RevToColl!E67-FY14ProjRevToColl!E67</f>
        <v>-4726.3277249878593</v>
      </c>
      <c r="F67" s="457">
        <f>+FY14RevToColl!F67-FY14ProjRevToColl!F67</f>
        <v>0</v>
      </c>
      <c r="G67" s="457">
        <f>+FY14RevToColl!G67-FY14ProjRevToColl!G67</f>
        <v>126.69646157271927</v>
      </c>
      <c r="H67" s="457">
        <f>+FY14RevToColl!H67-FY14ProjRevToColl!H67</f>
        <v>63.348230786359636</v>
      </c>
      <c r="I67" s="457">
        <f>+FY14RevToColl!I67-FY14ProjRevToColl!I67</f>
        <v>95.022346179539454</v>
      </c>
      <c r="J67" s="457">
        <f>+FY14RevToColl!J67-FY14ProjRevToColl!J67</f>
        <v>-213303.07342136092</v>
      </c>
      <c r="K67" s="457">
        <f>+FY14RevToColl!K67-FY14ProjRevToColl!K67</f>
        <v>5264.7876866719162</v>
      </c>
      <c r="L67" s="457">
        <f>+FY14RevToColl!L67-FY14ProjRevToColl!L67</f>
        <v>0</v>
      </c>
      <c r="M67" s="457">
        <f>+FY14RevToColl!M67-FY14ProjRevToColl!M67</f>
        <v>0</v>
      </c>
      <c r="N67" s="457">
        <f>+FY14RevToColl!N67-FY14ProjRevToColl!N67</f>
        <v>-15224.228982938517</v>
      </c>
      <c r="O67" s="457">
        <f>+FY14RevToColl!O67-FY14ProjRevToColl!O67</f>
        <v>0</v>
      </c>
      <c r="P67" s="457">
        <f>+FY14RevToColl!P67-FY14ProjRevToColl!P67</f>
        <v>0</v>
      </c>
      <c r="Q67" s="457">
        <f>+FY14RevToColl!Q67-FY14ProjRevToColl!Q67</f>
        <v>-30448.457965877034</v>
      </c>
      <c r="R67" s="457">
        <f>+FY14RevToColl!R67-FY14ProjRevToColl!R67</f>
        <v>0</v>
      </c>
      <c r="S67" s="457">
        <f>+FY14RevToColl!S67-FY14ProjRevToColl!S67</f>
        <v>0</v>
      </c>
      <c r="T67" s="457">
        <f t="shared" si="6"/>
        <v>-293517.06375317776</v>
      </c>
    </row>
    <row r="68" spans="1:20" s="18" customFormat="1" ht="20.100000000000001" customHeight="1">
      <c r="A68" s="404" t="s">
        <v>151</v>
      </c>
      <c r="B68" s="440" t="s">
        <v>209</v>
      </c>
      <c r="C68" s="410">
        <f>+FY14RevToColl!C68-FY14ProjRevToColl!C68</f>
        <v>0</v>
      </c>
      <c r="D68" s="410">
        <f>+FY14RevToColl!D68-FY14ProjRevToColl!D68</f>
        <v>-16579.144151677719</v>
      </c>
      <c r="E68" s="410">
        <f>+FY14RevToColl!E68-FY14ProjRevToColl!E68</f>
        <v>0</v>
      </c>
      <c r="F68" s="410">
        <f>+FY14RevToColl!F68-FY14ProjRevToColl!F68</f>
        <v>0</v>
      </c>
      <c r="G68" s="410">
        <f>+FY14RevToColl!G68-FY14ProjRevToColl!G68</f>
        <v>0</v>
      </c>
      <c r="H68" s="410">
        <f>+FY14RevToColl!H68-FY14ProjRevToColl!H68</f>
        <v>0</v>
      </c>
      <c r="I68" s="410">
        <f>+FY14RevToColl!I68-FY14ProjRevToColl!I68</f>
        <v>0</v>
      </c>
      <c r="J68" s="410">
        <f>+FY14RevToColl!J68-FY14ProjRevToColl!J68</f>
        <v>200081.63525474153</v>
      </c>
      <c r="K68" s="410">
        <f>+FY14RevToColl!K68-FY14ProjRevToColl!K68</f>
        <v>0</v>
      </c>
      <c r="L68" s="410">
        <f>+FY14RevToColl!L68-FY14ProjRevToColl!L68</f>
        <v>0</v>
      </c>
      <c r="M68" s="410">
        <f>+FY14RevToColl!M68-FY14ProjRevToColl!M68</f>
        <v>0</v>
      </c>
      <c r="N68" s="410">
        <f>+FY14RevToColl!N68-FY14ProjRevToColl!N68</f>
        <v>0</v>
      </c>
      <c r="O68" s="410">
        <f>+FY14RevToColl!O68-FY14ProjRevToColl!O68</f>
        <v>0</v>
      </c>
      <c r="P68" s="410">
        <f>+FY14RevToColl!P68-FY14ProjRevToColl!P68</f>
        <v>0</v>
      </c>
      <c r="Q68" s="410">
        <f>+FY14RevToColl!Q68-FY14ProjRevToColl!Q68</f>
        <v>0</v>
      </c>
      <c r="R68" s="410">
        <f>+FY14RevToColl!R68-FY14ProjRevToColl!R68</f>
        <v>0</v>
      </c>
      <c r="S68" s="410">
        <f>+FY14RevToColl!S68-FY14ProjRevToColl!S68</f>
        <v>0</v>
      </c>
      <c r="T68" s="410">
        <f t="shared" si="6"/>
        <v>183502.4911030638</v>
      </c>
    </row>
    <row r="69" spans="1:20" ht="20.100000000000001" customHeight="1">
      <c r="A69" s="404" t="s">
        <v>153</v>
      </c>
      <c r="B69" s="456" t="s">
        <v>100</v>
      </c>
      <c r="C69" s="457">
        <f>+FY14RevToColl!C69-FY14ProjRevToColl!C69</f>
        <v>0</v>
      </c>
      <c r="D69" s="457">
        <f>+FY14RevToColl!D69-FY14ProjRevToColl!D69</f>
        <v>-6232.2172793678828</v>
      </c>
      <c r="E69" s="457">
        <f>+FY14RevToColl!E69-FY14ProjRevToColl!E69</f>
        <v>0</v>
      </c>
      <c r="F69" s="457">
        <f>+FY14RevToColl!F69-FY14ProjRevToColl!F69</f>
        <v>0</v>
      </c>
      <c r="G69" s="457">
        <f>+FY14RevToColl!G69-FY14ProjRevToColl!G69</f>
        <v>0</v>
      </c>
      <c r="H69" s="457">
        <f>+FY14RevToColl!H69-FY14ProjRevToColl!H69</f>
        <v>0</v>
      </c>
      <c r="I69" s="457">
        <f>+FY14RevToColl!I69-FY14ProjRevToColl!I69</f>
        <v>0</v>
      </c>
      <c r="J69" s="457">
        <f>+FY14RevToColl!J69-FY14ProjRevToColl!J69</f>
        <v>0</v>
      </c>
      <c r="K69" s="457">
        <f>+FY14RevToColl!K69-FY14ProjRevToColl!K69</f>
        <v>-6232.2172793678828</v>
      </c>
      <c r="L69" s="457">
        <f>+FY14RevToColl!L69-FY14ProjRevToColl!L69</f>
        <v>0</v>
      </c>
      <c r="M69" s="457">
        <f>+FY14RevToColl!M69-FY14ProjRevToColl!M69</f>
        <v>0</v>
      </c>
      <c r="N69" s="457">
        <f>+FY14RevToColl!N69-FY14ProjRevToColl!N69</f>
        <v>-9348.3259190518238</v>
      </c>
      <c r="O69" s="457">
        <f>+FY14RevToColl!O69-FY14ProjRevToColl!O69</f>
        <v>-65549.31681768538</v>
      </c>
      <c r="P69" s="457">
        <f>+FY14RevToColl!P69-FY14ProjRevToColl!P69</f>
        <v>0</v>
      </c>
      <c r="Q69" s="457">
        <f>+FY14RevToColl!Q69-FY14ProjRevToColl!Q69</f>
        <v>-14352.271307391387</v>
      </c>
      <c r="R69" s="457">
        <f>+FY14RevToColl!R69-FY14ProjRevToColl!R69</f>
        <v>0</v>
      </c>
      <c r="S69" s="457">
        <f>+FY14RevToColl!S69-FY14ProjRevToColl!S69</f>
        <v>0</v>
      </c>
      <c r="T69" s="457">
        <f t="shared" si="6"/>
        <v>-101714.34860286435</v>
      </c>
    </row>
    <row r="70" spans="1:20" s="18" customFormat="1" ht="20.100000000000001" customHeight="1">
      <c r="A70" s="404" t="s">
        <v>155</v>
      </c>
      <c r="B70" s="440" t="s">
        <v>42</v>
      </c>
      <c r="C70" s="410">
        <f>+FY14RevToColl!C70-FY14ProjRevToColl!C70</f>
        <v>0</v>
      </c>
      <c r="D70" s="410">
        <f>+FY14RevToColl!D70-FY14ProjRevToColl!D70</f>
        <v>0</v>
      </c>
      <c r="E70" s="410">
        <f>+FY14RevToColl!E70-FY14ProjRevToColl!E70</f>
        <v>0</v>
      </c>
      <c r="F70" s="410">
        <f>+FY14RevToColl!F70-FY14ProjRevToColl!F70</f>
        <v>0</v>
      </c>
      <c r="G70" s="410">
        <f>+FY14RevToColl!G70-FY14ProjRevToColl!G70</f>
        <v>0</v>
      </c>
      <c r="H70" s="410">
        <f>+FY14RevToColl!H70-FY14ProjRevToColl!H70</f>
        <v>0</v>
      </c>
      <c r="I70" s="410">
        <f>+FY14RevToColl!I70-FY14ProjRevToColl!I70</f>
        <v>0</v>
      </c>
      <c r="J70" s="410">
        <f>+FY14RevToColl!J70-FY14ProjRevToColl!J70</f>
        <v>0</v>
      </c>
      <c r="K70" s="410">
        <f>+FY14RevToColl!K70-FY14ProjRevToColl!K70</f>
        <v>0</v>
      </c>
      <c r="L70" s="410">
        <f>+FY14RevToColl!L70-FY14ProjRevToColl!L70</f>
        <v>0</v>
      </c>
      <c r="M70" s="410">
        <f>+FY14RevToColl!M70-FY14ProjRevToColl!M70</f>
        <v>0</v>
      </c>
      <c r="N70" s="410">
        <f>+FY14RevToColl!N70-FY14ProjRevToColl!N70</f>
        <v>0</v>
      </c>
      <c r="O70" s="410">
        <f>+FY14RevToColl!O70-FY14ProjRevToColl!O70</f>
        <v>0</v>
      </c>
      <c r="P70" s="410">
        <f>+FY14RevToColl!P70-FY14ProjRevToColl!P70</f>
        <v>483876.24979683198</v>
      </c>
      <c r="Q70" s="410">
        <f>+FY14RevToColl!Q70-FY14ProjRevToColl!Q70</f>
        <v>0</v>
      </c>
      <c r="R70" s="410">
        <f>+FY14RevToColl!R70-FY14ProjRevToColl!R70</f>
        <v>0</v>
      </c>
      <c r="S70" s="410">
        <f>+FY14RevToColl!S70-FY14ProjRevToColl!S70</f>
        <v>0</v>
      </c>
      <c r="T70" s="410">
        <f t="shared" si="6"/>
        <v>483876.24979683198</v>
      </c>
    </row>
    <row r="71" spans="1:20" ht="20.100000000000001" customHeight="1">
      <c r="A71" s="404" t="s">
        <v>162</v>
      </c>
      <c r="B71" s="456" t="s">
        <v>76</v>
      </c>
      <c r="C71" s="457">
        <f>+FY14RevToColl!C71-FY14ProjRevToColl!C71</f>
        <v>0</v>
      </c>
      <c r="D71" s="457">
        <f>+FY14RevToColl!D71-FY14ProjRevToColl!D71</f>
        <v>0</v>
      </c>
      <c r="E71" s="457">
        <f>+FY14RevToColl!E71-FY14ProjRevToColl!E71</f>
        <v>0</v>
      </c>
      <c r="F71" s="457">
        <f>+FY14RevToColl!F71-FY14ProjRevToColl!F71</f>
        <v>0</v>
      </c>
      <c r="G71" s="457">
        <f>+FY14RevToColl!G71-FY14ProjRevToColl!G71</f>
        <v>25939.910856284983</v>
      </c>
      <c r="H71" s="457">
        <f>+FY14RevToColl!H71-FY14ProjRevToColl!H71</f>
        <v>0</v>
      </c>
      <c r="I71" s="457">
        <f>+FY14RevToColl!I71-FY14ProjRevToColl!I71</f>
        <v>0</v>
      </c>
      <c r="J71" s="457">
        <f>+FY14RevToColl!J71-FY14ProjRevToColl!J71</f>
        <v>0</v>
      </c>
      <c r="K71" s="457">
        <f>+FY14RevToColl!K71-FY14ProjRevToColl!K71</f>
        <v>0</v>
      </c>
      <c r="L71" s="457">
        <f>+FY14RevToColl!L71-FY14ProjRevToColl!L71</f>
        <v>0</v>
      </c>
      <c r="M71" s="457">
        <f>+FY14RevToColl!M71-FY14ProjRevToColl!M71</f>
        <v>0</v>
      </c>
      <c r="N71" s="457">
        <f>+FY14RevToColl!N71-FY14ProjRevToColl!N71</f>
        <v>-309524.02990079485</v>
      </c>
      <c r="O71" s="457">
        <f>+FY14RevToColl!O71-FY14ProjRevToColl!O71</f>
        <v>0</v>
      </c>
      <c r="P71" s="457">
        <f>+FY14RevToColl!P71-FY14ProjRevToColl!P71</f>
        <v>0</v>
      </c>
      <c r="Q71" s="457">
        <f>+FY14RevToColl!Q71-FY14ProjRevToColl!Q71</f>
        <v>39684.946589047438</v>
      </c>
      <c r="R71" s="457">
        <f>+FY14RevToColl!R71-FY14ProjRevToColl!R71</f>
        <v>0</v>
      </c>
      <c r="S71" s="457">
        <f>+FY14RevToColl!S71-FY14ProjRevToColl!S71</f>
        <v>-50717.201255640015</v>
      </c>
      <c r="T71" s="457">
        <f t="shared" si="6"/>
        <v>-294616.37371110247</v>
      </c>
    </row>
    <row r="72" spans="1:20" s="18" customFormat="1" ht="20.100000000000001" customHeight="1">
      <c r="A72" s="404" t="s">
        <v>156</v>
      </c>
      <c r="B72" s="440" t="s">
        <v>77</v>
      </c>
      <c r="C72" s="410">
        <f>+FY14RevToColl!C72-FY14ProjRevToColl!C72</f>
        <v>0</v>
      </c>
      <c r="D72" s="410">
        <f>+FY14RevToColl!D72-FY14ProjRevToColl!D72</f>
        <v>0</v>
      </c>
      <c r="E72" s="410">
        <f>+FY14RevToColl!E72-FY14ProjRevToColl!E72</f>
        <v>0</v>
      </c>
      <c r="F72" s="410">
        <f>+FY14RevToColl!F72-FY14ProjRevToColl!F72</f>
        <v>0</v>
      </c>
      <c r="G72" s="410">
        <f>+FY14RevToColl!G72-FY14ProjRevToColl!G72</f>
        <v>0</v>
      </c>
      <c r="H72" s="410">
        <f>+FY14RevToColl!H72-FY14ProjRevToColl!H72</f>
        <v>0</v>
      </c>
      <c r="I72" s="410">
        <f>+FY14RevToColl!I72-FY14ProjRevToColl!I72</f>
        <v>0</v>
      </c>
      <c r="J72" s="410">
        <f>+FY14RevToColl!J72-FY14ProjRevToColl!J72</f>
        <v>0</v>
      </c>
      <c r="K72" s="410">
        <f>+FY14RevToColl!K72-FY14ProjRevToColl!K72</f>
        <v>0</v>
      </c>
      <c r="L72" s="410">
        <f>+FY14RevToColl!L72-FY14ProjRevToColl!L72</f>
        <v>0</v>
      </c>
      <c r="M72" s="410">
        <f>+FY14RevToColl!M72-FY14ProjRevToColl!M72</f>
        <v>68396.352964543737</v>
      </c>
      <c r="N72" s="410">
        <f>+FY14RevToColl!N72-FY14ProjRevToColl!N72</f>
        <v>0</v>
      </c>
      <c r="O72" s="410">
        <f>+FY14RevToColl!O72-FY14ProjRevToColl!O72</f>
        <v>0</v>
      </c>
      <c r="P72" s="410">
        <f>+FY14RevToColl!P72-FY14ProjRevToColl!P72</f>
        <v>0</v>
      </c>
      <c r="Q72" s="410">
        <f>+FY14RevToColl!Q72-FY14ProjRevToColl!Q72</f>
        <v>0</v>
      </c>
      <c r="R72" s="410">
        <f>+FY14RevToColl!R72-FY14ProjRevToColl!R72</f>
        <v>0</v>
      </c>
      <c r="S72" s="410">
        <f>+FY14RevToColl!S72-FY14ProjRevToColl!S72</f>
        <v>0</v>
      </c>
      <c r="T72" s="410">
        <f t="shared" si="6"/>
        <v>68396.352964543737</v>
      </c>
    </row>
    <row r="73" spans="1:20" ht="20.100000000000001" customHeight="1">
      <c r="A73" s="406" t="s">
        <v>163</v>
      </c>
      <c r="B73" s="458" t="s">
        <v>164</v>
      </c>
      <c r="C73" s="457">
        <f>+FY14RevToColl!C73-FY14ProjRevToColl!C73</f>
        <v>0</v>
      </c>
      <c r="D73" s="457">
        <f>+FY14RevToColl!D73-FY14ProjRevToColl!D73</f>
        <v>0</v>
      </c>
      <c r="E73" s="457">
        <f>+FY14RevToColl!E73-FY14ProjRevToColl!E73</f>
        <v>0</v>
      </c>
      <c r="F73" s="457">
        <f>+FY14RevToColl!F73-FY14ProjRevToColl!F73</f>
        <v>0</v>
      </c>
      <c r="G73" s="457">
        <f>+FY14RevToColl!G73-FY14ProjRevToColl!G73</f>
        <v>0</v>
      </c>
      <c r="H73" s="457">
        <f>+FY14RevToColl!H73-FY14ProjRevToColl!H73</f>
        <v>0</v>
      </c>
      <c r="I73" s="457">
        <f>+FY14RevToColl!I73-FY14ProjRevToColl!I73</f>
        <v>0</v>
      </c>
      <c r="J73" s="457">
        <f>+FY14RevToColl!J73-FY14ProjRevToColl!J73</f>
        <v>0</v>
      </c>
      <c r="K73" s="457">
        <f>+FY14RevToColl!K73-FY14ProjRevToColl!K73</f>
        <v>0</v>
      </c>
      <c r="L73" s="457">
        <f>+FY14RevToColl!L73-FY14ProjRevToColl!L73</f>
        <v>0</v>
      </c>
      <c r="M73" s="457">
        <f>+FY14RevToColl!M73-FY14ProjRevToColl!M73</f>
        <v>50597.118961558212</v>
      </c>
      <c r="N73" s="457">
        <f>+FY14RevToColl!N73-FY14ProjRevToColl!N73</f>
        <v>0</v>
      </c>
      <c r="O73" s="457">
        <f>+FY14RevToColl!O73-FY14ProjRevToColl!O73</f>
        <v>0</v>
      </c>
      <c r="P73" s="457">
        <f>+FY14RevToColl!P73-FY14ProjRevToColl!P73</f>
        <v>0</v>
      </c>
      <c r="Q73" s="457">
        <f>+FY14RevToColl!Q73-FY14ProjRevToColl!Q73</f>
        <v>0</v>
      </c>
      <c r="R73" s="457">
        <f>+FY14RevToColl!R73-FY14ProjRevToColl!R73</f>
        <v>0</v>
      </c>
      <c r="S73" s="457">
        <f>+FY14RevToColl!S73-FY14ProjRevToColl!S73</f>
        <v>0</v>
      </c>
      <c r="T73" s="457">
        <f t="shared" si="6"/>
        <v>50597.118961558212</v>
      </c>
    </row>
    <row r="74" spans="1:20" ht="20.100000000000001" customHeight="1">
      <c r="B74" s="459" t="s">
        <v>17</v>
      </c>
      <c r="C74" s="460">
        <f t="shared" ref="C74:S74" si="7">SUM(C53:C73)</f>
        <v>800756.03354399977</v>
      </c>
      <c r="D74" s="460">
        <f t="shared" si="7"/>
        <v>3511015.5865968447</v>
      </c>
      <c r="E74" s="460">
        <f t="shared" si="7"/>
        <v>-52535.027956827413</v>
      </c>
      <c r="F74" s="460">
        <f t="shared" si="7"/>
        <v>356789.39591843891</v>
      </c>
      <c r="G74" s="460">
        <f t="shared" si="7"/>
        <v>1121153.1762580711</v>
      </c>
      <c r="H74" s="460">
        <f t="shared" si="7"/>
        <v>145810.69967915665</v>
      </c>
      <c r="I74" s="460">
        <f t="shared" si="7"/>
        <v>374136.61158854456</v>
      </c>
      <c r="J74" s="460">
        <f t="shared" si="7"/>
        <v>-22859.077918381605</v>
      </c>
      <c r="K74" s="460">
        <f t="shared" si="7"/>
        <v>-42015.147942241332</v>
      </c>
      <c r="L74" s="460">
        <f t="shared" si="7"/>
        <v>78504.395840021709</v>
      </c>
      <c r="M74" s="460">
        <f t="shared" si="7"/>
        <v>114298.71378472692</v>
      </c>
      <c r="N74" s="460">
        <f t="shared" si="7"/>
        <v>-360970.75835695595</v>
      </c>
      <c r="O74" s="460">
        <f t="shared" si="7"/>
        <v>-48399.482187649439</v>
      </c>
      <c r="P74" s="460">
        <f t="shared" si="7"/>
        <v>488229.71588135732</v>
      </c>
      <c r="Q74" s="460">
        <f t="shared" si="7"/>
        <v>-824657.17750558641</v>
      </c>
      <c r="R74" s="460">
        <f t="shared" si="7"/>
        <v>-345296.04664899281</v>
      </c>
      <c r="S74" s="460">
        <f t="shared" si="7"/>
        <v>-159192.54129192434</v>
      </c>
      <c r="T74" s="460">
        <f>SUM(T53:T73)</f>
        <v>5134769.0692826044</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showGridLines="0" workbookViewId="0">
      <pane xSplit="1" ySplit="3" topLeftCell="B4" activePane="bottomRight" state="frozen"/>
      <selection pane="topRight" activeCell="B1" sqref="B1"/>
      <selection pane="bottomLeft" activeCell="A3" sqref="A3"/>
      <selection pane="bottomRight" activeCell="B4" sqref="B4:T4"/>
    </sheetView>
  </sheetViews>
  <sheetFormatPr defaultColWidth="8.85546875" defaultRowHeight="15.95" customHeight="1"/>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1" width="12.7109375" style="32" customWidth="1"/>
    <col min="22" max="16384" width="8.85546875" style="32"/>
  </cols>
  <sheetData>
    <row r="1" spans="1:20" ht="15.95" customHeight="1">
      <c r="B1" s="639" t="s">
        <v>217</v>
      </c>
      <c r="C1" s="639"/>
      <c r="D1" s="639"/>
      <c r="E1" s="639"/>
      <c r="F1" s="639"/>
    </row>
    <row r="2" spans="1:20" ht="60"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0" ht="24.75" customHeight="1">
      <c r="A4" s="400"/>
      <c r="B4" s="631" t="s">
        <v>111</v>
      </c>
      <c r="C4" s="631"/>
      <c r="D4" s="631"/>
      <c r="E4" s="631"/>
      <c r="F4" s="631"/>
      <c r="G4" s="631"/>
      <c r="H4" s="631"/>
      <c r="I4" s="631"/>
      <c r="J4" s="631"/>
      <c r="K4" s="631"/>
      <c r="L4" s="631"/>
      <c r="M4" s="631"/>
      <c r="N4" s="631"/>
      <c r="O4" s="631"/>
      <c r="P4" s="631"/>
      <c r="Q4" s="631"/>
      <c r="R4" s="631"/>
      <c r="S4" s="631"/>
      <c r="T4" s="631"/>
    </row>
    <row r="5" spans="1:20" ht="20.100000000000001" customHeight="1">
      <c r="A5" s="411" t="s">
        <v>128</v>
      </c>
      <c r="B5" s="412" t="s">
        <v>21</v>
      </c>
      <c r="C5" s="413">
        <f t="shared" ref="C5:S5" si="0">+C29+C53</f>
        <v>4661341.352252705</v>
      </c>
      <c r="D5" s="413">
        <f t="shared" si="0"/>
        <v>172124714.68416274</v>
      </c>
      <c r="E5" s="413">
        <f t="shared" si="0"/>
        <v>19533246.689534754</v>
      </c>
      <c r="F5" s="413">
        <f t="shared" si="0"/>
        <v>3036784.9660967989</v>
      </c>
      <c r="G5" s="413">
        <f t="shared" si="0"/>
        <v>23528658.985660955</v>
      </c>
      <c r="H5" s="413">
        <f t="shared" si="0"/>
        <v>12366763.058250042</v>
      </c>
      <c r="I5" s="413">
        <f t="shared" si="0"/>
        <v>3052083.1513512135</v>
      </c>
      <c r="J5" s="413">
        <f t="shared" si="0"/>
        <v>20029.57312653488</v>
      </c>
      <c r="K5" s="413">
        <f t="shared" si="0"/>
        <v>14306.837947524913</v>
      </c>
      <c r="L5" s="413">
        <f t="shared" si="0"/>
        <v>993422.93324680638</v>
      </c>
      <c r="M5" s="413">
        <f t="shared" si="0"/>
        <v>11835.656847497883</v>
      </c>
      <c r="N5" s="413">
        <f t="shared" si="0"/>
        <v>5823944.7224608213</v>
      </c>
      <c r="O5" s="413">
        <f t="shared" si="0"/>
        <v>2787925.9541058969</v>
      </c>
      <c r="P5" s="413">
        <f t="shared" si="0"/>
        <v>54756.170690072628</v>
      </c>
      <c r="Q5" s="413">
        <f t="shared" si="0"/>
        <v>3153286.0705149295</v>
      </c>
      <c r="R5" s="413">
        <f t="shared" si="0"/>
        <v>2134830.3273236104</v>
      </c>
      <c r="S5" s="413">
        <f t="shared" si="0"/>
        <v>850797.48384301853</v>
      </c>
      <c r="T5" s="413">
        <f t="shared" ref="T5:T26" si="1">SUM(C5:S5)</f>
        <v>254148728.61741588</v>
      </c>
    </row>
    <row r="6" spans="1:20" ht="20.100000000000001" customHeight="1">
      <c r="A6" s="401" t="s">
        <v>129</v>
      </c>
      <c r="B6" s="408" t="s">
        <v>35</v>
      </c>
      <c r="C6" s="410">
        <f t="shared" ref="C6:S6" si="2">+C30+C54</f>
        <v>89316.211257836956</v>
      </c>
      <c r="D6" s="410">
        <f t="shared" si="2"/>
        <v>9368074.8373111524</v>
      </c>
      <c r="E6" s="410">
        <f t="shared" si="2"/>
        <v>325611.43206212594</v>
      </c>
      <c r="F6" s="410">
        <f t="shared" si="2"/>
        <v>8968.2913619266437</v>
      </c>
      <c r="G6" s="410">
        <f t="shared" si="2"/>
        <v>541090.77988748858</v>
      </c>
      <c r="H6" s="410">
        <f t="shared" si="2"/>
        <v>11967.42775893458</v>
      </c>
      <c r="I6" s="410">
        <f t="shared" si="2"/>
        <v>201286.17641017452</v>
      </c>
      <c r="J6" s="410">
        <f t="shared" si="2"/>
        <v>8917.0539255444401</v>
      </c>
      <c r="K6" s="410">
        <f t="shared" si="2"/>
        <v>81049.080534846289</v>
      </c>
      <c r="L6" s="410">
        <f t="shared" si="2"/>
        <v>1048.2418474979195</v>
      </c>
      <c r="M6" s="410">
        <f t="shared" si="2"/>
        <v>29.117829097164428</v>
      </c>
      <c r="N6" s="410">
        <f t="shared" si="2"/>
        <v>1889343.0391730226</v>
      </c>
      <c r="O6" s="410">
        <f t="shared" si="2"/>
        <v>4401.4576748799118</v>
      </c>
      <c r="P6" s="410">
        <f t="shared" si="2"/>
        <v>263261.87108762271</v>
      </c>
      <c r="Q6" s="410">
        <f t="shared" si="2"/>
        <v>31570.724963138364</v>
      </c>
      <c r="R6" s="410">
        <f t="shared" si="2"/>
        <v>0</v>
      </c>
      <c r="S6" s="410">
        <f t="shared" si="2"/>
        <v>1168311.3047301671</v>
      </c>
      <c r="T6" s="410">
        <f t="shared" si="1"/>
        <v>13994247.047815453</v>
      </c>
    </row>
    <row r="7" spans="1:20" ht="20.100000000000001" customHeight="1">
      <c r="A7" s="401" t="s">
        <v>140</v>
      </c>
      <c r="B7" s="414" t="s">
        <v>36</v>
      </c>
      <c r="C7" s="415">
        <f t="shared" ref="C7:S7" si="3">+C31+C55</f>
        <v>145.15058834756999</v>
      </c>
      <c r="D7" s="415">
        <f t="shared" si="3"/>
        <v>10837.91059661856</v>
      </c>
      <c r="E7" s="415">
        <f t="shared" si="3"/>
        <v>0</v>
      </c>
      <c r="F7" s="415">
        <f t="shared" si="3"/>
        <v>1112.8211773313701</v>
      </c>
      <c r="G7" s="415">
        <f t="shared" si="3"/>
        <v>0</v>
      </c>
      <c r="H7" s="415">
        <f t="shared" si="3"/>
        <v>0</v>
      </c>
      <c r="I7" s="415">
        <f t="shared" si="3"/>
        <v>580.60235339027997</v>
      </c>
      <c r="J7" s="415">
        <f t="shared" si="3"/>
        <v>145.15058834756999</v>
      </c>
      <c r="K7" s="415">
        <f t="shared" si="3"/>
        <v>193.53411779676</v>
      </c>
      <c r="L7" s="415">
        <f t="shared" si="3"/>
        <v>291089.48611939797</v>
      </c>
      <c r="M7" s="415">
        <f t="shared" si="3"/>
        <v>0</v>
      </c>
      <c r="N7" s="415">
        <f t="shared" si="3"/>
        <v>898201.85950641683</v>
      </c>
      <c r="O7" s="415">
        <f t="shared" si="3"/>
        <v>0</v>
      </c>
      <c r="P7" s="415">
        <f t="shared" si="3"/>
        <v>0</v>
      </c>
      <c r="Q7" s="415">
        <f t="shared" si="3"/>
        <v>3677.1482381384399</v>
      </c>
      <c r="R7" s="415">
        <f t="shared" si="3"/>
        <v>0</v>
      </c>
      <c r="S7" s="415">
        <f t="shared" si="3"/>
        <v>96.76705889838</v>
      </c>
      <c r="T7" s="415">
        <f t="shared" si="1"/>
        <v>1206080.430344684</v>
      </c>
    </row>
    <row r="8" spans="1:20" ht="20.100000000000001" customHeight="1">
      <c r="A8" s="401" t="s">
        <v>130</v>
      </c>
      <c r="B8" s="408" t="s">
        <v>37</v>
      </c>
      <c r="C8" s="410">
        <f t="shared" ref="C8:S8" si="4">+C32+C56</f>
        <v>7095.9790305716697</v>
      </c>
      <c r="D8" s="410">
        <f t="shared" si="4"/>
        <v>145168.78972914588</v>
      </c>
      <c r="E8" s="410">
        <f t="shared" si="4"/>
        <v>22919.869860433846</v>
      </c>
      <c r="F8" s="410">
        <f t="shared" si="4"/>
        <v>11298.963666316606</v>
      </c>
      <c r="G8" s="410">
        <f t="shared" si="4"/>
        <v>6701290.042259614</v>
      </c>
      <c r="H8" s="410">
        <f t="shared" si="4"/>
        <v>18071.226991653974</v>
      </c>
      <c r="I8" s="410">
        <f t="shared" si="4"/>
        <v>3897.942705358967</v>
      </c>
      <c r="J8" s="410">
        <f t="shared" si="4"/>
        <v>33148.527004249052</v>
      </c>
      <c r="K8" s="410">
        <f t="shared" si="4"/>
        <v>2775.1612131799056</v>
      </c>
      <c r="L8" s="410">
        <f t="shared" si="4"/>
        <v>4966.4760504266997</v>
      </c>
      <c r="M8" s="410">
        <f t="shared" si="4"/>
        <v>0</v>
      </c>
      <c r="N8" s="410">
        <f t="shared" si="4"/>
        <v>85786.767535292951</v>
      </c>
      <c r="O8" s="410">
        <f t="shared" si="4"/>
        <v>406407.53008861328</v>
      </c>
      <c r="P8" s="410">
        <f t="shared" si="4"/>
        <v>538.93511624594953</v>
      </c>
      <c r="Q8" s="410">
        <f t="shared" si="4"/>
        <v>80749.142740340234</v>
      </c>
      <c r="R8" s="410">
        <f t="shared" si="4"/>
        <v>3753.8720388733127</v>
      </c>
      <c r="S8" s="410">
        <f t="shared" si="4"/>
        <v>78413.992736735701</v>
      </c>
      <c r="T8" s="410">
        <f t="shared" si="1"/>
        <v>7606283.2187670525</v>
      </c>
    </row>
    <row r="9" spans="1:20" ht="20.100000000000001" customHeight="1">
      <c r="A9" s="416" t="s">
        <v>131</v>
      </c>
      <c r="B9" s="414" t="s">
        <v>141</v>
      </c>
      <c r="C9" s="415">
        <f t="shared" ref="C9:S9" si="5">+C33+C57</f>
        <v>496.3967742937574</v>
      </c>
      <c r="D9" s="415">
        <f t="shared" si="5"/>
        <v>63934.819508764274</v>
      </c>
      <c r="E9" s="415">
        <f t="shared" si="5"/>
        <v>330.9311828625049</v>
      </c>
      <c r="F9" s="415">
        <f t="shared" si="5"/>
        <v>1406.4575271656458</v>
      </c>
      <c r="G9" s="415">
        <f t="shared" si="5"/>
        <v>5960.8301175438901</v>
      </c>
      <c r="H9" s="415">
        <f t="shared" si="5"/>
        <v>3390077.3469605851</v>
      </c>
      <c r="I9" s="415">
        <f t="shared" si="5"/>
        <v>41.366397857813112</v>
      </c>
      <c r="J9" s="415">
        <f t="shared" si="5"/>
        <v>3272.0142567860375</v>
      </c>
      <c r="K9" s="415">
        <f t="shared" si="5"/>
        <v>12715.759446423832</v>
      </c>
      <c r="L9" s="415">
        <f t="shared" si="5"/>
        <v>0</v>
      </c>
      <c r="M9" s="415">
        <f t="shared" si="5"/>
        <v>0</v>
      </c>
      <c r="N9" s="415">
        <f t="shared" si="5"/>
        <v>1571.9231185968983</v>
      </c>
      <c r="O9" s="415">
        <f t="shared" si="5"/>
        <v>0</v>
      </c>
      <c r="P9" s="415">
        <f t="shared" si="5"/>
        <v>0</v>
      </c>
      <c r="Q9" s="415">
        <f t="shared" si="5"/>
        <v>868.69435501407543</v>
      </c>
      <c r="R9" s="415">
        <f t="shared" si="5"/>
        <v>0</v>
      </c>
      <c r="S9" s="415">
        <f t="shared" si="5"/>
        <v>8992.7836392206518</v>
      </c>
      <c r="T9" s="415">
        <f t="shared" si="1"/>
        <v>3489669.3232851145</v>
      </c>
    </row>
    <row r="10" spans="1:20" ht="20.100000000000001" customHeight="1">
      <c r="A10" s="401" t="s">
        <v>132</v>
      </c>
      <c r="B10" s="408" t="s">
        <v>206</v>
      </c>
      <c r="C10" s="410">
        <f t="shared" ref="C10:S10" si="6">+C34+C58</f>
        <v>258.62955824558509</v>
      </c>
      <c r="D10" s="410">
        <f t="shared" si="6"/>
        <v>43838.355620692178</v>
      </c>
      <c r="E10" s="410">
        <f t="shared" si="6"/>
        <v>172.41970549705673</v>
      </c>
      <c r="F10" s="410">
        <f t="shared" si="6"/>
        <v>4451143.3666875763</v>
      </c>
      <c r="G10" s="410">
        <f t="shared" si="6"/>
        <v>215.52463187132091</v>
      </c>
      <c r="H10" s="410">
        <f t="shared" si="6"/>
        <v>8017.5163056131369</v>
      </c>
      <c r="I10" s="410">
        <f t="shared" si="6"/>
        <v>560.36404286543439</v>
      </c>
      <c r="J10" s="410">
        <f t="shared" si="6"/>
        <v>0</v>
      </c>
      <c r="K10" s="410">
        <f t="shared" si="6"/>
        <v>6508.843882513891</v>
      </c>
      <c r="L10" s="410">
        <f t="shared" si="6"/>
        <v>3017.3448461984926</v>
      </c>
      <c r="M10" s="410">
        <f t="shared" si="6"/>
        <v>0</v>
      </c>
      <c r="N10" s="410">
        <f t="shared" si="6"/>
        <v>1293.1477912279254</v>
      </c>
      <c r="O10" s="410">
        <f t="shared" si="6"/>
        <v>258.62955824558509</v>
      </c>
      <c r="P10" s="410">
        <f t="shared" si="6"/>
        <v>0</v>
      </c>
      <c r="Q10" s="410">
        <f t="shared" si="6"/>
        <v>948.30838023381193</v>
      </c>
      <c r="R10" s="410">
        <f t="shared" si="6"/>
        <v>0</v>
      </c>
      <c r="S10" s="410">
        <f t="shared" si="6"/>
        <v>1379.3576439764538</v>
      </c>
      <c r="T10" s="410">
        <f t="shared" si="1"/>
        <v>4517611.8086547581</v>
      </c>
    </row>
    <row r="11" spans="1:20" ht="20.100000000000001" customHeight="1">
      <c r="A11" s="401" t="s">
        <v>134</v>
      </c>
      <c r="B11" s="414" t="s">
        <v>40</v>
      </c>
      <c r="C11" s="415">
        <f t="shared" ref="C11:S11" si="7">+C35+C59</f>
        <v>0</v>
      </c>
      <c r="D11" s="415">
        <f t="shared" si="7"/>
        <v>0</v>
      </c>
      <c r="E11" s="415">
        <f t="shared" si="7"/>
        <v>0</v>
      </c>
      <c r="F11" s="415">
        <f t="shared" si="7"/>
        <v>0</v>
      </c>
      <c r="G11" s="415">
        <f t="shared" si="7"/>
        <v>0</v>
      </c>
      <c r="H11" s="415">
        <f t="shared" si="7"/>
        <v>0</v>
      </c>
      <c r="I11" s="415">
        <f t="shared" si="7"/>
        <v>8000.5757445728259</v>
      </c>
      <c r="J11" s="415">
        <f t="shared" si="7"/>
        <v>0</v>
      </c>
      <c r="K11" s="415">
        <f t="shared" si="7"/>
        <v>0</v>
      </c>
      <c r="L11" s="415">
        <f t="shared" si="7"/>
        <v>0</v>
      </c>
      <c r="M11" s="415">
        <f t="shared" si="7"/>
        <v>0</v>
      </c>
      <c r="N11" s="415">
        <f t="shared" si="7"/>
        <v>0</v>
      </c>
      <c r="O11" s="415">
        <f t="shared" si="7"/>
        <v>0</v>
      </c>
      <c r="P11" s="415">
        <f t="shared" si="7"/>
        <v>0</v>
      </c>
      <c r="Q11" s="415">
        <f t="shared" si="7"/>
        <v>0</v>
      </c>
      <c r="R11" s="415">
        <f t="shared" si="7"/>
        <v>0</v>
      </c>
      <c r="S11" s="415">
        <f t="shared" si="7"/>
        <v>0</v>
      </c>
      <c r="T11" s="415">
        <f t="shared" si="1"/>
        <v>8000.5757445728259</v>
      </c>
    </row>
    <row r="12" spans="1:20" ht="20.100000000000001" customHeight="1">
      <c r="A12" s="401" t="s">
        <v>135</v>
      </c>
      <c r="B12" s="408" t="s">
        <v>70</v>
      </c>
      <c r="C12" s="410">
        <f t="shared" ref="C12:S12" si="8">+C36+C60</f>
        <v>0</v>
      </c>
      <c r="D12" s="410">
        <f t="shared" si="8"/>
        <v>2832.3206219560461</v>
      </c>
      <c r="E12" s="410">
        <f t="shared" si="8"/>
        <v>0</v>
      </c>
      <c r="F12" s="410">
        <f t="shared" si="8"/>
        <v>163.40311280515652</v>
      </c>
      <c r="G12" s="410">
        <f t="shared" si="8"/>
        <v>0</v>
      </c>
      <c r="H12" s="410">
        <f t="shared" si="8"/>
        <v>0</v>
      </c>
      <c r="I12" s="410">
        <f t="shared" si="8"/>
        <v>0</v>
      </c>
      <c r="J12" s="410">
        <f t="shared" si="8"/>
        <v>54.467704268385503</v>
      </c>
      <c r="K12" s="410">
        <f t="shared" si="8"/>
        <v>7237.0711075182389</v>
      </c>
      <c r="L12" s="410">
        <f t="shared" si="8"/>
        <v>2549519.7686115592</v>
      </c>
      <c r="M12" s="410">
        <f t="shared" si="8"/>
        <v>435.74163414708403</v>
      </c>
      <c r="N12" s="410">
        <f t="shared" si="8"/>
        <v>8653.2314184962615</v>
      </c>
      <c r="O12" s="410">
        <f t="shared" si="8"/>
        <v>0</v>
      </c>
      <c r="P12" s="410">
        <f t="shared" si="8"/>
        <v>0</v>
      </c>
      <c r="Q12" s="410">
        <f t="shared" si="8"/>
        <v>16856.454082491375</v>
      </c>
      <c r="R12" s="410">
        <f t="shared" si="8"/>
        <v>0</v>
      </c>
      <c r="S12" s="410">
        <f t="shared" si="8"/>
        <v>2825.1870617790132</v>
      </c>
      <c r="T12" s="410">
        <f t="shared" si="1"/>
        <v>2588577.6453550211</v>
      </c>
    </row>
    <row r="13" spans="1:20" ht="20.100000000000001" customHeight="1">
      <c r="A13" s="416" t="s">
        <v>136</v>
      </c>
      <c r="B13" s="414" t="s">
        <v>144</v>
      </c>
      <c r="C13" s="415">
        <f t="shared" ref="C13:S13" si="9">+C37+C61</f>
        <v>187.63943916310365</v>
      </c>
      <c r="D13" s="415">
        <f t="shared" si="9"/>
        <v>28990.293350699514</v>
      </c>
      <c r="E13" s="415">
        <f t="shared" si="9"/>
        <v>93.819719581551823</v>
      </c>
      <c r="F13" s="415">
        <f t="shared" si="9"/>
        <v>140.72957937232775</v>
      </c>
      <c r="G13" s="415">
        <f t="shared" si="9"/>
        <v>2204.7634101664676</v>
      </c>
      <c r="H13" s="415">
        <f t="shared" si="9"/>
        <v>1501.1155133048292</v>
      </c>
      <c r="I13" s="415">
        <f t="shared" si="9"/>
        <v>46.909859790775911</v>
      </c>
      <c r="J13" s="415">
        <f t="shared" si="9"/>
        <v>140.72957937232775</v>
      </c>
      <c r="K13" s="415">
        <f t="shared" si="9"/>
        <v>1688.7549524679328</v>
      </c>
      <c r="L13" s="415">
        <f t="shared" si="9"/>
        <v>516.00845769853504</v>
      </c>
      <c r="M13" s="415">
        <f t="shared" si="9"/>
        <v>46.909859790775911</v>
      </c>
      <c r="N13" s="415">
        <f t="shared" si="9"/>
        <v>39956.076062923952</v>
      </c>
      <c r="O13" s="415">
        <f t="shared" si="9"/>
        <v>140.72957937232775</v>
      </c>
      <c r="P13" s="415">
        <f t="shared" si="9"/>
        <v>4409.5268203329351</v>
      </c>
      <c r="Q13" s="415">
        <f t="shared" si="9"/>
        <v>2268534.7064907174</v>
      </c>
      <c r="R13" s="415">
        <f t="shared" si="9"/>
        <v>0</v>
      </c>
      <c r="S13" s="415">
        <f t="shared" si="9"/>
        <v>6628.0727706268081</v>
      </c>
      <c r="T13" s="415">
        <f t="shared" si="1"/>
        <v>2355226.7854453814</v>
      </c>
    </row>
    <row r="14" spans="1:20" ht="20.100000000000001" customHeight="1">
      <c r="A14" s="401" t="s">
        <v>137</v>
      </c>
      <c r="B14" s="408" t="s">
        <v>49</v>
      </c>
      <c r="C14" s="410">
        <f t="shared" ref="C14:S14" si="10">+C38+C62</f>
        <v>5548.1685637394612</v>
      </c>
      <c r="D14" s="410">
        <f t="shared" si="10"/>
        <v>25164.990217646518</v>
      </c>
      <c r="E14" s="410">
        <f t="shared" si="10"/>
        <v>290.58523192172134</v>
      </c>
      <c r="F14" s="410">
        <f t="shared" si="10"/>
        <v>0</v>
      </c>
      <c r="G14" s="410">
        <f t="shared" si="10"/>
        <v>7902.9909085944737</v>
      </c>
      <c r="H14" s="410">
        <f t="shared" si="10"/>
        <v>145.29261596086067</v>
      </c>
      <c r="I14" s="410">
        <f t="shared" si="10"/>
        <v>0</v>
      </c>
      <c r="J14" s="410">
        <f t="shared" si="10"/>
        <v>5112.2907158568796</v>
      </c>
      <c r="K14" s="410">
        <f t="shared" si="10"/>
        <v>3556.5777587865996</v>
      </c>
      <c r="L14" s="410">
        <f t="shared" si="10"/>
        <v>30924.915040818294</v>
      </c>
      <c r="M14" s="410">
        <f t="shared" si="10"/>
        <v>145.29261596086067</v>
      </c>
      <c r="N14" s="410">
        <f t="shared" si="10"/>
        <v>249642.85471023986</v>
      </c>
      <c r="O14" s="410">
        <f t="shared" si="10"/>
        <v>2176.2979071584232</v>
      </c>
      <c r="P14" s="410">
        <f t="shared" si="10"/>
        <v>799.1093877847336</v>
      </c>
      <c r="Q14" s="410">
        <f t="shared" si="10"/>
        <v>840782.09224133752</v>
      </c>
      <c r="R14" s="410">
        <f t="shared" si="10"/>
        <v>0</v>
      </c>
      <c r="S14" s="410">
        <f t="shared" si="10"/>
        <v>20297.687582957686</v>
      </c>
      <c r="T14" s="410">
        <f t="shared" si="1"/>
        <v>1192489.145498764</v>
      </c>
    </row>
    <row r="15" spans="1:20" ht="20.100000000000001" customHeight="1">
      <c r="A15" s="401" t="s">
        <v>138</v>
      </c>
      <c r="B15" s="414" t="s">
        <v>207</v>
      </c>
      <c r="C15" s="415">
        <f t="shared" ref="C15:S15" si="11">+C39+C63</f>
        <v>3913849.888130703</v>
      </c>
      <c r="D15" s="415">
        <f t="shared" si="11"/>
        <v>17723.392802751005</v>
      </c>
      <c r="E15" s="415">
        <f t="shared" si="11"/>
        <v>10049.58066671039</v>
      </c>
      <c r="F15" s="415">
        <f t="shared" si="11"/>
        <v>190.95642811121516</v>
      </c>
      <c r="G15" s="415">
        <f t="shared" si="11"/>
        <v>15961.772057677785</v>
      </c>
      <c r="H15" s="415">
        <f t="shared" si="11"/>
        <v>21407.759199087552</v>
      </c>
      <c r="I15" s="415">
        <f t="shared" si="11"/>
        <v>0</v>
      </c>
      <c r="J15" s="415">
        <f t="shared" si="11"/>
        <v>0</v>
      </c>
      <c r="K15" s="415">
        <f t="shared" si="11"/>
        <v>27793.612720092846</v>
      </c>
      <c r="L15" s="415">
        <f t="shared" si="11"/>
        <v>0</v>
      </c>
      <c r="M15" s="415">
        <f t="shared" si="11"/>
        <v>0</v>
      </c>
      <c r="N15" s="415">
        <f t="shared" si="11"/>
        <v>1145.7385686672908</v>
      </c>
      <c r="O15" s="415">
        <f t="shared" si="11"/>
        <v>0</v>
      </c>
      <c r="P15" s="415">
        <f t="shared" si="11"/>
        <v>0</v>
      </c>
      <c r="Q15" s="415">
        <f t="shared" si="11"/>
        <v>1082.0864259635525</v>
      </c>
      <c r="R15" s="415">
        <f t="shared" si="11"/>
        <v>0</v>
      </c>
      <c r="S15" s="415">
        <f t="shared" si="11"/>
        <v>59121.913909673953</v>
      </c>
      <c r="T15" s="415">
        <f t="shared" si="1"/>
        <v>4068326.7009094381</v>
      </c>
    </row>
    <row r="16" spans="1:20" ht="20.100000000000001" customHeight="1">
      <c r="A16" s="401" t="s">
        <v>147</v>
      </c>
      <c r="B16" s="408" t="s">
        <v>208</v>
      </c>
      <c r="C16" s="410">
        <f t="shared" ref="C16:S16" si="12">+C40+C64</f>
        <v>0</v>
      </c>
      <c r="D16" s="410">
        <f t="shared" si="12"/>
        <v>3299.3654426779244</v>
      </c>
      <c r="E16" s="410">
        <f t="shared" si="12"/>
        <v>0</v>
      </c>
      <c r="F16" s="410">
        <f t="shared" si="12"/>
        <v>0</v>
      </c>
      <c r="G16" s="410">
        <f t="shared" si="12"/>
        <v>485720.09638558526</v>
      </c>
      <c r="H16" s="410">
        <f t="shared" si="12"/>
        <v>713.37631193036202</v>
      </c>
      <c r="I16" s="410">
        <f t="shared" si="12"/>
        <v>0</v>
      </c>
      <c r="J16" s="410">
        <f t="shared" si="12"/>
        <v>0</v>
      </c>
      <c r="K16" s="410">
        <f t="shared" si="12"/>
        <v>0</v>
      </c>
      <c r="L16" s="410">
        <f t="shared" si="12"/>
        <v>0</v>
      </c>
      <c r="M16" s="410">
        <f t="shared" si="12"/>
        <v>0</v>
      </c>
      <c r="N16" s="410">
        <f t="shared" si="12"/>
        <v>7847.1394312339826</v>
      </c>
      <c r="O16" s="410">
        <f t="shared" si="12"/>
        <v>0</v>
      </c>
      <c r="P16" s="410">
        <f t="shared" si="12"/>
        <v>0</v>
      </c>
      <c r="Q16" s="410">
        <f t="shared" si="12"/>
        <v>802.5483509216574</v>
      </c>
      <c r="R16" s="410">
        <f t="shared" si="12"/>
        <v>0</v>
      </c>
      <c r="S16" s="410">
        <f t="shared" si="12"/>
        <v>89.172038991295253</v>
      </c>
      <c r="T16" s="410">
        <f t="shared" si="1"/>
        <v>498471.69796134048</v>
      </c>
    </row>
    <row r="17" spans="1:21" ht="20.100000000000001" customHeight="1">
      <c r="A17" s="416" t="s">
        <v>148</v>
      </c>
      <c r="B17" s="414" t="s">
        <v>39</v>
      </c>
      <c r="C17" s="415">
        <f t="shared" ref="C17:S17" si="13">+C41+C65</f>
        <v>65660.704528379647</v>
      </c>
      <c r="D17" s="415">
        <f t="shared" si="13"/>
        <v>266289.05854362994</v>
      </c>
      <c r="E17" s="415">
        <f t="shared" si="13"/>
        <v>20188.37618838152</v>
      </c>
      <c r="F17" s="415">
        <f t="shared" si="13"/>
        <v>6000.041874169332</v>
      </c>
      <c r="G17" s="415">
        <f t="shared" si="13"/>
        <v>1976.4843820793094</v>
      </c>
      <c r="H17" s="415">
        <f t="shared" si="13"/>
        <v>145243.63740746025</v>
      </c>
      <c r="I17" s="415">
        <f t="shared" si="13"/>
        <v>24488.695657123357</v>
      </c>
      <c r="J17" s="415">
        <f t="shared" si="13"/>
        <v>2400.0167496677332</v>
      </c>
      <c r="K17" s="415">
        <f t="shared" si="13"/>
        <v>3797750.3919755439</v>
      </c>
      <c r="L17" s="415">
        <f t="shared" si="13"/>
        <v>29429.906612321629</v>
      </c>
      <c r="M17" s="415">
        <f t="shared" si="13"/>
        <v>0</v>
      </c>
      <c r="N17" s="415">
        <f t="shared" si="13"/>
        <v>13428.107255181143</v>
      </c>
      <c r="O17" s="415">
        <f t="shared" si="13"/>
        <v>0</v>
      </c>
      <c r="P17" s="415">
        <f t="shared" si="13"/>
        <v>0</v>
      </c>
      <c r="Q17" s="415">
        <f t="shared" si="13"/>
        <v>79732.234809050613</v>
      </c>
      <c r="R17" s="415">
        <f t="shared" si="13"/>
        <v>0</v>
      </c>
      <c r="S17" s="415">
        <f t="shared" si="13"/>
        <v>2972.8510472261646</v>
      </c>
      <c r="T17" s="415">
        <f t="shared" si="1"/>
        <v>4455560.5070302142</v>
      </c>
    </row>
    <row r="18" spans="1:21" ht="20.100000000000001" customHeight="1">
      <c r="A18" s="401" t="s">
        <v>149</v>
      </c>
      <c r="B18" s="408" t="s">
        <v>38</v>
      </c>
      <c r="C18" s="410">
        <f t="shared" ref="C18:S18" si="14">+C42+C66</f>
        <v>717.68432246658415</v>
      </c>
      <c r="D18" s="410">
        <f t="shared" si="14"/>
        <v>24786.878275935138</v>
      </c>
      <c r="E18" s="410">
        <f t="shared" si="14"/>
        <v>4164535.303967739</v>
      </c>
      <c r="F18" s="410">
        <f t="shared" si="14"/>
        <v>0</v>
      </c>
      <c r="G18" s="410">
        <f t="shared" si="14"/>
        <v>2232.7956698960393</v>
      </c>
      <c r="H18" s="410">
        <f t="shared" si="14"/>
        <v>14862.187365249931</v>
      </c>
      <c r="I18" s="410">
        <f t="shared" si="14"/>
        <v>637.94161997029698</v>
      </c>
      <c r="J18" s="410">
        <f t="shared" si="14"/>
        <v>4821.1579509228313</v>
      </c>
      <c r="K18" s="410">
        <f t="shared" si="14"/>
        <v>2472.0237773849008</v>
      </c>
      <c r="L18" s="410">
        <f t="shared" si="14"/>
        <v>0</v>
      </c>
      <c r="M18" s="410">
        <f t="shared" si="14"/>
        <v>0</v>
      </c>
      <c r="N18" s="410">
        <f t="shared" si="14"/>
        <v>398.7135124814356</v>
      </c>
      <c r="O18" s="410">
        <f t="shared" si="14"/>
        <v>0</v>
      </c>
      <c r="P18" s="410">
        <f t="shared" si="14"/>
        <v>0</v>
      </c>
      <c r="Q18" s="410">
        <f t="shared" si="14"/>
        <v>637.94161997029698</v>
      </c>
      <c r="R18" s="410">
        <f t="shared" si="14"/>
        <v>0</v>
      </c>
      <c r="S18" s="410">
        <f t="shared" si="14"/>
        <v>38569.263607382651</v>
      </c>
      <c r="T18" s="410">
        <f t="shared" si="1"/>
        <v>4254671.8916893983</v>
      </c>
    </row>
    <row r="19" spans="1:21" ht="20.100000000000001" customHeight="1">
      <c r="A19" s="401" t="s">
        <v>150</v>
      </c>
      <c r="B19" s="414" t="s">
        <v>31</v>
      </c>
      <c r="C19" s="415">
        <f t="shared" ref="C19:S19" si="15">+C43+C67</f>
        <v>3700.1512141067496</v>
      </c>
      <c r="D19" s="415">
        <f t="shared" si="15"/>
        <v>37535.015096730036</v>
      </c>
      <c r="E19" s="415">
        <f t="shared" si="15"/>
        <v>64292.871359683464</v>
      </c>
      <c r="F19" s="415">
        <f t="shared" si="15"/>
        <v>0</v>
      </c>
      <c r="G19" s="415">
        <f t="shared" si="15"/>
        <v>20696.411210587983</v>
      </c>
      <c r="H19" s="415">
        <f t="shared" si="15"/>
        <v>12469.023984111274</v>
      </c>
      <c r="I19" s="415">
        <f t="shared" si="15"/>
        <v>23622.029663211251</v>
      </c>
      <c r="J19" s="415">
        <f t="shared" si="15"/>
        <v>10189580.054006282</v>
      </c>
      <c r="K19" s="415">
        <f t="shared" si="15"/>
        <v>32082.464107643624</v>
      </c>
      <c r="L19" s="415">
        <f t="shared" si="15"/>
        <v>270.74277176390854</v>
      </c>
      <c r="M19" s="415">
        <f t="shared" si="15"/>
        <v>0</v>
      </c>
      <c r="N19" s="415">
        <f t="shared" si="15"/>
        <v>1082.9710870556341</v>
      </c>
      <c r="O19" s="415">
        <f t="shared" si="15"/>
        <v>0</v>
      </c>
      <c r="P19" s="415">
        <f t="shared" si="15"/>
        <v>0</v>
      </c>
      <c r="Q19" s="415">
        <f t="shared" si="15"/>
        <v>6227.0837505698955</v>
      </c>
      <c r="R19" s="415">
        <f t="shared" si="15"/>
        <v>0</v>
      </c>
      <c r="S19" s="415">
        <f t="shared" si="15"/>
        <v>0</v>
      </c>
      <c r="T19" s="415">
        <f t="shared" si="1"/>
        <v>10391558.818251746</v>
      </c>
    </row>
    <row r="20" spans="1:21" ht="20.100000000000001" customHeight="1">
      <c r="A20" s="401" t="s">
        <v>151</v>
      </c>
      <c r="B20" s="408" t="s">
        <v>209</v>
      </c>
      <c r="C20" s="410">
        <f t="shared" ref="C20:S20" si="16">+C44+C68</f>
        <v>0</v>
      </c>
      <c r="D20" s="410">
        <f t="shared" si="16"/>
        <v>8783.5731050401027</v>
      </c>
      <c r="E20" s="410">
        <f t="shared" si="16"/>
        <v>0</v>
      </c>
      <c r="F20" s="410">
        <f t="shared" si="16"/>
        <v>0</v>
      </c>
      <c r="G20" s="410">
        <f t="shared" si="16"/>
        <v>0</v>
      </c>
      <c r="H20" s="410">
        <f t="shared" si="16"/>
        <v>0</v>
      </c>
      <c r="I20" s="410">
        <f t="shared" si="16"/>
        <v>296.07549792270015</v>
      </c>
      <c r="J20" s="410">
        <f t="shared" si="16"/>
        <v>1180156.9347198827</v>
      </c>
      <c r="K20" s="410">
        <f t="shared" si="16"/>
        <v>2763.3713139452011</v>
      </c>
      <c r="L20" s="410">
        <f t="shared" si="16"/>
        <v>0</v>
      </c>
      <c r="M20" s="410">
        <f t="shared" si="16"/>
        <v>0</v>
      </c>
      <c r="N20" s="410">
        <f t="shared" si="16"/>
        <v>0</v>
      </c>
      <c r="O20" s="410">
        <f t="shared" si="16"/>
        <v>0</v>
      </c>
      <c r="P20" s="410">
        <f t="shared" si="16"/>
        <v>0</v>
      </c>
      <c r="Q20" s="410">
        <f t="shared" si="16"/>
        <v>197.38366528180006</v>
      </c>
      <c r="R20" s="410">
        <f t="shared" si="16"/>
        <v>0</v>
      </c>
      <c r="S20" s="410">
        <f t="shared" si="16"/>
        <v>0</v>
      </c>
      <c r="T20" s="410">
        <f t="shared" si="1"/>
        <v>1192197.3383020724</v>
      </c>
    </row>
    <row r="21" spans="1:21" ht="20.100000000000001" customHeight="1">
      <c r="A21" s="416" t="s">
        <v>153</v>
      </c>
      <c r="B21" s="414" t="s">
        <v>100</v>
      </c>
      <c r="C21" s="415">
        <f t="shared" ref="C21:S21" si="17">+C45+C69</f>
        <v>0</v>
      </c>
      <c r="D21" s="415">
        <f t="shared" si="17"/>
        <v>1212.9595990720179</v>
      </c>
      <c r="E21" s="415">
        <f t="shared" si="17"/>
        <v>0</v>
      </c>
      <c r="F21" s="415">
        <f t="shared" si="17"/>
        <v>0</v>
      </c>
      <c r="G21" s="415">
        <f t="shared" si="17"/>
        <v>0</v>
      </c>
      <c r="H21" s="415">
        <f t="shared" si="17"/>
        <v>86.639971362286985</v>
      </c>
      <c r="I21" s="415">
        <f t="shared" si="17"/>
        <v>0</v>
      </c>
      <c r="J21" s="415">
        <f t="shared" si="17"/>
        <v>0</v>
      </c>
      <c r="K21" s="415">
        <f t="shared" si="17"/>
        <v>1732.7994272457399</v>
      </c>
      <c r="L21" s="415">
        <f t="shared" si="17"/>
        <v>1039.6796563474438</v>
      </c>
      <c r="M21" s="415">
        <f t="shared" si="17"/>
        <v>173.27994272457397</v>
      </c>
      <c r="N21" s="415">
        <f t="shared" si="17"/>
        <v>2599.1991408686099</v>
      </c>
      <c r="O21" s="415">
        <f t="shared" si="17"/>
        <v>995657.09926216246</v>
      </c>
      <c r="P21" s="415">
        <f t="shared" si="17"/>
        <v>5111.7583103749321</v>
      </c>
      <c r="Q21" s="415">
        <f t="shared" si="17"/>
        <v>18203.845619319789</v>
      </c>
      <c r="R21" s="415">
        <f t="shared" si="17"/>
        <v>0</v>
      </c>
      <c r="S21" s="415">
        <f t="shared" si="17"/>
        <v>0</v>
      </c>
      <c r="T21" s="415">
        <f t="shared" si="1"/>
        <v>1025817.2609294779</v>
      </c>
    </row>
    <row r="22" spans="1:21" ht="20.100000000000001" customHeight="1">
      <c r="A22" s="401" t="s">
        <v>155</v>
      </c>
      <c r="B22" s="408" t="s">
        <v>42</v>
      </c>
      <c r="C22" s="410">
        <f t="shared" ref="C22:S22" si="18">+C46+C70</f>
        <v>0</v>
      </c>
      <c r="D22" s="410">
        <f t="shared" si="18"/>
        <v>2458.2669101408983</v>
      </c>
      <c r="E22" s="410">
        <f t="shared" si="18"/>
        <v>0</v>
      </c>
      <c r="F22" s="410">
        <f t="shared" si="18"/>
        <v>0</v>
      </c>
      <c r="G22" s="410">
        <f t="shared" si="18"/>
        <v>0</v>
      </c>
      <c r="H22" s="410">
        <f t="shared" si="18"/>
        <v>409.71115169014973</v>
      </c>
      <c r="I22" s="410">
        <f t="shared" si="18"/>
        <v>0</v>
      </c>
      <c r="J22" s="410">
        <f t="shared" si="18"/>
        <v>68.285191948358289</v>
      </c>
      <c r="K22" s="410">
        <f t="shared" si="18"/>
        <v>0</v>
      </c>
      <c r="L22" s="410">
        <f t="shared" si="18"/>
        <v>0</v>
      </c>
      <c r="M22" s="410">
        <f t="shared" si="18"/>
        <v>68.285191948358289</v>
      </c>
      <c r="N22" s="410">
        <f t="shared" si="18"/>
        <v>145788.88480974492</v>
      </c>
      <c r="O22" s="410">
        <f t="shared" si="18"/>
        <v>5940.8116995071705</v>
      </c>
      <c r="P22" s="410">
        <f t="shared" si="18"/>
        <v>6302654.9316415209</v>
      </c>
      <c r="Q22" s="410">
        <f t="shared" si="18"/>
        <v>10584.204751995534</v>
      </c>
      <c r="R22" s="410">
        <f t="shared" si="18"/>
        <v>0</v>
      </c>
      <c r="S22" s="410">
        <f t="shared" si="18"/>
        <v>0</v>
      </c>
      <c r="T22" s="410">
        <f t="shared" si="1"/>
        <v>6467973.3813484963</v>
      </c>
    </row>
    <row r="23" spans="1:21" ht="20.100000000000001" customHeight="1">
      <c r="A23" s="401" t="s">
        <v>162</v>
      </c>
      <c r="B23" s="414" t="s">
        <v>76</v>
      </c>
      <c r="C23" s="415">
        <f t="shared" ref="C23:S23" si="19">+C47+C71</f>
        <v>0</v>
      </c>
      <c r="D23" s="415">
        <f t="shared" si="19"/>
        <v>1126.9179612418213</v>
      </c>
      <c r="E23" s="415">
        <f t="shared" si="19"/>
        <v>0</v>
      </c>
      <c r="F23" s="415">
        <f t="shared" si="19"/>
        <v>0</v>
      </c>
      <c r="G23" s="415">
        <f t="shared" si="19"/>
        <v>25939.910856284983</v>
      </c>
      <c r="H23" s="415">
        <f t="shared" si="19"/>
        <v>0</v>
      </c>
      <c r="I23" s="415">
        <f t="shared" si="19"/>
        <v>0</v>
      </c>
      <c r="J23" s="415">
        <f t="shared" si="19"/>
        <v>0</v>
      </c>
      <c r="K23" s="415">
        <f t="shared" si="19"/>
        <v>0</v>
      </c>
      <c r="L23" s="415">
        <f t="shared" si="19"/>
        <v>0</v>
      </c>
      <c r="M23" s="415">
        <f t="shared" si="19"/>
        <v>187.81966020697024</v>
      </c>
      <c r="N23" s="415">
        <f t="shared" si="19"/>
        <v>12453918.831949066</v>
      </c>
      <c r="O23" s="415">
        <f t="shared" si="19"/>
        <v>0</v>
      </c>
      <c r="P23" s="415">
        <f t="shared" si="19"/>
        <v>0</v>
      </c>
      <c r="Q23" s="415">
        <f t="shared" si="19"/>
        <v>129758.69454354007</v>
      </c>
      <c r="R23" s="415">
        <f t="shared" si="19"/>
        <v>0</v>
      </c>
      <c r="S23" s="415">
        <f t="shared" si="19"/>
        <v>78007.552229061912</v>
      </c>
      <c r="T23" s="415">
        <f t="shared" si="1"/>
        <v>12688939.727199402</v>
      </c>
    </row>
    <row r="24" spans="1:21" ht="20.100000000000001" customHeight="1">
      <c r="A24" s="401" t="s">
        <v>156</v>
      </c>
      <c r="B24" s="408" t="s">
        <v>77</v>
      </c>
      <c r="C24" s="410">
        <f t="shared" ref="C24:S24" si="20">+C48+C72</f>
        <v>0</v>
      </c>
      <c r="D24" s="410">
        <f t="shared" si="20"/>
        <v>0</v>
      </c>
      <c r="E24" s="410">
        <f t="shared" si="20"/>
        <v>0</v>
      </c>
      <c r="F24" s="410">
        <f t="shared" si="20"/>
        <v>0</v>
      </c>
      <c r="G24" s="410">
        <f t="shared" si="20"/>
        <v>0</v>
      </c>
      <c r="H24" s="410">
        <f t="shared" si="20"/>
        <v>0</v>
      </c>
      <c r="I24" s="410">
        <f t="shared" si="20"/>
        <v>0</v>
      </c>
      <c r="J24" s="410">
        <f t="shared" si="20"/>
        <v>0</v>
      </c>
      <c r="K24" s="410">
        <f t="shared" si="20"/>
        <v>0</v>
      </c>
      <c r="L24" s="410">
        <f t="shared" si="20"/>
        <v>0</v>
      </c>
      <c r="M24" s="410">
        <f t="shared" si="20"/>
        <v>4890194.9570667436</v>
      </c>
      <c r="N24" s="410">
        <f t="shared" si="20"/>
        <v>132629.7985271262</v>
      </c>
      <c r="O24" s="410">
        <f t="shared" si="20"/>
        <v>0</v>
      </c>
      <c r="P24" s="410">
        <f t="shared" si="20"/>
        <v>0</v>
      </c>
      <c r="Q24" s="410">
        <f t="shared" si="20"/>
        <v>0</v>
      </c>
      <c r="R24" s="410">
        <f t="shared" si="20"/>
        <v>0</v>
      </c>
      <c r="S24" s="410">
        <f t="shared" si="20"/>
        <v>0</v>
      </c>
      <c r="T24" s="410">
        <f t="shared" si="1"/>
        <v>5022824.7555938698</v>
      </c>
    </row>
    <row r="25" spans="1:21" ht="20.100000000000001" customHeight="1">
      <c r="A25" s="417" t="s">
        <v>163</v>
      </c>
      <c r="B25" s="418" t="s">
        <v>164</v>
      </c>
      <c r="C25" s="419">
        <f t="shared" ref="C25:S25" si="21">+C49+C73</f>
        <v>0</v>
      </c>
      <c r="D25" s="419">
        <f t="shared" si="21"/>
        <v>1569.2610314064843</v>
      </c>
      <c r="E25" s="419">
        <f t="shared" si="21"/>
        <v>0</v>
      </c>
      <c r="F25" s="419">
        <f t="shared" si="21"/>
        <v>0</v>
      </c>
      <c r="G25" s="419">
        <f t="shared" si="21"/>
        <v>0</v>
      </c>
      <c r="H25" s="419">
        <f t="shared" si="21"/>
        <v>0</v>
      </c>
      <c r="I25" s="419">
        <f t="shared" si="21"/>
        <v>0</v>
      </c>
      <c r="J25" s="419">
        <f t="shared" si="21"/>
        <v>0</v>
      </c>
      <c r="K25" s="419">
        <f t="shared" si="21"/>
        <v>0</v>
      </c>
      <c r="L25" s="419">
        <f t="shared" si="21"/>
        <v>0</v>
      </c>
      <c r="M25" s="419">
        <f t="shared" si="21"/>
        <v>886255.8600971261</v>
      </c>
      <c r="N25" s="419">
        <f t="shared" si="21"/>
        <v>3264.0629453254874</v>
      </c>
      <c r="O25" s="419">
        <f t="shared" si="21"/>
        <v>0</v>
      </c>
      <c r="P25" s="419">
        <f t="shared" si="21"/>
        <v>0</v>
      </c>
      <c r="Q25" s="419">
        <f t="shared" si="21"/>
        <v>1129.8679426126687</v>
      </c>
      <c r="R25" s="419">
        <f t="shared" si="21"/>
        <v>0</v>
      </c>
      <c r="S25" s="419">
        <f t="shared" si="21"/>
        <v>62.770441256259367</v>
      </c>
      <c r="T25" s="420">
        <f t="shared" si="1"/>
        <v>892281.82245772693</v>
      </c>
    </row>
    <row r="26" spans="1:21" ht="20.100000000000001" customHeight="1">
      <c r="A26" s="402"/>
      <c r="B26" s="421" t="s">
        <v>17</v>
      </c>
      <c r="C26" s="422">
        <f t="shared" ref="C26:S26" si="22">SUM(C5:C25)</f>
        <v>8748317.9556605592</v>
      </c>
      <c r="D26" s="422">
        <f t="shared" si="22"/>
        <v>182178341.689888</v>
      </c>
      <c r="E26" s="422">
        <f t="shared" si="22"/>
        <v>24141731.879479691</v>
      </c>
      <c r="F26" s="422">
        <f t="shared" si="22"/>
        <v>7517209.9975115741</v>
      </c>
      <c r="G26" s="422">
        <f t="shared" si="22"/>
        <v>31339851.387438346</v>
      </c>
      <c r="H26" s="422">
        <f t="shared" si="22"/>
        <v>15991735.319786984</v>
      </c>
      <c r="I26" s="422">
        <f t="shared" si="22"/>
        <v>3315541.8313034517</v>
      </c>
      <c r="J26" s="422">
        <f t="shared" si="22"/>
        <v>11447846.255519662</v>
      </c>
      <c r="K26" s="422">
        <f t="shared" si="22"/>
        <v>3994626.2842829148</v>
      </c>
      <c r="L26" s="422">
        <f t="shared" si="22"/>
        <v>3905245.5032608365</v>
      </c>
      <c r="M26" s="422">
        <f t="shared" si="22"/>
        <v>5789372.9207452433</v>
      </c>
      <c r="N26" s="422">
        <f t="shared" si="22"/>
        <v>21760497.069003791</v>
      </c>
      <c r="O26" s="422">
        <f t="shared" si="22"/>
        <v>4202908.5098758359</v>
      </c>
      <c r="P26" s="422">
        <f t="shared" si="22"/>
        <v>6631532.3030539546</v>
      </c>
      <c r="Q26" s="422">
        <f t="shared" si="22"/>
        <v>6645629.2334855665</v>
      </c>
      <c r="R26" s="423">
        <f t="shared" si="22"/>
        <v>2138584.1993624838</v>
      </c>
      <c r="S26" s="423">
        <f t="shared" si="22"/>
        <v>2316566.1603409732</v>
      </c>
      <c r="T26" s="422">
        <f t="shared" si="1"/>
        <v>342065538.49999994</v>
      </c>
    </row>
    <row r="27" spans="1:2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row>
    <row r="28" spans="1:2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c r="A29" s="403" t="s">
        <v>128</v>
      </c>
      <c r="B29" s="437" t="s">
        <v>21</v>
      </c>
      <c r="C29" s="438">
        <f>+UGpcntSCH*(VLOOKUP($A29,FY14Revenue!$A$4:$I$24,9,FALSE))*VLOOKUP($A29,FY14SCH!$A$3:$S$23,MATCH(C$28,FY14SCH!$A$2:$S$2,0),FALSE)</f>
        <v>3116679.6157867229</v>
      </c>
      <c r="D29" s="438">
        <f>+UGpcntSCH*(VLOOKUP($A29,FY14Revenue!$A$4:$I$24,9,FALSE))*VLOOKUP($A29,FY14SCH!$A$3:$S$23,MATCH(D$28,FY14SCH!$A$2:$S$2,0),FALSE)</f>
        <v>102223007.44588129</v>
      </c>
      <c r="E29" s="438">
        <f>+UGpcntSCH*(VLOOKUP($A29,FY14Revenue!$A$4:$I$24,9,FALSE))*VLOOKUP($A29,FY14SCH!$A$3:$S$23,MATCH(E$28,FY14SCH!$A$2:$S$2,0),FALSE)</f>
        <v>10138475.680431951</v>
      </c>
      <c r="F29" s="438">
        <f>+UGpcntSCH*(VLOOKUP($A29,FY14Revenue!$A$4:$I$24,9,FALSE))*VLOOKUP($A29,FY14SCH!$A$3:$S$23,MATCH(F$28,FY14SCH!$A$2:$S$2,0),FALSE)</f>
        <v>2126126.1811653618</v>
      </c>
      <c r="G29" s="438">
        <f>+UGpcntSCH*(VLOOKUP($A29,FY14Revenue!$A$4:$I$24,9,FALSE))*VLOOKUP($A29,FY14SCH!$A$3:$S$23,MATCH(G$28,FY14SCH!$A$2:$S$2,0),FALSE)</f>
        <v>13799595.511203576</v>
      </c>
      <c r="H29" s="438">
        <f>+UGpcntSCH*(VLOOKUP($A29,FY14Revenue!$A$4:$I$24,9,FALSE))*VLOOKUP($A29,FY14SCH!$A$3:$S$23,MATCH(H$28,FY14SCH!$A$2:$S$2,0),FALSE)</f>
        <v>9116057.0158365574</v>
      </c>
      <c r="I29" s="438">
        <f>+UGpcntSCH*(VLOOKUP($A29,FY14Revenue!$A$4:$I$24,9,FALSE))*VLOOKUP($A29,FY14SCH!$A$3:$S$23,MATCH(I$28,FY14SCH!$A$2:$S$2,0),FALSE)</f>
        <v>1818659.2274567352</v>
      </c>
      <c r="J29" s="438">
        <f>+UGpcntSCH*(VLOOKUP($A29,FY14Revenue!$A$4:$I$24,9,FALSE))*VLOOKUP($A29,FY14SCH!$A$3:$S$23,MATCH(J$28,FY14SCH!$A$2:$S$2,0),FALSE)</f>
        <v>20029.57312653488</v>
      </c>
      <c r="K29" s="438">
        <f>+UGpcntSCH*(VLOOKUP($A29,FY14Revenue!$A$4:$I$24,9,FALSE))*VLOOKUP($A29,FY14SCH!$A$3:$S$23,MATCH(K$28,FY14SCH!$A$2:$S$2,0),FALSE)</f>
        <v>14306.837947524913</v>
      </c>
      <c r="L29" s="438">
        <f>+UGpcntSCH*(VLOOKUP($A29,FY14Revenue!$A$4:$I$24,9,FALSE))*VLOOKUP($A29,FY14SCH!$A$3:$S$23,MATCH(L$28,FY14SCH!$A$2:$S$2,0),FALSE)</f>
        <v>497747.89841070771</v>
      </c>
      <c r="M29" s="438">
        <f>+UGpcntSCH*(VLOOKUP($A29,FY14Revenue!$A$4:$I$24,9,FALSE))*VLOOKUP($A29,FY14SCH!$A$3:$S$23,MATCH(M$28,FY14SCH!$A$2:$S$2,0),FALSE)</f>
        <v>11835.656847497883</v>
      </c>
      <c r="N29" s="438">
        <f>+UGpcntSCH*(VLOOKUP($A29,FY14Revenue!$A$4:$I$24,9,FALSE))*VLOOKUP($A29,FY14SCH!$A$3:$S$23,MATCH(N$28,FY14SCH!$A$2:$S$2,0),FALSE)</f>
        <v>4071791.1109471703</v>
      </c>
      <c r="O29" s="438">
        <f>+UGpcntSCH*(VLOOKUP($A29,FY14Revenue!$A$4:$I$24,9,FALSE))*VLOOKUP($A29,FY14SCH!$A$3:$S$23,MATCH(O$28,FY14SCH!$A$2:$S$2,0),FALSE)</f>
        <v>1243264.2176399149</v>
      </c>
      <c r="P29" s="438">
        <f>+UGpcntSCH*(VLOOKUP($A29,FY14Revenue!$A$4:$I$24,9,FALSE))*VLOOKUP($A29,FY14SCH!$A$3:$S$23,MATCH(P$28,FY14SCH!$A$2:$S$2,0),FALSE)</f>
        <v>54756.170690072628</v>
      </c>
      <c r="Q29" s="438">
        <f>+UGpcntSCH*(VLOOKUP($A29,FY14Revenue!$A$4:$I$24,9,FALSE))*VLOOKUP($A29,FY14SCH!$A$3:$S$23,MATCH(Q$28,FY14SCH!$A$2:$S$2,0),FALSE)</f>
        <v>1954444.1257950626</v>
      </c>
      <c r="R29" s="438">
        <f>+UGpcntSCH*(VLOOKUP($A29,FY14Revenue!$A$4:$I$24,9,FALSE))*VLOOKUP($A29,FY14SCH!$A$3:$S$23,MATCH(R$28,FY14SCH!$A$2:$S$2,0),FALSE)</f>
        <v>2008029.7370167014</v>
      </c>
      <c r="S29" s="438">
        <f>+UGpcntSCH*(VLOOKUP($A29,FY14Revenue!$A$4:$I$24,9,FALSE))*VLOOKUP($A29,FY14SCH!$A$3:$S$23,MATCH(S$28,FY14SCH!$A$2:$S$2,0),FALSE)</f>
        <v>274431.1642661597</v>
      </c>
      <c r="T29" s="439">
        <f t="shared" ref="T29:T49" si="23">SUM(C29:Q29)+R29+S29</f>
        <v>152489237.17044955</v>
      </c>
    </row>
    <row r="30" spans="1:21" s="18" customFormat="1" ht="20.100000000000001" customHeight="1">
      <c r="A30" s="404" t="s">
        <v>129</v>
      </c>
      <c r="B30" s="440" t="s">
        <v>35</v>
      </c>
      <c r="C30" s="410">
        <f>+GPpcntSCH*(VLOOKUP($A30,FY14Revenue!$A$4:$I$24,9,FALSE))*VLOOKUP($A30,FY14SCH!$A$3:$S$23,MATCH(C$28,FY14SCH!$A$2:$S$2,0),FALSE)</f>
        <v>21925.725310164813</v>
      </c>
      <c r="D30" s="410">
        <f>+GPpcntSCH*(VLOOKUP($A30,FY14Revenue!$A$4:$I$24,9,FALSE))*VLOOKUP($A30,FY14SCH!$A$3:$S$23,MATCH(D$28,FY14SCH!$A$2:$S$2,0),FALSE)</f>
        <v>1922038.7808747268</v>
      </c>
      <c r="E30" s="410">
        <f>+GPpcntSCH*(VLOOKUP($A30,FY14Revenue!$A$4:$I$24,9,FALSE))*VLOOKUP($A30,FY14SCH!$A$3:$S$23,MATCH(E$28,FY14SCH!$A$2:$S$2,0),FALSE)</f>
        <v>57274.769834122431</v>
      </c>
      <c r="F30" s="410">
        <f>+GPpcntSCH*(VLOOKUP($A30,FY14Revenue!$A$4:$I$24,9,FALSE))*VLOOKUP($A30,FY14SCH!$A$3:$S$23,MATCH(F$28,FY14SCH!$A$2:$S$2,0),FALSE)</f>
        <v>8968.2913619266437</v>
      </c>
      <c r="G30" s="410">
        <f>+GPpcntSCH*(VLOOKUP($A30,FY14Revenue!$A$4:$I$24,9,FALSE))*VLOOKUP($A30,FY14SCH!$A$3:$S$23,MATCH(G$28,FY14SCH!$A$2:$S$2,0),FALSE)</f>
        <v>115918.0776358116</v>
      </c>
      <c r="H30" s="410">
        <f>+GPpcntSCH*(VLOOKUP($A30,FY14Revenue!$A$4:$I$24,9,FALSE))*VLOOKUP($A30,FY14SCH!$A$3:$S$23,MATCH(H$28,FY14SCH!$A$2:$S$2,0),FALSE)</f>
        <v>11967.42775893458</v>
      </c>
      <c r="I30" s="410">
        <f>+GPpcntSCH*(VLOOKUP($A30,FY14Revenue!$A$4:$I$24,9,FALSE))*VLOOKUP($A30,FY14SCH!$A$3:$S$23,MATCH(I$28,FY14SCH!$A$2:$S$2,0),FALSE)</f>
        <v>35873.165447706575</v>
      </c>
      <c r="J30" s="410">
        <f>+GPpcntSCH*(VLOOKUP($A30,FY14Revenue!$A$4:$I$24,9,FALSE))*VLOOKUP($A30,FY14SCH!$A$3:$S$23,MATCH(J$28,FY14SCH!$A$2:$S$2,0),FALSE)</f>
        <v>5241.2092374895974</v>
      </c>
      <c r="K30" s="410">
        <f>+GPpcntSCH*(VLOOKUP($A30,FY14Revenue!$A$4:$I$24,9,FALSE))*VLOOKUP($A30,FY14SCH!$A$3:$S$23,MATCH(K$28,FY14SCH!$A$2:$S$2,0),FALSE)</f>
        <v>12433.313024489213</v>
      </c>
      <c r="L30" s="410">
        <f>+GPpcntSCH*(VLOOKUP($A30,FY14Revenue!$A$4:$I$24,9,FALSE))*VLOOKUP($A30,FY14SCH!$A$3:$S$23,MATCH(L$28,FY14SCH!$A$2:$S$2,0),FALSE)</f>
        <v>1048.2418474979195</v>
      </c>
      <c r="M30" s="410">
        <f>+GPpcntSCH*(VLOOKUP($A30,FY14Revenue!$A$4:$I$24,9,FALSE))*VLOOKUP($A30,FY14SCH!$A$3:$S$23,MATCH(M$28,FY14SCH!$A$2:$S$2,0),FALSE)</f>
        <v>29.117829097164428</v>
      </c>
      <c r="N30" s="410">
        <f>+GPpcntSCH*(VLOOKUP($A30,FY14Revenue!$A$4:$I$24,9,FALSE))*VLOOKUP($A30,FY14SCH!$A$3:$S$23,MATCH(N$28,FY14SCH!$A$2:$S$2,0),FALSE)</f>
        <v>350389.39644072816</v>
      </c>
      <c r="O30" s="410">
        <f>+GPpcntSCH*(VLOOKUP($A30,FY14Revenue!$A$4:$I$24,9,FALSE))*VLOOKUP($A30,FY14SCH!$A$3:$S$23,MATCH(O$28,FY14SCH!$A$2:$S$2,0),FALSE)</f>
        <v>1950.8945495100168</v>
      </c>
      <c r="P30" s="410">
        <f>+GPpcntSCH*(VLOOKUP($A30,FY14Revenue!$A$4:$I$24,9,FALSE))*VLOOKUP($A30,FY14SCH!$A$3:$S$23,MATCH(P$28,FY14SCH!$A$2:$S$2,0),FALSE)</f>
        <v>45161.75292970203</v>
      </c>
      <c r="Q30" s="410">
        <f>+GPpcntSCH*(VLOOKUP($A30,FY14Revenue!$A$4:$I$24,9,FALSE))*VLOOKUP($A30,FY14SCH!$A$3:$S$23,MATCH(Q$28,FY14SCH!$A$2:$S$2,0),FALSE)</f>
        <v>27894.88027508352</v>
      </c>
      <c r="R30" s="410">
        <f>+GPpcntSCH*(VLOOKUP($A30,FY14Revenue!$A$4:$I$24,9,FALSE))*VLOOKUP($A30,FY14SCH!$A$3:$S$23,MATCH(R$28,FY14SCH!$A$2:$S$2,0),FALSE)</f>
        <v>0</v>
      </c>
      <c r="S30" s="410">
        <f>+GPpcntSCH*(VLOOKUP($A30,FY14Revenue!$A$4:$I$24,9,FALSE))*VLOOKUP($A30,FY14SCH!$A$3:$S$23,MATCH(S$28,FY14SCH!$A$2:$S$2,0),FALSE)</f>
        <v>180734.36520609958</v>
      </c>
      <c r="T30" s="441">
        <f t="shared" si="23"/>
        <v>2798849.4095630897</v>
      </c>
    </row>
    <row r="31" spans="1:21" ht="20.100000000000001" customHeight="1">
      <c r="A31" s="404" t="s">
        <v>140</v>
      </c>
      <c r="B31" s="442" t="s">
        <v>36</v>
      </c>
      <c r="C31" s="443">
        <f>+GPpcntSCH*(VLOOKUP($A31,FY14Revenue!$A$4:$I$24,9,FALSE))*VLOOKUP($A31,FY14SCH!$A$3:$S$23,MATCH(C$28,FY14SCH!$A$2:$S$2,0),FALSE)</f>
        <v>145.15058834756999</v>
      </c>
      <c r="D31" s="443">
        <f>+GPpcntSCH*(VLOOKUP($A31,FY14Revenue!$A$4:$I$24,9,FALSE))*VLOOKUP($A31,FY14SCH!$A$3:$S$23,MATCH(D$28,FY14SCH!$A$2:$S$2,0),FALSE)</f>
        <v>10837.91059661856</v>
      </c>
      <c r="E31" s="443">
        <f>+GPpcntSCH*(VLOOKUP($A31,FY14Revenue!$A$4:$I$24,9,FALSE))*VLOOKUP($A31,FY14SCH!$A$3:$S$23,MATCH(E$28,FY14SCH!$A$2:$S$2,0),FALSE)</f>
        <v>0</v>
      </c>
      <c r="F31" s="443">
        <f>+GPpcntSCH*(VLOOKUP($A31,FY14Revenue!$A$4:$I$24,9,FALSE))*VLOOKUP($A31,FY14SCH!$A$3:$S$23,MATCH(F$28,FY14SCH!$A$2:$S$2,0),FALSE)</f>
        <v>1112.8211773313701</v>
      </c>
      <c r="G31" s="443">
        <f>+GPpcntSCH*(VLOOKUP($A31,FY14Revenue!$A$4:$I$24,9,FALSE))*VLOOKUP($A31,FY14SCH!$A$3:$S$23,MATCH(G$28,FY14SCH!$A$2:$S$2,0),FALSE)</f>
        <v>0</v>
      </c>
      <c r="H31" s="443">
        <f>+GPpcntSCH*(VLOOKUP($A31,FY14Revenue!$A$4:$I$24,9,FALSE))*VLOOKUP($A31,FY14SCH!$A$3:$S$23,MATCH(H$28,FY14SCH!$A$2:$S$2,0),FALSE)</f>
        <v>0</v>
      </c>
      <c r="I31" s="443">
        <f>+GPpcntSCH*(VLOOKUP($A31,FY14Revenue!$A$4:$I$24,9,FALSE))*VLOOKUP($A31,FY14SCH!$A$3:$S$23,MATCH(I$28,FY14SCH!$A$2:$S$2,0),FALSE)</f>
        <v>580.60235339027997</v>
      </c>
      <c r="J31" s="443">
        <f>+GPpcntSCH*(VLOOKUP($A31,FY14Revenue!$A$4:$I$24,9,FALSE))*VLOOKUP($A31,FY14SCH!$A$3:$S$23,MATCH(J$28,FY14SCH!$A$2:$S$2,0),FALSE)</f>
        <v>145.15058834756999</v>
      </c>
      <c r="K31" s="443">
        <f>+GPpcntSCH*(VLOOKUP($A31,FY14Revenue!$A$4:$I$24,9,FALSE))*VLOOKUP($A31,FY14SCH!$A$3:$S$23,MATCH(K$28,FY14SCH!$A$2:$S$2,0),FALSE)</f>
        <v>193.53411779676</v>
      </c>
      <c r="L31" s="443">
        <f>+GPpcntSCH*(VLOOKUP($A31,FY14Revenue!$A$4:$I$24,9,FALSE))*VLOOKUP($A31,FY14SCH!$A$3:$S$23,MATCH(L$28,FY14SCH!$A$2:$S$2,0),FALSE)</f>
        <v>37690.769440919008</v>
      </c>
      <c r="M31" s="443">
        <f>+GPpcntSCH*(VLOOKUP($A31,FY14Revenue!$A$4:$I$24,9,FALSE))*VLOOKUP($A31,FY14SCH!$A$3:$S$23,MATCH(M$28,FY14SCH!$A$2:$S$2,0),FALSE)</f>
        <v>0</v>
      </c>
      <c r="N31" s="443">
        <f>+GPpcntSCH*(VLOOKUP($A31,FY14Revenue!$A$4:$I$24,9,FALSE))*VLOOKUP($A31,FY14SCH!$A$3:$S$23,MATCH(N$28,FY14SCH!$A$2:$S$2,0),FALSE)</f>
        <v>186736.2319091488</v>
      </c>
      <c r="O31" s="443">
        <f>+GPpcntSCH*(VLOOKUP($A31,FY14Revenue!$A$4:$I$24,9,FALSE))*VLOOKUP($A31,FY14SCH!$A$3:$S$23,MATCH(O$28,FY14SCH!$A$2:$S$2,0),FALSE)</f>
        <v>0</v>
      </c>
      <c r="P31" s="443">
        <f>+GPpcntSCH*(VLOOKUP($A31,FY14Revenue!$A$4:$I$24,9,FALSE))*VLOOKUP($A31,FY14SCH!$A$3:$S$23,MATCH(P$28,FY14SCH!$A$2:$S$2,0),FALSE)</f>
        <v>0</v>
      </c>
      <c r="Q31" s="443">
        <f>+GPpcntSCH*(VLOOKUP($A31,FY14Revenue!$A$4:$I$24,9,FALSE))*VLOOKUP($A31,FY14SCH!$A$3:$S$23,MATCH(Q$28,FY14SCH!$A$2:$S$2,0),FALSE)</f>
        <v>3677.1482381384399</v>
      </c>
      <c r="R31" s="443">
        <f>+GPpcntSCH*(VLOOKUP($A31,FY14Revenue!$A$4:$I$24,9,FALSE))*VLOOKUP($A31,FY14SCH!$A$3:$S$23,MATCH(R$28,FY14SCH!$A$2:$S$2,0),FALSE)</f>
        <v>0</v>
      </c>
      <c r="S31" s="443">
        <f>+GPpcntSCH*(VLOOKUP($A31,FY14Revenue!$A$4:$I$24,9,FALSE))*VLOOKUP($A31,FY14SCH!$A$3:$S$23,MATCH(S$28,FY14SCH!$A$2:$S$2,0),FALSE)</f>
        <v>96.76705889838</v>
      </c>
      <c r="T31" s="444">
        <f t="shared" si="23"/>
        <v>241216.08606893674</v>
      </c>
    </row>
    <row r="32" spans="1:21" s="18" customFormat="1" ht="20.100000000000001" customHeight="1">
      <c r="A32" s="404" t="s">
        <v>130</v>
      </c>
      <c r="B32" s="440" t="s">
        <v>37</v>
      </c>
      <c r="C32" s="410">
        <f>+GPpcntSCH*(VLOOKUP($A32,FY14Revenue!$A$4:$I$24,9,FALSE))*VLOOKUP($A32,FY14SCH!$A$3:$S$23,MATCH(C$28,FY14SCH!$A$2:$S$2,0),FALSE)</f>
        <v>7095.9790305716697</v>
      </c>
      <c r="D32" s="410">
        <f>+GPpcntSCH*(VLOOKUP($A32,FY14Revenue!$A$4:$I$24,9,FALSE))*VLOOKUP($A32,FY14SCH!$A$3:$S$23,MATCH(D$28,FY14SCH!$A$2:$S$2,0),FALSE)</f>
        <v>85106.837107172862</v>
      </c>
      <c r="E32" s="410">
        <f>+GPpcntSCH*(VLOOKUP($A32,FY14Revenue!$A$4:$I$24,9,FALSE))*VLOOKUP($A32,FY14SCH!$A$3:$S$23,MATCH(E$28,FY14SCH!$A$2:$S$2,0),FALSE)</f>
        <v>7904.3817049405943</v>
      </c>
      <c r="F32" s="410">
        <f>+GPpcntSCH*(VLOOKUP($A32,FY14Revenue!$A$4:$I$24,9,FALSE))*VLOOKUP($A32,FY14SCH!$A$3:$S$23,MATCH(F$28,FY14SCH!$A$2:$S$2,0),FALSE)</f>
        <v>7545.0916274432939</v>
      </c>
      <c r="G32" s="410">
        <f>+GPpcntSCH*(VLOOKUP($A32,FY14Revenue!$A$4:$I$24,9,FALSE))*VLOOKUP($A32,FY14SCH!$A$3:$S$23,MATCH(G$28,FY14SCH!$A$2:$S$2,0),FALSE)</f>
        <v>1282575.7541459857</v>
      </c>
      <c r="H32" s="410">
        <f>+GPpcntSCH*(VLOOKUP($A32,FY14Revenue!$A$4:$I$24,9,FALSE))*VLOOKUP($A32,FY14SCH!$A$3:$S$23,MATCH(H$28,FY14SCH!$A$2:$S$2,0),FALSE)</f>
        <v>12440.418933344003</v>
      </c>
      <c r="I32" s="410">
        <f>+GPpcntSCH*(VLOOKUP($A32,FY14Revenue!$A$4:$I$24,9,FALSE))*VLOOKUP($A32,FY14SCH!$A$3:$S$23,MATCH(I$28,FY14SCH!$A$2:$S$2,0),FALSE)</f>
        <v>2021.0066859223109</v>
      </c>
      <c r="J32" s="410">
        <f>+GPpcntSCH*(VLOOKUP($A32,FY14Revenue!$A$4:$I$24,9,FALSE))*VLOOKUP($A32,FY14SCH!$A$3:$S$23,MATCH(J$28,FY14SCH!$A$2:$S$2,0),FALSE)</f>
        <v>6871.4227321358567</v>
      </c>
      <c r="K32" s="410">
        <f>+GPpcntSCH*(VLOOKUP($A32,FY14Revenue!$A$4:$I$24,9,FALSE))*VLOOKUP($A32,FY14SCH!$A$3:$S$23,MATCH(K$28,FY14SCH!$A$2:$S$2,0),FALSE)</f>
        <v>898.22519374324929</v>
      </c>
      <c r="L32" s="410">
        <f>+GPpcntSCH*(VLOOKUP($A32,FY14Revenue!$A$4:$I$24,9,FALSE))*VLOOKUP($A32,FY14SCH!$A$3:$S$23,MATCH(L$28,FY14SCH!$A$2:$S$2,0),FALSE)</f>
        <v>1212.6040115533865</v>
      </c>
      <c r="M32" s="410">
        <f>+GPpcntSCH*(VLOOKUP($A32,FY14Revenue!$A$4:$I$24,9,FALSE))*VLOOKUP($A32,FY14SCH!$A$3:$S$23,MATCH(M$28,FY14SCH!$A$2:$S$2,0),FALSE)</f>
        <v>0</v>
      </c>
      <c r="N32" s="410">
        <f>+GPpcntSCH*(VLOOKUP($A32,FY14Revenue!$A$4:$I$24,9,FALSE))*VLOOKUP($A32,FY14SCH!$A$3:$S$23,MATCH(N$28,FY14SCH!$A$2:$S$2,0),FALSE)</f>
        <v>23847.878893883266</v>
      </c>
      <c r="O32" s="410">
        <f>+GPpcntSCH*(VLOOKUP($A32,FY14Revenue!$A$4:$I$24,9,FALSE))*VLOOKUP($A32,FY14SCH!$A$3:$S$23,MATCH(O$28,FY14SCH!$A$2:$S$2,0),FALSE)</f>
        <v>55420.494453958483</v>
      </c>
      <c r="P32" s="410">
        <f>+GPpcntSCH*(VLOOKUP($A32,FY14Revenue!$A$4:$I$24,9,FALSE))*VLOOKUP($A32,FY14SCH!$A$3:$S$23,MATCH(P$28,FY14SCH!$A$2:$S$2,0),FALSE)</f>
        <v>538.93511624594953</v>
      </c>
      <c r="Q32" s="410">
        <f>+GPpcntSCH*(VLOOKUP($A32,FY14Revenue!$A$4:$I$24,9,FALSE))*VLOOKUP($A32,FY14SCH!$A$3:$S$23,MATCH(Q$28,FY14SCH!$A$2:$S$2,0),FALSE)</f>
        <v>26317.998176677203</v>
      </c>
      <c r="R32" s="410">
        <f>+GPpcntSCH*(VLOOKUP($A32,FY14Revenue!$A$4:$I$24,9,FALSE))*VLOOKUP($A32,FY14SCH!$A$3:$S$23,MATCH(R$28,FY14SCH!$A$2:$S$2,0),FALSE)</f>
        <v>0</v>
      </c>
      <c r="S32" s="410">
        <f>+GPpcntSCH*(VLOOKUP($A32,FY14Revenue!$A$4:$I$24,9,FALSE))*VLOOKUP($A32,FY14SCH!$A$3:$S$23,MATCH(S$28,FY14SCH!$A$2:$S$2,0),FALSE)</f>
        <v>1459.61593983278</v>
      </c>
      <c r="T32" s="441">
        <f t="shared" si="23"/>
        <v>1521256.6437534105</v>
      </c>
    </row>
    <row r="33" spans="1:20" ht="20.100000000000001" customHeight="1">
      <c r="A33" s="404" t="s">
        <v>131</v>
      </c>
      <c r="B33" s="442" t="s">
        <v>141</v>
      </c>
      <c r="C33" s="443">
        <f>+GPpcntSCH*(VLOOKUP($A33,FY14Revenue!$A$4:$I$24,9,FALSE))*VLOOKUP($A33,FY14SCH!$A$3:$S$23,MATCH(C$28,FY14SCH!$A$2:$S$2,0),FALSE)</f>
        <v>496.3967742937574</v>
      </c>
      <c r="D33" s="443">
        <f>+GPpcntSCH*(VLOOKUP($A33,FY14Revenue!$A$4:$I$24,9,FALSE))*VLOOKUP($A33,FY14SCH!$A$3:$S$23,MATCH(D$28,FY14SCH!$A$2:$S$2,0),FALSE)</f>
        <v>33424.049469113001</v>
      </c>
      <c r="E33" s="443">
        <f>+GPpcntSCH*(VLOOKUP($A33,FY14Revenue!$A$4:$I$24,9,FALSE))*VLOOKUP($A33,FY14SCH!$A$3:$S$23,MATCH(E$28,FY14SCH!$A$2:$S$2,0),FALSE)</f>
        <v>330.9311828625049</v>
      </c>
      <c r="F33" s="443">
        <f>+GPpcntSCH*(VLOOKUP($A33,FY14Revenue!$A$4:$I$24,9,FALSE))*VLOOKUP($A33,FY14SCH!$A$3:$S$23,MATCH(F$28,FY14SCH!$A$2:$S$2,0),FALSE)</f>
        <v>1406.4575271656458</v>
      </c>
      <c r="G33" s="443">
        <f>+GPpcntSCH*(VLOOKUP($A33,FY14Revenue!$A$4:$I$24,9,FALSE))*VLOOKUP($A33,FY14SCH!$A$3:$S$23,MATCH(G$28,FY14SCH!$A$2:$S$2,0),FALSE)</f>
        <v>4053.906990065685</v>
      </c>
      <c r="H33" s="443">
        <f>+GPpcntSCH*(VLOOKUP($A33,FY14Revenue!$A$4:$I$24,9,FALSE))*VLOOKUP($A33,FY14SCH!$A$3:$S$23,MATCH(H$28,FY14SCH!$A$2:$S$2,0),FALSE)</f>
        <v>647921.88964692689</v>
      </c>
      <c r="I33" s="443">
        <f>+GPpcntSCH*(VLOOKUP($A33,FY14Revenue!$A$4:$I$24,9,FALSE))*VLOOKUP($A33,FY14SCH!$A$3:$S$23,MATCH(I$28,FY14SCH!$A$2:$S$2,0),FALSE)</f>
        <v>41.366397857813112</v>
      </c>
      <c r="J33" s="443">
        <f>+GPpcntSCH*(VLOOKUP($A33,FY14Revenue!$A$4:$I$24,9,FALSE))*VLOOKUP($A33,FY14SCH!$A$3:$S$23,MATCH(J$28,FY14SCH!$A$2:$S$2,0),FALSE)</f>
        <v>1365.0911293078327</v>
      </c>
      <c r="K33" s="443">
        <f>+GPpcntSCH*(VLOOKUP($A33,FY14Revenue!$A$4:$I$24,9,FALSE))*VLOOKUP($A33,FY14SCH!$A$3:$S$23,MATCH(K$28,FY14SCH!$A$2:$S$2,0),FALSE)</f>
        <v>5088.0669365110134</v>
      </c>
      <c r="L33" s="443">
        <f>+GPpcntSCH*(VLOOKUP($A33,FY14Revenue!$A$4:$I$24,9,FALSE))*VLOOKUP($A33,FY14SCH!$A$3:$S$23,MATCH(L$28,FY14SCH!$A$2:$S$2,0),FALSE)</f>
        <v>0</v>
      </c>
      <c r="M33" s="443">
        <f>+GPpcntSCH*(VLOOKUP($A33,FY14Revenue!$A$4:$I$24,9,FALSE))*VLOOKUP($A33,FY14SCH!$A$3:$S$23,MATCH(M$28,FY14SCH!$A$2:$S$2,0),FALSE)</f>
        <v>0</v>
      </c>
      <c r="N33" s="443">
        <f>+GPpcntSCH*(VLOOKUP($A33,FY14Revenue!$A$4:$I$24,9,FALSE))*VLOOKUP($A33,FY14SCH!$A$3:$S$23,MATCH(N$28,FY14SCH!$A$2:$S$2,0),FALSE)</f>
        <v>1571.9231185968983</v>
      </c>
      <c r="O33" s="443">
        <f>+GPpcntSCH*(VLOOKUP($A33,FY14Revenue!$A$4:$I$24,9,FALSE))*VLOOKUP($A33,FY14SCH!$A$3:$S$23,MATCH(O$28,FY14SCH!$A$2:$S$2,0),FALSE)</f>
        <v>0</v>
      </c>
      <c r="P33" s="443">
        <f>+GPpcntSCH*(VLOOKUP($A33,FY14Revenue!$A$4:$I$24,9,FALSE))*VLOOKUP($A33,FY14SCH!$A$3:$S$23,MATCH(P$28,FY14SCH!$A$2:$S$2,0),FALSE)</f>
        <v>0</v>
      </c>
      <c r="Q33" s="443">
        <f>+GPpcntSCH*(VLOOKUP($A33,FY14Revenue!$A$4:$I$24,9,FALSE))*VLOOKUP($A33,FY14SCH!$A$3:$S$23,MATCH(Q$28,FY14SCH!$A$2:$S$2,0),FALSE)</f>
        <v>868.69435501407543</v>
      </c>
      <c r="R33" s="443">
        <f>+GPpcntSCH*(VLOOKUP($A33,FY14Revenue!$A$4:$I$24,9,FALSE))*VLOOKUP($A33,FY14SCH!$A$3:$S$23,MATCH(R$28,FY14SCH!$A$2:$S$2,0),FALSE)</f>
        <v>0</v>
      </c>
      <c r="S33" s="443">
        <f>+GPpcntSCH*(VLOOKUP($A33,FY14Revenue!$A$4:$I$24,9,FALSE))*VLOOKUP($A33,FY14SCH!$A$3:$S$23,MATCH(S$28,FY14SCH!$A$2:$S$2,0),FALSE)</f>
        <v>1365.0911293078327</v>
      </c>
      <c r="T33" s="444">
        <f t="shared" si="23"/>
        <v>697933.86465702299</v>
      </c>
    </row>
    <row r="34" spans="1:20" s="18" customFormat="1" ht="20.100000000000001" customHeight="1">
      <c r="A34" s="404" t="s">
        <v>132</v>
      </c>
      <c r="B34" s="440" t="s">
        <v>206</v>
      </c>
      <c r="C34" s="410">
        <f>+GPpcntSCH*(VLOOKUP($A34,FY14Revenue!$A$4:$I$24,9,FALSE))*VLOOKUP($A34,FY14SCH!$A$3:$S$23,MATCH(C$28,FY14SCH!$A$2:$S$2,0),FALSE)</f>
        <v>258.62955824558509</v>
      </c>
      <c r="D34" s="410">
        <f>+GPpcntSCH*(VLOOKUP($A34,FY14Revenue!$A$4:$I$24,9,FALSE))*VLOOKUP($A34,FY14SCH!$A$3:$S$23,MATCH(D$28,FY14SCH!$A$2:$S$2,0),FALSE)</f>
        <v>31811.435664206965</v>
      </c>
      <c r="E34" s="410">
        <f>+GPpcntSCH*(VLOOKUP($A34,FY14Revenue!$A$4:$I$24,9,FALSE))*VLOOKUP($A34,FY14SCH!$A$3:$S$23,MATCH(E$28,FY14SCH!$A$2:$S$2,0),FALSE)</f>
        <v>172.41970549705673</v>
      </c>
      <c r="F34" s="410">
        <f>+GPpcntSCH*(VLOOKUP($A34,FY14Revenue!$A$4:$I$24,9,FALSE))*VLOOKUP($A34,FY14SCH!$A$3:$S$23,MATCH(F$28,FY14SCH!$A$2:$S$2,0),FALSE)</f>
        <v>849080.83972025581</v>
      </c>
      <c r="G34" s="410">
        <f>+GPpcntSCH*(VLOOKUP($A34,FY14Revenue!$A$4:$I$24,9,FALSE))*VLOOKUP($A34,FY14SCH!$A$3:$S$23,MATCH(G$28,FY14SCH!$A$2:$S$2,0),FALSE)</f>
        <v>215.52463187132091</v>
      </c>
      <c r="H34" s="410">
        <f>+GPpcntSCH*(VLOOKUP($A34,FY14Revenue!$A$4:$I$24,9,FALSE))*VLOOKUP($A34,FY14SCH!$A$3:$S$23,MATCH(H$28,FY14SCH!$A$2:$S$2,0),FALSE)</f>
        <v>8017.5163056131369</v>
      </c>
      <c r="I34" s="410">
        <f>+GPpcntSCH*(VLOOKUP($A34,FY14Revenue!$A$4:$I$24,9,FALSE))*VLOOKUP($A34,FY14SCH!$A$3:$S$23,MATCH(I$28,FY14SCH!$A$2:$S$2,0),FALSE)</f>
        <v>560.36404286543439</v>
      </c>
      <c r="J34" s="410">
        <f>+GPpcntSCH*(VLOOKUP($A34,FY14Revenue!$A$4:$I$24,9,FALSE))*VLOOKUP($A34,FY14SCH!$A$3:$S$23,MATCH(J$28,FY14SCH!$A$2:$S$2,0),FALSE)</f>
        <v>0</v>
      </c>
      <c r="K34" s="410">
        <f>+GPpcntSCH*(VLOOKUP($A34,FY14Revenue!$A$4:$I$24,9,FALSE))*VLOOKUP($A34,FY14SCH!$A$3:$S$23,MATCH(K$28,FY14SCH!$A$2:$S$2,0),FALSE)</f>
        <v>6508.843882513891</v>
      </c>
      <c r="L34" s="410">
        <f>+GPpcntSCH*(VLOOKUP($A34,FY14Revenue!$A$4:$I$24,9,FALSE))*VLOOKUP($A34,FY14SCH!$A$3:$S$23,MATCH(L$28,FY14SCH!$A$2:$S$2,0),FALSE)</f>
        <v>3017.3448461984926</v>
      </c>
      <c r="M34" s="410">
        <f>+GPpcntSCH*(VLOOKUP($A34,FY14Revenue!$A$4:$I$24,9,FALSE))*VLOOKUP($A34,FY14SCH!$A$3:$S$23,MATCH(M$28,FY14SCH!$A$2:$S$2,0),FALSE)</f>
        <v>0</v>
      </c>
      <c r="N34" s="410">
        <f>+GPpcntSCH*(VLOOKUP($A34,FY14Revenue!$A$4:$I$24,9,FALSE))*VLOOKUP($A34,FY14SCH!$A$3:$S$23,MATCH(N$28,FY14SCH!$A$2:$S$2,0),FALSE)</f>
        <v>1293.1477912279254</v>
      </c>
      <c r="O34" s="410">
        <f>+GPpcntSCH*(VLOOKUP($A34,FY14Revenue!$A$4:$I$24,9,FALSE))*VLOOKUP($A34,FY14SCH!$A$3:$S$23,MATCH(O$28,FY14SCH!$A$2:$S$2,0),FALSE)</f>
        <v>258.62955824558509</v>
      </c>
      <c r="P34" s="410">
        <f>+GPpcntSCH*(VLOOKUP($A34,FY14Revenue!$A$4:$I$24,9,FALSE))*VLOOKUP($A34,FY14SCH!$A$3:$S$23,MATCH(P$28,FY14SCH!$A$2:$S$2,0),FALSE)</f>
        <v>0</v>
      </c>
      <c r="Q34" s="410">
        <f>+GPpcntSCH*(VLOOKUP($A34,FY14Revenue!$A$4:$I$24,9,FALSE))*VLOOKUP($A34,FY14SCH!$A$3:$S$23,MATCH(Q$28,FY14SCH!$A$2:$S$2,0),FALSE)</f>
        <v>948.30838023381193</v>
      </c>
      <c r="R34" s="410">
        <f>+GPpcntSCH*(VLOOKUP($A34,FY14Revenue!$A$4:$I$24,9,FALSE))*VLOOKUP($A34,FY14SCH!$A$3:$S$23,MATCH(R$28,FY14SCH!$A$2:$S$2,0),FALSE)</f>
        <v>0</v>
      </c>
      <c r="S34" s="410">
        <f>+GPpcntSCH*(VLOOKUP($A34,FY14Revenue!$A$4:$I$24,9,FALSE))*VLOOKUP($A34,FY14SCH!$A$3:$S$23,MATCH(S$28,FY14SCH!$A$2:$S$2,0),FALSE)</f>
        <v>1379.3576439764538</v>
      </c>
      <c r="T34" s="441">
        <f t="shared" si="23"/>
        <v>903522.36173095147</v>
      </c>
    </row>
    <row r="35" spans="1:20" ht="20.100000000000001" customHeight="1">
      <c r="A35" s="404" t="s">
        <v>134</v>
      </c>
      <c r="B35" s="442" t="s">
        <v>40</v>
      </c>
      <c r="C35" s="443">
        <f>+GPpcntSCH*(VLOOKUP($A35,FY14Revenue!$A$4:$I$24,9,FALSE))*VLOOKUP($A35,FY14SCH!$A$3:$S$23,MATCH(C$28,FY14SCH!$A$2:$S$2,0),FALSE)</f>
        <v>0</v>
      </c>
      <c r="D35" s="443">
        <f>+GPpcntSCH*(VLOOKUP($A35,FY14Revenue!$A$4:$I$24,9,FALSE))*VLOOKUP($A35,FY14SCH!$A$3:$S$23,MATCH(D$28,FY14SCH!$A$2:$S$2,0),FALSE)</f>
        <v>0</v>
      </c>
      <c r="E35" s="443">
        <f>+GPpcntSCH*(VLOOKUP($A35,FY14Revenue!$A$4:$I$24,9,FALSE))*VLOOKUP($A35,FY14SCH!$A$3:$S$23,MATCH(E$28,FY14SCH!$A$2:$S$2,0),FALSE)</f>
        <v>0</v>
      </c>
      <c r="F35" s="443">
        <f>+GPpcntSCH*(VLOOKUP($A35,FY14Revenue!$A$4:$I$24,9,FALSE))*VLOOKUP($A35,FY14SCH!$A$3:$S$23,MATCH(F$28,FY14SCH!$A$2:$S$2,0),FALSE)</f>
        <v>0</v>
      </c>
      <c r="G35" s="443">
        <f>+GPpcntSCH*(VLOOKUP($A35,FY14Revenue!$A$4:$I$24,9,FALSE))*VLOOKUP($A35,FY14SCH!$A$3:$S$23,MATCH(G$28,FY14SCH!$A$2:$S$2,0),FALSE)</f>
        <v>0</v>
      </c>
      <c r="H35" s="443">
        <f>+GPpcntSCH*(VLOOKUP($A35,FY14Revenue!$A$4:$I$24,9,FALSE))*VLOOKUP($A35,FY14SCH!$A$3:$S$23,MATCH(H$28,FY14SCH!$A$2:$S$2,0),FALSE)</f>
        <v>0</v>
      </c>
      <c r="I35" s="443">
        <f>+GPpcntSCH*(VLOOKUP($A35,FY14Revenue!$A$4:$I$24,9,FALSE))*VLOOKUP($A35,FY14SCH!$A$3:$S$23,MATCH(I$28,FY14SCH!$A$2:$S$2,0),FALSE)</f>
        <v>1600.1151489145652</v>
      </c>
      <c r="J35" s="443">
        <f>+GPpcntSCH*(VLOOKUP($A35,FY14Revenue!$A$4:$I$24,9,FALSE))*VLOOKUP($A35,FY14SCH!$A$3:$S$23,MATCH(J$28,FY14SCH!$A$2:$S$2,0),FALSE)</f>
        <v>0</v>
      </c>
      <c r="K35" s="443">
        <f>+GPpcntSCH*(VLOOKUP($A35,FY14Revenue!$A$4:$I$24,9,FALSE))*VLOOKUP($A35,FY14SCH!$A$3:$S$23,MATCH(K$28,FY14SCH!$A$2:$S$2,0),FALSE)</f>
        <v>0</v>
      </c>
      <c r="L35" s="443">
        <f>+GPpcntSCH*(VLOOKUP($A35,FY14Revenue!$A$4:$I$24,9,FALSE))*VLOOKUP($A35,FY14SCH!$A$3:$S$23,MATCH(L$28,FY14SCH!$A$2:$S$2,0),FALSE)</f>
        <v>0</v>
      </c>
      <c r="M35" s="443">
        <f>+GPpcntSCH*(VLOOKUP($A35,FY14Revenue!$A$4:$I$24,9,FALSE))*VLOOKUP($A35,FY14SCH!$A$3:$S$23,MATCH(M$28,FY14SCH!$A$2:$S$2,0),FALSE)</f>
        <v>0</v>
      </c>
      <c r="N35" s="443">
        <f>+GPpcntSCH*(VLOOKUP($A35,FY14Revenue!$A$4:$I$24,9,FALSE))*VLOOKUP($A35,FY14SCH!$A$3:$S$23,MATCH(N$28,FY14SCH!$A$2:$S$2,0),FALSE)</f>
        <v>0</v>
      </c>
      <c r="O35" s="443">
        <f>+GPpcntSCH*(VLOOKUP($A35,FY14Revenue!$A$4:$I$24,9,FALSE))*VLOOKUP($A35,FY14SCH!$A$3:$S$23,MATCH(O$28,FY14SCH!$A$2:$S$2,0),FALSE)</f>
        <v>0</v>
      </c>
      <c r="P35" s="443">
        <f>+GPpcntSCH*(VLOOKUP($A35,FY14Revenue!$A$4:$I$24,9,FALSE))*VLOOKUP($A35,FY14SCH!$A$3:$S$23,MATCH(P$28,FY14SCH!$A$2:$S$2,0),FALSE)</f>
        <v>0</v>
      </c>
      <c r="Q35" s="443">
        <f>+GPpcntSCH*(VLOOKUP($A35,FY14Revenue!$A$4:$I$24,9,FALSE))*VLOOKUP($A35,FY14SCH!$A$3:$S$23,MATCH(Q$28,FY14SCH!$A$2:$S$2,0),FALSE)</f>
        <v>0</v>
      </c>
      <c r="R35" s="443">
        <f>+GPpcntSCH*(VLOOKUP($A35,FY14Revenue!$A$4:$I$24,9,FALSE))*VLOOKUP($A35,FY14SCH!$A$3:$S$23,MATCH(R$28,FY14SCH!$A$2:$S$2,0),FALSE)</f>
        <v>0</v>
      </c>
      <c r="S35" s="443">
        <f>+GPpcntSCH*(VLOOKUP($A35,FY14Revenue!$A$4:$I$24,9,FALSE))*VLOOKUP($A35,FY14SCH!$A$3:$S$23,MATCH(S$28,FY14SCH!$A$2:$S$2,0),FALSE)</f>
        <v>0</v>
      </c>
      <c r="T35" s="444">
        <f t="shared" si="23"/>
        <v>1600.1151489145652</v>
      </c>
    </row>
    <row r="36" spans="1:20" s="18" customFormat="1" ht="20.100000000000001" customHeight="1">
      <c r="A36" s="404" t="s">
        <v>135</v>
      </c>
      <c r="B36" s="440" t="s">
        <v>70</v>
      </c>
      <c r="C36" s="410">
        <f>+GPpcntSCH*(VLOOKUP($A36,FY14Revenue!$A$4:$I$24,9,FALSE))*VLOOKUP($A36,FY14SCH!$A$3:$S$23,MATCH(C$28,FY14SCH!$A$2:$S$2,0),FALSE)</f>
        <v>0</v>
      </c>
      <c r="D36" s="410">
        <f>+GPpcntSCH*(VLOOKUP($A36,FY14Revenue!$A$4:$I$24,9,FALSE))*VLOOKUP($A36,FY14SCH!$A$3:$S$23,MATCH(D$28,FY14SCH!$A$2:$S$2,0),FALSE)</f>
        <v>2832.3206219560461</v>
      </c>
      <c r="E36" s="410">
        <f>+GPpcntSCH*(VLOOKUP($A36,FY14Revenue!$A$4:$I$24,9,FALSE))*VLOOKUP($A36,FY14SCH!$A$3:$S$23,MATCH(E$28,FY14SCH!$A$2:$S$2,0),FALSE)</f>
        <v>0</v>
      </c>
      <c r="F36" s="410">
        <f>+GPpcntSCH*(VLOOKUP($A36,FY14Revenue!$A$4:$I$24,9,FALSE))*VLOOKUP($A36,FY14SCH!$A$3:$S$23,MATCH(F$28,FY14SCH!$A$2:$S$2,0),FALSE)</f>
        <v>163.40311280515652</v>
      </c>
      <c r="G36" s="410">
        <f>+GPpcntSCH*(VLOOKUP($A36,FY14Revenue!$A$4:$I$24,9,FALSE))*VLOOKUP($A36,FY14SCH!$A$3:$S$23,MATCH(G$28,FY14SCH!$A$2:$S$2,0),FALSE)</f>
        <v>0</v>
      </c>
      <c r="H36" s="410">
        <f>+GPpcntSCH*(VLOOKUP($A36,FY14Revenue!$A$4:$I$24,9,FALSE))*VLOOKUP($A36,FY14SCH!$A$3:$S$23,MATCH(H$28,FY14SCH!$A$2:$S$2,0),FALSE)</f>
        <v>0</v>
      </c>
      <c r="I36" s="410">
        <f>+GPpcntSCH*(VLOOKUP($A36,FY14Revenue!$A$4:$I$24,9,FALSE))*VLOOKUP($A36,FY14SCH!$A$3:$S$23,MATCH(I$28,FY14SCH!$A$2:$S$2,0),FALSE)</f>
        <v>0</v>
      </c>
      <c r="J36" s="410">
        <f>+GPpcntSCH*(VLOOKUP($A36,FY14Revenue!$A$4:$I$24,9,FALSE))*VLOOKUP($A36,FY14SCH!$A$3:$S$23,MATCH(J$28,FY14SCH!$A$2:$S$2,0),FALSE)</f>
        <v>54.467704268385503</v>
      </c>
      <c r="K36" s="410">
        <f>+GPpcntSCH*(VLOOKUP($A36,FY14Revenue!$A$4:$I$24,9,FALSE))*VLOOKUP($A36,FY14SCH!$A$3:$S$23,MATCH(K$28,FY14SCH!$A$2:$S$2,0),FALSE)</f>
        <v>4411.8840457392262</v>
      </c>
      <c r="L36" s="410">
        <f>+GPpcntSCH*(VLOOKUP($A36,FY14Revenue!$A$4:$I$24,9,FALSE))*VLOOKUP($A36,FY14SCH!$A$3:$S$23,MATCH(L$28,FY14SCH!$A$2:$S$2,0),FALSE)</f>
        <v>498433.96175999579</v>
      </c>
      <c r="M36" s="410">
        <f>+GPpcntSCH*(VLOOKUP($A36,FY14Revenue!$A$4:$I$24,9,FALSE))*VLOOKUP($A36,FY14SCH!$A$3:$S$23,MATCH(M$28,FY14SCH!$A$2:$S$2,0),FALSE)</f>
        <v>435.74163414708403</v>
      </c>
      <c r="N36" s="410">
        <f>+GPpcntSCH*(VLOOKUP($A36,FY14Revenue!$A$4:$I$24,9,FALSE))*VLOOKUP($A36,FY14SCH!$A$3:$S$23,MATCH(N$28,FY14SCH!$A$2:$S$2,0),FALSE)</f>
        <v>5828.0443567172488</v>
      </c>
      <c r="O36" s="410">
        <f>+GPpcntSCH*(VLOOKUP($A36,FY14Revenue!$A$4:$I$24,9,FALSE))*VLOOKUP($A36,FY14SCH!$A$3:$S$23,MATCH(O$28,FY14SCH!$A$2:$S$2,0),FALSE)</f>
        <v>0</v>
      </c>
      <c r="P36" s="410">
        <f>+GPpcntSCH*(VLOOKUP($A36,FY14Revenue!$A$4:$I$24,9,FALSE))*VLOOKUP($A36,FY14SCH!$A$3:$S$23,MATCH(P$28,FY14SCH!$A$2:$S$2,0),FALSE)</f>
        <v>0</v>
      </c>
      <c r="Q36" s="410">
        <f>+GPpcntSCH*(VLOOKUP($A36,FY14Revenue!$A$4:$I$24,9,FALSE))*VLOOKUP($A36,FY14SCH!$A$3:$S$23,MATCH(Q$28,FY14SCH!$A$2:$S$2,0),FALSE)</f>
        <v>5555.7058353753218</v>
      </c>
      <c r="R36" s="410">
        <f>+GPpcntSCH*(VLOOKUP($A36,FY14Revenue!$A$4:$I$24,9,FALSE))*VLOOKUP($A36,FY14SCH!$A$3:$S$23,MATCH(R$28,FY14SCH!$A$2:$S$2,0),FALSE)</f>
        <v>0</v>
      </c>
      <c r="S36" s="410">
        <f>+GPpcntSCH*(VLOOKUP($A36,FY14Revenue!$A$4:$I$24,9,FALSE))*VLOOKUP($A36,FY14SCH!$A$3:$S$23,MATCH(S$28,FY14SCH!$A$2:$S$2,0),FALSE)</f>
        <v>0</v>
      </c>
      <c r="T36" s="441">
        <f t="shared" si="23"/>
        <v>517715.52907100425</v>
      </c>
    </row>
    <row r="37" spans="1:20" ht="20.100000000000001" customHeight="1">
      <c r="A37" s="404" t="s">
        <v>136</v>
      </c>
      <c r="B37" s="442" t="s">
        <v>144</v>
      </c>
      <c r="C37" s="443">
        <f>+GPpcntSCH*(VLOOKUP($A37,FY14Revenue!$A$4:$I$24,9,FALSE))*VLOOKUP($A37,FY14SCH!$A$3:$S$23,MATCH(C$28,FY14SCH!$A$2:$S$2,0),FALSE)</f>
        <v>187.63943916310365</v>
      </c>
      <c r="D37" s="443">
        <f>+GPpcntSCH*(VLOOKUP($A37,FY14Revenue!$A$4:$I$24,9,FALSE))*VLOOKUP($A37,FY14SCH!$A$3:$S$23,MATCH(D$28,FY14SCH!$A$2:$S$2,0),FALSE)</f>
        <v>28990.293350699514</v>
      </c>
      <c r="E37" s="443">
        <f>+GPpcntSCH*(VLOOKUP($A37,FY14Revenue!$A$4:$I$24,9,FALSE))*VLOOKUP($A37,FY14SCH!$A$3:$S$23,MATCH(E$28,FY14SCH!$A$2:$S$2,0),FALSE)</f>
        <v>93.819719581551823</v>
      </c>
      <c r="F37" s="443">
        <f>+GPpcntSCH*(VLOOKUP($A37,FY14Revenue!$A$4:$I$24,9,FALSE))*VLOOKUP($A37,FY14SCH!$A$3:$S$23,MATCH(F$28,FY14SCH!$A$2:$S$2,0),FALSE)</f>
        <v>140.72957937232775</v>
      </c>
      <c r="G37" s="443">
        <f>+GPpcntSCH*(VLOOKUP($A37,FY14Revenue!$A$4:$I$24,9,FALSE))*VLOOKUP($A37,FY14SCH!$A$3:$S$23,MATCH(G$28,FY14SCH!$A$2:$S$2,0),FALSE)</f>
        <v>2204.7634101664676</v>
      </c>
      <c r="H37" s="443">
        <f>+GPpcntSCH*(VLOOKUP($A37,FY14Revenue!$A$4:$I$24,9,FALSE))*VLOOKUP($A37,FY14SCH!$A$3:$S$23,MATCH(H$28,FY14SCH!$A$2:$S$2,0),FALSE)</f>
        <v>1501.1155133048292</v>
      </c>
      <c r="I37" s="443">
        <f>+GPpcntSCH*(VLOOKUP($A37,FY14Revenue!$A$4:$I$24,9,FALSE))*VLOOKUP($A37,FY14SCH!$A$3:$S$23,MATCH(I$28,FY14SCH!$A$2:$S$2,0),FALSE)</f>
        <v>46.909859790775911</v>
      </c>
      <c r="J37" s="443">
        <f>+GPpcntSCH*(VLOOKUP($A37,FY14Revenue!$A$4:$I$24,9,FALSE))*VLOOKUP($A37,FY14SCH!$A$3:$S$23,MATCH(J$28,FY14SCH!$A$2:$S$2,0),FALSE)</f>
        <v>140.72957937232775</v>
      </c>
      <c r="K37" s="443">
        <f>+GPpcntSCH*(VLOOKUP($A37,FY14Revenue!$A$4:$I$24,9,FALSE))*VLOOKUP($A37,FY14SCH!$A$3:$S$23,MATCH(K$28,FY14SCH!$A$2:$S$2,0),FALSE)</f>
        <v>1688.7549524679328</v>
      </c>
      <c r="L37" s="443">
        <f>+GPpcntSCH*(VLOOKUP($A37,FY14Revenue!$A$4:$I$24,9,FALSE))*VLOOKUP($A37,FY14SCH!$A$3:$S$23,MATCH(L$28,FY14SCH!$A$2:$S$2,0),FALSE)</f>
        <v>516.00845769853504</v>
      </c>
      <c r="M37" s="443">
        <f>+GPpcntSCH*(VLOOKUP($A37,FY14Revenue!$A$4:$I$24,9,FALSE))*VLOOKUP($A37,FY14SCH!$A$3:$S$23,MATCH(M$28,FY14SCH!$A$2:$S$2,0),FALSE)</f>
        <v>46.909859790775911</v>
      </c>
      <c r="N37" s="443">
        <f>+GPpcntSCH*(VLOOKUP($A37,FY14Revenue!$A$4:$I$24,9,FALSE))*VLOOKUP($A37,FY14SCH!$A$3:$S$23,MATCH(N$28,FY14SCH!$A$2:$S$2,0),FALSE)</f>
        <v>16230.811487608466</v>
      </c>
      <c r="O37" s="443">
        <f>+GPpcntSCH*(VLOOKUP($A37,FY14Revenue!$A$4:$I$24,9,FALSE))*VLOOKUP($A37,FY14SCH!$A$3:$S$23,MATCH(O$28,FY14SCH!$A$2:$S$2,0),FALSE)</f>
        <v>140.72957937232775</v>
      </c>
      <c r="P37" s="443">
        <f>+GPpcntSCH*(VLOOKUP($A37,FY14Revenue!$A$4:$I$24,9,FALSE))*VLOOKUP($A37,FY14SCH!$A$3:$S$23,MATCH(P$28,FY14SCH!$A$2:$S$2,0),FALSE)</f>
        <v>4409.5268203329351</v>
      </c>
      <c r="Q37" s="443">
        <f>+GPpcntSCH*(VLOOKUP($A37,FY14Revenue!$A$4:$I$24,9,FALSE))*VLOOKUP($A37,FY14SCH!$A$3:$S$23,MATCH(Q$28,FY14SCH!$A$2:$S$2,0),FALSE)</f>
        <v>412032.75347228022</v>
      </c>
      <c r="R37" s="443">
        <f>+GPpcntSCH*(VLOOKUP($A37,FY14Revenue!$A$4:$I$24,9,FALSE))*VLOOKUP($A37,FY14SCH!$A$3:$S$23,MATCH(R$28,FY14SCH!$A$2:$S$2,0),FALSE)</f>
        <v>0</v>
      </c>
      <c r="S37" s="443">
        <f>+GPpcntSCH*(VLOOKUP($A37,FY14Revenue!$A$4:$I$24,9,FALSE))*VLOOKUP($A37,FY14SCH!$A$3:$S$23,MATCH(S$28,FY14SCH!$A$2:$S$2,0),FALSE)</f>
        <v>2673.8620080742271</v>
      </c>
      <c r="T37" s="444">
        <f t="shared" si="23"/>
        <v>471045.35708907631</v>
      </c>
    </row>
    <row r="38" spans="1:20" s="18" customFormat="1" ht="20.100000000000001" customHeight="1">
      <c r="A38" s="404" t="s">
        <v>137</v>
      </c>
      <c r="B38" s="440" t="s">
        <v>49</v>
      </c>
      <c r="C38" s="410">
        <f>+GPpcntSCH*(VLOOKUP($A38,FY14Revenue!$A$4:$I$24,9,FALSE))*VLOOKUP($A38,FY14SCH!$A$3:$S$23,MATCH(C$28,FY14SCH!$A$2:$S$2,0),FALSE)</f>
        <v>1198.6640816771003</v>
      </c>
      <c r="D38" s="410">
        <f>+GPpcntSCH*(VLOOKUP($A38,FY14Revenue!$A$4:$I$24,9,FALSE))*VLOOKUP($A38,FY14SCH!$A$3:$S$23,MATCH(D$28,FY14SCH!$A$2:$S$2,0),FALSE)</f>
        <v>4867.3026346888319</v>
      </c>
      <c r="E38" s="410">
        <f>+GPpcntSCH*(VLOOKUP($A38,FY14Revenue!$A$4:$I$24,9,FALSE))*VLOOKUP($A38,FY14SCH!$A$3:$S$23,MATCH(E$28,FY14SCH!$A$2:$S$2,0),FALSE)</f>
        <v>290.58523192172134</v>
      </c>
      <c r="F38" s="410">
        <f>+GPpcntSCH*(VLOOKUP($A38,FY14Revenue!$A$4:$I$24,9,FALSE))*VLOOKUP($A38,FY14SCH!$A$3:$S$23,MATCH(F$28,FY14SCH!$A$2:$S$2,0),FALSE)</f>
        <v>0</v>
      </c>
      <c r="G38" s="410">
        <f>+GPpcntSCH*(VLOOKUP($A38,FY14Revenue!$A$4:$I$24,9,FALSE))*VLOOKUP($A38,FY14SCH!$A$3:$S$23,MATCH(G$28,FY14SCH!$A$2:$S$2,0),FALSE)</f>
        <v>653.81677182387295</v>
      </c>
      <c r="H38" s="410">
        <f>+GPpcntSCH*(VLOOKUP($A38,FY14Revenue!$A$4:$I$24,9,FALSE))*VLOOKUP($A38,FY14SCH!$A$3:$S$23,MATCH(H$28,FY14SCH!$A$2:$S$2,0),FALSE)</f>
        <v>145.29261596086067</v>
      </c>
      <c r="I38" s="410">
        <f>+GPpcntSCH*(VLOOKUP($A38,FY14Revenue!$A$4:$I$24,9,FALSE))*VLOOKUP($A38,FY14SCH!$A$3:$S$23,MATCH(I$28,FY14SCH!$A$2:$S$2,0),FALSE)</f>
        <v>0</v>
      </c>
      <c r="J38" s="410">
        <f>+GPpcntSCH*(VLOOKUP($A38,FY14Revenue!$A$4:$I$24,9,FALSE))*VLOOKUP($A38,FY14SCH!$A$3:$S$23,MATCH(J$28,FY14SCH!$A$2:$S$2,0),FALSE)</f>
        <v>762.78623379451847</v>
      </c>
      <c r="K38" s="410">
        <f>+GPpcntSCH*(VLOOKUP($A38,FY14Revenue!$A$4:$I$24,9,FALSE))*VLOOKUP($A38,FY14SCH!$A$3:$S$23,MATCH(K$28,FY14SCH!$A$2:$S$2,0),FALSE)</f>
        <v>2106.7429314324795</v>
      </c>
      <c r="L38" s="410">
        <f>+GPpcntSCH*(VLOOKUP($A38,FY14Revenue!$A$4:$I$24,9,FALSE))*VLOOKUP($A38,FY14SCH!$A$3:$S$23,MATCH(L$28,FY14SCH!$A$2:$S$2,0),FALSE)</f>
        <v>3378.0533210900103</v>
      </c>
      <c r="M38" s="410">
        <f>+GPpcntSCH*(VLOOKUP($A38,FY14Revenue!$A$4:$I$24,9,FALSE))*VLOOKUP($A38,FY14SCH!$A$3:$S$23,MATCH(M$28,FY14SCH!$A$2:$S$2,0),FALSE)</f>
        <v>145.29261596086067</v>
      </c>
      <c r="N38" s="410">
        <f>+GPpcntSCH*(VLOOKUP($A38,FY14Revenue!$A$4:$I$24,9,FALSE))*VLOOKUP($A38,FY14SCH!$A$3:$S$23,MATCH(N$28,FY14SCH!$A$2:$S$2,0),FALSE)</f>
        <v>42316.474398600665</v>
      </c>
      <c r="O38" s="410">
        <f>+GPpcntSCH*(VLOOKUP($A38,FY14Revenue!$A$4:$I$24,9,FALSE))*VLOOKUP($A38,FY14SCH!$A$3:$S$23,MATCH(O$28,FY14SCH!$A$2:$S$2,0),FALSE)</f>
        <v>726.46307980430322</v>
      </c>
      <c r="P38" s="410">
        <f>+GPpcntSCH*(VLOOKUP($A38,FY14Revenue!$A$4:$I$24,9,FALSE))*VLOOKUP($A38,FY14SCH!$A$3:$S$23,MATCH(P$28,FY14SCH!$A$2:$S$2,0),FALSE)</f>
        <v>799.1093877847336</v>
      </c>
      <c r="Q38" s="410">
        <f>+GPpcntSCH*(VLOOKUP($A38,FY14Revenue!$A$4:$I$24,9,FALSE))*VLOOKUP($A38,FY14SCH!$A$3:$S$23,MATCH(Q$28,FY14SCH!$A$2:$S$2,0),FALSE)</f>
        <v>181107.2457952128</v>
      </c>
      <c r="R38" s="410">
        <f>+GPpcntSCH*(VLOOKUP($A38,FY14Revenue!$A$4:$I$24,9,FALSE))*VLOOKUP($A38,FY14SCH!$A$3:$S$23,MATCH(R$28,FY14SCH!$A$2:$S$2,0),FALSE)</f>
        <v>0</v>
      </c>
      <c r="S38" s="410">
        <f>+GPpcntSCH*(VLOOKUP($A38,FY14Revenue!$A$4:$I$24,9,FALSE))*VLOOKUP($A38,FY14SCH!$A$3:$S$23,MATCH(S$28,FY14SCH!$A$2:$S$2,0),FALSE)</f>
        <v>0</v>
      </c>
      <c r="T38" s="441">
        <f t="shared" si="23"/>
        <v>238497.82909975277</v>
      </c>
    </row>
    <row r="39" spans="1:20" ht="20.100000000000001" customHeight="1">
      <c r="A39" s="404" t="s">
        <v>138</v>
      </c>
      <c r="B39" s="442" t="s">
        <v>207</v>
      </c>
      <c r="C39" s="443">
        <f>+GPpcntSCH*(VLOOKUP($A39,FY14Revenue!$A$4:$I$24,9,FALSE))*VLOOKUP($A39,FY14SCH!$A$3:$S$23,MATCH(C$28,FY14SCH!$A$2:$S$2,0),FALSE)</f>
        <v>765607.97244056524</v>
      </c>
      <c r="D39" s="443">
        <f>+GPpcntSCH*(VLOOKUP($A39,FY14Revenue!$A$4:$I$24,9,FALSE))*VLOOKUP($A39,FY14SCH!$A$3:$S$23,MATCH(D$28,FY14SCH!$A$2:$S$2,0),FALSE)</f>
        <v>14767.297107267306</v>
      </c>
      <c r="E39" s="443">
        <f>+GPpcntSCH*(VLOOKUP($A39,FY14Revenue!$A$4:$I$24,9,FALSE))*VLOOKUP($A39,FY14SCH!$A$3:$S$23,MATCH(E$28,FY14SCH!$A$2:$S$2,0),FALSE)</f>
        <v>4137.3892757429949</v>
      </c>
      <c r="F39" s="443">
        <f>+GPpcntSCH*(VLOOKUP($A39,FY14Revenue!$A$4:$I$24,9,FALSE))*VLOOKUP($A39,FY14SCH!$A$3:$S$23,MATCH(F$28,FY14SCH!$A$2:$S$2,0),FALSE)</f>
        <v>190.95642811121516</v>
      </c>
      <c r="G39" s="443">
        <f>+GPpcntSCH*(VLOOKUP($A39,FY14Revenue!$A$4:$I$24,9,FALSE))*VLOOKUP($A39,FY14SCH!$A$3:$S$23,MATCH(G$28,FY14SCH!$A$2:$S$2,0),FALSE)</f>
        <v>4137.3892757429949</v>
      </c>
      <c r="H39" s="443">
        <f>+GPpcntSCH*(VLOOKUP($A39,FY14Revenue!$A$4:$I$24,9,FALSE))*VLOOKUP($A39,FY14SCH!$A$3:$S$23,MATCH(H$28,FY14SCH!$A$2:$S$2,0),FALSE)</f>
        <v>12539.47211263646</v>
      </c>
      <c r="I39" s="443">
        <f>+GPpcntSCH*(VLOOKUP($A39,FY14Revenue!$A$4:$I$24,9,FALSE))*VLOOKUP($A39,FY14SCH!$A$3:$S$23,MATCH(I$28,FY14SCH!$A$2:$S$2,0),FALSE)</f>
        <v>0</v>
      </c>
      <c r="J39" s="443">
        <f>+GPpcntSCH*(VLOOKUP($A39,FY14Revenue!$A$4:$I$24,9,FALSE))*VLOOKUP($A39,FY14SCH!$A$3:$S$23,MATCH(J$28,FY14SCH!$A$2:$S$2,0),FALSE)</f>
        <v>0</v>
      </c>
      <c r="K39" s="443">
        <f>+GPpcntSCH*(VLOOKUP($A39,FY14Revenue!$A$4:$I$24,9,FALSE))*VLOOKUP($A39,FY14SCH!$A$3:$S$23,MATCH(K$28,FY14SCH!$A$2:$S$2,0),FALSE)</f>
        <v>10057.038547190665</v>
      </c>
      <c r="L39" s="443">
        <f>+GPpcntSCH*(VLOOKUP($A39,FY14Revenue!$A$4:$I$24,9,FALSE))*VLOOKUP($A39,FY14SCH!$A$3:$S$23,MATCH(L$28,FY14SCH!$A$2:$S$2,0),FALSE)</f>
        <v>0</v>
      </c>
      <c r="M39" s="443">
        <f>+GPpcntSCH*(VLOOKUP($A39,FY14Revenue!$A$4:$I$24,9,FALSE))*VLOOKUP($A39,FY14SCH!$A$3:$S$23,MATCH(M$28,FY14SCH!$A$2:$S$2,0),FALSE)</f>
        <v>0</v>
      </c>
      <c r="N39" s="443">
        <f>+GPpcntSCH*(VLOOKUP($A39,FY14Revenue!$A$4:$I$24,9,FALSE))*VLOOKUP($A39,FY14SCH!$A$3:$S$23,MATCH(N$28,FY14SCH!$A$2:$S$2,0),FALSE)</f>
        <v>1145.7385686672908</v>
      </c>
      <c r="O39" s="443">
        <f>+GPpcntSCH*(VLOOKUP($A39,FY14Revenue!$A$4:$I$24,9,FALSE))*VLOOKUP($A39,FY14SCH!$A$3:$S$23,MATCH(O$28,FY14SCH!$A$2:$S$2,0),FALSE)</f>
        <v>0</v>
      </c>
      <c r="P39" s="443">
        <f>+GPpcntSCH*(VLOOKUP($A39,FY14Revenue!$A$4:$I$24,9,FALSE))*VLOOKUP($A39,FY14SCH!$A$3:$S$23,MATCH(P$28,FY14SCH!$A$2:$S$2,0),FALSE)</f>
        <v>0</v>
      </c>
      <c r="Q39" s="443">
        <f>+GPpcntSCH*(VLOOKUP($A39,FY14Revenue!$A$4:$I$24,9,FALSE))*VLOOKUP($A39,FY14SCH!$A$3:$S$23,MATCH(Q$28,FY14SCH!$A$2:$S$2,0),FALSE)</f>
        <v>1082.0864259635525</v>
      </c>
      <c r="R39" s="443">
        <f>+GPpcntSCH*(VLOOKUP($A39,FY14Revenue!$A$4:$I$24,9,FALSE))*VLOOKUP($A39,FY14SCH!$A$3:$S$23,MATCH(R$28,FY14SCH!$A$2:$S$2,0),FALSE)</f>
        <v>0</v>
      </c>
      <c r="S39" s="443">
        <f>+GPpcntSCH*(VLOOKUP($A39,FY14Revenue!$A$4:$I$24,9,FALSE))*VLOOKUP($A39,FY14SCH!$A$3:$S$23,MATCH(S$28,FY14SCH!$A$2:$S$2,0),FALSE)</f>
        <v>0</v>
      </c>
      <c r="T39" s="444">
        <f t="shared" si="23"/>
        <v>813665.34018188785</v>
      </c>
    </row>
    <row r="40" spans="1:20" s="18" customFormat="1" ht="20.100000000000001" customHeight="1">
      <c r="A40" s="404" t="s">
        <v>147</v>
      </c>
      <c r="B40" s="440" t="s">
        <v>208</v>
      </c>
      <c r="C40" s="410">
        <f>+GPpcntSCH*(VLOOKUP($A40,FY14Revenue!$A$4:$I$24,9,FALSE))*VLOOKUP($A40,FY14SCH!$A$3:$S$23,MATCH(C$28,FY14SCH!$A$2:$S$2,0),FALSE)</f>
        <v>0</v>
      </c>
      <c r="D40" s="410">
        <f>+GPpcntSCH*(VLOOKUP($A40,FY14Revenue!$A$4:$I$24,9,FALSE))*VLOOKUP($A40,FY14SCH!$A$3:$S$23,MATCH(D$28,FY14SCH!$A$2:$S$2,0),FALSE)</f>
        <v>3299.3654426779244</v>
      </c>
      <c r="E40" s="410">
        <f>+GPpcntSCH*(VLOOKUP($A40,FY14Revenue!$A$4:$I$24,9,FALSE))*VLOOKUP($A40,FY14SCH!$A$3:$S$23,MATCH(E$28,FY14SCH!$A$2:$S$2,0),FALSE)</f>
        <v>0</v>
      </c>
      <c r="F40" s="410">
        <f>+GPpcntSCH*(VLOOKUP($A40,FY14Revenue!$A$4:$I$24,9,FALSE))*VLOOKUP($A40,FY14SCH!$A$3:$S$23,MATCH(F$28,FY14SCH!$A$2:$S$2,0),FALSE)</f>
        <v>0</v>
      </c>
      <c r="G40" s="410">
        <f>+GPpcntSCH*(VLOOKUP($A40,FY14Revenue!$A$4:$I$24,9,FALSE))*VLOOKUP($A40,FY14SCH!$A$3:$S$23,MATCH(G$28,FY14SCH!$A$2:$S$2,0),FALSE)</f>
        <v>86942.738016512871</v>
      </c>
      <c r="H40" s="410">
        <f>+GPpcntSCH*(VLOOKUP($A40,FY14Revenue!$A$4:$I$24,9,FALSE))*VLOOKUP($A40,FY14SCH!$A$3:$S$23,MATCH(H$28,FY14SCH!$A$2:$S$2,0),FALSE)</f>
        <v>713.37631193036202</v>
      </c>
      <c r="I40" s="410">
        <f>+GPpcntSCH*(VLOOKUP($A40,FY14Revenue!$A$4:$I$24,9,FALSE))*VLOOKUP($A40,FY14SCH!$A$3:$S$23,MATCH(I$28,FY14SCH!$A$2:$S$2,0),FALSE)</f>
        <v>0</v>
      </c>
      <c r="J40" s="410">
        <f>+GPpcntSCH*(VLOOKUP($A40,FY14Revenue!$A$4:$I$24,9,FALSE))*VLOOKUP($A40,FY14SCH!$A$3:$S$23,MATCH(J$28,FY14SCH!$A$2:$S$2,0),FALSE)</f>
        <v>0</v>
      </c>
      <c r="K40" s="410">
        <f>+GPpcntSCH*(VLOOKUP($A40,FY14Revenue!$A$4:$I$24,9,FALSE))*VLOOKUP($A40,FY14SCH!$A$3:$S$23,MATCH(K$28,FY14SCH!$A$2:$S$2,0),FALSE)</f>
        <v>0</v>
      </c>
      <c r="L40" s="410">
        <f>+GPpcntSCH*(VLOOKUP($A40,FY14Revenue!$A$4:$I$24,9,FALSE))*VLOOKUP($A40,FY14SCH!$A$3:$S$23,MATCH(L$28,FY14SCH!$A$2:$S$2,0),FALSE)</f>
        <v>0</v>
      </c>
      <c r="M40" s="410">
        <f>+GPpcntSCH*(VLOOKUP($A40,FY14Revenue!$A$4:$I$24,9,FALSE))*VLOOKUP($A40,FY14SCH!$A$3:$S$23,MATCH(M$28,FY14SCH!$A$2:$S$2,0),FALSE)</f>
        <v>0</v>
      </c>
      <c r="N40" s="410">
        <f>+GPpcntSCH*(VLOOKUP($A40,FY14Revenue!$A$4:$I$24,9,FALSE))*VLOOKUP($A40,FY14SCH!$A$3:$S$23,MATCH(N$28,FY14SCH!$A$2:$S$2,0),FALSE)</f>
        <v>7847.1394312339826</v>
      </c>
      <c r="O40" s="410">
        <f>+GPpcntSCH*(VLOOKUP($A40,FY14Revenue!$A$4:$I$24,9,FALSE))*VLOOKUP($A40,FY14SCH!$A$3:$S$23,MATCH(O$28,FY14SCH!$A$2:$S$2,0),FALSE)</f>
        <v>0</v>
      </c>
      <c r="P40" s="410">
        <f>+GPpcntSCH*(VLOOKUP($A40,FY14Revenue!$A$4:$I$24,9,FALSE))*VLOOKUP($A40,FY14SCH!$A$3:$S$23,MATCH(P$28,FY14SCH!$A$2:$S$2,0),FALSE)</f>
        <v>0</v>
      </c>
      <c r="Q40" s="410">
        <f>+GPpcntSCH*(VLOOKUP($A40,FY14Revenue!$A$4:$I$24,9,FALSE))*VLOOKUP($A40,FY14SCH!$A$3:$S$23,MATCH(Q$28,FY14SCH!$A$2:$S$2,0),FALSE)</f>
        <v>802.5483509216574</v>
      </c>
      <c r="R40" s="410">
        <f>+GPpcntSCH*(VLOOKUP($A40,FY14Revenue!$A$4:$I$24,9,FALSE))*VLOOKUP($A40,FY14SCH!$A$3:$S$23,MATCH(R$28,FY14SCH!$A$2:$S$2,0),FALSE)</f>
        <v>0</v>
      </c>
      <c r="S40" s="410">
        <f>+GPpcntSCH*(VLOOKUP($A40,FY14Revenue!$A$4:$I$24,9,FALSE))*VLOOKUP($A40,FY14SCH!$A$3:$S$23,MATCH(S$28,FY14SCH!$A$2:$S$2,0),FALSE)</f>
        <v>89.172038991295253</v>
      </c>
      <c r="T40" s="441">
        <f t="shared" si="23"/>
        <v>99694.339592268094</v>
      </c>
    </row>
    <row r="41" spans="1:20" ht="20.100000000000001" customHeight="1">
      <c r="A41" s="404" t="s">
        <v>148</v>
      </c>
      <c r="B41" s="442" t="s">
        <v>39</v>
      </c>
      <c r="C41" s="443">
        <f>+GPpcntSCH*(VLOOKUP($A41,FY14Revenue!$A$4:$I$24,9,FALSE))*VLOOKUP($A41,FY14SCH!$A$3:$S$23,MATCH(C$28,FY14SCH!$A$2:$S$2,0),FALSE)</f>
        <v>9176.534631082508</v>
      </c>
      <c r="D41" s="443">
        <f>+GPpcntSCH*(VLOOKUP($A41,FY14Revenue!$A$4:$I$24,9,FALSE))*VLOOKUP($A41,FY14SCH!$A$3:$S$23,MATCH(D$28,FY14SCH!$A$2:$S$2,0),FALSE)</f>
        <v>49270.932096119926</v>
      </c>
      <c r="E41" s="443">
        <f>+GPpcntSCH*(VLOOKUP($A41,FY14Revenue!$A$4:$I$24,9,FALSE))*VLOOKUP($A41,FY14SCH!$A$3:$S$23,MATCH(E$28,FY14SCH!$A$2:$S$2,0),FALSE)</f>
        <v>20188.37618838152</v>
      </c>
      <c r="F41" s="443">
        <f>+GPpcntSCH*(VLOOKUP($A41,FY14Revenue!$A$4:$I$24,9,FALSE))*VLOOKUP($A41,FY14SCH!$A$3:$S$23,MATCH(F$28,FY14SCH!$A$2:$S$2,0),FALSE)</f>
        <v>6000.041874169332</v>
      </c>
      <c r="G41" s="443">
        <f>+GPpcntSCH*(VLOOKUP($A41,FY14Revenue!$A$4:$I$24,9,FALSE))*VLOOKUP($A41,FY14SCH!$A$3:$S$23,MATCH(G$28,FY14SCH!$A$2:$S$2,0),FALSE)</f>
        <v>1976.4843820793094</v>
      </c>
      <c r="H41" s="443">
        <f>+GPpcntSCH*(VLOOKUP($A41,FY14Revenue!$A$4:$I$24,9,FALSE))*VLOOKUP($A41,FY14SCH!$A$3:$S$23,MATCH(H$28,FY14SCH!$A$2:$S$2,0),FALSE)</f>
        <v>26329.595518413658</v>
      </c>
      <c r="I41" s="443">
        <f>+GPpcntSCH*(VLOOKUP($A41,FY14Revenue!$A$4:$I$24,9,FALSE))*VLOOKUP($A41,FY14SCH!$A$3:$S$23,MATCH(I$28,FY14SCH!$A$2:$S$2,0),FALSE)</f>
        <v>705.88727931403901</v>
      </c>
      <c r="J41" s="443">
        <f>+GPpcntSCH*(VLOOKUP($A41,FY14Revenue!$A$4:$I$24,9,FALSE))*VLOOKUP($A41,FY14SCH!$A$3:$S$23,MATCH(J$28,FY14SCH!$A$2:$S$2,0),FALSE)</f>
        <v>2400.0167496677332</v>
      </c>
      <c r="K41" s="443">
        <f>+GPpcntSCH*(VLOOKUP($A41,FY14Revenue!$A$4:$I$24,9,FALSE))*VLOOKUP($A41,FY14SCH!$A$3:$S$23,MATCH(K$28,FY14SCH!$A$2:$S$2,0),FALSE)</f>
        <v>747605.21752149879</v>
      </c>
      <c r="L41" s="443">
        <f>+GPpcntSCH*(VLOOKUP($A41,FY14Revenue!$A$4:$I$24,9,FALSE))*VLOOKUP($A41,FY14SCH!$A$3:$S$23,MATCH(L$28,FY14SCH!$A$2:$S$2,0),FALSE)</f>
        <v>5647.098234512312</v>
      </c>
      <c r="M41" s="443">
        <f>+GPpcntSCH*(VLOOKUP($A41,FY14Revenue!$A$4:$I$24,9,FALSE))*VLOOKUP($A41,FY14SCH!$A$3:$S$23,MATCH(M$28,FY14SCH!$A$2:$S$2,0),FALSE)</f>
        <v>0</v>
      </c>
      <c r="N41" s="443">
        <f>+GPpcntSCH*(VLOOKUP($A41,FY14Revenue!$A$4:$I$24,9,FALSE))*VLOOKUP($A41,FY14SCH!$A$3:$S$23,MATCH(N$28,FY14SCH!$A$2:$S$2,0),FALSE)</f>
        <v>7482.4051607288138</v>
      </c>
      <c r="O41" s="443">
        <f>+GPpcntSCH*(VLOOKUP($A41,FY14Revenue!$A$4:$I$24,9,FALSE))*VLOOKUP($A41,FY14SCH!$A$3:$S$23,MATCH(O$28,FY14SCH!$A$2:$S$2,0),FALSE)</f>
        <v>0</v>
      </c>
      <c r="P41" s="443">
        <f>+GPpcntSCH*(VLOOKUP($A41,FY14Revenue!$A$4:$I$24,9,FALSE))*VLOOKUP($A41,FY14SCH!$A$3:$S$23,MATCH(P$28,FY14SCH!$A$2:$S$2,0),FALSE)</f>
        <v>0</v>
      </c>
      <c r="Q41" s="443">
        <f>+GPpcntSCH*(VLOOKUP($A41,FY14Revenue!$A$4:$I$24,9,FALSE))*VLOOKUP($A41,FY14SCH!$A$3:$S$23,MATCH(Q$28,FY14SCH!$A$2:$S$2,0),FALSE)</f>
        <v>14329.511770074992</v>
      </c>
      <c r="R41" s="443">
        <f>+GPpcntSCH*(VLOOKUP($A41,FY14Revenue!$A$4:$I$24,9,FALSE))*VLOOKUP($A41,FY14SCH!$A$3:$S$23,MATCH(R$28,FY14SCH!$A$2:$S$2,0),FALSE)</f>
        <v>0</v>
      </c>
      <c r="S41" s="443">
        <f>+GPpcntSCH*(VLOOKUP($A41,FY14Revenue!$A$4:$I$24,9,FALSE))*VLOOKUP($A41,FY14SCH!$A$3:$S$23,MATCH(S$28,FY14SCH!$A$2:$S$2,0),FALSE)</f>
        <v>0</v>
      </c>
      <c r="T41" s="444">
        <f t="shared" si="23"/>
        <v>891112.10140604281</v>
      </c>
    </row>
    <row r="42" spans="1:20" s="18" customFormat="1" ht="20.100000000000001" customHeight="1">
      <c r="A42" s="404" t="s">
        <v>149</v>
      </c>
      <c r="B42" s="440" t="s">
        <v>38</v>
      </c>
      <c r="C42" s="410">
        <f>+GPpcntSCH*(VLOOKUP($A42,FY14Revenue!$A$4:$I$24,9,FALSE))*VLOOKUP($A42,FY14SCH!$A$3:$S$23,MATCH(C$28,FY14SCH!$A$2:$S$2,0),FALSE)</f>
        <v>717.68432246658415</v>
      </c>
      <c r="D42" s="410">
        <f>+GPpcntSCH*(VLOOKUP($A42,FY14Revenue!$A$4:$I$24,9,FALSE))*VLOOKUP($A42,FY14SCH!$A$3:$S$23,MATCH(D$28,FY14SCH!$A$2:$S$2,0),FALSE)</f>
        <v>5502.2464722438117</v>
      </c>
      <c r="E42" s="410">
        <f>+GPpcntSCH*(VLOOKUP($A42,FY14Revenue!$A$4:$I$24,9,FALSE))*VLOOKUP($A42,FY14SCH!$A$3:$S$23,MATCH(E$28,FY14SCH!$A$2:$S$2,0),FALSE)</f>
        <v>837936.31783098506</v>
      </c>
      <c r="F42" s="410">
        <f>+GPpcntSCH*(VLOOKUP($A42,FY14Revenue!$A$4:$I$24,9,FALSE))*VLOOKUP($A42,FY14SCH!$A$3:$S$23,MATCH(F$28,FY14SCH!$A$2:$S$2,0),FALSE)</f>
        <v>0</v>
      </c>
      <c r="G42" s="410">
        <f>+GPpcntSCH*(VLOOKUP($A42,FY14Revenue!$A$4:$I$24,9,FALSE))*VLOOKUP($A42,FY14SCH!$A$3:$S$23,MATCH(G$28,FY14SCH!$A$2:$S$2,0),FALSE)</f>
        <v>2232.7956698960393</v>
      </c>
      <c r="H42" s="410">
        <f>+GPpcntSCH*(VLOOKUP($A42,FY14Revenue!$A$4:$I$24,9,FALSE))*VLOOKUP($A42,FY14SCH!$A$3:$S$23,MATCH(H$28,FY14SCH!$A$2:$S$2,0),FALSE)</f>
        <v>398.7135124814356</v>
      </c>
      <c r="I42" s="410">
        <f>+GPpcntSCH*(VLOOKUP($A42,FY14Revenue!$A$4:$I$24,9,FALSE))*VLOOKUP($A42,FY14SCH!$A$3:$S$23,MATCH(I$28,FY14SCH!$A$2:$S$2,0),FALSE)</f>
        <v>637.94161997029698</v>
      </c>
      <c r="J42" s="410">
        <f>+GPpcntSCH*(VLOOKUP($A42,FY14Revenue!$A$4:$I$24,9,FALSE))*VLOOKUP($A42,FY14SCH!$A$3:$S$23,MATCH(J$28,FY14SCH!$A$2:$S$2,0),FALSE)</f>
        <v>0</v>
      </c>
      <c r="K42" s="410">
        <f>+GPpcntSCH*(VLOOKUP($A42,FY14Revenue!$A$4:$I$24,9,FALSE))*VLOOKUP($A42,FY14SCH!$A$3:$S$23,MATCH(K$28,FY14SCH!$A$2:$S$2,0),FALSE)</f>
        <v>2472.0237773849008</v>
      </c>
      <c r="L42" s="410">
        <f>+GPpcntSCH*(VLOOKUP($A42,FY14Revenue!$A$4:$I$24,9,FALSE))*VLOOKUP($A42,FY14SCH!$A$3:$S$23,MATCH(L$28,FY14SCH!$A$2:$S$2,0),FALSE)</f>
        <v>0</v>
      </c>
      <c r="M42" s="410">
        <f>+GPpcntSCH*(VLOOKUP($A42,FY14Revenue!$A$4:$I$24,9,FALSE))*VLOOKUP($A42,FY14SCH!$A$3:$S$23,MATCH(M$28,FY14SCH!$A$2:$S$2,0),FALSE)</f>
        <v>0</v>
      </c>
      <c r="N42" s="410">
        <f>+GPpcntSCH*(VLOOKUP($A42,FY14Revenue!$A$4:$I$24,9,FALSE))*VLOOKUP($A42,FY14SCH!$A$3:$S$23,MATCH(N$28,FY14SCH!$A$2:$S$2,0),FALSE)</f>
        <v>398.7135124814356</v>
      </c>
      <c r="O42" s="410">
        <f>+GPpcntSCH*(VLOOKUP($A42,FY14Revenue!$A$4:$I$24,9,FALSE))*VLOOKUP($A42,FY14SCH!$A$3:$S$23,MATCH(O$28,FY14SCH!$A$2:$S$2,0),FALSE)</f>
        <v>0</v>
      </c>
      <c r="P42" s="410">
        <f>+GPpcntSCH*(VLOOKUP($A42,FY14Revenue!$A$4:$I$24,9,FALSE))*VLOOKUP($A42,FY14SCH!$A$3:$S$23,MATCH(P$28,FY14SCH!$A$2:$S$2,0),FALSE)</f>
        <v>0</v>
      </c>
      <c r="Q42" s="410">
        <f>+GPpcntSCH*(VLOOKUP($A42,FY14Revenue!$A$4:$I$24,9,FALSE))*VLOOKUP($A42,FY14SCH!$A$3:$S$23,MATCH(Q$28,FY14SCH!$A$2:$S$2,0),FALSE)</f>
        <v>637.94161997029698</v>
      </c>
      <c r="R42" s="410">
        <f>+GPpcntSCH*(VLOOKUP($A42,FY14Revenue!$A$4:$I$24,9,FALSE))*VLOOKUP($A42,FY14SCH!$A$3:$S$23,MATCH(R$28,FY14SCH!$A$2:$S$2,0),FALSE)</f>
        <v>0</v>
      </c>
      <c r="S42" s="410">
        <f>+GPpcntSCH*(VLOOKUP($A42,FY14Revenue!$A$4:$I$24,9,FALSE))*VLOOKUP($A42,FY14SCH!$A$3:$S$23,MATCH(S$28,FY14SCH!$A$2:$S$2,0),FALSE)</f>
        <v>0</v>
      </c>
      <c r="T42" s="441">
        <f t="shared" si="23"/>
        <v>850934.37833787978</v>
      </c>
    </row>
    <row r="43" spans="1:20" ht="20.100000000000001" customHeight="1">
      <c r="A43" s="404" t="s">
        <v>150</v>
      </c>
      <c r="B43" s="442" t="s">
        <v>31</v>
      </c>
      <c r="C43" s="443">
        <f>+GPpcntSCH*(VLOOKUP($A43,FY14Revenue!$A$4:$I$24,9,FALSE))*VLOOKUP($A43,FY14SCH!$A$3:$S$23,MATCH(C$28,FY14SCH!$A$2:$S$2,0),FALSE)</f>
        <v>3700.1512141067496</v>
      </c>
      <c r="D43" s="443">
        <f>+GPpcntSCH*(VLOOKUP($A43,FY14Revenue!$A$4:$I$24,9,FALSE))*VLOOKUP($A43,FY14SCH!$A$3:$S$23,MATCH(D$28,FY14SCH!$A$2:$S$2,0),FALSE)</f>
        <v>12002.929548199943</v>
      </c>
      <c r="E43" s="443">
        <f>+GPpcntSCH*(VLOOKUP($A43,FY14Revenue!$A$4:$I$24,9,FALSE))*VLOOKUP($A43,FY14SCH!$A$3:$S$23,MATCH(E$28,FY14SCH!$A$2:$S$2,0),FALSE)</f>
        <v>8122.2831529172554</v>
      </c>
      <c r="F43" s="443">
        <f>+GPpcntSCH*(VLOOKUP($A43,FY14Revenue!$A$4:$I$24,9,FALSE))*VLOOKUP($A43,FY14SCH!$A$3:$S$23,MATCH(F$28,FY14SCH!$A$2:$S$2,0),FALSE)</f>
        <v>0</v>
      </c>
      <c r="G43" s="443">
        <f>+GPpcntSCH*(VLOOKUP($A43,FY14Revenue!$A$4:$I$24,9,FALSE))*VLOOKUP($A43,FY14SCH!$A$3:$S$23,MATCH(G$28,FY14SCH!$A$2:$S$2,0),FALSE)</f>
        <v>270.74277176390854</v>
      </c>
      <c r="H43" s="443">
        <f>+GPpcntSCH*(VLOOKUP($A43,FY14Revenue!$A$4:$I$24,9,FALSE))*VLOOKUP($A43,FY14SCH!$A$3:$S$23,MATCH(H$28,FY14SCH!$A$2:$S$2,0),FALSE)</f>
        <v>2256.1897646992375</v>
      </c>
      <c r="I43" s="443">
        <f>+GPpcntSCH*(VLOOKUP($A43,FY14Revenue!$A$4:$I$24,9,FALSE))*VLOOKUP($A43,FY14SCH!$A$3:$S$23,MATCH(I$28,FY14SCH!$A$2:$S$2,0),FALSE)</f>
        <v>8302.7783340931928</v>
      </c>
      <c r="J43" s="443">
        <f>+GPpcntSCH*(VLOOKUP($A43,FY14Revenue!$A$4:$I$24,9,FALSE))*VLOOKUP($A43,FY14SCH!$A$3:$S$23,MATCH(J$28,FY14SCH!$A$2:$S$2,0),FALSE)</f>
        <v>2034631.9298057724</v>
      </c>
      <c r="K43" s="443">
        <f>+GPpcntSCH*(VLOOKUP($A43,FY14Revenue!$A$4:$I$24,9,FALSE))*VLOOKUP($A43,FY14SCH!$A$3:$S$23,MATCH(K$28,FY14SCH!$A$2:$S$2,0),FALSE)</f>
        <v>1443.961449407512</v>
      </c>
      <c r="L43" s="443">
        <f>+GPpcntSCH*(VLOOKUP($A43,FY14Revenue!$A$4:$I$24,9,FALSE))*VLOOKUP($A43,FY14SCH!$A$3:$S$23,MATCH(L$28,FY14SCH!$A$2:$S$2,0),FALSE)</f>
        <v>270.74277176390854</v>
      </c>
      <c r="M43" s="443">
        <f>+GPpcntSCH*(VLOOKUP($A43,FY14Revenue!$A$4:$I$24,9,FALSE))*VLOOKUP($A43,FY14SCH!$A$3:$S$23,MATCH(M$28,FY14SCH!$A$2:$S$2,0),FALSE)</f>
        <v>0</v>
      </c>
      <c r="N43" s="443">
        <f>+GPpcntSCH*(VLOOKUP($A43,FY14Revenue!$A$4:$I$24,9,FALSE))*VLOOKUP($A43,FY14SCH!$A$3:$S$23,MATCH(N$28,FY14SCH!$A$2:$S$2,0),FALSE)</f>
        <v>1082.9710870556341</v>
      </c>
      <c r="O43" s="443">
        <f>+GPpcntSCH*(VLOOKUP($A43,FY14Revenue!$A$4:$I$24,9,FALSE))*VLOOKUP($A43,FY14SCH!$A$3:$S$23,MATCH(O$28,FY14SCH!$A$2:$S$2,0),FALSE)</f>
        <v>0</v>
      </c>
      <c r="P43" s="443">
        <f>+GPpcntSCH*(VLOOKUP($A43,FY14Revenue!$A$4:$I$24,9,FALSE))*VLOOKUP($A43,FY14SCH!$A$3:$S$23,MATCH(P$28,FY14SCH!$A$2:$S$2,0),FALSE)</f>
        <v>0</v>
      </c>
      <c r="Q43" s="443">
        <f>+GPpcntSCH*(VLOOKUP($A43,FY14Revenue!$A$4:$I$24,9,FALSE))*VLOOKUP($A43,FY14SCH!$A$3:$S$23,MATCH(Q$28,FY14SCH!$A$2:$S$2,0),FALSE)</f>
        <v>6227.0837505698955</v>
      </c>
      <c r="R43" s="443">
        <f>+GPpcntSCH*(VLOOKUP($A43,FY14Revenue!$A$4:$I$24,9,FALSE))*VLOOKUP($A43,FY14SCH!$A$3:$S$23,MATCH(R$28,FY14SCH!$A$2:$S$2,0),FALSE)</f>
        <v>0</v>
      </c>
      <c r="S43" s="443">
        <f>+GPpcntSCH*(VLOOKUP($A43,FY14Revenue!$A$4:$I$24,9,FALSE))*VLOOKUP($A43,FY14SCH!$A$3:$S$23,MATCH(S$28,FY14SCH!$A$2:$S$2,0),FALSE)</f>
        <v>0</v>
      </c>
      <c r="T43" s="444">
        <f t="shared" si="23"/>
        <v>2078311.7636503498</v>
      </c>
    </row>
    <row r="44" spans="1:20" s="18" customFormat="1" ht="20.100000000000001" customHeight="1">
      <c r="A44" s="404" t="s">
        <v>151</v>
      </c>
      <c r="B44" s="440" t="s">
        <v>209</v>
      </c>
      <c r="C44" s="410">
        <f>+GPpcntSCH*(VLOOKUP($A44,FY14Revenue!$A$4:$I$24,9,FALSE))*VLOOKUP($A44,FY14SCH!$A$3:$S$23,MATCH(C$28,FY14SCH!$A$2:$S$2,0),FALSE)</f>
        <v>0</v>
      </c>
      <c r="D44" s="410">
        <f>+GPpcntSCH*(VLOOKUP($A44,FY14Revenue!$A$4:$I$24,9,FALSE))*VLOOKUP($A44,FY14SCH!$A$3:$S$23,MATCH(D$28,FY14SCH!$A$2:$S$2,0),FALSE)</f>
        <v>8783.5731050401027</v>
      </c>
      <c r="E44" s="410">
        <f>+GPpcntSCH*(VLOOKUP($A44,FY14Revenue!$A$4:$I$24,9,FALSE))*VLOOKUP($A44,FY14SCH!$A$3:$S$23,MATCH(E$28,FY14SCH!$A$2:$S$2,0),FALSE)</f>
        <v>0</v>
      </c>
      <c r="F44" s="410">
        <f>+GPpcntSCH*(VLOOKUP($A44,FY14Revenue!$A$4:$I$24,9,FALSE))*VLOOKUP($A44,FY14SCH!$A$3:$S$23,MATCH(F$28,FY14SCH!$A$2:$S$2,0),FALSE)</f>
        <v>0</v>
      </c>
      <c r="G44" s="410">
        <f>+GPpcntSCH*(VLOOKUP($A44,FY14Revenue!$A$4:$I$24,9,FALSE))*VLOOKUP($A44,FY14SCH!$A$3:$S$23,MATCH(G$28,FY14SCH!$A$2:$S$2,0),FALSE)</f>
        <v>0</v>
      </c>
      <c r="H44" s="410">
        <f>+GPpcntSCH*(VLOOKUP($A44,FY14Revenue!$A$4:$I$24,9,FALSE))*VLOOKUP($A44,FY14SCH!$A$3:$S$23,MATCH(H$28,FY14SCH!$A$2:$S$2,0),FALSE)</f>
        <v>0</v>
      </c>
      <c r="I44" s="410">
        <f>+GPpcntSCH*(VLOOKUP($A44,FY14Revenue!$A$4:$I$24,9,FALSE))*VLOOKUP($A44,FY14SCH!$A$3:$S$23,MATCH(I$28,FY14SCH!$A$2:$S$2,0),FALSE)</f>
        <v>296.07549792270015</v>
      </c>
      <c r="J44" s="410">
        <f>+GPpcntSCH*(VLOOKUP($A44,FY14Revenue!$A$4:$I$24,9,FALSE))*VLOOKUP($A44,FY14SCH!$A$3:$S$23,MATCH(J$28,FY14SCH!$A$2:$S$2,0),FALSE)</f>
        <v>226399.06407822468</v>
      </c>
      <c r="K44" s="410">
        <f>+GPpcntSCH*(VLOOKUP($A44,FY14Revenue!$A$4:$I$24,9,FALSE))*VLOOKUP($A44,FY14SCH!$A$3:$S$23,MATCH(K$28,FY14SCH!$A$2:$S$2,0),FALSE)</f>
        <v>2763.3713139452011</v>
      </c>
      <c r="L44" s="410">
        <f>+GPpcntSCH*(VLOOKUP($A44,FY14Revenue!$A$4:$I$24,9,FALSE))*VLOOKUP($A44,FY14SCH!$A$3:$S$23,MATCH(L$28,FY14SCH!$A$2:$S$2,0),FALSE)</f>
        <v>0</v>
      </c>
      <c r="M44" s="410">
        <f>+GPpcntSCH*(VLOOKUP($A44,FY14Revenue!$A$4:$I$24,9,FALSE))*VLOOKUP($A44,FY14SCH!$A$3:$S$23,MATCH(M$28,FY14SCH!$A$2:$S$2,0),FALSE)</f>
        <v>0</v>
      </c>
      <c r="N44" s="410">
        <f>+GPpcntSCH*(VLOOKUP($A44,FY14Revenue!$A$4:$I$24,9,FALSE))*VLOOKUP($A44,FY14SCH!$A$3:$S$23,MATCH(N$28,FY14SCH!$A$2:$S$2,0),FALSE)</f>
        <v>0</v>
      </c>
      <c r="O44" s="410">
        <f>+GPpcntSCH*(VLOOKUP($A44,FY14Revenue!$A$4:$I$24,9,FALSE))*VLOOKUP($A44,FY14SCH!$A$3:$S$23,MATCH(O$28,FY14SCH!$A$2:$S$2,0),FALSE)</f>
        <v>0</v>
      </c>
      <c r="P44" s="410">
        <f>+GPpcntSCH*(VLOOKUP($A44,FY14Revenue!$A$4:$I$24,9,FALSE))*VLOOKUP($A44,FY14SCH!$A$3:$S$23,MATCH(P$28,FY14SCH!$A$2:$S$2,0),FALSE)</f>
        <v>0</v>
      </c>
      <c r="Q44" s="410">
        <f>+GPpcntSCH*(VLOOKUP($A44,FY14Revenue!$A$4:$I$24,9,FALSE))*VLOOKUP($A44,FY14SCH!$A$3:$S$23,MATCH(Q$28,FY14SCH!$A$2:$S$2,0),FALSE)</f>
        <v>197.38366528180006</v>
      </c>
      <c r="R44" s="410">
        <f>+GPpcntSCH*(VLOOKUP($A44,FY14Revenue!$A$4:$I$24,9,FALSE))*VLOOKUP($A44,FY14SCH!$A$3:$S$23,MATCH(R$28,FY14SCH!$A$2:$S$2,0),FALSE)</f>
        <v>0</v>
      </c>
      <c r="S44" s="410">
        <f>+GPpcntSCH*(VLOOKUP($A44,FY14Revenue!$A$4:$I$24,9,FALSE))*VLOOKUP($A44,FY14SCH!$A$3:$S$23,MATCH(S$28,FY14SCH!$A$2:$S$2,0),FALSE)</f>
        <v>0</v>
      </c>
      <c r="T44" s="441">
        <f t="shared" si="23"/>
        <v>238439.46766041452</v>
      </c>
    </row>
    <row r="45" spans="1:20" ht="20.100000000000001" customHeight="1">
      <c r="A45" s="404" t="s">
        <v>153</v>
      </c>
      <c r="B45" s="442" t="s">
        <v>100</v>
      </c>
      <c r="C45" s="443">
        <f>+GPpcntSCH*(VLOOKUP($A45,FY14Revenue!$A$4:$I$24,9,FALSE))*VLOOKUP($A45,FY14SCH!$A$3:$S$23,MATCH(C$28,FY14SCH!$A$2:$S$2,0),FALSE)</f>
        <v>0</v>
      </c>
      <c r="D45" s="443">
        <f>+GPpcntSCH*(VLOOKUP($A45,FY14Revenue!$A$4:$I$24,9,FALSE))*VLOOKUP($A45,FY14SCH!$A$3:$S$23,MATCH(D$28,FY14SCH!$A$2:$S$2,0),FALSE)</f>
        <v>1212.9595990720179</v>
      </c>
      <c r="E45" s="443">
        <f>+GPpcntSCH*(VLOOKUP($A45,FY14Revenue!$A$4:$I$24,9,FALSE))*VLOOKUP($A45,FY14SCH!$A$3:$S$23,MATCH(E$28,FY14SCH!$A$2:$S$2,0),FALSE)</f>
        <v>0</v>
      </c>
      <c r="F45" s="443">
        <f>+GPpcntSCH*(VLOOKUP($A45,FY14Revenue!$A$4:$I$24,9,FALSE))*VLOOKUP($A45,FY14SCH!$A$3:$S$23,MATCH(F$28,FY14SCH!$A$2:$S$2,0),FALSE)</f>
        <v>0</v>
      </c>
      <c r="G45" s="443">
        <f>+GPpcntSCH*(VLOOKUP($A45,FY14Revenue!$A$4:$I$24,9,FALSE))*VLOOKUP($A45,FY14SCH!$A$3:$S$23,MATCH(G$28,FY14SCH!$A$2:$S$2,0),FALSE)</f>
        <v>0</v>
      </c>
      <c r="H45" s="443">
        <f>+GPpcntSCH*(VLOOKUP($A45,FY14Revenue!$A$4:$I$24,9,FALSE))*VLOOKUP($A45,FY14SCH!$A$3:$S$23,MATCH(H$28,FY14SCH!$A$2:$S$2,0),FALSE)</f>
        <v>86.639971362286985</v>
      </c>
      <c r="I45" s="443">
        <f>+GPpcntSCH*(VLOOKUP($A45,FY14Revenue!$A$4:$I$24,9,FALSE))*VLOOKUP($A45,FY14SCH!$A$3:$S$23,MATCH(I$28,FY14SCH!$A$2:$S$2,0),FALSE)</f>
        <v>0</v>
      </c>
      <c r="J45" s="443">
        <f>+GPpcntSCH*(VLOOKUP($A45,FY14Revenue!$A$4:$I$24,9,FALSE))*VLOOKUP($A45,FY14SCH!$A$3:$S$23,MATCH(J$28,FY14SCH!$A$2:$S$2,0),FALSE)</f>
        <v>0</v>
      </c>
      <c r="K45" s="443">
        <f>+GPpcntSCH*(VLOOKUP($A45,FY14Revenue!$A$4:$I$24,9,FALSE))*VLOOKUP($A45,FY14SCH!$A$3:$S$23,MATCH(K$28,FY14SCH!$A$2:$S$2,0),FALSE)</f>
        <v>1732.7994272457399</v>
      </c>
      <c r="L45" s="443">
        <f>+GPpcntSCH*(VLOOKUP($A45,FY14Revenue!$A$4:$I$24,9,FALSE))*VLOOKUP($A45,FY14SCH!$A$3:$S$23,MATCH(L$28,FY14SCH!$A$2:$S$2,0),FALSE)</f>
        <v>1039.6796563474438</v>
      </c>
      <c r="M45" s="443">
        <f>+GPpcntSCH*(VLOOKUP($A45,FY14Revenue!$A$4:$I$24,9,FALSE))*VLOOKUP($A45,FY14SCH!$A$3:$S$23,MATCH(M$28,FY14SCH!$A$2:$S$2,0),FALSE)</f>
        <v>173.27994272457397</v>
      </c>
      <c r="N45" s="443">
        <f>+GPpcntSCH*(VLOOKUP($A45,FY14Revenue!$A$4:$I$24,9,FALSE))*VLOOKUP($A45,FY14SCH!$A$3:$S$23,MATCH(N$28,FY14SCH!$A$2:$S$2,0),FALSE)</f>
        <v>2599.1991408686099</v>
      </c>
      <c r="O45" s="443">
        <f>+GPpcntSCH*(VLOOKUP($A45,FY14Revenue!$A$4:$I$24,9,FALSE))*VLOOKUP($A45,FY14SCH!$A$3:$S$23,MATCH(O$28,FY14SCH!$A$2:$S$2,0),FALSE)</f>
        <v>182463.77968897638</v>
      </c>
      <c r="P45" s="443">
        <f>+GPpcntSCH*(VLOOKUP($A45,FY14Revenue!$A$4:$I$24,9,FALSE))*VLOOKUP($A45,FY14SCH!$A$3:$S$23,MATCH(P$28,FY14SCH!$A$2:$S$2,0),FALSE)</f>
        <v>5111.7583103749321</v>
      </c>
      <c r="Q45" s="443">
        <f>+GPpcntSCH*(VLOOKUP($A45,FY14Revenue!$A$4:$I$24,9,FALSE))*VLOOKUP($A45,FY14SCH!$A$3:$S$23,MATCH(Q$28,FY14SCH!$A$2:$S$2,0),FALSE)</f>
        <v>10743.356448923587</v>
      </c>
      <c r="R45" s="443">
        <f>+GPpcntSCH*(VLOOKUP($A45,FY14Revenue!$A$4:$I$24,9,FALSE))*VLOOKUP($A45,FY14SCH!$A$3:$S$23,MATCH(R$28,FY14SCH!$A$2:$S$2,0),FALSE)</f>
        <v>0</v>
      </c>
      <c r="S45" s="443">
        <f>+GPpcntSCH*(VLOOKUP($A45,FY14Revenue!$A$4:$I$24,9,FALSE))*VLOOKUP($A45,FY14SCH!$A$3:$S$23,MATCH(S$28,FY14SCH!$A$2:$S$2,0),FALSE)</f>
        <v>0</v>
      </c>
      <c r="T45" s="444">
        <f t="shared" si="23"/>
        <v>205163.45218589556</v>
      </c>
    </row>
    <row r="46" spans="1:20" s="18" customFormat="1" ht="20.100000000000001" customHeight="1">
      <c r="A46" s="404" t="s">
        <v>155</v>
      </c>
      <c r="B46" s="440" t="s">
        <v>42</v>
      </c>
      <c r="C46" s="410">
        <f>+GPpcntSCH*(VLOOKUP($A46,FY14Revenue!$A$4:$I$24,9,FALSE))*VLOOKUP($A46,FY14SCH!$A$3:$S$23,MATCH(C$28,FY14SCH!$A$2:$S$2,0),FALSE)</f>
        <v>0</v>
      </c>
      <c r="D46" s="410">
        <f>+GPpcntSCH*(VLOOKUP($A46,FY14Revenue!$A$4:$I$24,9,FALSE))*VLOOKUP($A46,FY14SCH!$A$3:$S$23,MATCH(D$28,FY14SCH!$A$2:$S$2,0),FALSE)</f>
        <v>2458.2669101408983</v>
      </c>
      <c r="E46" s="410">
        <f>+GPpcntSCH*(VLOOKUP($A46,FY14Revenue!$A$4:$I$24,9,FALSE))*VLOOKUP($A46,FY14SCH!$A$3:$S$23,MATCH(E$28,FY14SCH!$A$2:$S$2,0),FALSE)</f>
        <v>0</v>
      </c>
      <c r="F46" s="410">
        <f>+GPpcntSCH*(VLOOKUP($A46,FY14Revenue!$A$4:$I$24,9,FALSE))*VLOOKUP($A46,FY14SCH!$A$3:$S$23,MATCH(F$28,FY14SCH!$A$2:$S$2,0),FALSE)</f>
        <v>0</v>
      </c>
      <c r="G46" s="410">
        <f>+GPpcntSCH*(VLOOKUP($A46,FY14Revenue!$A$4:$I$24,9,FALSE))*VLOOKUP($A46,FY14SCH!$A$3:$S$23,MATCH(G$28,FY14SCH!$A$2:$S$2,0),FALSE)</f>
        <v>0</v>
      </c>
      <c r="H46" s="410">
        <f>+GPpcntSCH*(VLOOKUP($A46,FY14Revenue!$A$4:$I$24,9,FALSE))*VLOOKUP($A46,FY14SCH!$A$3:$S$23,MATCH(H$28,FY14SCH!$A$2:$S$2,0),FALSE)</f>
        <v>409.71115169014973</v>
      </c>
      <c r="I46" s="410">
        <f>+GPpcntSCH*(VLOOKUP($A46,FY14Revenue!$A$4:$I$24,9,FALSE))*VLOOKUP($A46,FY14SCH!$A$3:$S$23,MATCH(I$28,FY14SCH!$A$2:$S$2,0),FALSE)</f>
        <v>0</v>
      </c>
      <c r="J46" s="410">
        <f>+GPpcntSCH*(VLOOKUP($A46,FY14Revenue!$A$4:$I$24,9,FALSE))*VLOOKUP($A46,FY14SCH!$A$3:$S$23,MATCH(J$28,FY14SCH!$A$2:$S$2,0),FALSE)</f>
        <v>68.285191948358289</v>
      </c>
      <c r="K46" s="410">
        <f>+GPpcntSCH*(VLOOKUP($A46,FY14Revenue!$A$4:$I$24,9,FALSE))*VLOOKUP($A46,FY14SCH!$A$3:$S$23,MATCH(K$28,FY14SCH!$A$2:$S$2,0),FALSE)</f>
        <v>0</v>
      </c>
      <c r="L46" s="410">
        <f>+GPpcntSCH*(VLOOKUP($A46,FY14Revenue!$A$4:$I$24,9,FALSE))*VLOOKUP($A46,FY14SCH!$A$3:$S$23,MATCH(L$28,FY14SCH!$A$2:$S$2,0),FALSE)</f>
        <v>0</v>
      </c>
      <c r="M46" s="410">
        <f>+GPpcntSCH*(VLOOKUP($A46,FY14Revenue!$A$4:$I$24,9,FALSE))*VLOOKUP($A46,FY14SCH!$A$3:$S$23,MATCH(M$28,FY14SCH!$A$2:$S$2,0),FALSE)</f>
        <v>68.285191948358289</v>
      </c>
      <c r="N46" s="410">
        <f>+GPpcntSCH*(VLOOKUP($A46,FY14Revenue!$A$4:$I$24,9,FALSE))*VLOOKUP($A46,FY14SCH!$A$3:$S$23,MATCH(N$28,FY14SCH!$A$2:$S$2,0),FALSE)</f>
        <v>145788.88480974492</v>
      </c>
      <c r="O46" s="410">
        <f>+GPpcntSCH*(VLOOKUP($A46,FY14Revenue!$A$4:$I$24,9,FALSE))*VLOOKUP($A46,FY14SCH!$A$3:$S$23,MATCH(O$28,FY14SCH!$A$2:$S$2,0),FALSE)</f>
        <v>5940.8116995071705</v>
      </c>
      <c r="P46" s="410">
        <f>+GPpcntSCH*(VLOOKUP($A46,FY14Revenue!$A$4:$I$24,9,FALSE))*VLOOKUP($A46,FY14SCH!$A$3:$S$23,MATCH(P$28,FY14SCH!$A$2:$S$2,0),FALSE)</f>
        <v>1128276.226562724</v>
      </c>
      <c r="Q46" s="410">
        <f>+GPpcntSCH*(VLOOKUP($A46,FY14Revenue!$A$4:$I$24,9,FALSE))*VLOOKUP($A46,FY14SCH!$A$3:$S$23,MATCH(Q$28,FY14SCH!$A$2:$S$2,0),FALSE)</f>
        <v>10584.204751995534</v>
      </c>
      <c r="R46" s="410">
        <f>+GPpcntSCH*(VLOOKUP($A46,FY14Revenue!$A$4:$I$24,9,FALSE))*VLOOKUP($A46,FY14SCH!$A$3:$S$23,MATCH(R$28,FY14SCH!$A$2:$S$2,0),FALSE)</f>
        <v>0</v>
      </c>
      <c r="S46" s="410">
        <f>+GPpcntSCH*(VLOOKUP($A46,FY14Revenue!$A$4:$I$24,9,FALSE))*VLOOKUP($A46,FY14SCH!$A$3:$S$23,MATCH(S$28,FY14SCH!$A$2:$S$2,0),FALSE)</f>
        <v>0</v>
      </c>
      <c r="T46" s="441">
        <f t="shared" si="23"/>
        <v>1293594.6762696996</v>
      </c>
    </row>
    <row r="47" spans="1:20" ht="20.100000000000001" customHeight="1">
      <c r="A47" s="404" t="s">
        <v>162</v>
      </c>
      <c r="B47" s="442" t="s">
        <v>76</v>
      </c>
      <c r="C47" s="443">
        <f>+GPpcntSCH*(VLOOKUP($A47,FY14Revenue!$A$4:$I$24,9,FALSE))*VLOOKUP($A47,FY14SCH!$A$3:$S$23,MATCH(C$28,FY14SCH!$A$2:$S$2,0),FALSE)</f>
        <v>0</v>
      </c>
      <c r="D47" s="443">
        <f>+GPpcntSCH*(VLOOKUP($A47,FY14Revenue!$A$4:$I$24,9,FALSE))*VLOOKUP($A47,FY14SCH!$A$3:$S$23,MATCH(D$28,FY14SCH!$A$2:$S$2,0),FALSE)</f>
        <v>1126.9179612418213</v>
      </c>
      <c r="E47" s="443">
        <f>+GPpcntSCH*(VLOOKUP($A47,FY14Revenue!$A$4:$I$24,9,FALSE))*VLOOKUP($A47,FY14SCH!$A$3:$S$23,MATCH(E$28,FY14SCH!$A$2:$S$2,0),FALSE)</f>
        <v>0</v>
      </c>
      <c r="F47" s="443">
        <f>+GPpcntSCH*(VLOOKUP($A47,FY14Revenue!$A$4:$I$24,9,FALSE))*VLOOKUP($A47,FY14SCH!$A$3:$S$23,MATCH(F$28,FY14SCH!$A$2:$S$2,0),FALSE)</f>
        <v>0</v>
      </c>
      <c r="G47" s="443">
        <f>+GPpcntSCH*(VLOOKUP($A47,FY14Revenue!$A$4:$I$24,9,FALSE))*VLOOKUP($A47,FY14SCH!$A$3:$S$23,MATCH(G$28,FY14SCH!$A$2:$S$2,0),FALSE)</f>
        <v>0</v>
      </c>
      <c r="H47" s="443">
        <f>+GPpcntSCH*(VLOOKUP($A47,FY14Revenue!$A$4:$I$24,9,FALSE))*VLOOKUP($A47,FY14SCH!$A$3:$S$23,MATCH(H$28,FY14SCH!$A$2:$S$2,0),FALSE)</f>
        <v>0</v>
      </c>
      <c r="I47" s="443">
        <f>+GPpcntSCH*(VLOOKUP($A47,FY14Revenue!$A$4:$I$24,9,FALSE))*VLOOKUP($A47,FY14SCH!$A$3:$S$23,MATCH(I$28,FY14SCH!$A$2:$S$2,0),FALSE)</f>
        <v>0</v>
      </c>
      <c r="J47" s="443">
        <f>+GPpcntSCH*(VLOOKUP($A47,FY14Revenue!$A$4:$I$24,9,FALSE))*VLOOKUP($A47,FY14SCH!$A$3:$S$23,MATCH(J$28,FY14SCH!$A$2:$S$2,0),FALSE)</f>
        <v>0</v>
      </c>
      <c r="K47" s="443">
        <f>+GPpcntSCH*(VLOOKUP($A47,FY14Revenue!$A$4:$I$24,9,FALSE))*VLOOKUP($A47,FY14SCH!$A$3:$S$23,MATCH(K$28,FY14SCH!$A$2:$S$2,0),FALSE)</f>
        <v>0</v>
      </c>
      <c r="L47" s="443">
        <f>+GPpcntSCH*(VLOOKUP($A47,FY14Revenue!$A$4:$I$24,9,FALSE))*VLOOKUP($A47,FY14SCH!$A$3:$S$23,MATCH(L$28,FY14SCH!$A$2:$S$2,0),FALSE)</f>
        <v>0</v>
      </c>
      <c r="M47" s="443">
        <f>+GPpcntSCH*(VLOOKUP($A47,FY14Revenue!$A$4:$I$24,9,FALSE))*VLOOKUP($A47,FY14SCH!$A$3:$S$23,MATCH(M$28,FY14SCH!$A$2:$S$2,0),FALSE)</f>
        <v>187.81966020697024</v>
      </c>
      <c r="N47" s="443">
        <f>+GPpcntSCH*(VLOOKUP($A47,FY14Revenue!$A$4:$I$24,9,FALSE))*VLOOKUP($A47,FY14SCH!$A$3:$S$23,MATCH(N$28,FY14SCH!$A$2:$S$2,0),FALSE)</f>
        <v>2531902.9294200623</v>
      </c>
      <c r="O47" s="443">
        <f>+GPpcntSCH*(VLOOKUP($A47,FY14Revenue!$A$4:$I$24,9,FALSE))*VLOOKUP($A47,FY14SCH!$A$3:$S$23,MATCH(O$28,FY14SCH!$A$2:$S$2,0),FALSE)</f>
        <v>0</v>
      </c>
      <c r="P47" s="443">
        <f>+GPpcntSCH*(VLOOKUP($A47,FY14Revenue!$A$4:$I$24,9,FALSE))*VLOOKUP($A47,FY14SCH!$A$3:$S$23,MATCH(P$28,FY14SCH!$A$2:$S$2,0),FALSE)</f>
        <v>0</v>
      </c>
      <c r="Q47" s="443">
        <f>+GPpcntSCH*(VLOOKUP($A47,FY14Revenue!$A$4:$I$24,9,FALSE))*VLOOKUP($A47,FY14SCH!$A$3:$S$23,MATCH(Q$28,FY14SCH!$A$2:$S$2,0),FALSE)</f>
        <v>4382.4587381626388</v>
      </c>
      <c r="R47" s="443">
        <f>+GPpcntSCH*(VLOOKUP($A47,FY14Revenue!$A$4:$I$24,9,FALSE))*VLOOKUP($A47,FY14SCH!$A$3:$S$23,MATCH(R$28,FY14SCH!$A$2:$S$2,0),FALSE)</f>
        <v>0</v>
      </c>
      <c r="S47" s="443">
        <f>+GPpcntSCH*(VLOOKUP($A47,FY14Revenue!$A$4:$I$24,9,FALSE))*VLOOKUP($A47,FY14SCH!$A$3:$S$23,MATCH(S$28,FY14SCH!$A$2:$S$2,0),FALSE)</f>
        <v>187.81966020697024</v>
      </c>
      <c r="T47" s="444">
        <f t="shared" si="23"/>
        <v>2537787.9454398807</v>
      </c>
    </row>
    <row r="48" spans="1:20" s="18" customFormat="1" ht="20.100000000000001" customHeight="1">
      <c r="A48" s="404" t="s">
        <v>156</v>
      </c>
      <c r="B48" s="440" t="s">
        <v>77</v>
      </c>
      <c r="C48" s="410">
        <f>+GPpcntSCH*(VLOOKUP($A48,FY14Revenue!$A$4:$I$24,9,FALSE))*VLOOKUP($A48,FY14SCH!$A$3:$S$23,MATCH(C$28,FY14SCH!$A$2:$S$2,0),FALSE)</f>
        <v>0</v>
      </c>
      <c r="D48" s="410">
        <f>+GPpcntSCH*(VLOOKUP($A48,FY14Revenue!$A$4:$I$24,9,FALSE))*VLOOKUP($A48,FY14SCH!$A$3:$S$23,MATCH(D$28,FY14SCH!$A$2:$S$2,0),FALSE)</f>
        <v>0</v>
      </c>
      <c r="E48" s="410">
        <f>+GPpcntSCH*(VLOOKUP($A48,FY14Revenue!$A$4:$I$24,9,FALSE))*VLOOKUP($A48,FY14SCH!$A$3:$S$23,MATCH(E$28,FY14SCH!$A$2:$S$2,0),FALSE)</f>
        <v>0</v>
      </c>
      <c r="F48" s="410">
        <f>+GPpcntSCH*(VLOOKUP($A48,FY14Revenue!$A$4:$I$24,9,FALSE))*VLOOKUP($A48,FY14SCH!$A$3:$S$23,MATCH(F$28,FY14SCH!$A$2:$S$2,0),FALSE)</f>
        <v>0</v>
      </c>
      <c r="G48" s="410">
        <f>+GPpcntSCH*(VLOOKUP($A48,FY14Revenue!$A$4:$I$24,9,FALSE))*VLOOKUP($A48,FY14SCH!$A$3:$S$23,MATCH(G$28,FY14SCH!$A$2:$S$2,0),FALSE)</f>
        <v>0</v>
      </c>
      <c r="H48" s="410">
        <f>+GPpcntSCH*(VLOOKUP($A48,FY14Revenue!$A$4:$I$24,9,FALSE))*VLOOKUP($A48,FY14SCH!$A$3:$S$23,MATCH(H$28,FY14SCH!$A$2:$S$2,0),FALSE)</f>
        <v>0</v>
      </c>
      <c r="I48" s="410">
        <f>+GPpcntSCH*(VLOOKUP($A48,FY14Revenue!$A$4:$I$24,9,FALSE))*VLOOKUP($A48,FY14SCH!$A$3:$S$23,MATCH(I$28,FY14SCH!$A$2:$S$2,0),FALSE)</f>
        <v>0</v>
      </c>
      <c r="J48" s="410">
        <f>+GPpcntSCH*(VLOOKUP($A48,FY14Revenue!$A$4:$I$24,9,FALSE))*VLOOKUP($A48,FY14SCH!$A$3:$S$23,MATCH(J$28,FY14SCH!$A$2:$S$2,0),FALSE)</f>
        <v>0</v>
      </c>
      <c r="K48" s="410">
        <f>+GPpcntSCH*(VLOOKUP($A48,FY14Revenue!$A$4:$I$24,9,FALSE))*VLOOKUP($A48,FY14SCH!$A$3:$S$23,MATCH(K$28,FY14SCH!$A$2:$S$2,0),FALSE)</f>
        <v>0</v>
      </c>
      <c r="L48" s="410">
        <f>+GPpcntSCH*(VLOOKUP($A48,FY14Revenue!$A$4:$I$24,9,FALSE))*VLOOKUP($A48,FY14SCH!$A$3:$S$23,MATCH(L$28,FY14SCH!$A$2:$S$2,0),FALSE)</f>
        <v>0</v>
      </c>
      <c r="M48" s="410">
        <f>+GPpcntSCH*(VLOOKUP($A48,FY14Revenue!$A$4:$I$24,9,FALSE))*VLOOKUP($A48,FY14SCH!$A$3:$S$23,MATCH(M$28,FY14SCH!$A$2:$S$2,0),FALSE)</f>
        <v>871935.15259164793</v>
      </c>
      <c r="N48" s="410">
        <f>+GPpcntSCH*(VLOOKUP($A48,FY14Revenue!$A$4:$I$24,9,FALSE))*VLOOKUP($A48,FY14SCH!$A$3:$S$23,MATCH(N$28,FY14SCH!$A$2:$S$2,0),FALSE)</f>
        <v>132629.7985271262</v>
      </c>
      <c r="O48" s="410">
        <f>+GPpcntSCH*(VLOOKUP($A48,FY14Revenue!$A$4:$I$24,9,FALSE))*VLOOKUP($A48,FY14SCH!$A$3:$S$23,MATCH(O$28,FY14SCH!$A$2:$S$2,0),FALSE)</f>
        <v>0</v>
      </c>
      <c r="P48" s="410">
        <f>+GPpcntSCH*(VLOOKUP($A48,FY14Revenue!$A$4:$I$24,9,FALSE))*VLOOKUP($A48,FY14SCH!$A$3:$S$23,MATCH(P$28,FY14SCH!$A$2:$S$2,0),FALSE)</f>
        <v>0</v>
      </c>
      <c r="Q48" s="410">
        <f>+GPpcntSCH*(VLOOKUP($A48,FY14Revenue!$A$4:$I$24,9,FALSE))*VLOOKUP($A48,FY14SCH!$A$3:$S$23,MATCH(Q$28,FY14SCH!$A$2:$S$2,0),FALSE)</f>
        <v>0</v>
      </c>
      <c r="R48" s="410">
        <f>+GPpcntSCH*(VLOOKUP($A48,FY14Revenue!$A$4:$I$24,9,FALSE))*VLOOKUP($A48,FY14SCH!$A$3:$S$23,MATCH(R$28,FY14SCH!$A$2:$S$2,0),FALSE)</f>
        <v>0</v>
      </c>
      <c r="S48" s="410">
        <f>+GPpcntSCH*(VLOOKUP($A48,FY14Revenue!$A$4:$I$24,9,FALSE))*VLOOKUP($A48,FY14SCH!$A$3:$S$23,MATCH(S$28,FY14SCH!$A$2:$S$2,0),FALSE)</f>
        <v>0</v>
      </c>
      <c r="T48" s="441">
        <f t="shared" si="23"/>
        <v>1004564.9511187741</v>
      </c>
    </row>
    <row r="49" spans="1:20" ht="20.100000000000001" customHeight="1">
      <c r="A49" s="404" t="s">
        <v>163</v>
      </c>
      <c r="B49" s="445" t="s">
        <v>164</v>
      </c>
      <c r="C49" s="443">
        <f>+GPpcntSCH*(VLOOKUP($A49,FY14Revenue!$A$4:$I$24,9,FALSE))*VLOOKUP($A49,FY14SCH!$A$3:$S$23,MATCH(C$28,FY14SCH!$A$2:$S$2,0),FALSE)</f>
        <v>0</v>
      </c>
      <c r="D49" s="443">
        <f>+GPpcntSCH*(VLOOKUP($A49,FY14Revenue!$A$4:$I$24,9,FALSE))*VLOOKUP($A49,FY14SCH!$A$3:$S$23,MATCH(D$28,FY14SCH!$A$2:$S$2,0),FALSE)</f>
        <v>1569.2610314064843</v>
      </c>
      <c r="E49" s="443">
        <f>+GPpcntSCH*(VLOOKUP($A49,FY14Revenue!$A$4:$I$24,9,FALSE))*VLOOKUP($A49,FY14SCH!$A$3:$S$23,MATCH(E$28,FY14SCH!$A$2:$S$2,0),FALSE)</f>
        <v>0</v>
      </c>
      <c r="F49" s="443">
        <f>+GPpcntSCH*(VLOOKUP($A49,FY14Revenue!$A$4:$I$24,9,FALSE))*VLOOKUP($A49,FY14SCH!$A$3:$S$23,MATCH(F$28,FY14SCH!$A$2:$S$2,0),FALSE)</f>
        <v>0</v>
      </c>
      <c r="G49" s="443">
        <f>+GPpcntSCH*(VLOOKUP($A49,FY14Revenue!$A$4:$I$24,9,FALSE))*VLOOKUP($A49,FY14SCH!$A$3:$S$23,MATCH(G$28,FY14SCH!$A$2:$S$2,0),FALSE)</f>
        <v>0</v>
      </c>
      <c r="H49" s="443">
        <f>+GPpcntSCH*(VLOOKUP($A49,FY14Revenue!$A$4:$I$24,9,FALSE))*VLOOKUP($A49,FY14SCH!$A$3:$S$23,MATCH(H$28,FY14SCH!$A$2:$S$2,0),FALSE)</f>
        <v>0</v>
      </c>
      <c r="I49" s="443">
        <f>+GPpcntSCH*(VLOOKUP($A49,FY14Revenue!$A$4:$I$24,9,FALSE))*VLOOKUP($A49,FY14SCH!$A$3:$S$23,MATCH(I$28,FY14SCH!$A$2:$S$2,0),FALSE)</f>
        <v>0</v>
      </c>
      <c r="J49" s="443">
        <f>+GPpcntSCH*(VLOOKUP($A49,FY14Revenue!$A$4:$I$24,9,FALSE))*VLOOKUP($A49,FY14SCH!$A$3:$S$23,MATCH(J$28,FY14SCH!$A$2:$S$2,0),FALSE)</f>
        <v>0</v>
      </c>
      <c r="K49" s="443">
        <f>+GPpcntSCH*(VLOOKUP($A49,FY14Revenue!$A$4:$I$24,9,FALSE))*VLOOKUP($A49,FY14SCH!$A$3:$S$23,MATCH(K$28,FY14SCH!$A$2:$S$2,0),FALSE)</f>
        <v>0</v>
      </c>
      <c r="L49" s="443">
        <f>+GPpcntSCH*(VLOOKUP($A49,FY14Revenue!$A$4:$I$24,9,FALSE))*VLOOKUP($A49,FY14SCH!$A$3:$S$23,MATCH(L$28,FY14SCH!$A$2:$S$2,0),FALSE)</f>
        <v>0</v>
      </c>
      <c r="M49" s="443">
        <f>+GPpcntSCH*(VLOOKUP($A49,FY14Revenue!$A$4:$I$24,9,FALSE))*VLOOKUP($A49,FY14SCH!$A$3:$S$23,MATCH(M$28,FY14SCH!$A$2:$S$2,0),FALSE)</f>
        <v>172430.40213094448</v>
      </c>
      <c r="N49" s="443">
        <f>+GPpcntSCH*(VLOOKUP($A49,FY14Revenue!$A$4:$I$24,9,FALSE))*VLOOKUP($A49,FY14SCH!$A$3:$S$23,MATCH(N$28,FY14SCH!$A$2:$S$2,0),FALSE)</f>
        <v>3264.0629453254874</v>
      </c>
      <c r="O49" s="443">
        <f>+GPpcntSCH*(VLOOKUP($A49,FY14Revenue!$A$4:$I$24,9,FALSE))*VLOOKUP($A49,FY14SCH!$A$3:$S$23,MATCH(O$28,FY14SCH!$A$2:$S$2,0),FALSE)</f>
        <v>0</v>
      </c>
      <c r="P49" s="443">
        <f>+GPpcntSCH*(VLOOKUP($A49,FY14Revenue!$A$4:$I$24,9,FALSE))*VLOOKUP($A49,FY14SCH!$A$3:$S$23,MATCH(P$28,FY14SCH!$A$2:$S$2,0),FALSE)</f>
        <v>0</v>
      </c>
      <c r="Q49" s="443">
        <f>+GPpcntSCH*(VLOOKUP($A49,FY14Revenue!$A$4:$I$24,9,FALSE))*VLOOKUP($A49,FY14SCH!$A$3:$S$23,MATCH(Q$28,FY14SCH!$A$2:$S$2,0),FALSE)</f>
        <v>1129.8679426126687</v>
      </c>
      <c r="R49" s="443">
        <f>+GPpcntSCH*(VLOOKUP($A49,FY14Revenue!$A$4:$I$24,9,FALSE))*VLOOKUP($A49,FY14SCH!$A$3:$S$23,MATCH(R$28,FY14SCH!$A$2:$S$2,0),FALSE)</f>
        <v>0</v>
      </c>
      <c r="S49" s="443">
        <f>+GPpcntSCH*(VLOOKUP($A49,FY14Revenue!$A$4:$I$24,9,FALSE))*VLOOKUP($A49,FY14SCH!$A$3:$S$23,MATCH(S$28,FY14SCH!$A$2:$S$2,0),FALSE)</f>
        <v>62.770441256259367</v>
      </c>
      <c r="T49" s="446">
        <f t="shared" si="23"/>
        <v>178456.36449154539</v>
      </c>
    </row>
    <row r="50" spans="1:20" ht="20.100000000000001" customHeight="1">
      <c r="A50" s="405"/>
      <c r="B50" s="447" t="s">
        <v>17</v>
      </c>
      <c r="C50" s="448">
        <f t="shared" ref="C50:S50" si="24">SUM(C29:C49)</f>
        <v>3927190.1431774087</v>
      </c>
      <c r="D50" s="448">
        <f t="shared" si="24"/>
        <v>104442910.12547387</v>
      </c>
      <c r="E50" s="448">
        <f t="shared" si="24"/>
        <v>11074926.954258904</v>
      </c>
      <c r="F50" s="448">
        <f t="shared" si="24"/>
        <v>3000734.8135739421</v>
      </c>
      <c r="G50" s="448">
        <f t="shared" si="24"/>
        <v>15300777.504905295</v>
      </c>
      <c r="H50" s="448">
        <f t="shared" si="24"/>
        <v>9840784.374953853</v>
      </c>
      <c r="I50" s="448">
        <f t="shared" si="24"/>
        <v>1869325.4401244833</v>
      </c>
      <c r="J50" s="448">
        <f t="shared" si="24"/>
        <v>2298109.7261568643</v>
      </c>
      <c r="K50" s="448">
        <f t="shared" si="24"/>
        <v>813710.61506889143</v>
      </c>
      <c r="L50" s="448">
        <f t="shared" si="24"/>
        <v>1050002.4027582845</v>
      </c>
      <c r="M50" s="448">
        <f t="shared" si="24"/>
        <v>1057287.658303966</v>
      </c>
      <c r="N50" s="448">
        <f t="shared" si="24"/>
        <v>7534146.8619469749</v>
      </c>
      <c r="O50" s="448">
        <f t="shared" si="24"/>
        <v>1490166.0202492892</v>
      </c>
      <c r="P50" s="448">
        <f t="shared" si="24"/>
        <v>1239053.4798172372</v>
      </c>
      <c r="Q50" s="448">
        <f t="shared" si="24"/>
        <v>2662963.3037875546</v>
      </c>
      <c r="R50" s="448">
        <f t="shared" si="24"/>
        <v>2008029.7370167014</v>
      </c>
      <c r="S50" s="448">
        <f t="shared" si="24"/>
        <v>462479.98539280344</v>
      </c>
      <c r="T50" s="448">
        <f>SUM(C50:S50)</f>
        <v>170072599.14696631</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+UGpcntDeg*(VLOOKUP($A53,FY14Revenue!$A$4:$J$24,9,FALSE))*VLOOKUP($A53,FY14Majors!$A$3:$S$23,MATCH(C$28,FY14Majors!$A$2:$S$2,0),FALSE)</f>
        <v>1544661.7364659819</v>
      </c>
      <c r="D53" s="455">
        <f>+UGpcntDeg*(VLOOKUP($A53,FY14Revenue!$A$4:$J$24,9,FALSE))*VLOOKUP($A53,FY14Majors!$A$3:$S$23,MATCH(D$28,FY14Majors!$A$2:$S$2,0),FALSE)</f>
        <v>69901707.238281444</v>
      </c>
      <c r="E53" s="455">
        <f>+UGpcntDeg*(VLOOKUP($A53,FY14Revenue!$A$4:$J$24,9,FALSE))*VLOOKUP($A53,FY14Majors!$A$3:$S$23,MATCH(E$28,FY14Majors!$A$2:$S$2,0),FALSE)</f>
        <v>9394771.0091028009</v>
      </c>
      <c r="F53" s="455">
        <f>+UGpcntDeg*(VLOOKUP($A53,FY14Revenue!$A$4:$J$24,9,FALSE))*VLOOKUP($A53,FY14Majors!$A$3:$S$23,MATCH(F$28,FY14Majors!$A$2:$S$2,0),FALSE)</f>
        <v>910658.78493143711</v>
      </c>
      <c r="G53" s="455">
        <f>+UGpcntDeg*(VLOOKUP($A53,FY14Revenue!$A$4:$J$24,9,FALSE))*VLOOKUP($A53,FY14Majors!$A$3:$S$23,MATCH(G$28,FY14Majors!$A$2:$S$2,0),FALSE)</f>
        <v>9729063.4744573794</v>
      </c>
      <c r="H53" s="455">
        <f>+UGpcntDeg*(VLOOKUP($A53,FY14Revenue!$A$4:$J$24,9,FALSE))*VLOOKUP($A53,FY14Majors!$A$3:$S$23,MATCH(H$28,FY14Majors!$A$2:$S$2,0),FALSE)</f>
        <v>3250706.0424134848</v>
      </c>
      <c r="I53" s="455">
        <f>+UGpcntDeg*(VLOOKUP($A53,FY14Revenue!$A$4:$J$24,9,FALSE))*VLOOKUP($A53,FY14Majors!$A$3:$S$23,MATCH(I$28,FY14Majors!$A$2:$S$2,0),FALSE)</f>
        <v>1233423.923894478</v>
      </c>
      <c r="J53" s="455">
        <f>+UGpcntDeg*(VLOOKUP($A53,FY14Revenue!$A$4:$J$24,9,FALSE))*VLOOKUP($A53,FY14Majors!$A$3:$S$23,MATCH(J$28,FY14Majors!$A$2:$S$2,0),FALSE)</f>
        <v>0</v>
      </c>
      <c r="K53" s="455">
        <f>+UGpcntDeg*(VLOOKUP($A53,FY14Revenue!$A$4:$J$24,9,FALSE))*VLOOKUP($A53,FY14Majors!$A$3:$S$23,MATCH(K$28,FY14Majors!$A$2:$S$2,0),FALSE)</f>
        <v>0</v>
      </c>
      <c r="L53" s="455">
        <f>+UGpcntDeg*(VLOOKUP($A53,FY14Revenue!$A$4:$J$24,9,FALSE))*VLOOKUP($A53,FY14Majors!$A$3:$S$23,MATCH(L$28,FY14Majors!$A$2:$S$2,0),FALSE)</f>
        <v>495675.03483609867</v>
      </c>
      <c r="M53" s="455">
        <f>+UGpcntDeg*(VLOOKUP($A53,FY14Revenue!$A$4:$J$24,9,FALSE))*VLOOKUP($A53,FY14Majors!$A$3:$S$23,MATCH(M$28,FY14Majors!$A$2:$S$2,0),FALSE)</f>
        <v>0</v>
      </c>
      <c r="N53" s="455">
        <f>+UGpcntDeg*(VLOOKUP($A53,FY14Revenue!$A$4:$J$24,9,FALSE))*VLOOKUP($A53,FY14Majors!$A$3:$S$23,MATCH(N$28,FY14Majors!$A$2:$S$2,0),FALSE)</f>
        <v>1752153.6115136512</v>
      </c>
      <c r="O53" s="455">
        <f>+UGpcntDeg*(VLOOKUP($A53,FY14Revenue!$A$4:$J$24,9,FALSE))*VLOOKUP($A53,FY14Majors!$A$3:$S$23,MATCH(O$28,FY14Majors!$A$2:$S$2,0),FALSE)</f>
        <v>1544661.7364659819</v>
      </c>
      <c r="P53" s="455">
        <f>+UGpcntDeg*(VLOOKUP($A53,FY14Revenue!$A$4:$J$24,9,FALSE))*VLOOKUP($A53,FY14Majors!$A$3:$S$23,MATCH(P$28,FY14Majors!$A$2:$S$2,0),FALSE)</f>
        <v>0</v>
      </c>
      <c r="Q53" s="455">
        <f>+UGpcntDeg*(VLOOKUP($A53,FY14Revenue!$A$4:$J$24,9,FALSE))*VLOOKUP($A53,FY14Majors!$A$3:$S$23,MATCH(Q$28,FY14Majors!$A$2:$S$2,0),FALSE)</f>
        <v>1198841.9447198666</v>
      </c>
      <c r="R53" s="455">
        <f>+UGpcntDeg*(VLOOKUP($A53,FY14Revenue!$A$4:$J$24,9,FALSE))*VLOOKUP($A53,FY14Majors!$A$3:$S$23,MATCH(R$28,FY14Majors!$A$2:$S$2,0),FALSE)</f>
        <v>126800.59030690897</v>
      </c>
      <c r="S53" s="455">
        <f>+UGpcntDeg*(VLOOKUP($A53,FY14Revenue!$A$4:$J$24,9,FALSE))*VLOOKUP($A53,FY14Majors!$A$3:$S$23,MATCH(S$28,FY14Majors!$A$2:$S$2,0),FALSE)</f>
        <v>576366.31957685889</v>
      </c>
      <c r="T53" s="455">
        <f t="shared" ref="T53:T74" si="25">SUM(C53:Q53)+R53+S53</f>
        <v>101659491.44696636</v>
      </c>
    </row>
    <row r="54" spans="1:20" s="18" customFormat="1" ht="20.100000000000001" customHeight="1">
      <c r="A54" s="404" t="s">
        <v>129</v>
      </c>
      <c r="B54" s="440" t="s">
        <v>35</v>
      </c>
      <c r="C54" s="410">
        <f>+GPpcntMjr*(VLOOKUP($A54,FY14Revenue!$A$4:$J$24,9,FALSE))*VLOOKUP($A54,FY14Majors!$A$3:$S$23,MATCH(C$28,FY14Majors!$A$2:$S$2,0),FALSE)</f>
        <v>67390.485947672147</v>
      </c>
      <c r="D54" s="410">
        <f>+GPpcntMjr*(VLOOKUP($A54,FY14Revenue!$A$4:$J$24,9,FALSE))*VLOOKUP($A54,FY14Majors!$A$3:$S$23,MATCH(D$28,FY14Majors!$A$2:$S$2,0),FALSE)</f>
        <v>7446036.056436426</v>
      </c>
      <c r="E54" s="410">
        <f>+GPpcntMjr*(VLOOKUP($A54,FY14Revenue!$A$4:$J$24,9,FALSE))*VLOOKUP($A54,FY14Majors!$A$3:$S$23,MATCH(E$28,FY14Majors!$A$2:$S$2,0),FALSE)</f>
        <v>268336.66222800349</v>
      </c>
      <c r="F54" s="410">
        <f>+GPpcntMjr*(VLOOKUP($A54,FY14Revenue!$A$4:$J$24,9,FALSE))*VLOOKUP($A54,FY14Majors!$A$3:$S$23,MATCH(F$28,FY14Majors!$A$2:$S$2,0),FALSE)</f>
        <v>0</v>
      </c>
      <c r="G54" s="410">
        <f>+GPpcntMjr*(VLOOKUP($A54,FY14Revenue!$A$4:$J$24,9,FALSE))*VLOOKUP($A54,FY14Majors!$A$3:$S$23,MATCH(G$28,FY14Majors!$A$2:$S$2,0),FALSE)</f>
        <v>425172.70225167694</v>
      </c>
      <c r="H54" s="410">
        <f>+GPpcntMjr*(VLOOKUP($A54,FY14Revenue!$A$4:$J$24,9,FALSE))*VLOOKUP($A54,FY14Majors!$A$3:$S$23,MATCH(H$28,FY14Majors!$A$2:$S$2,0),FALSE)</f>
        <v>0</v>
      </c>
      <c r="I54" s="410">
        <f>+GPpcntMjr*(VLOOKUP($A54,FY14Revenue!$A$4:$J$24,9,FALSE))*VLOOKUP($A54,FY14Majors!$A$3:$S$23,MATCH(I$28,FY14Majors!$A$2:$S$2,0),FALSE)</f>
        <v>165413.01096246796</v>
      </c>
      <c r="J54" s="410">
        <f>+GPpcntMjr*(VLOOKUP($A54,FY14Revenue!$A$4:$J$24,9,FALSE))*VLOOKUP($A54,FY14Majors!$A$3:$S$23,MATCH(J$28,FY14Majors!$A$2:$S$2,0),FALSE)</f>
        <v>3675.8446880548431</v>
      </c>
      <c r="K54" s="410">
        <f>+GPpcntMjr*(VLOOKUP($A54,FY14Revenue!$A$4:$J$24,9,FALSE))*VLOOKUP($A54,FY14Majors!$A$3:$S$23,MATCH(K$28,FY14Majors!$A$2:$S$2,0),FALSE)</f>
        <v>68615.76751035708</v>
      </c>
      <c r="L54" s="410">
        <f>+GPpcntMjr*(VLOOKUP($A54,FY14Revenue!$A$4:$J$24,9,FALSE))*VLOOKUP($A54,FY14Majors!$A$3:$S$23,MATCH(L$28,FY14Majors!$A$2:$S$2,0),FALSE)</f>
        <v>0</v>
      </c>
      <c r="M54" s="410">
        <f>+GPpcntMjr*(VLOOKUP($A54,FY14Revenue!$A$4:$J$24,9,FALSE))*VLOOKUP($A54,FY14Majors!$A$3:$S$23,MATCH(M$28,FY14Majors!$A$2:$S$2,0),FALSE)</f>
        <v>0</v>
      </c>
      <c r="N54" s="410">
        <f>+GPpcntMjr*(VLOOKUP($A54,FY14Revenue!$A$4:$J$24,9,FALSE))*VLOOKUP($A54,FY14Majors!$A$3:$S$23,MATCH(N$28,FY14Majors!$A$2:$S$2,0),FALSE)</f>
        <v>1538953.6427322945</v>
      </c>
      <c r="O54" s="410">
        <f>+GPpcntMjr*(VLOOKUP($A54,FY14Revenue!$A$4:$J$24,9,FALSE))*VLOOKUP($A54,FY14Majors!$A$3:$S$23,MATCH(O$28,FY14Majors!$A$2:$S$2,0),FALSE)</f>
        <v>2450.5631253698953</v>
      </c>
      <c r="P54" s="410">
        <f>+GPpcntMjr*(VLOOKUP($A54,FY14Revenue!$A$4:$J$24,9,FALSE))*VLOOKUP($A54,FY14Majors!$A$3:$S$23,MATCH(P$28,FY14Majors!$A$2:$S$2,0),FALSE)</f>
        <v>218100.11815792069</v>
      </c>
      <c r="Q54" s="410">
        <f>+GPpcntMjr*(VLOOKUP($A54,FY14Revenue!$A$4:$J$24,9,FALSE))*VLOOKUP($A54,FY14Majors!$A$3:$S$23,MATCH(Q$28,FY14Majors!$A$2:$S$2,0),FALSE)</f>
        <v>3675.8446880548431</v>
      </c>
      <c r="R54" s="410">
        <f>+GPpcntMjr*(VLOOKUP($A54,FY14Revenue!$A$4:$J$24,9,FALSE))*VLOOKUP($A54,FY14Majors!$A$3:$S$23,MATCH(R$28,FY14Majors!$A$2:$S$2,0),FALSE)</f>
        <v>0</v>
      </c>
      <c r="S54" s="410">
        <f>+GPpcntMjr*(VLOOKUP($A54,FY14Revenue!$A$4:$J$24,9,FALSE))*VLOOKUP($A54,FY14Majors!$A$3:$S$23,MATCH(S$28,FY14Majors!$A$2:$S$2,0),FALSE)</f>
        <v>987576.93952406768</v>
      </c>
      <c r="T54" s="410">
        <f t="shared" si="25"/>
        <v>11195397.638252366</v>
      </c>
    </row>
    <row r="55" spans="1:20" ht="20.100000000000001" customHeight="1">
      <c r="A55" s="404" t="s">
        <v>140</v>
      </c>
      <c r="B55" s="456" t="s">
        <v>36</v>
      </c>
      <c r="C55" s="457">
        <f>+GPpcntMjr*(VLOOKUP($A55,FY14Revenue!$A$4:$J$24,9,FALSE))*VLOOKUP($A55,FY14Majors!$A$3:$S$23,MATCH(C$28,FY14Majors!$A$2:$S$2,0),FALSE)</f>
        <v>0</v>
      </c>
      <c r="D55" s="457">
        <f>+GPpcntMjr*(VLOOKUP($A55,FY14Revenue!$A$4:$J$24,9,FALSE))*VLOOKUP($A55,FY14Majors!$A$3:$S$23,MATCH(D$28,FY14Majors!$A$2:$S$2,0),FALSE)</f>
        <v>0</v>
      </c>
      <c r="E55" s="457">
        <f>+GPpcntMjr*(VLOOKUP($A55,FY14Revenue!$A$4:$J$24,9,FALSE))*VLOOKUP($A55,FY14Majors!$A$3:$S$23,MATCH(E$28,FY14Majors!$A$2:$S$2,0),FALSE)</f>
        <v>0</v>
      </c>
      <c r="F55" s="457">
        <f>+GPpcntMjr*(VLOOKUP($A55,FY14Revenue!$A$4:$J$24,9,FALSE))*VLOOKUP($A55,FY14Majors!$A$3:$S$23,MATCH(F$28,FY14Majors!$A$2:$S$2,0),FALSE)</f>
        <v>0</v>
      </c>
      <c r="G55" s="457">
        <f>+GPpcntMjr*(VLOOKUP($A55,FY14Revenue!$A$4:$J$24,9,FALSE))*VLOOKUP($A55,FY14Majors!$A$3:$S$23,MATCH(G$28,FY14Majors!$A$2:$S$2,0),FALSE)</f>
        <v>0</v>
      </c>
      <c r="H55" s="457">
        <f>+GPpcntMjr*(VLOOKUP($A55,FY14Revenue!$A$4:$J$24,9,FALSE))*VLOOKUP($A55,FY14Majors!$A$3:$S$23,MATCH(H$28,FY14Majors!$A$2:$S$2,0),FALSE)</f>
        <v>0</v>
      </c>
      <c r="I55" s="457">
        <f>+GPpcntMjr*(VLOOKUP($A55,FY14Revenue!$A$4:$J$24,9,FALSE))*VLOOKUP($A55,FY14Majors!$A$3:$S$23,MATCH(I$28,FY14Majors!$A$2:$S$2,0),FALSE)</f>
        <v>0</v>
      </c>
      <c r="J55" s="457">
        <f>+GPpcntMjr*(VLOOKUP($A55,FY14Revenue!$A$4:$J$24,9,FALSE))*VLOOKUP($A55,FY14Majors!$A$3:$S$23,MATCH(J$28,FY14Majors!$A$2:$S$2,0),FALSE)</f>
        <v>0</v>
      </c>
      <c r="K55" s="457">
        <f>+GPpcntMjr*(VLOOKUP($A55,FY14Revenue!$A$4:$J$24,9,FALSE))*VLOOKUP($A55,FY14Majors!$A$3:$S$23,MATCH(K$28,FY14Majors!$A$2:$S$2,0),FALSE)</f>
        <v>0</v>
      </c>
      <c r="L55" s="457">
        <f>+GPpcntMjr*(VLOOKUP($A55,FY14Revenue!$A$4:$J$24,9,FALSE))*VLOOKUP($A55,FY14Majors!$A$3:$S$23,MATCH(L$28,FY14Majors!$A$2:$S$2,0),FALSE)</f>
        <v>253398.71667847896</v>
      </c>
      <c r="M55" s="457">
        <f>+GPpcntMjr*(VLOOKUP($A55,FY14Revenue!$A$4:$J$24,9,FALSE))*VLOOKUP($A55,FY14Majors!$A$3:$S$23,MATCH(M$28,FY14Majors!$A$2:$S$2,0),FALSE)</f>
        <v>0</v>
      </c>
      <c r="N55" s="457">
        <f>+GPpcntMjr*(VLOOKUP($A55,FY14Revenue!$A$4:$J$24,9,FALSE))*VLOOKUP($A55,FY14Majors!$A$3:$S$23,MATCH(N$28,FY14Majors!$A$2:$S$2,0),FALSE)</f>
        <v>711465.62759726797</v>
      </c>
      <c r="O55" s="457">
        <f>+GPpcntMjr*(VLOOKUP($A55,FY14Revenue!$A$4:$J$24,9,FALSE))*VLOOKUP($A55,FY14Majors!$A$3:$S$23,MATCH(O$28,FY14Majors!$A$2:$S$2,0),FALSE)</f>
        <v>0</v>
      </c>
      <c r="P55" s="457">
        <f>+GPpcntMjr*(VLOOKUP($A55,FY14Revenue!$A$4:$J$24,9,FALSE))*VLOOKUP($A55,FY14Majors!$A$3:$S$23,MATCH(P$28,FY14Majors!$A$2:$S$2,0),FALSE)</f>
        <v>0</v>
      </c>
      <c r="Q55" s="457">
        <f>+GPpcntMjr*(VLOOKUP($A55,FY14Revenue!$A$4:$J$24,9,FALSE))*VLOOKUP($A55,FY14Majors!$A$3:$S$23,MATCH(Q$28,FY14Majors!$A$2:$S$2,0),FALSE)</f>
        <v>0</v>
      </c>
      <c r="R55" s="457">
        <f>+GPpcntMjr*(VLOOKUP($A55,FY14Revenue!$A$4:$J$24,9,FALSE))*VLOOKUP($A55,FY14Majors!$A$3:$S$23,MATCH(R$28,FY14Majors!$A$2:$S$2,0),FALSE)</f>
        <v>0</v>
      </c>
      <c r="S55" s="457">
        <f>+GPpcntMjr*(VLOOKUP($A55,FY14Revenue!$A$4:$J$24,9,FALSE))*VLOOKUP($A55,FY14Majors!$A$3:$S$23,MATCH(S$28,FY14Majors!$A$2:$S$2,0),FALSE)</f>
        <v>0</v>
      </c>
      <c r="T55" s="457">
        <f t="shared" si="25"/>
        <v>964864.34427574696</v>
      </c>
    </row>
    <row r="56" spans="1:20" s="18" customFormat="1" ht="20.100000000000001" customHeight="1">
      <c r="A56" s="404" t="s">
        <v>130</v>
      </c>
      <c r="B56" s="440" t="s">
        <v>37</v>
      </c>
      <c r="C56" s="410">
        <f>+GPpcntMjr*(VLOOKUP($A56,FY14Revenue!$A$4:$J$24,9,FALSE))*VLOOKUP($A56,FY14Majors!$A$3:$S$23,MATCH(C$28,FY14Majors!$A$2:$S$2,0),FALSE)</f>
        <v>0</v>
      </c>
      <c r="D56" s="410">
        <f>+GPpcntMjr*(VLOOKUP($A56,FY14Revenue!$A$4:$J$24,9,FALSE))*VLOOKUP($A56,FY14Majors!$A$3:$S$23,MATCH(D$28,FY14Majors!$A$2:$S$2,0),FALSE)</f>
        <v>60061.952621973018</v>
      </c>
      <c r="E56" s="410">
        <f>+GPpcntMjr*(VLOOKUP($A56,FY14Revenue!$A$4:$J$24,9,FALSE))*VLOOKUP($A56,FY14Majors!$A$3:$S$23,MATCH(E$28,FY14Majors!$A$2:$S$2,0),FALSE)</f>
        <v>15015.488155493251</v>
      </c>
      <c r="F56" s="410">
        <f>+GPpcntMjr*(VLOOKUP($A56,FY14Revenue!$A$4:$J$24,9,FALSE))*VLOOKUP($A56,FY14Majors!$A$3:$S$23,MATCH(F$28,FY14Majors!$A$2:$S$2,0),FALSE)</f>
        <v>3753.8720388733127</v>
      </c>
      <c r="G56" s="410">
        <f>+GPpcntMjr*(VLOOKUP($A56,FY14Revenue!$A$4:$J$24,9,FALSE))*VLOOKUP($A56,FY14Majors!$A$3:$S$23,MATCH(G$28,FY14Majors!$A$2:$S$2,0),FALSE)</f>
        <v>5418714.2881136285</v>
      </c>
      <c r="H56" s="410">
        <f>+GPpcntMjr*(VLOOKUP($A56,FY14Revenue!$A$4:$J$24,9,FALSE))*VLOOKUP($A56,FY14Majors!$A$3:$S$23,MATCH(H$28,FY14Majors!$A$2:$S$2,0),FALSE)</f>
        <v>5630.80805830997</v>
      </c>
      <c r="I56" s="410">
        <f>+GPpcntMjr*(VLOOKUP($A56,FY14Revenue!$A$4:$J$24,9,FALSE))*VLOOKUP($A56,FY14Majors!$A$3:$S$23,MATCH(I$28,FY14Majors!$A$2:$S$2,0),FALSE)</f>
        <v>1876.9360194366564</v>
      </c>
      <c r="J56" s="410">
        <f>+GPpcntMjr*(VLOOKUP($A56,FY14Revenue!$A$4:$J$24,9,FALSE))*VLOOKUP($A56,FY14Majors!$A$3:$S$23,MATCH(J$28,FY14Majors!$A$2:$S$2,0),FALSE)</f>
        <v>26277.104272113193</v>
      </c>
      <c r="K56" s="410">
        <f>+GPpcntMjr*(VLOOKUP($A56,FY14Revenue!$A$4:$J$24,9,FALSE))*VLOOKUP($A56,FY14Majors!$A$3:$S$23,MATCH(K$28,FY14Majors!$A$2:$S$2,0),FALSE)</f>
        <v>1876.9360194366564</v>
      </c>
      <c r="L56" s="410">
        <f>+GPpcntMjr*(VLOOKUP($A56,FY14Revenue!$A$4:$J$24,9,FALSE))*VLOOKUP($A56,FY14Majors!$A$3:$S$23,MATCH(L$28,FY14Majors!$A$2:$S$2,0),FALSE)</f>
        <v>3753.8720388733127</v>
      </c>
      <c r="M56" s="410">
        <f>+GPpcntMjr*(VLOOKUP($A56,FY14Revenue!$A$4:$J$24,9,FALSE))*VLOOKUP($A56,FY14Majors!$A$3:$S$23,MATCH(M$28,FY14Majors!$A$2:$S$2,0),FALSE)</f>
        <v>0</v>
      </c>
      <c r="N56" s="410">
        <f>+GPpcntMjr*(VLOOKUP($A56,FY14Revenue!$A$4:$J$24,9,FALSE))*VLOOKUP($A56,FY14Majors!$A$3:$S$23,MATCH(N$28,FY14Majors!$A$2:$S$2,0),FALSE)</f>
        <v>61938.888641409678</v>
      </c>
      <c r="O56" s="410">
        <f>+GPpcntMjr*(VLOOKUP($A56,FY14Revenue!$A$4:$J$24,9,FALSE))*VLOOKUP($A56,FY14Majors!$A$3:$S$23,MATCH(O$28,FY14Majors!$A$2:$S$2,0),FALSE)</f>
        <v>350987.03563465481</v>
      </c>
      <c r="P56" s="410">
        <f>+GPpcntMjr*(VLOOKUP($A56,FY14Revenue!$A$4:$J$24,9,FALSE))*VLOOKUP($A56,FY14Majors!$A$3:$S$23,MATCH(P$28,FY14Majors!$A$2:$S$2,0),FALSE)</f>
        <v>0</v>
      </c>
      <c r="Q56" s="410">
        <f>+GPpcntMjr*(VLOOKUP($A56,FY14Revenue!$A$4:$J$24,9,FALSE))*VLOOKUP($A56,FY14Majors!$A$3:$S$23,MATCH(Q$28,FY14Majors!$A$2:$S$2,0),FALSE)</f>
        <v>54431.144563663038</v>
      </c>
      <c r="R56" s="410">
        <f>+GPpcntMjr*(VLOOKUP($A56,FY14Revenue!$A$4:$J$24,9,FALSE))*VLOOKUP($A56,FY14Majors!$A$3:$S$23,MATCH(R$28,FY14Majors!$A$2:$S$2,0),FALSE)</f>
        <v>3753.8720388733127</v>
      </c>
      <c r="S56" s="410">
        <f>+GPpcntMjr*(VLOOKUP($A56,FY14Revenue!$A$4:$J$24,9,FALSE))*VLOOKUP($A56,FY14Majors!$A$3:$S$23,MATCH(S$28,FY14Majors!$A$2:$S$2,0),FALSE)</f>
        <v>76954.376796902929</v>
      </c>
      <c r="T56" s="410">
        <f t="shared" si="25"/>
        <v>6085026.5750136403</v>
      </c>
    </row>
    <row r="57" spans="1:20" ht="20.100000000000001" customHeight="1">
      <c r="A57" s="404" t="s">
        <v>131</v>
      </c>
      <c r="B57" s="456" t="s">
        <v>141</v>
      </c>
      <c r="C57" s="457">
        <f>+GPpcntMjr*(VLOOKUP($A57,FY14Revenue!$A$4:$J$24,9,FALSE))*VLOOKUP($A57,FY14Majors!$A$3:$S$23,MATCH(C$28,FY14Majors!$A$2:$S$2,0),FALSE)</f>
        <v>0</v>
      </c>
      <c r="D57" s="457">
        <f>+GPpcntMjr*(VLOOKUP($A57,FY14Revenue!$A$4:$J$24,9,FALSE))*VLOOKUP($A57,FY14Majors!$A$3:$S$23,MATCH(D$28,FY14Majors!$A$2:$S$2,0),FALSE)</f>
        <v>30510.770039651274</v>
      </c>
      <c r="E57" s="457">
        <f>+GPpcntMjr*(VLOOKUP($A57,FY14Revenue!$A$4:$J$24,9,FALSE))*VLOOKUP($A57,FY14Majors!$A$3:$S$23,MATCH(E$28,FY14Majors!$A$2:$S$2,0),FALSE)</f>
        <v>0</v>
      </c>
      <c r="F57" s="457">
        <f>+GPpcntMjr*(VLOOKUP($A57,FY14Revenue!$A$4:$J$24,9,FALSE))*VLOOKUP($A57,FY14Majors!$A$3:$S$23,MATCH(F$28,FY14Majors!$A$2:$S$2,0),FALSE)</f>
        <v>0</v>
      </c>
      <c r="G57" s="457">
        <f>+GPpcntMjr*(VLOOKUP($A57,FY14Revenue!$A$4:$J$24,9,FALSE))*VLOOKUP($A57,FY14Majors!$A$3:$S$23,MATCH(G$28,FY14Majors!$A$2:$S$2,0),FALSE)</f>
        <v>1906.9231274782046</v>
      </c>
      <c r="H57" s="457">
        <f>+GPpcntMjr*(VLOOKUP($A57,FY14Revenue!$A$4:$J$24,9,FALSE))*VLOOKUP($A57,FY14Majors!$A$3:$S$23,MATCH(H$28,FY14Majors!$A$2:$S$2,0),FALSE)</f>
        <v>2742155.4573136582</v>
      </c>
      <c r="I57" s="457">
        <f>+GPpcntMjr*(VLOOKUP($A57,FY14Revenue!$A$4:$J$24,9,FALSE))*VLOOKUP($A57,FY14Majors!$A$3:$S$23,MATCH(I$28,FY14Majors!$A$2:$S$2,0),FALSE)</f>
        <v>0</v>
      </c>
      <c r="J57" s="457">
        <f>+GPpcntMjr*(VLOOKUP($A57,FY14Revenue!$A$4:$J$24,9,FALSE))*VLOOKUP($A57,FY14Majors!$A$3:$S$23,MATCH(J$28,FY14Majors!$A$2:$S$2,0),FALSE)</f>
        <v>1906.9231274782046</v>
      </c>
      <c r="K57" s="457">
        <f>+GPpcntMjr*(VLOOKUP($A57,FY14Revenue!$A$4:$J$24,9,FALSE))*VLOOKUP($A57,FY14Majors!$A$3:$S$23,MATCH(K$28,FY14Majors!$A$2:$S$2,0),FALSE)</f>
        <v>7627.6925099128184</v>
      </c>
      <c r="L57" s="457">
        <f>+GPpcntMjr*(VLOOKUP($A57,FY14Revenue!$A$4:$J$24,9,FALSE))*VLOOKUP($A57,FY14Majors!$A$3:$S$23,MATCH(L$28,FY14Majors!$A$2:$S$2,0),FALSE)</f>
        <v>0</v>
      </c>
      <c r="M57" s="457">
        <f>+GPpcntMjr*(VLOOKUP($A57,FY14Revenue!$A$4:$J$24,9,FALSE))*VLOOKUP($A57,FY14Majors!$A$3:$S$23,MATCH(M$28,FY14Majors!$A$2:$S$2,0),FALSE)</f>
        <v>0</v>
      </c>
      <c r="N57" s="457">
        <f>+GPpcntMjr*(VLOOKUP($A57,FY14Revenue!$A$4:$J$24,9,FALSE))*VLOOKUP($A57,FY14Majors!$A$3:$S$23,MATCH(N$28,FY14Majors!$A$2:$S$2,0),FALSE)</f>
        <v>0</v>
      </c>
      <c r="O57" s="457">
        <f>+GPpcntMjr*(VLOOKUP($A57,FY14Revenue!$A$4:$J$24,9,FALSE))*VLOOKUP($A57,FY14Majors!$A$3:$S$23,MATCH(O$28,FY14Majors!$A$2:$S$2,0),FALSE)</f>
        <v>0</v>
      </c>
      <c r="P57" s="457">
        <f>+GPpcntMjr*(VLOOKUP($A57,FY14Revenue!$A$4:$J$24,9,FALSE))*VLOOKUP($A57,FY14Majors!$A$3:$S$23,MATCH(P$28,FY14Majors!$A$2:$S$2,0),FALSE)</f>
        <v>0</v>
      </c>
      <c r="Q57" s="457">
        <f>+GPpcntMjr*(VLOOKUP($A57,FY14Revenue!$A$4:$J$24,9,FALSE))*VLOOKUP($A57,FY14Majors!$A$3:$S$23,MATCH(Q$28,FY14Majors!$A$2:$S$2,0),FALSE)</f>
        <v>0</v>
      </c>
      <c r="R57" s="457">
        <f>+GPpcntMjr*(VLOOKUP($A57,FY14Revenue!$A$4:$J$24,9,FALSE))*VLOOKUP($A57,FY14Majors!$A$3:$S$23,MATCH(R$28,FY14Majors!$A$2:$S$2,0),FALSE)</f>
        <v>0</v>
      </c>
      <c r="S57" s="457">
        <f>+GPpcntMjr*(VLOOKUP($A57,FY14Revenue!$A$4:$J$24,9,FALSE))*VLOOKUP($A57,FY14Majors!$A$3:$S$23,MATCH(S$28,FY14Majors!$A$2:$S$2,0),FALSE)</f>
        <v>7627.6925099128184</v>
      </c>
      <c r="T57" s="457">
        <f t="shared" si="25"/>
        <v>2791735.4586280915</v>
      </c>
    </row>
    <row r="58" spans="1:20" s="18" customFormat="1" ht="20.100000000000001" customHeight="1">
      <c r="A58" s="404" t="s">
        <v>132</v>
      </c>
      <c r="B58" s="440" t="s">
        <v>206</v>
      </c>
      <c r="C58" s="410">
        <f>+GPpcntMjr*(VLOOKUP($A58,FY14Revenue!$A$4:$J$24,9,FALSE))*VLOOKUP($A58,FY14Majors!$A$3:$S$23,MATCH(C$28,FY14Majors!$A$2:$S$2,0),FALSE)</f>
        <v>0</v>
      </c>
      <c r="D58" s="410">
        <f>+GPpcntMjr*(VLOOKUP($A58,FY14Revenue!$A$4:$J$24,9,FALSE))*VLOOKUP($A58,FY14Majors!$A$3:$S$23,MATCH(D$28,FY14Majors!$A$2:$S$2,0),FALSE)</f>
        <v>12026.919956485212</v>
      </c>
      <c r="E58" s="410">
        <f>+GPpcntMjr*(VLOOKUP($A58,FY14Revenue!$A$4:$J$24,9,FALSE))*VLOOKUP($A58,FY14Majors!$A$3:$S$23,MATCH(E$28,FY14Majors!$A$2:$S$2,0),FALSE)</f>
        <v>0</v>
      </c>
      <c r="F58" s="410">
        <f>+GPpcntMjr*(VLOOKUP($A58,FY14Revenue!$A$4:$J$24,9,FALSE))*VLOOKUP($A58,FY14Majors!$A$3:$S$23,MATCH(F$28,FY14Majors!$A$2:$S$2,0),FALSE)</f>
        <v>3602062.5269673206</v>
      </c>
      <c r="G58" s="410">
        <f>+GPpcntMjr*(VLOOKUP($A58,FY14Revenue!$A$4:$J$24,9,FALSE))*VLOOKUP($A58,FY14Majors!$A$3:$S$23,MATCH(G$28,FY14Majors!$A$2:$S$2,0),FALSE)</f>
        <v>0</v>
      </c>
      <c r="H58" s="410">
        <f>+GPpcntMjr*(VLOOKUP($A58,FY14Revenue!$A$4:$J$24,9,FALSE))*VLOOKUP($A58,FY14Majors!$A$3:$S$23,MATCH(H$28,FY14Majors!$A$2:$S$2,0),FALSE)</f>
        <v>0</v>
      </c>
      <c r="I58" s="410">
        <f>+GPpcntMjr*(VLOOKUP($A58,FY14Revenue!$A$4:$J$24,9,FALSE))*VLOOKUP($A58,FY14Majors!$A$3:$S$23,MATCH(I$28,FY14Majors!$A$2:$S$2,0),FALSE)</f>
        <v>0</v>
      </c>
      <c r="J58" s="410">
        <f>+GPpcntMjr*(VLOOKUP($A58,FY14Revenue!$A$4:$J$24,9,FALSE))*VLOOKUP($A58,FY14Majors!$A$3:$S$23,MATCH(J$28,FY14Majors!$A$2:$S$2,0),FALSE)</f>
        <v>0</v>
      </c>
      <c r="K58" s="410">
        <f>+GPpcntMjr*(VLOOKUP($A58,FY14Revenue!$A$4:$J$24,9,FALSE))*VLOOKUP($A58,FY14Majors!$A$3:$S$23,MATCH(K$28,FY14Majors!$A$2:$S$2,0),FALSE)</f>
        <v>0</v>
      </c>
      <c r="L58" s="410">
        <f>+GPpcntMjr*(VLOOKUP($A58,FY14Revenue!$A$4:$J$24,9,FALSE))*VLOOKUP($A58,FY14Majors!$A$3:$S$23,MATCH(L$28,FY14Majors!$A$2:$S$2,0),FALSE)</f>
        <v>0</v>
      </c>
      <c r="M58" s="410">
        <f>+GPpcntMjr*(VLOOKUP($A58,FY14Revenue!$A$4:$J$24,9,FALSE))*VLOOKUP($A58,FY14Majors!$A$3:$S$23,MATCH(M$28,FY14Majors!$A$2:$S$2,0),FALSE)</f>
        <v>0</v>
      </c>
      <c r="N58" s="410">
        <f>+GPpcntMjr*(VLOOKUP($A58,FY14Revenue!$A$4:$J$24,9,FALSE))*VLOOKUP($A58,FY14Majors!$A$3:$S$23,MATCH(N$28,FY14Majors!$A$2:$S$2,0),FALSE)</f>
        <v>0</v>
      </c>
      <c r="O58" s="410">
        <f>+GPpcntMjr*(VLOOKUP($A58,FY14Revenue!$A$4:$J$24,9,FALSE))*VLOOKUP($A58,FY14Majors!$A$3:$S$23,MATCH(O$28,FY14Majors!$A$2:$S$2,0),FALSE)</f>
        <v>0</v>
      </c>
      <c r="P58" s="410">
        <f>+GPpcntMjr*(VLOOKUP($A58,FY14Revenue!$A$4:$J$24,9,FALSE))*VLOOKUP($A58,FY14Majors!$A$3:$S$23,MATCH(P$28,FY14Majors!$A$2:$S$2,0),FALSE)</f>
        <v>0</v>
      </c>
      <c r="Q58" s="410">
        <f>+GPpcntMjr*(VLOOKUP($A58,FY14Revenue!$A$4:$J$24,9,FALSE))*VLOOKUP($A58,FY14Majors!$A$3:$S$23,MATCH(Q$28,FY14Majors!$A$2:$S$2,0),FALSE)</f>
        <v>0</v>
      </c>
      <c r="R58" s="410">
        <f>+GPpcntMjr*(VLOOKUP($A58,FY14Revenue!$A$4:$J$24,9,FALSE))*VLOOKUP($A58,FY14Majors!$A$3:$S$23,MATCH(R$28,FY14Majors!$A$2:$S$2,0),FALSE)</f>
        <v>0</v>
      </c>
      <c r="S58" s="410">
        <f>+GPpcntMjr*(VLOOKUP($A58,FY14Revenue!$A$4:$J$24,9,FALSE))*VLOOKUP($A58,FY14Majors!$A$3:$S$23,MATCH(S$28,FY14Majors!$A$2:$S$2,0),FALSE)</f>
        <v>0</v>
      </c>
      <c r="T58" s="410">
        <f t="shared" si="25"/>
        <v>3614089.4469238059</v>
      </c>
    </row>
    <row r="59" spans="1:20" ht="20.100000000000001" customHeight="1">
      <c r="A59" s="404" t="s">
        <v>134</v>
      </c>
      <c r="B59" s="456" t="s">
        <v>40</v>
      </c>
      <c r="C59" s="457">
        <f>+GPpcntMjr*(VLOOKUP($A59,FY14Revenue!$A$4:$J$24,9,FALSE))*VLOOKUP($A59,FY14Majors!$A$3:$S$23,MATCH(C$28,FY14Majors!$A$2:$S$2,0),FALSE)</f>
        <v>0</v>
      </c>
      <c r="D59" s="457">
        <f>+GPpcntMjr*(VLOOKUP($A59,FY14Revenue!$A$4:$J$24,9,FALSE))*VLOOKUP($A59,FY14Majors!$A$3:$S$23,MATCH(D$28,FY14Majors!$A$2:$S$2,0),FALSE)</f>
        <v>0</v>
      </c>
      <c r="E59" s="457">
        <f>+GPpcntMjr*(VLOOKUP($A59,FY14Revenue!$A$4:$J$24,9,FALSE))*VLOOKUP($A59,FY14Majors!$A$3:$S$23,MATCH(E$28,FY14Majors!$A$2:$S$2,0),FALSE)</f>
        <v>0</v>
      </c>
      <c r="F59" s="457">
        <f>+GPpcntMjr*(VLOOKUP($A59,FY14Revenue!$A$4:$J$24,9,FALSE))*VLOOKUP($A59,FY14Majors!$A$3:$S$23,MATCH(F$28,FY14Majors!$A$2:$S$2,0),FALSE)</f>
        <v>0</v>
      </c>
      <c r="G59" s="457">
        <f>+GPpcntMjr*(VLOOKUP($A59,FY14Revenue!$A$4:$J$24,9,FALSE))*VLOOKUP($A59,FY14Majors!$A$3:$S$23,MATCH(G$28,FY14Majors!$A$2:$S$2,0),FALSE)</f>
        <v>0</v>
      </c>
      <c r="H59" s="457">
        <f>+GPpcntMjr*(VLOOKUP($A59,FY14Revenue!$A$4:$J$24,9,FALSE))*VLOOKUP($A59,FY14Majors!$A$3:$S$23,MATCH(H$28,FY14Majors!$A$2:$S$2,0),FALSE)</f>
        <v>0</v>
      </c>
      <c r="I59" s="457">
        <f>+GPpcntMjr*(VLOOKUP($A59,FY14Revenue!$A$4:$J$24,9,FALSE))*VLOOKUP($A59,FY14Majors!$A$3:$S$23,MATCH(I$28,FY14Majors!$A$2:$S$2,0),FALSE)</f>
        <v>6400.4605956582609</v>
      </c>
      <c r="J59" s="457">
        <f>+GPpcntMjr*(VLOOKUP($A59,FY14Revenue!$A$4:$J$24,9,FALSE))*VLOOKUP($A59,FY14Majors!$A$3:$S$23,MATCH(J$28,FY14Majors!$A$2:$S$2,0),FALSE)</f>
        <v>0</v>
      </c>
      <c r="K59" s="457">
        <f>+GPpcntMjr*(VLOOKUP($A59,FY14Revenue!$A$4:$J$24,9,FALSE))*VLOOKUP($A59,FY14Majors!$A$3:$S$23,MATCH(K$28,FY14Majors!$A$2:$S$2,0),FALSE)</f>
        <v>0</v>
      </c>
      <c r="L59" s="457">
        <f>+GPpcntMjr*(VLOOKUP($A59,FY14Revenue!$A$4:$J$24,9,FALSE))*VLOOKUP($A59,FY14Majors!$A$3:$S$23,MATCH(L$28,FY14Majors!$A$2:$S$2,0),FALSE)</f>
        <v>0</v>
      </c>
      <c r="M59" s="457">
        <f>+GPpcntMjr*(VLOOKUP($A59,FY14Revenue!$A$4:$J$24,9,FALSE))*VLOOKUP($A59,FY14Majors!$A$3:$S$23,MATCH(M$28,FY14Majors!$A$2:$S$2,0),FALSE)</f>
        <v>0</v>
      </c>
      <c r="N59" s="457">
        <f>+GPpcntMjr*(VLOOKUP($A59,FY14Revenue!$A$4:$J$24,9,FALSE))*VLOOKUP($A59,FY14Majors!$A$3:$S$23,MATCH(N$28,FY14Majors!$A$2:$S$2,0),FALSE)</f>
        <v>0</v>
      </c>
      <c r="O59" s="457">
        <f>+GPpcntMjr*(VLOOKUP($A59,FY14Revenue!$A$4:$J$24,9,FALSE))*VLOOKUP($A59,FY14Majors!$A$3:$S$23,MATCH(O$28,FY14Majors!$A$2:$S$2,0),FALSE)</f>
        <v>0</v>
      </c>
      <c r="P59" s="457">
        <f>+GPpcntMjr*(VLOOKUP($A59,FY14Revenue!$A$4:$J$24,9,FALSE))*VLOOKUP($A59,FY14Majors!$A$3:$S$23,MATCH(P$28,FY14Majors!$A$2:$S$2,0),FALSE)</f>
        <v>0</v>
      </c>
      <c r="Q59" s="457">
        <f>+GPpcntMjr*(VLOOKUP($A59,FY14Revenue!$A$4:$J$24,9,FALSE))*VLOOKUP($A59,FY14Majors!$A$3:$S$23,MATCH(Q$28,FY14Majors!$A$2:$S$2,0),FALSE)</f>
        <v>0</v>
      </c>
      <c r="R59" s="457">
        <f>+GPpcntMjr*(VLOOKUP($A59,FY14Revenue!$A$4:$J$24,9,FALSE))*VLOOKUP($A59,FY14Majors!$A$3:$S$23,MATCH(R$28,FY14Majors!$A$2:$S$2,0),FALSE)</f>
        <v>0</v>
      </c>
      <c r="S59" s="457">
        <f>+GPpcntMjr*(VLOOKUP($A59,FY14Revenue!$A$4:$J$24,9,FALSE))*VLOOKUP($A59,FY14Majors!$A$3:$S$23,MATCH(S$28,FY14Majors!$A$2:$S$2,0),FALSE)</f>
        <v>0</v>
      </c>
      <c r="T59" s="457">
        <f t="shared" si="25"/>
        <v>6400.4605956582609</v>
      </c>
    </row>
    <row r="60" spans="1:20" s="18" customFormat="1" ht="20.100000000000001" customHeight="1">
      <c r="A60" s="404" t="s">
        <v>135</v>
      </c>
      <c r="B60" s="440" t="s">
        <v>70</v>
      </c>
      <c r="C60" s="410">
        <f>+GPpcntMjr*(VLOOKUP($A60,FY14Revenue!$A$4:$J$24,9,FALSE))*VLOOKUP($A60,FY14Majors!$A$3:$S$23,MATCH(C$28,FY14Majors!$A$2:$S$2,0),FALSE)</f>
        <v>0</v>
      </c>
      <c r="D60" s="410">
        <f>+GPpcntMjr*(VLOOKUP($A60,FY14Revenue!$A$4:$J$24,9,FALSE))*VLOOKUP($A60,FY14Majors!$A$3:$S$23,MATCH(D$28,FY14Majors!$A$2:$S$2,0),FALSE)</f>
        <v>0</v>
      </c>
      <c r="E60" s="410">
        <f>+GPpcntMjr*(VLOOKUP($A60,FY14Revenue!$A$4:$J$24,9,FALSE))*VLOOKUP($A60,FY14Majors!$A$3:$S$23,MATCH(E$28,FY14Majors!$A$2:$S$2,0),FALSE)</f>
        <v>0</v>
      </c>
      <c r="F60" s="410">
        <f>+GPpcntMjr*(VLOOKUP($A60,FY14Revenue!$A$4:$J$24,9,FALSE))*VLOOKUP($A60,FY14Majors!$A$3:$S$23,MATCH(F$28,FY14Majors!$A$2:$S$2,0),FALSE)</f>
        <v>0</v>
      </c>
      <c r="G60" s="410">
        <f>+GPpcntMjr*(VLOOKUP($A60,FY14Revenue!$A$4:$J$24,9,FALSE))*VLOOKUP($A60,FY14Majors!$A$3:$S$23,MATCH(G$28,FY14Majors!$A$2:$S$2,0),FALSE)</f>
        <v>0</v>
      </c>
      <c r="H60" s="410">
        <f>+GPpcntMjr*(VLOOKUP($A60,FY14Revenue!$A$4:$J$24,9,FALSE))*VLOOKUP($A60,FY14Majors!$A$3:$S$23,MATCH(H$28,FY14Majors!$A$2:$S$2,0),FALSE)</f>
        <v>0</v>
      </c>
      <c r="I60" s="410">
        <f>+GPpcntMjr*(VLOOKUP($A60,FY14Revenue!$A$4:$J$24,9,FALSE))*VLOOKUP($A60,FY14Majors!$A$3:$S$23,MATCH(I$28,FY14Majors!$A$2:$S$2,0),FALSE)</f>
        <v>0</v>
      </c>
      <c r="J60" s="410">
        <f>+GPpcntMjr*(VLOOKUP($A60,FY14Revenue!$A$4:$J$24,9,FALSE))*VLOOKUP($A60,FY14Majors!$A$3:$S$23,MATCH(J$28,FY14Majors!$A$2:$S$2,0),FALSE)</f>
        <v>0</v>
      </c>
      <c r="K60" s="410">
        <f>+GPpcntMjr*(VLOOKUP($A60,FY14Revenue!$A$4:$J$24,9,FALSE))*VLOOKUP($A60,FY14Majors!$A$3:$S$23,MATCH(K$28,FY14Majors!$A$2:$S$2,0),FALSE)</f>
        <v>2825.1870617790132</v>
      </c>
      <c r="L60" s="410">
        <f>+GPpcntMjr*(VLOOKUP($A60,FY14Revenue!$A$4:$J$24,9,FALSE))*VLOOKUP($A60,FY14Majors!$A$3:$S$23,MATCH(L$28,FY14Majors!$A$2:$S$2,0),FALSE)</f>
        <v>2051085.8068515635</v>
      </c>
      <c r="M60" s="410">
        <f>+GPpcntMjr*(VLOOKUP($A60,FY14Revenue!$A$4:$J$24,9,FALSE))*VLOOKUP($A60,FY14Majors!$A$3:$S$23,MATCH(M$28,FY14Majors!$A$2:$S$2,0),FALSE)</f>
        <v>0</v>
      </c>
      <c r="N60" s="410">
        <f>+GPpcntMjr*(VLOOKUP($A60,FY14Revenue!$A$4:$J$24,9,FALSE))*VLOOKUP($A60,FY14Majors!$A$3:$S$23,MATCH(N$28,FY14Majors!$A$2:$S$2,0),FALSE)</f>
        <v>2825.1870617790132</v>
      </c>
      <c r="O60" s="410">
        <f>+GPpcntMjr*(VLOOKUP($A60,FY14Revenue!$A$4:$J$24,9,FALSE))*VLOOKUP($A60,FY14Majors!$A$3:$S$23,MATCH(O$28,FY14Majors!$A$2:$S$2,0),FALSE)</f>
        <v>0</v>
      </c>
      <c r="P60" s="410">
        <f>+GPpcntMjr*(VLOOKUP($A60,FY14Revenue!$A$4:$J$24,9,FALSE))*VLOOKUP($A60,FY14Majors!$A$3:$S$23,MATCH(P$28,FY14Majors!$A$2:$S$2,0),FALSE)</f>
        <v>0</v>
      </c>
      <c r="Q60" s="410">
        <f>+GPpcntMjr*(VLOOKUP($A60,FY14Revenue!$A$4:$J$24,9,FALSE))*VLOOKUP($A60,FY14Majors!$A$3:$S$23,MATCH(Q$28,FY14Majors!$A$2:$S$2,0),FALSE)</f>
        <v>11300.748247116053</v>
      </c>
      <c r="R60" s="410">
        <f>+GPpcntMjr*(VLOOKUP($A60,FY14Revenue!$A$4:$J$24,9,FALSE))*VLOOKUP($A60,FY14Majors!$A$3:$S$23,MATCH(R$28,FY14Majors!$A$2:$S$2,0),FALSE)</f>
        <v>0</v>
      </c>
      <c r="S60" s="410">
        <f>+GPpcntMjr*(VLOOKUP($A60,FY14Revenue!$A$4:$J$24,9,FALSE))*VLOOKUP($A60,FY14Majors!$A$3:$S$23,MATCH(S$28,FY14Majors!$A$2:$S$2,0),FALSE)</f>
        <v>2825.1870617790132</v>
      </c>
      <c r="T60" s="410">
        <f t="shared" si="25"/>
        <v>2070862.1162840165</v>
      </c>
    </row>
    <row r="61" spans="1:20" ht="20.100000000000001" customHeight="1">
      <c r="A61" s="404" t="s">
        <v>136</v>
      </c>
      <c r="B61" s="456" t="s">
        <v>144</v>
      </c>
      <c r="C61" s="457">
        <f>+GPpcntMjr*(VLOOKUP($A61,FY14Revenue!$A$4:$J$24,9,FALSE))*VLOOKUP($A61,FY14Majors!$A$3:$S$23,MATCH(C$28,FY14Majors!$A$2:$S$2,0),FALSE)</f>
        <v>0</v>
      </c>
      <c r="D61" s="457">
        <f>+GPpcntMjr*(VLOOKUP($A61,FY14Revenue!$A$4:$J$24,9,FALSE))*VLOOKUP($A61,FY14Majors!$A$3:$S$23,MATCH(D$28,FY14Majors!$A$2:$S$2,0),FALSE)</f>
        <v>0</v>
      </c>
      <c r="E61" s="457">
        <f>+GPpcntMjr*(VLOOKUP($A61,FY14Revenue!$A$4:$J$24,9,FALSE))*VLOOKUP($A61,FY14Majors!$A$3:$S$23,MATCH(E$28,FY14Majors!$A$2:$S$2,0),FALSE)</f>
        <v>0</v>
      </c>
      <c r="F61" s="457">
        <f>+GPpcntMjr*(VLOOKUP($A61,FY14Revenue!$A$4:$J$24,9,FALSE))*VLOOKUP($A61,FY14Majors!$A$3:$S$23,MATCH(F$28,FY14Majors!$A$2:$S$2,0),FALSE)</f>
        <v>0</v>
      </c>
      <c r="G61" s="457">
        <f>+GPpcntMjr*(VLOOKUP($A61,FY14Revenue!$A$4:$J$24,9,FALSE))*VLOOKUP($A61,FY14Majors!$A$3:$S$23,MATCH(G$28,FY14Majors!$A$2:$S$2,0),FALSE)</f>
        <v>0</v>
      </c>
      <c r="H61" s="457">
        <f>+GPpcntMjr*(VLOOKUP($A61,FY14Revenue!$A$4:$J$24,9,FALSE))*VLOOKUP($A61,FY14Majors!$A$3:$S$23,MATCH(H$28,FY14Majors!$A$2:$S$2,0),FALSE)</f>
        <v>0</v>
      </c>
      <c r="I61" s="457">
        <f>+GPpcntMjr*(VLOOKUP($A61,FY14Revenue!$A$4:$J$24,9,FALSE))*VLOOKUP($A61,FY14Majors!$A$3:$S$23,MATCH(I$28,FY14Majors!$A$2:$S$2,0),FALSE)</f>
        <v>0</v>
      </c>
      <c r="J61" s="457">
        <f>+GPpcntMjr*(VLOOKUP($A61,FY14Revenue!$A$4:$J$24,9,FALSE))*VLOOKUP($A61,FY14Majors!$A$3:$S$23,MATCH(J$28,FY14Majors!$A$2:$S$2,0),FALSE)</f>
        <v>0</v>
      </c>
      <c r="K61" s="457">
        <f>+GPpcntMjr*(VLOOKUP($A61,FY14Revenue!$A$4:$J$24,9,FALSE))*VLOOKUP($A61,FY14Majors!$A$3:$S$23,MATCH(K$28,FY14Majors!$A$2:$S$2,0),FALSE)</f>
        <v>0</v>
      </c>
      <c r="L61" s="457">
        <f>+GPpcntMjr*(VLOOKUP($A61,FY14Revenue!$A$4:$J$24,9,FALSE))*VLOOKUP($A61,FY14Majors!$A$3:$S$23,MATCH(L$28,FY14Majors!$A$2:$S$2,0),FALSE)</f>
        <v>0</v>
      </c>
      <c r="M61" s="457">
        <f>+GPpcntMjr*(VLOOKUP($A61,FY14Revenue!$A$4:$J$24,9,FALSE))*VLOOKUP($A61,FY14Majors!$A$3:$S$23,MATCH(M$28,FY14Majors!$A$2:$S$2,0),FALSE)</f>
        <v>0</v>
      </c>
      <c r="N61" s="457">
        <f>+GPpcntMjr*(VLOOKUP($A61,FY14Revenue!$A$4:$J$24,9,FALSE))*VLOOKUP($A61,FY14Majors!$A$3:$S$23,MATCH(N$28,FY14Majors!$A$2:$S$2,0),FALSE)</f>
        <v>23725.264575315487</v>
      </c>
      <c r="O61" s="457">
        <f>+GPpcntMjr*(VLOOKUP($A61,FY14Revenue!$A$4:$J$24,9,FALSE))*VLOOKUP($A61,FY14Majors!$A$3:$S$23,MATCH(O$28,FY14Majors!$A$2:$S$2,0),FALSE)</f>
        <v>0</v>
      </c>
      <c r="P61" s="457">
        <f>+GPpcntMjr*(VLOOKUP($A61,FY14Revenue!$A$4:$J$24,9,FALSE))*VLOOKUP($A61,FY14Majors!$A$3:$S$23,MATCH(P$28,FY14Majors!$A$2:$S$2,0),FALSE)</f>
        <v>0</v>
      </c>
      <c r="Q61" s="457">
        <f>+GPpcntMjr*(VLOOKUP($A61,FY14Revenue!$A$4:$J$24,9,FALSE))*VLOOKUP($A61,FY14Majors!$A$3:$S$23,MATCH(Q$28,FY14Majors!$A$2:$S$2,0),FALSE)</f>
        <v>1856501.9530184371</v>
      </c>
      <c r="R61" s="457">
        <f>+GPpcntMjr*(VLOOKUP($A61,FY14Revenue!$A$4:$J$24,9,FALSE))*VLOOKUP($A61,FY14Majors!$A$3:$S$23,MATCH(R$28,FY14Majors!$A$2:$S$2,0),FALSE)</f>
        <v>0</v>
      </c>
      <c r="S61" s="457">
        <f>+GPpcntMjr*(VLOOKUP($A61,FY14Revenue!$A$4:$J$24,9,FALSE))*VLOOKUP($A61,FY14Majors!$A$3:$S$23,MATCH(S$28,FY14Majors!$A$2:$S$2,0),FALSE)</f>
        <v>3954.2107625525805</v>
      </c>
      <c r="T61" s="457">
        <f t="shared" si="25"/>
        <v>1884181.4283563052</v>
      </c>
    </row>
    <row r="62" spans="1:20" s="18" customFormat="1" ht="20.100000000000001" customHeight="1">
      <c r="A62" s="404" t="s">
        <v>137</v>
      </c>
      <c r="B62" s="440" t="s">
        <v>49</v>
      </c>
      <c r="C62" s="410">
        <f>+GPpcntMjr*(VLOOKUP($A62,FY14Revenue!$A$4:$J$24,9,FALSE))*VLOOKUP($A62,FY14Majors!$A$3:$S$23,MATCH(C$28,FY14Majors!$A$2:$S$2,0),FALSE)</f>
        <v>4349.5044820623607</v>
      </c>
      <c r="D62" s="410">
        <f>+GPpcntMjr*(VLOOKUP($A62,FY14Revenue!$A$4:$J$24,9,FALSE))*VLOOKUP($A62,FY14Majors!$A$3:$S$23,MATCH(D$28,FY14Majors!$A$2:$S$2,0),FALSE)</f>
        <v>20297.687582957686</v>
      </c>
      <c r="E62" s="410">
        <f>+GPpcntMjr*(VLOOKUP($A62,FY14Revenue!$A$4:$J$24,9,FALSE))*VLOOKUP($A62,FY14Majors!$A$3:$S$23,MATCH(E$28,FY14Majors!$A$2:$S$2,0),FALSE)</f>
        <v>0</v>
      </c>
      <c r="F62" s="410">
        <f>+GPpcntMjr*(VLOOKUP($A62,FY14Revenue!$A$4:$J$24,9,FALSE))*VLOOKUP($A62,FY14Majors!$A$3:$S$23,MATCH(F$28,FY14Majors!$A$2:$S$2,0),FALSE)</f>
        <v>0</v>
      </c>
      <c r="G62" s="410">
        <f>+GPpcntMjr*(VLOOKUP($A62,FY14Revenue!$A$4:$J$24,9,FALSE))*VLOOKUP($A62,FY14Majors!$A$3:$S$23,MATCH(G$28,FY14Majors!$A$2:$S$2,0),FALSE)</f>
        <v>7249.1741367706009</v>
      </c>
      <c r="H62" s="410">
        <f>+GPpcntMjr*(VLOOKUP($A62,FY14Revenue!$A$4:$J$24,9,FALSE))*VLOOKUP($A62,FY14Majors!$A$3:$S$23,MATCH(H$28,FY14Majors!$A$2:$S$2,0),FALSE)</f>
        <v>0</v>
      </c>
      <c r="I62" s="410">
        <f>+GPpcntMjr*(VLOOKUP($A62,FY14Revenue!$A$4:$J$24,9,FALSE))*VLOOKUP($A62,FY14Majors!$A$3:$S$23,MATCH(I$28,FY14Majors!$A$2:$S$2,0),FALSE)</f>
        <v>0</v>
      </c>
      <c r="J62" s="410">
        <f>+GPpcntMjr*(VLOOKUP($A62,FY14Revenue!$A$4:$J$24,9,FALSE))*VLOOKUP($A62,FY14Majors!$A$3:$S$23,MATCH(J$28,FY14Majors!$A$2:$S$2,0),FALSE)</f>
        <v>4349.5044820623607</v>
      </c>
      <c r="K62" s="410">
        <f>+GPpcntMjr*(VLOOKUP($A62,FY14Revenue!$A$4:$J$24,9,FALSE))*VLOOKUP($A62,FY14Majors!$A$3:$S$23,MATCH(K$28,FY14Majors!$A$2:$S$2,0),FALSE)</f>
        <v>1449.8348273541201</v>
      </c>
      <c r="L62" s="410">
        <f>+GPpcntMjr*(VLOOKUP($A62,FY14Revenue!$A$4:$J$24,9,FALSE))*VLOOKUP($A62,FY14Majors!$A$3:$S$23,MATCH(L$28,FY14Majors!$A$2:$S$2,0),FALSE)</f>
        <v>27546.861719728284</v>
      </c>
      <c r="M62" s="410">
        <f>+GPpcntMjr*(VLOOKUP($A62,FY14Revenue!$A$4:$J$24,9,FALSE))*VLOOKUP($A62,FY14Majors!$A$3:$S$23,MATCH(M$28,FY14Majors!$A$2:$S$2,0),FALSE)</f>
        <v>0</v>
      </c>
      <c r="N62" s="410">
        <f>+GPpcntMjr*(VLOOKUP($A62,FY14Revenue!$A$4:$J$24,9,FALSE))*VLOOKUP($A62,FY14Majors!$A$3:$S$23,MATCH(N$28,FY14Majors!$A$2:$S$2,0),FALSE)</f>
        <v>207326.38031163919</v>
      </c>
      <c r="O62" s="410">
        <f>+GPpcntMjr*(VLOOKUP($A62,FY14Revenue!$A$4:$J$24,9,FALSE))*VLOOKUP($A62,FY14Majors!$A$3:$S$23,MATCH(O$28,FY14Majors!$A$2:$S$2,0),FALSE)</f>
        <v>1449.8348273541201</v>
      </c>
      <c r="P62" s="410">
        <f>+GPpcntMjr*(VLOOKUP($A62,FY14Revenue!$A$4:$J$24,9,FALSE))*VLOOKUP($A62,FY14Majors!$A$3:$S$23,MATCH(P$28,FY14Majors!$A$2:$S$2,0),FALSE)</f>
        <v>0</v>
      </c>
      <c r="Q62" s="410">
        <f>+GPpcntMjr*(VLOOKUP($A62,FY14Revenue!$A$4:$J$24,9,FALSE))*VLOOKUP($A62,FY14Majors!$A$3:$S$23,MATCH(Q$28,FY14Majors!$A$2:$S$2,0),FALSE)</f>
        <v>659674.84644612472</v>
      </c>
      <c r="R62" s="410">
        <f>+GPpcntMjr*(VLOOKUP($A62,FY14Revenue!$A$4:$J$24,9,FALSE))*VLOOKUP($A62,FY14Majors!$A$3:$S$23,MATCH(R$28,FY14Majors!$A$2:$S$2,0),FALSE)</f>
        <v>0</v>
      </c>
      <c r="S62" s="410">
        <f>+GPpcntMjr*(VLOOKUP($A62,FY14Revenue!$A$4:$J$24,9,FALSE))*VLOOKUP($A62,FY14Majors!$A$3:$S$23,MATCH(S$28,FY14Majors!$A$2:$S$2,0),FALSE)</f>
        <v>20297.687582957686</v>
      </c>
      <c r="T62" s="410">
        <f t="shared" si="25"/>
        <v>953991.31639901118</v>
      </c>
    </row>
    <row r="63" spans="1:20" ht="20.100000000000001" customHeight="1">
      <c r="A63" s="404" t="s">
        <v>138</v>
      </c>
      <c r="B63" s="456" t="s">
        <v>207</v>
      </c>
      <c r="C63" s="457">
        <f>+GPpcntMjr*(VLOOKUP($A63,FY14Revenue!$A$4:$J$24,9,FALSE))*VLOOKUP($A63,FY14Majors!$A$3:$S$23,MATCH(C$28,FY14Majors!$A$2:$S$2,0),FALSE)</f>
        <v>3148241.9156901375</v>
      </c>
      <c r="D63" s="457">
        <f>+GPpcntMjr*(VLOOKUP($A63,FY14Revenue!$A$4:$J$24,9,FALSE))*VLOOKUP($A63,FY14Majors!$A$3:$S$23,MATCH(D$28,FY14Majors!$A$2:$S$2,0),FALSE)</f>
        <v>2956.0956954836975</v>
      </c>
      <c r="E63" s="457">
        <f>+GPpcntMjr*(VLOOKUP($A63,FY14Revenue!$A$4:$J$24,9,FALSE))*VLOOKUP($A63,FY14Majors!$A$3:$S$23,MATCH(E$28,FY14Majors!$A$2:$S$2,0),FALSE)</f>
        <v>5912.1913909673949</v>
      </c>
      <c r="F63" s="457">
        <f>+GPpcntMjr*(VLOOKUP($A63,FY14Revenue!$A$4:$J$24,9,FALSE))*VLOOKUP($A63,FY14Majors!$A$3:$S$23,MATCH(F$28,FY14Majors!$A$2:$S$2,0),FALSE)</f>
        <v>0</v>
      </c>
      <c r="G63" s="457">
        <f>+GPpcntMjr*(VLOOKUP($A63,FY14Revenue!$A$4:$J$24,9,FALSE))*VLOOKUP($A63,FY14Majors!$A$3:$S$23,MATCH(G$28,FY14Majors!$A$2:$S$2,0),FALSE)</f>
        <v>11824.38278193479</v>
      </c>
      <c r="H63" s="457">
        <f>+GPpcntMjr*(VLOOKUP($A63,FY14Revenue!$A$4:$J$24,9,FALSE))*VLOOKUP($A63,FY14Majors!$A$3:$S$23,MATCH(H$28,FY14Majors!$A$2:$S$2,0),FALSE)</f>
        <v>8868.2870864510915</v>
      </c>
      <c r="I63" s="457">
        <f>+GPpcntMjr*(VLOOKUP($A63,FY14Revenue!$A$4:$J$24,9,FALSE))*VLOOKUP($A63,FY14Majors!$A$3:$S$23,MATCH(I$28,FY14Majors!$A$2:$S$2,0),FALSE)</f>
        <v>0</v>
      </c>
      <c r="J63" s="457">
        <f>+GPpcntMjr*(VLOOKUP($A63,FY14Revenue!$A$4:$J$24,9,FALSE))*VLOOKUP($A63,FY14Majors!$A$3:$S$23,MATCH(J$28,FY14Majors!$A$2:$S$2,0),FALSE)</f>
        <v>0</v>
      </c>
      <c r="K63" s="457">
        <f>+GPpcntMjr*(VLOOKUP($A63,FY14Revenue!$A$4:$J$24,9,FALSE))*VLOOKUP($A63,FY14Majors!$A$3:$S$23,MATCH(K$28,FY14Majors!$A$2:$S$2,0),FALSE)</f>
        <v>17736.574172902183</v>
      </c>
      <c r="L63" s="457">
        <f>+GPpcntMjr*(VLOOKUP($A63,FY14Revenue!$A$4:$J$24,9,FALSE))*VLOOKUP($A63,FY14Majors!$A$3:$S$23,MATCH(L$28,FY14Majors!$A$2:$S$2,0),FALSE)</f>
        <v>0</v>
      </c>
      <c r="M63" s="457">
        <f>+GPpcntMjr*(VLOOKUP($A63,FY14Revenue!$A$4:$J$24,9,FALSE))*VLOOKUP($A63,FY14Majors!$A$3:$S$23,MATCH(M$28,FY14Majors!$A$2:$S$2,0),FALSE)</f>
        <v>0</v>
      </c>
      <c r="N63" s="457">
        <f>+GPpcntMjr*(VLOOKUP($A63,FY14Revenue!$A$4:$J$24,9,FALSE))*VLOOKUP($A63,FY14Majors!$A$3:$S$23,MATCH(N$28,FY14Majors!$A$2:$S$2,0),FALSE)</f>
        <v>0</v>
      </c>
      <c r="O63" s="457">
        <f>+GPpcntMjr*(VLOOKUP($A63,FY14Revenue!$A$4:$J$24,9,FALSE))*VLOOKUP($A63,FY14Majors!$A$3:$S$23,MATCH(O$28,FY14Majors!$A$2:$S$2,0),FALSE)</f>
        <v>0</v>
      </c>
      <c r="P63" s="457">
        <f>+GPpcntMjr*(VLOOKUP($A63,FY14Revenue!$A$4:$J$24,9,FALSE))*VLOOKUP($A63,FY14Majors!$A$3:$S$23,MATCH(P$28,FY14Majors!$A$2:$S$2,0),FALSE)</f>
        <v>0</v>
      </c>
      <c r="Q63" s="457">
        <f>+GPpcntMjr*(VLOOKUP($A63,FY14Revenue!$A$4:$J$24,9,FALSE))*VLOOKUP($A63,FY14Majors!$A$3:$S$23,MATCH(Q$28,FY14Majors!$A$2:$S$2,0),FALSE)</f>
        <v>0</v>
      </c>
      <c r="R63" s="457">
        <f>+GPpcntMjr*(VLOOKUP($A63,FY14Revenue!$A$4:$J$24,9,FALSE))*VLOOKUP($A63,FY14Majors!$A$3:$S$23,MATCH(R$28,FY14Majors!$A$2:$S$2,0),FALSE)</f>
        <v>0</v>
      </c>
      <c r="S63" s="457">
        <f>+GPpcntMjr*(VLOOKUP($A63,FY14Revenue!$A$4:$J$24,9,FALSE))*VLOOKUP($A63,FY14Majors!$A$3:$S$23,MATCH(S$28,FY14Majors!$A$2:$S$2,0),FALSE)</f>
        <v>59121.913909673953</v>
      </c>
      <c r="T63" s="457">
        <f t="shared" si="25"/>
        <v>3254661.3607275509</v>
      </c>
    </row>
    <row r="64" spans="1:20" s="18" customFormat="1" ht="20.100000000000001" customHeight="1">
      <c r="A64" s="404" t="s">
        <v>147</v>
      </c>
      <c r="B64" s="440" t="s">
        <v>208</v>
      </c>
      <c r="C64" s="410">
        <f>+GPpcntMjr*(VLOOKUP($A64,FY14Revenue!$A$4:$J$24,9,FALSE))*VLOOKUP($A64,FY14Majors!$A$3:$S$23,MATCH(C$28,FY14Majors!$A$2:$S$2,0),FALSE)</f>
        <v>0</v>
      </c>
      <c r="D64" s="410">
        <f>+GPpcntMjr*(VLOOKUP($A64,FY14Revenue!$A$4:$J$24,9,FALSE))*VLOOKUP($A64,FY14Majors!$A$3:$S$23,MATCH(D$28,FY14Majors!$A$2:$S$2,0),FALSE)</f>
        <v>0</v>
      </c>
      <c r="E64" s="410">
        <f>+GPpcntMjr*(VLOOKUP($A64,FY14Revenue!$A$4:$J$24,9,FALSE))*VLOOKUP($A64,FY14Majors!$A$3:$S$23,MATCH(E$28,FY14Majors!$A$2:$S$2,0),FALSE)</f>
        <v>0</v>
      </c>
      <c r="F64" s="410">
        <f>+GPpcntMjr*(VLOOKUP($A64,FY14Revenue!$A$4:$J$24,9,FALSE))*VLOOKUP($A64,FY14Majors!$A$3:$S$23,MATCH(F$28,FY14Majors!$A$2:$S$2,0),FALSE)</f>
        <v>0</v>
      </c>
      <c r="G64" s="410">
        <f>+GPpcntMjr*(VLOOKUP($A64,FY14Revenue!$A$4:$J$24,9,FALSE))*VLOOKUP($A64,FY14Majors!$A$3:$S$23,MATCH(G$28,FY14Majors!$A$2:$S$2,0),FALSE)</f>
        <v>398777.35836907238</v>
      </c>
      <c r="H64" s="410">
        <f>+GPpcntMjr*(VLOOKUP($A64,FY14Revenue!$A$4:$J$24,9,FALSE))*VLOOKUP($A64,FY14Majors!$A$3:$S$23,MATCH(H$28,FY14Majors!$A$2:$S$2,0),FALSE)</f>
        <v>0</v>
      </c>
      <c r="I64" s="410">
        <f>+GPpcntMjr*(VLOOKUP($A64,FY14Revenue!$A$4:$J$24,9,FALSE))*VLOOKUP($A64,FY14Majors!$A$3:$S$23,MATCH(I$28,FY14Majors!$A$2:$S$2,0),FALSE)</f>
        <v>0</v>
      </c>
      <c r="J64" s="410">
        <f>+GPpcntMjr*(VLOOKUP($A64,FY14Revenue!$A$4:$J$24,9,FALSE))*VLOOKUP($A64,FY14Majors!$A$3:$S$23,MATCH(J$28,FY14Majors!$A$2:$S$2,0),FALSE)</f>
        <v>0</v>
      </c>
      <c r="K64" s="410">
        <f>+GPpcntMjr*(VLOOKUP($A64,FY14Revenue!$A$4:$J$24,9,FALSE))*VLOOKUP($A64,FY14Majors!$A$3:$S$23,MATCH(K$28,FY14Majors!$A$2:$S$2,0),FALSE)</f>
        <v>0</v>
      </c>
      <c r="L64" s="410">
        <f>+GPpcntMjr*(VLOOKUP($A64,FY14Revenue!$A$4:$J$24,9,FALSE))*VLOOKUP($A64,FY14Majors!$A$3:$S$23,MATCH(L$28,FY14Majors!$A$2:$S$2,0),FALSE)</f>
        <v>0</v>
      </c>
      <c r="M64" s="410">
        <f>+GPpcntMjr*(VLOOKUP($A64,FY14Revenue!$A$4:$J$24,9,FALSE))*VLOOKUP($A64,FY14Majors!$A$3:$S$23,MATCH(M$28,FY14Majors!$A$2:$S$2,0),FALSE)</f>
        <v>0</v>
      </c>
      <c r="N64" s="410">
        <f>+GPpcntMjr*(VLOOKUP($A64,FY14Revenue!$A$4:$J$24,9,FALSE))*VLOOKUP($A64,FY14Majors!$A$3:$S$23,MATCH(N$28,FY14Majors!$A$2:$S$2,0),FALSE)</f>
        <v>0</v>
      </c>
      <c r="O64" s="410">
        <f>+GPpcntMjr*(VLOOKUP($A64,FY14Revenue!$A$4:$J$24,9,FALSE))*VLOOKUP($A64,FY14Majors!$A$3:$S$23,MATCH(O$28,FY14Majors!$A$2:$S$2,0),FALSE)</f>
        <v>0</v>
      </c>
      <c r="P64" s="410">
        <f>+GPpcntMjr*(VLOOKUP($A64,FY14Revenue!$A$4:$J$24,9,FALSE))*VLOOKUP($A64,FY14Majors!$A$3:$S$23,MATCH(P$28,FY14Majors!$A$2:$S$2,0),FALSE)</f>
        <v>0</v>
      </c>
      <c r="Q64" s="410">
        <f>+GPpcntMjr*(VLOOKUP($A64,FY14Revenue!$A$4:$J$24,9,FALSE))*VLOOKUP($A64,FY14Majors!$A$3:$S$23,MATCH(Q$28,FY14Majors!$A$2:$S$2,0),FALSE)</f>
        <v>0</v>
      </c>
      <c r="R64" s="410">
        <f>+GPpcntMjr*(VLOOKUP($A64,FY14Revenue!$A$4:$J$24,9,FALSE))*VLOOKUP($A64,FY14Majors!$A$3:$S$23,MATCH(R$28,FY14Majors!$A$2:$S$2,0),FALSE)</f>
        <v>0</v>
      </c>
      <c r="S64" s="410">
        <f>+GPpcntMjr*(VLOOKUP($A64,FY14Revenue!$A$4:$J$24,9,FALSE))*VLOOKUP($A64,FY14Majors!$A$3:$S$23,MATCH(S$28,FY14Majors!$A$2:$S$2,0),FALSE)</f>
        <v>0</v>
      </c>
      <c r="T64" s="410">
        <f t="shared" si="25"/>
        <v>398777.35836907238</v>
      </c>
    </row>
    <row r="65" spans="1:20" ht="20.100000000000001" customHeight="1">
      <c r="A65" s="404" t="s">
        <v>148</v>
      </c>
      <c r="B65" s="456" t="s">
        <v>39</v>
      </c>
      <c r="C65" s="457">
        <f>+GPpcntMjr*(VLOOKUP($A65,FY14Revenue!$A$4:$J$24,9,FALSE))*VLOOKUP($A65,FY14Majors!$A$3:$S$23,MATCH(C$28,FY14Majors!$A$2:$S$2,0),FALSE)</f>
        <v>56484.169897297135</v>
      </c>
      <c r="D65" s="457">
        <f>+GPpcntMjr*(VLOOKUP($A65,FY14Revenue!$A$4:$J$24,9,FALSE))*VLOOKUP($A65,FY14Majors!$A$3:$S$23,MATCH(D$28,FY14Majors!$A$2:$S$2,0),FALSE)</f>
        <v>217018.12644751003</v>
      </c>
      <c r="E65" s="457">
        <f>+GPpcntMjr*(VLOOKUP($A65,FY14Revenue!$A$4:$J$24,9,FALSE))*VLOOKUP($A65,FY14Majors!$A$3:$S$23,MATCH(E$28,FY14Majors!$A$2:$S$2,0),FALSE)</f>
        <v>0</v>
      </c>
      <c r="F65" s="457">
        <f>+GPpcntMjr*(VLOOKUP($A65,FY14Revenue!$A$4:$J$24,9,FALSE))*VLOOKUP($A65,FY14Majors!$A$3:$S$23,MATCH(F$28,FY14Majors!$A$2:$S$2,0),FALSE)</f>
        <v>0</v>
      </c>
      <c r="G65" s="457">
        <f>+GPpcntMjr*(VLOOKUP($A65,FY14Revenue!$A$4:$J$24,9,FALSE))*VLOOKUP($A65,FY14Majors!$A$3:$S$23,MATCH(G$28,FY14Majors!$A$2:$S$2,0),FALSE)</f>
        <v>0</v>
      </c>
      <c r="H65" s="457">
        <f>+GPpcntMjr*(VLOOKUP($A65,FY14Revenue!$A$4:$J$24,9,FALSE))*VLOOKUP($A65,FY14Majors!$A$3:$S$23,MATCH(H$28,FY14Majors!$A$2:$S$2,0),FALSE)</f>
        <v>118914.0418890466</v>
      </c>
      <c r="I65" s="457">
        <f>+GPpcntMjr*(VLOOKUP($A65,FY14Revenue!$A$4:$J$24,9,FALSE))*VLOOKUP($A65,FY14Majors!$A$3:$S$23,MATCH(I$28,FY14Majors!$A$2:$S$2,0),FALSE)</f>
        <v>23782.808377809317</v>
      </c>
      <c r="J65" s="457">
        <f>+GPpcntMjr*(VLOOKUP($A65,FY14Revenue!$A$4:$J$24,9,FALSE))*VLOOKUP($A65,FY14Majors!$A$3:$S$23,MATCH(J$28,FY14Majors!$A$2:$S$2,0),FALSE)</f>
        <v>0</v>
      </c>
      <c r="K65" s="457">
        <f>+GPpcntMjr*(VLOOKUP($A65,FY14Revenue!$A$4:$J$24,9,FALSE))*VLOOKUP($A65,FY14Majors!$A$3:$S$23,MATCH(K$28,FY14Majors!$A$2:$S$2,0),FALSE)</f>
        <v>3050145.174454045</v>
      </c>
      <c r="L65" s="457">
        <f>+GPpcntMjr*(VLOOKUP($A65,FY14Revenue!$A$4:$J$24,9,FALSE))*VLOOKUP($A65,FY14Majors!$A$3:$S$23,MATCH(L$28,FY14Majors!$A$2:$S$2,0),FALSE)</f>
        <v>23782.808377809317</v>
      </c>
      <c r="M65" s="457">
        <f>+GPpcntMjr*(VLOOKUP($A65,FY14Revenue!$A$4:$J$24,9,FALSE))*VLOOKUP($A65,FY14Majors!$A$3:$S$23,MATCH(M$28,FY14Majors!$A$2:$S$2,0),FALSE)</f>
        <v>0</v>
      </c>
      <c r="N65" s="457">
        <f>+GPpcntMjr*(VLOOKUP($A65,FY14Revenue!$A$4:$J$24,9,FALSE))*VLOOKUP($A65,FY14Majors!$A$3:$S$23,MATCH(N$28,FY14Majors!$A$2:$S$2,0),FALSE)</f>
        <v>5945.7020944523292</v>
      </c>
      <c r="O65" s="457">
        <f>+GPpcntMjr*(VLOOKUP($A65,FY14Revenue!$A$4:$J$24,9,FALSE))*VLOOKUP($A65,FY14Majors!$A$3:$S$23,MATCH(O$28,FY14Majors!$A$2:$S$2,0),FALSE)</f>
        <v>0</v>
      </c>
      <c r="P65" s="457">
        <f>+GPpcntMjr*(VLOOKUP($A65,FY14Revenue!$A$4:$J$24,9,FALSE))*VLOOKUP($A65,FY14Majors!$A$3:$S$23,MATCH(P$28,FY14Majors!$A$2:$S$2,0),FALSE)</f>
        <v>0</v>
      </c>
      <c r="Q65" s="457">
        <f>+GPpcntMjr*(VLOOKUP($A65,FY14Revenue!$A$4:$J$24,9,FALSE))*VLOOKUP($A65,FY14Majors!$A$3:$S$23,MATCH(Q$28,FY14Majors!$A$2:$S$2,0),FALSE)</f>
        <v>65402.723038975622</v>
      </c>
      <c r="R65" s="457">
        <f>+GPpcntMjr*(VLOOKUP($A65,FY14Revenue!$A$4:$J$24,9,FALSE))*VLOOKUP($A65,FY14Majors!$A$3:$S$23,MATCH(R$28,FY14Majors!$A$2:$S$2,0),FALSE)</f>
        <v>0</v>
      </c>
      <c r="S65" s="457">
        <f>+GPpcntMjr*(VLOOKUP($A65,FY14Revenue!$A$4:$J$24,9,FALSE))*VLOOKUP($A65,FY14Majors!$A$3:$S$23,MATCH(S$28,FY14Majors!$A$2:$S$2,0),FALSE)</f>
        <v>2972.8510472261646</v>
      </c>
      <c r="T65" s="457">
        <f t="shared" si="25"/>
        <v>3564448.4056241717</v>
      </c>
    </row>
    <row r="66" spans="1:20" s="18" customFormat="1" ht="20.100000000000001" customHeight="1">
      <c r="A66" s="404" t="s">
        <v>149</v>
      </c>
      <c r="B66" s="440" t="s">
        <v>38</v>
      </c>
      <c r="C66" s="410">
        <f>+GPpcntMjr*(VLOOKUP($A66,FY14Revenue!$A$4:$J$24,9,FALSE))*VLOOKUP($A66,FY14Majors!$A$3:$S$23,MATCH(C$28,FY14Majors!$A$2:$S$2,0),FALSE)</f>
        <v>0</v>
      </c>
      <c r="D66" s="410">
        <f>+GPpcntMjr*(VLOOKUP($A66,FY14Revenue!$A$4:$J$24,9,FALSE))*VLOOKUP($A66,FY14Majors!$A$3:$S$23,MATCH(D$28,FY14Majors!$A$2:$S$2,0),FALSE)</f>
        <v>19284.631803691325</v>
      </c>
      <c r="E66" s="410">
        <f>+GPpcntMjr*(VLOOKUP($A66,FY14Revenue!$A$4:$J$24,9,FALSE))*VLOOKUP($A66,FY14Majors!$A$3:$S$23,MATCH(E$28,FY14Majors!$A$2:$S$2,0),FALSE)</f>
        <v>3326598.986136754</v>
      </c>
      <c r="F66" s="410">
        <f>+GPpcntMjr*(VLOOKUP($A66,FY14Revenue!$A$4:$J$24,9,FALSE))*VLOOKUP($A66,FY14Majors!$A$3:$S$23,MATCH(F$28,FY14Majors!$A$2:$S$2,0),FALSE)</f>
        <v>0</v>
      </c>
      <c r="G66" s="410">
        <f>+GPpcntMjr*(VLOOKUP($A66,FY14Revenue!$A$4:$J$24,9,FALSE))*VLOOKUP($A66,FY14Majors!$A$3:$S$23,MATCH(G$28,FY14Majors!$A$2:$S$2,0),FALSE)</f>
        <v>0</v>
      </c>
      <c r="H66" s="410">
        <f>+GPpcntMjr*(VLOOKUP($A66,FY14Revenue!$A$4:$J$24,9,FALSE))*VLOOKUP($A66,FY14Majors!$A$3:$S$23,MATCH(H$28,FY14Majors!$A$2:$S$2,0),FALSE)</f>
        <v>14463.473852768495</v>
      </c>
      <c r="I66" s="410">
        <f>+GPpcntMjr*(VLOOKUP($A66,FY14Revenue!$A$4:$J$24,9,FALSE))*VLOOKUP($A66,FY14Majors!$A$3:$S$23,MATCH(I$28,FY14Majors!$A$2:$S$2,0),FALSE)</f>
        <v>0</v>
      </c>
      <c r="J66" s="410">
        <f>+GPpcntMjr*(VLOOKUP($A66,FY14Revenue!$A$4:$J$24,9,FALSE))*VLOOKUP($A66,FY14Majors!$A$3:$S$23,MATCH(J$28,FY14Majors!$A$2:$S$2,0),FALSE)</f>
        <v>4821.1579509228313</v>
      </c>
      <c r="K66" s="410">
        <f>+GPpcntMjr*(VLOOKUP($A66,FY14Revenue!$A$4:$J$24,9,FALSE))*VLOOKUP($A66,FY14Majors!$A$3:$S$23,MATCH(K$28,FY14Majors!$A$2:$S$2,0),FALSE)</f>
        <v>0</v>
      </c>
      <c r="L66" s="410">
        <f>+GPpcntMjr*(VLOOKUP($A66,FY14Revenue!$A$4:$J$24,9,FALSE))*VLOOKUP($A66,FY14Majors!$A$3:$S$23,MATCH(L$28,FY14Majors!$A$2:$S$2,0),FALSE)</f>
        <v>0</v>
      </c>
      <c r="M66" s="410">
        <f>+GPpcntMjr*(VLOOKUP($A66,FY14Revenue!$A$4:$J$24,9,FALSE))*VLOOKUP($A66,FY14Majors!$A$3:$S$23,MATCH(M$28,FY14Majors!$A$2:$S$2,0),FALSE)</f>
        <v>0</v>
      </c>
      <c r="N66" s="410">
        <f>+GPpcntMjr*(VLOOKUP($A66,FY14Revenue!$A$4:$J$24,9,FALSE))*VLOOKUP($A66,FY14Majors!$A$3:$S$23,MATCH(N$28,FY14Majors!$A$2:$S$2,0),FALSE)</f>
        <v>0</v>
      </c>
      <c r="O66" s="410">
        <f>+GPpcntMjr*(VLOOKUP($A66,FY14Revenue!$A$4:$J$24,9,FALSE))*VLOOKUP($A66,FY14Majors!$A$3:$S$23,MATCH(O$28,FY14Majors!$A$2:$S$2,0),FALSE)</f>
        <v>0</v>
      </c>
      <c r="P66" s="410">
        <f>+GPpcntMjr*(VLOOKUP($A66,FY14Revenue!$A$4:$J$24,9,FALSE))*VLOOKUP($A66,FY14Majors!$A$3:$S$23,MATCH(P$28,FY14Majors!$A$2:$S$2,0),FALSE)</f>
        <v>0</v>
      </c>
      <c r="Q66" s="410">
        <f>+GPpcntMjr*(VLOOKUP($A66,FY14Revenue!$A$4:$J$24,9,FALSE))*VLOOKUP($A66,FY14Majors!$A$3:$S$23,MATCH(Q$28,FY14Majors!$A$2:$S$2,0),FALSE)</f>
        <v>0</v>
      </c>
      <c r="R66" s="410">
        <f>+GPpcntMjr*(VLOOKUP($A66,FY14Revenue!$A$4:$J$24,9,FALSE))*VLOOKUP($A66,FY14Majors!$A$3:$S$23,MATCH(R$28,FY14Majors!$A$2:$S$2,0),FALSE)</f>
        <v>0</v>
      </c>
      <c r="S66" s="410">
        <f>+GPpcntMjr*(VLOOKUP($A66,FY14Revenue!$A$4:$J$24,9,FALSE))*VLOOKUP($A66,FY14Majors!$A$3:$S$23,MATCH(S$28,FY14Majors!$A$2:$S$2,0),FALSE)</f>
        <v>38569.263607382651</v>
      </c>
      <c r="T66" s="410">
        <f t="shared" si="25"/>
        <v>3403737.5133515196</v>
      </c>
    </row>
    <row r="67" spans="1:20" ht="20.100000000000001" customHeight="1">
      <c r="A67" s="404" t="s">
        <v>150</v>
      </c>
      <c r="B67" s="456" t="s">
        <v>31</v>
      </c>
      <c r="C67" s="457">
        <f>+GPpcntMjr*(VLOOKUP($A67,FY14Revenue!$A$4:$J$24,9,FALSE))*VLOOKUP($A67,FY14Majors!$A$3:$S$23,MATCH(C$28,FY14Majors!$A$2:$S$2,0),FALSE)</f>
        <v>0</v>
      </c>
      <c r="D67" s="457">
        <f>+GPpcntMjr*(VLOOKUP($A67,FY14Revenue!$A$4:$J$24,9,FALSE))*VLOOKUP($A67,FY14Majors!$A$3:$S$23,MATCH(D$28,FY14Majors!$A$2:$S$2,0),FALSE)</f>
        <v>25532.085548530093</v>
      </c>
      <c r="E67" s="457">
        <f>+GPpcntMjr*(VLOOKUP($A67,FY14Revenue!$A$4:$J$24,9,FALSE))*VLOOKUP($A67,FY14Majors!$A$3:$S$23,MATCH(E$28,FY14Majors!$A$2:$S$2,0),FALSE)</f>
        <v>56170.58820676621</v>
      </c>
      <c r="F67" s="457">
        <f>+GPpcntMjr*(VLOOKUP($A67,FY14Revenue!$A$4:$J$24,9,FALSE))*VLOOKUP($A67,FY14Majors!$A$3:$S$23,MATCH(F$28,FY14Majors!$A$2:$S$2,0),FALSE)</f>
        <v>0</v>
      </c>
      <c r="G67" s="457">
        <f>+GPpcntMjr*(VLOOKUP($A67,FY14Revenue!$A$4:$J$24,9,FALSE))*VLOOKUP($A67,FY14Majors!$A$3:$S$23,MATCH(G$28,FY14Majors!$A$2:$S$2,0),FALSE)</f>
        <v>20425.668438824076</v>
      </c>
      <c r="H67" s="457">
        <f>+GPpcntMjr*(VLOOKUP($A67,FY14Revenue!$A$4:$J$24,9,FALSE))*VLOOKUP($A67,FY14Majors!$A$3:$S$23,MATCH(H$28,FY14Majors!$A$2:$S$2,0),FALSE)</f>
        <v>10212.834219412038</v>
      </c>
      <c r="I67" s="457">
        <f>+GPpcntMjr*(VLOOKUP($A67,FY14Revenue!$A$4:$J$24,9,FALSE))*VLOOKUP($A67,FY14Majors!$A$3:$S$23,MATCH(I$28,FY14Majors!$A$2:$S$2,0),FALSE)</f>
        <v>15319.251329118057</v>
      </c>
      <c r="J67" s="457">
        <f>+GPpcntMjr*(VLOOKUP($A67,FY14Revenue!$A$4:$J$24,9,FALSE))*VLOOKUP($A67,FY14Majors!$A$3:$S$23,MATCH(J$28,FY14Majors!$A$2:$S$2,0),FALSE)</f>
        <v>8154948.1242005108</v>
      </c>
      <c r="K67" s="457">
        <f>+GPpcntMjr*(VLOOKUP($A67,FY14Revenue!$A$4:$J$24,9,FALSE))*VLOOKUP($A67,FY14Majors!$A$3:$S$23,MATCH(K$28,FY14Majors!$A$2:$S$2,0),FALSE)</f>
        <v>30638.502658236113</v>
      </c>
      <c r="L67" s="457">
        <f>+GPpcntMjr*(VLOOKUP($A67,FY14Revenue!$A$4:$J$24,9,FALSE))*VLOOKUP($A67,FY14Majors!$A$3:$S$23,MATCH(L$28,FY14Majors!$A$2:$S$2,0),FALSE)</f>
        <v>0</v>
      </c>
      <c r="M67" s="457">
        <f>+GPpcntMjr*(VLOOKUP($A67,FY14Revenue!$A$4:$J$24,9,FALSE))*VLOOKUP($A67,FY14Majors!$A$3:$S$23,MATCH(M$28,FY14Majors!$A$2:$S$2,0),FALSE)</f>
        <v>0</v>
      </c>
      <c r="N67" s="457">
        <f>+GPpcntMjr*(VLOOKUP($A67,FY14Revenue!$A$4:$J$24,9,FALSE))*VLOOKUP($A67,FY14Majors!$A$3:$S$23,MATCH(N$28,FY14Majors!$A$2:$S$2,0),FALSE)</f>
        <v>0</v>
      </c>
      <c r="O67" s="457">
        <f>+GPpcntMjr*(VLOOKUP($A67,FY14Revenue!$A$4:$J$24,9,FALSE))*VLOOKUP($A67,FY14Majors!$A$3:$S$23,MATCH(O$28,FY14Majors!$A$2:$S$2,0),FALSE)</f>
        <v>0</v>
      </c>
      <c r="P67" s="457">
        <f>+GPpcntMjr*(VLOOKUP($A67,FY14Revenue!$A$4:$J$24,9,FALSE))*VLOOKUP($A67,FY14Majors!$A$3:$S$23,MATCH(P$28,FY14Majors!$A$2:$S$2,0),FALSE)</f>
        <v>0</v>
      </c>
      <c r="Q67" s="457">
        <f>+GPpcntMjr*(VLOOKUP($A67,FY14Revenue!$A$4:$J$24,9,FALSE))*VLOOKUP($A67,FY14Majors!$A$3:$S$23,MATCH(Q$28,FY14Majors!$A$2:$S$2,0),FALSE)</f>
        <v>0</v>
      </c>
      <c r="R67" s="457">
        <f>+GPpcntMjr*(VLOOKUP($A67,FY14Revenue!$A$4:$J$24,9,FALSE))*VLOOKUP($A67,FY14Majors!$A$3:$S$23,MATCH(R$28,FY14Majors!$A$2:$S$2,0),FALSE)</f>
        <v>0</v>
      </c>
      <c r="S67" s="457">
        <f>+GPpcntMjr*(VLOOKUP($A67,FY14Revenue!$A$4:$J$24,9,FALSE))*VLOOKUP($A67,FY14Majors!$A$3:$S$23,MATCH(S$28,FY14Majors!$A$2:$S$2,0),FALSE)</f>
        <v>0</v>
      </c>
      <c r="T67" s="457">
        <f t="shared" si="25"/>
        <v>8313247.0546013974</v>
      </c>
    </row>
    <row r="68" spans="1:20" s="18" customFormat="1" ht="20.100000000000001" customHeight="1">
      <c r="A68" s="404" t="s">
        <v>151</v>
      </c>
      <c r="B68" s="440" t="s">
        <v>209</v>
      </c>
      <c r="C68" s="410">
        <f>+GPpcntMjr*(VLOOKUP($A68,FY14Revenue!$A$4:$J$24,9,FALSE))*VLOOKUP($A68,FY14Majors!$A$3:$S$23,MATCH(C$28,FY14Majors!$A$2:$S$2,0),FALSE)</f>
        <v>0</v>
      </c>
      <c r="D68" s="410">
        <f>+GPpcntMjr*(VLOOKUP($A68,FY14Revenue!$A$4:$J$24,9,FALSE))*VLOOKUP($A68,FY14Majors!$A$3:$S$23,MATCH(D$28,FY14Majors!$A$2:$S$2,0),FALSE)</f>
        <v>0</v>
      </c>
      <c r="E68" s="410">
        <f>+GPpcntMjr*(VLOOKUP($A68,FY14Revenue!$A$4:$J$24,9,FALSE))*VLOOKUP($A68,FY14Majors!$A$3:$S$23,MATCH(E$28,FY14Majors!$A$2:$S$2,0),FALSE)</f>
        <v>0</v>
      </c>
      <c r="F68" s="410">
        <f>+GPpcntMjr*(VLOOKUP($A68,FY14Revenue!$A$4:$J$24,9,FALSE))*VLOOKUP($A68,FY14Majors!$A$3:$S$23,MATCH(F$28,FY14Majors!$A$2:$S$2,0),FALSE)</f>
        <v>0</v>
      </c>
      <c r="G68" s="410">
        <f>+GPpcntMjr*(VLOOKUP($A68,FY14Revenue!$A$4:$J$24,9,FALSE))*VLOOKUP($A68,FY14Majors!$A$3:$S$23,MATCH(G$28,FY14Majors!$A$2:$S$2,0),FALSE)</f>
        <v>0</v>
      </c>
      <c r="H68" s="410">
        <f>+GPpcntMjr*(VLOOKUP($A68,FY14Revenue!$A$4:$J$24,9,FALSE))*VLOOKUP($A68,FY14Majors!$A$3:$S$23,MATCH(H$28,FY14Majors!$A$2:$S$2,0),FALSE)</f>
        <v>0</v>
      </c>
      <c r="I68" s="410">
        <f>+GPpcntMjr*(VLOOKUP($A68,FY14Revenue!$A$4:$J$24,9,FALSE))*VLOOKUP($A68,FY14Majors!$A$3:$S$23,MATCH(I$28,FY14Majors!$A$2:$S$2,0),FALSE)</f>
        <v>0</v>
      </c>
      <c r="J68" s="410">
        <f>+GPpcntMjr*(VLOOKUP($A68,FY14Revenue!$A$4:$J$24,9,FALSE))*VLOOKUP($A68,FY14Majors!$A$3:$S$23,MATCH(J$28,FY14Majors!$A$2:$S$2,0),FALSE)</f>
        <v>953757.87064165797</v>
      </c>
      <c r="K68" s="410">
        <f>+GPpcntMjr*(VLOOKUP($A68,FY14Revenue!$A$4:$J$24,9,FALSE))*VLOOKUP($A68,FY14Majors!$A$3:$S$23,MATCH(K$28,FY14Majors!$A$2:$S$2,0),FALSE)</f>
        <v>0</v>
      </c>
      <c r="L68" s="410">
        <f>+GPpcntMjr*(VLOOKUP($A68,FY14Revenue!$A$4:$J$24,9,FALSE))*VLOOKUP($A68,FY14Majors!$A$3:$S$23,MATCH(L$28,FY14Majors!$A$2:$S$2,0),FALSE)</f>
        <v>0</v>
      </c>
      <c r="M68" s="410">
        <f>+GPpcntMjr*(VLOOKUP($A68,FY14Revenue!$A$4:$J$24,9,FALSE))*VLOOKUP($A68,FY14Majors!$A$3:$S$23,MATCH(M$28,FY14Majors!$A$2:$S$2,0),FALSE)</f>
        <v>0</v>
      </c>
      <c r="N68" s="410">
        <f>+GPpcntMjr*(VLOOKUP($A68,FY14Revenue!$A$4:$J$24,9,FALSE))*VLOOKUP($A68,FY14Majors!$A$3:$S$23,MATCH(N$28,FY14Majors!$A$2:$S$2,0),FALSE)</f>
        <v>0</v>
      </c>
      <c r="O68" s="410">
        <f>+GPpcntMjr*(VLOOKUP($A68,FY14Revenue!$A$4:$J$24,9,FALSE))*VLOOKUP($A68,FY14Majors!$A$3:$S$23,MATCH(O$28,FY14Majors!$A$2:$S$2,0),FALSE)</f>
        <v>0</v>
      </c>
      <c r="P68" s="410">
        <f>+GPpcntMjr*(VLOOKUP($A68,FY14Revenue!$A$4:$J$24,9,FALSE))*VLOOKUP($A68,FY14Majors!$A$3:$S$23,MATCH(P$28,FY14Majors!$A$2:$S$2,0),FALSE)</f>
        <v>0</v>
      </c>
      <c r="Q68" s="410">
        <f>+GPpcntMjr*(VLOOKUP($A68,FY14Revenue!$A$4:$J$24,9,FALSE))*VLOOKUP($A68,FY14Majors!$A$3:$S$23,MATCH(Q$28,FY14Majors!$A$2:$S$2,0),FALSE)</f>
        <v>0</v>
      </c>
      <c r="R68" s="410">
        <f>+GPpcntMjr*(VLOOKUP($A68,FY14Revenue!$A$4:$J$24,9,FALSE))*VLOOKUP($A68,FY14Majors!$A$3:$S$23,MATCH(R$28,FY14Majors!$A$2:$S$2,0),FALSE)</f>
        <v>0</v>
      </c>
      <c r="S68" s="410">
        <f>+GPpcntMjr*(VLOOKUP($A68,FY14Revenue!$A$4:$J$24,9,FALSE))*VLOOKUP($A68,FY14Majors!$A$3:$S$23,MATCH(S$28,FY14Majors!$A$2:$S$2,0),FALSE)</f>
        <v>0</v>
      </c>
      <c r="T68" s="410">
        <f t="shared" si="25"/>
        <v>953757.87064165797</v>
      </c>
    </row>
    <row r="69" spans="1:20" ht="20.100000000000001" customHeight="1">
      <c r="A69" s="404" t="s">
        <v>153</v>
      </c>
      <c r="B69" s="456" t="s">
        <v>100</v>
      </c>
      <c r="C69" s="457">
        <f>+GPpcntMjr*(VLOOKUP($A69,FY14Revenue!$A$4:$J$24,9,FALSE))*VLOOKUP($A69,FY14Majors!$A$3:$S$23,MATCH(C$28,FY14Majors!$A$2:$S$2,0),FALSE)</f>
        <v>0</v>
      </c>
      <c r="D69" s="457">
        <f>+GPpcntMjr*(VLOOKUP($A69,FY14Revenue!$A$4:$J$24,9,FALSE))*VLOOKUP($A69,FY14Majors!$A$3:$S$23,MATCH(D$28,FY14Majors!$A$2:$S$2,0),FALSE)</f>
        <v>0</v>
      </c>
      <c r="E69" s="457">
        <f>+GPpcntMjr*(VLOOKUP($A69,FY14Revenue!$A$4:$J$24,9,FALSE))*VLOOKUP($A69,FY14Majors!$A$3:$S$23,MATCH(E$28,FY14Majors!$A$2:$S$2,0),FALSE)</f>
        <v>0</v>
      </c>
      <c r="F69" s="457">
        <f>+GPpcntMjr*(VLOOKUP($A69,FY14Revenue!$A$4:$J$24,9,FALSE))*VLOOKUP($A69,FY14Majors!$A$3:$S$23,MATCH(F$28,FY14Majors!$A$2:$S$2,0),FALSE)</f>
        <v>0</v>
      </c>
      <c r="G69" s="457">
        <f>+GPpcntMjr*(VLOOKUP($A69,FY14Revenue!$A$4:$J$24,9,FALSE))*VLOOKUP($A69,FY14Majors!$A$3:$S$23,MATCH(G$28,FY14Majors!$A$2:$S$2,0),FALSE)</f>
        <v>0</v>
      </c>
      <c r="H69" s="457">
        <f>+GPpcntMjr*(VLOOKUP($A69,FY14Revenue!$A$4:$J$24,9,FALSE))*VLOOKUP($A69,FY14Majors!$A$3:$S$23,MATCH(H$28,FY14Majors!$A$2:$S$2,0),FALSE)</f>
        <v>0</v>
      </c>
      <c r="I69" s="457">
        <f>+GPpcntMjr*(VLOOKUP($A69,FY14Revenue!$A$4:$J$24,9,FALSE))*VLOOKUP($A69,FY14Majors!$A$3:$S$23,MATCH(I$28,FY14Majors!$A$2:$S$2,0),FALSE)</f>
        <v>0</v>
      </c>
      <c r="J69" s="457">
        <f>+GPpcntMjr*(VLOOKUP($A69,FY14Revenue!$A$4:$J$24,9,FALSE))*VLOOKUP($A69,FY14Majors!$A$3:$S$23,MATCH(J$28,FY14Majors!$A$2:$S$2,0),FALSE)</f>
        <v>0</v>
      </c>
      <c r="K69" s="457">
        <f>+GPpcntMjr*(VLOOKUP($A69,FY14Revenue!$A$4:$J$24,9,FALSE))*VLOOKUP($A69,FY14Majors!$A$3:$S$23,MATCH(K$28,FY14Majors!$A$2:$S$2,0),FALSE)</f>
        <v>0</v>
      </c>
      <c r="L69" s="457">
        <f>+GPpcntMjr*(VLOOKUP($A69,FY14Revenue!$A$4:$J$24,9,FALSE))*VLOOKUP($A69,FY14Majors!$A$3:$S$23,MATCH(L$28,FY14Majors!$A$2:$S$2,0),FALSE)</f>
        <v>0</v>
      </c>
      <c r="M69" s="457">
        <f>+GPpcntMjr*(VLOOKUP($A69,FY14Revenue!$A$4:$J$24,9,FALSE))*VLOOKUP($A69,FY14Majors!$A$3:$S$23,MATCH(M$28,FY14Majors!$A$2:$S$2,0),FALSE)</f>
        <v>0</v>
      </c>
      <c r="N69" s="457">
        <f>+GPpcntMjr*(VLOOKUP($A69,FY14Revenue!$A$4:$J$24,9,FALSE))*VLOOKUP($A69,FY14Majors!$A$3:$S$23,MATCH(N$28,FY14Majors!$A$2:$S$2,0),FALSE)</f>
        <v>0</v>
      </c>
      <c r="O69" s="457">
        <f>+GPpcntMjr*(VLOOKUP($A69,FY14Revenue!$A$4:$J$24,9,FALSE))*VLOOKUP($A69,FY14Majors!$A$3:$S$23,MATCH(O$28,FY14Majors!$A$2:$S$2,0),FALSE)</f>
        <v>813193.31957318611</v>
      </c>
      <c r="P69" s="457">
        <f>+GPpcntMjr*(VLOOKUP($A69,FY14Revenue!$A$4:$J$24,9,FALSE))*VLOOKUP($A69,FY14Majors!$A$3:$S$23,MATCH(P$28,FY14Majors!$A$2:$S$2,0),FALSE)</f>
        <v>0</v>
      </c>
      <c r="Q69" s="457">
        <f>+GPpcntMjr*(VLOOKUP($A69,FY14Revenue!$A$4:$J$24,9,FALSE))*VLOOKUP($A69,FY14Majors!$A$3:$S$23,MATCH(Q$28,FY14Majors!$A$2:$S$2,0),FALSE)</f>
        <v>7460.4891703962012</v>
      </c>
      <c r="R69" s="457">
        <f>+GPpcntMjr*(VLOOKUP($A69,FY14Revenue!$A$4:$J$24,9,FALSE))*VLOOKUP($A69,FY14Majors!$A$3:$S$23,MATCH(R$28,FY14Majors!$A$2:$S$2,0),FALSE)</f>
        <v>0</v>
      </c>
      <c r="S69" s="457">
        <f>+GPpcntMjr*(VLOOKUP($A69,FY14Revenue!$A$4:$J$24,9,FALSE))*VLOOKUP($A69,FY14Majors!$A$3:$S$23,MATCH(S$28,FY14Majors!$A$2:$S$2,0),FALSE)</f>
        <v>0</v>
      </c>
      <c r="T69" s="457">
        <f t="shared" si="25"/>
        <v>820653.80874358234</v>
      </c>
    </row>
    <row r="70" spans="1:20" s="18" customFormat="1" ht="20.100000000000001" customHeight="1">
      <c r="A70" s="404" t="s">
        <v>155</v>
      </c>
      <c r="B70" s="440" t="s">
        <v>42</v>
      </c>
      <c r="C70" s="410">
        <f>+GPpcntMjr*(VLOOKUP($A70,FY14Revenue!$A$4:$J$24,9,FALSE))*VLOOKUP($A70,FY14Majors!$A$3:$S$23,MATCH(C$28,FY14Majors!$A$2:$S$2,0),FALSE)</f>
        <v>0</v>
      </c>
      <c r="D70" s="410">
        <f>+GPpcntMjr*(VLOOKUP($A70,FY14Revenue!$A$4:$J$24,9,FALSE))*VLOOKUP($A70,FY14Majors!$A$3:$S$23,MATCH(D$28,FY14Majors!$A$2:$S$2,0),FALSE)</f>
        <v>0</v>
      </c>
      <c r="E70" s="410">
        <f>+GPpcntMjr*(VLOOKUP($A70,FY14Revenue!$A$4:$J$24,9,FALSE))*VLOOKUP($A70,FY14Majors!$A$3:$S$23,MATCH(E$28,FY14Majors!$A$2:$S$2,0),FALSE)</f>
        <v>0</v>
      </c>
      <c r="F70" s="410">
        <f>+GPpcntMjr*(VLOOKUP($A70,FY14Revenue!$A$4:$J$24,9,FALSE))*VLOOKUP($A70,FY14Majors!$A$3:$S$23,MATCH(F$28,FY14Majors!$A$2:$S$2,0),FALSE)</f>
        <v>0</v>
      </c>
      <c r="G70" s="410">
        <f>+GPpcntMjr*(VLOOKUP($A70,FY14Revenue!$A$4:$J$24,9,FALSE))*VLOOKUP($A70,FY14Majors!$A$3:$S$23,MATCH(G$28,FY14Majors!$A$2:$S$2,0),FALSE)</f>
        <v>0</v>
      </c>
      <c r="H70" s="410">
        <f>+GPpcntMjr*(VLOOKUP($A70,FY14Revenue!$A$4:$J$24,9,FALSE))*VLOOKUP($A70,FY14Majors!$A$3:$S$23,MATCH(H$28,FY14Majors!$A$2:$S$2,0),FALSE)</f>
        <v>0</v>
      </c>
      <c r="I70" s="410">
        <f>+GPpcntMjr*(VLOOKUP($A70,FY14Revenue!$A$4:$J$24,9,FALSE))*VLOOKUP($A70,FY14Majors!$A$3:$S$23,MATCH(I$28,FY14Majors!$A$2:$S$2,0),FALSE)</f>
        <v>0</v>
      </c>
      <c r="J70" s="410">
        <f>+GPpcntMjr*(VLOOKUP($A70,FY14Revenue!$A$4:$J$24,9,FALSE))*VLOOKUP($A70,FY14Majors!$A$3:$S$23,MATCH(J$28,FY14Majors!$A$2:$S$2,0),FALSE)</f>
        <v>0</v>
      </c>
      <c r="K70" s="410">
        <f>+GPpcntMjr*(VLOOKUP($A70,FY14Revenue!$A$4:$J$24,9,FALSE))*VLOOKUP($A70,FY14Majors!$A$3:$S$23,MATCH(K$28,FY14Majors!$A$2:$S$2,0),FALSE)</f>
        <v>0</v>
      </c>
      <c r="L70" s="410">
        <f>+GPpcntMjr*(VLOOKUP($A70,FY14Revenue!$A$4:$J$24,9,FALSE))*VLOOKUP($A70,FY14Majors!$A$3:$S$23,MATCH(L$28,FY14Majors!$A$2:$S$2,0),FALSE)</f>
        <v>0</v>
      </c>
      <c r="M70" s="410">
        <f>+GPpcntMjr*(VLOOKUP($A70,FY14Revenue!$A$4:$J$24,9,FALSE))*VLOOKUP($A70,FY14Majors!$A$3:$S$23,MATCH(M$28,FY14Majors!$A$2:$S$2,0),FALSE)</f>
        <v>0</v>
      </c>
      <c r="N70" s="410">
        <f>+GPpcntMjr*(VLOOKUP($A70,FY14Revenue!$A$4:$J$24,9,FALSE))*VLOOKUP($A70,FY14Majors!$A$3:$S$23,MATCH(N$28,FY14Majors!$A$2:$S$2,0),FALSE)</f>
        <v>0</v>
      </c>
      <c r="O70" s="410">
        <f>+GPpcntMjr*(VLOOKUP($A70,FY14Revenue!$A$4:$J$24,9,FALSE))*VLOOKUP($A70,FY14Majors!$A$3:$S$23,MATCH(O$28,FY14Majors!$A$2:$S$2,0),FALSE)</f>
        <v>0</v>
      </c>
      <c r="P70" s="410">
        <f>+GPpcntMjr*(VLOOKUP($A70,FY14Revenue!$A$4:$J$24,9,FALSE))*VLOOKUP($A70,FY14Majors!$A$3:$S$23,MATCH(P$28,FY14Majors!$A$2:$S$2,0),FALSE)</f>
        <v>5174378.7050787974</v>
      </c>
      <c r="Q70" s="410">
        <f>+GPpcntMjr*(VLOOKUP($A70,FY14Revenue!$A$4:$J$24,9,FALSE))*VLOOKUP($A70,FY14Majors!$A$3:$S$23,MATCH(Q$28,FY14Majors!$A$2:$S$2,0),FALSE)</f>
        <v>0</v>
      </c>
      <c r="R70" s="410">
        <f>+GPpcntMjr*(VLOOKUP($A70,FY14Revenue!$A$4:$J$24,9,FALSE))*VLOOKUP($A70,FY14Majors!$A$3:$S$23,MATCH(R$28,FY14Majors!$A$2:$S$2,0),FALSE)</f>
        <v>0</v>
      </c>
      <c r="S70" s="410">
        <f>+GPpcntMjr*(VLOOKUP($A70,FY14Revenue!$A$4:$J$24,9,FALSE))*VLOOKUP($A70,FY14Majors!$A$3:$S$23,MATCH(S$28,FY14Majors!$A$2:$S$2,0),FALSE)</f>
        <v>0</v>
      </c>
      <c r="T70" s="410">
        <f t="shared" si="25"/>
        <v>5174378.7050787974</v>
      </c>
    </row>
    <row r="71" spans="1:20" ht="20.100000000000001" customHeight="1">
      <c r="A71" s="404" t="s">
        <v>162</v>
      </c>
      <c r="B71" s="456" t="s">
        <v>76</v>
      </c>
      <c r="C71" s="457">
        <f>+GPpcntMjr*(VLOOKUP($A71,FY14Revenue!$A$4:$J$24,9,FALSE))*VLOOKUP($A71,FY14Majors!$A$3:$S$23,MATCH(C$28,FY14Majors!$A$2:$S$2,0),FALSE)</f>
        <v>0</v>
      </c>
      <c r="D71" s="457">
        <f>+GPpcntMjr*(VLOOKUP($A71,FY14Revenue!$A$4:$J$24,9,FALSE))*VLOOKUP($A71,FY14Majors!$A$3:$S$23,MATCH(D$28,FY14Majors!$A$2:$S$2,0),FALSE)</f>
        <v>0</v>
      </c>
      <c r="E71" s="457">
        <f>+GPpcntMjr*(VLOOKUP($A71,FY14Revenue!$A$4:$J$24,9,FALSE))*VLOOKUP($A71,FY14Majors!$A$3:$S$23,MATCH(E$28,FY14Majors!$A$2:$S$2,0),FALSE)</f>
        <v>0</v>
      </c>
      <c r="F71" s="457">
        <f>+GPpcntMjr*(VLOOKUP($A71,FY14Revenue!$A$4:$J$24,9,FALSE))*VLOOKUP($A71,FY14Majors!$A$3:$S$23,MATCH(F$28,FY14Majors!$A$2:$S$2,0),FALSE)</f>
        <v>0</v>
      </c>
      <c r="G71" s="457">
        <f>+GPpcntMjr*(VLOOKUP($A71,FY14Revenue!$A$4:$J$24,9,FALSE))*VLOOKUP($A71,FY14Majors!$A$3:$S$23,MATCH(G$28,FY14Majors!$A$2:$S$2,0),FALSE)</f>
        <v>25939.910856284983</v>
      </c>
      <c r="H71" s="457">
        <f>+GPpcntMjr*(VLOOKUP($A71,FY14Revenue!$A$4:$J$24,9,FALSE))*VLOOKUP($A71,FY14Majors!$A$3:$S$23,MATCH(H$28,FY14Majors!$A$2:$S$2,0),FALSE)</f>
        <v>0</v>
      </c>
      <c r="I71" s="457">
        <f>+GPpcntMjr*(VLOOKUP($A71,FY14Revenue!$A$4:$J$24,9,FALSE))*VLOOKUP($A71,FY14Majors!$A$3:$S$23,MATCH(I$28,FY14Majors!$A$2:$S$2,0),FALSE)</f>
        <v>0</v>
      </c>
      <c r="J71" s="457">
        <f>+GPpcntMjr*(VLOOKUP($A71,FY14Revenue!$A$4:$J$24,9,FALSE))*VLOOKUP($A71,FY14Majors!$A$3:$S$23,MATCH(J$28,FY14Majors!$A$2:$S$2,0),FALSE)</f>
        <v>0</v>
      </c>
      <c r="K71" s="457">
        <f>+GPpcntMjr*(VLOOKUP($A71,FY14Revenue!$A$4:$J$24,9,FALSE))*VLOOKUP($A71,FY14Majors!$A$3:$S$23,MATCH(K$28,FY14Majors!$A$2:$S$2,0),FALSE)</f>
        <v>0</v>
      </c>
      <c r="L71" s="457">
        <f>+GPpcntMjr*(VLOOKUP($A71,FY14Revenue!$A$4:$J$24,9,FALSE))*VLOOKUP($A71,FY14Majors!$A$3:$S$23,MATCH(L$28,FY14Majors!$A$2:$S$2,0),FALSE)</f>
        <v>0</v>
      </c>
      <c r="M71" s="457">
        <f>+GPpcntMjr*(VLOOKUP($A71,FY14Revenue!$A$4:$J$24,9,FALSE))*VLOOKUP($A71,FY14Majors!$A$3:$S$23,MATCH(M$28,FY14Majors!$A$2:$S$2,0),FALSE)</f>
        <v>0</v>
      </c>
      <c r="N71" s="457">
        <f>+GPpcntMjr*(VLOOKUP($A71,FY14Revenue!$A$4:$J$24,9,FALSE))*VLOOKUP($A71,FY14Majors!$A$3:$S$23,MATCH(N$28,FY14Majors!$A$2:$S$2,0),FALSE)</f>
        <v>9922015.902529005</v>
      </c>
      <c r="O71" s="457">
        <f>+GPpcntMjr*(VLOOKUP($A71,FY14Revenue!$A$4:$J$24,9,FALSE))*VLOOKUP($A71,FY14Majors!$A$3:$S$23,MATCH(O$28,FY14Majors!$A$2:$S$2,0),FALSE)</f>
        <v>0</v>
      </c>
      <c r="P71" s="457">
        <f>+GPpcntMjr*(VLOOKUP($A71,FY14Revenue!$A$4:$J$24,9,FALSE))*VLOOKUP($A71,FY14Majors!$A$3:$S$23,MATCH(P$28,FY14Majors!$A$2:$S$2,0),FALSE)</f>
        <v>0</v>
      </c>
      <c r="Q71" s="457">
        <f>+GPpcntMjr*(VLOOKUP($A71,FY14Revenue!$A$4:$J$24,9,FALSE))*VLOOKUP($A71,FY14Majors!$A$3:$S$23,MATCH(Q$28,FY14Majors!$A$2:$S$2,0),FALSE)</f>
        <v>125376.23580537744</v>
      </c>
      <c r="R71" s="457">
        <f>+GPpcntMjr*(VLOOKUP($A71,FY14Revenue!$A$4:$J$24,9,FALSE))*VLOOKUP($A71,FY14Majors!$A$3:$S$23,MATCH(R$28,FY14Majors!$A$2:$S$2,0),FALSE)</f>
        <v>0</v>
      </c>
      <c r="S71" s="457">
        <f>+GPpcntMjr*(VLOOKUP($A71,FY14Revenue!$A$4:$J$24,9,FALSE))*VLOOKUP($A71,FY14Majors!$A$3:$S$23,MATCH(S$28,FY14Majors!$A$2:$S$2,0),FALSE)</f>
        <v>77819.732568854946</v>
      </c>
      <c r="T71" s="457">
        <f t="shared" si="25"/>
        <v>10151151.781759521</v>
      </c>
    </row>
    <row r="72" spans="1:20" s="18" customFormat="1" ht="20.100000000000001" customHeight="1">
      <c r="A72" s="404" t="s">
        <v>156</v>
      </c>
      <c r="B72" s="440" t="s">
        <v>77</v>
      </c>
      <c r="C72" s="410">
        <f>+GPpcntMjr*(VLOOKUP($A72,FY14Revenue!$A$4:$J$24,9,FALSE))*VLOOKUP($A72,FY14Majors!$A$3:$S$23,MATCH(C$28,FY14Majors!$A$2:$S$2,0),FALSE)</f>
        <v>0</v>
      </c>
      <c r="D72" s="410">
        <f>+GPpcntMjr*(VLOOKUP($A72,FY14Revenue!$A$4:$J$24,9,FALSE))*VLOOKUP($A72,FY14Majors!$A$3:$S$23,MATCH(D$28,FY14Majors!$A$2:$S$2,0),FALSE)</f>
        <v>0</v>
      </c>
      <c r="E72" s="410">
        <f>+GPpcntMjr*(VLOOKUP($A72,FY14Revenue!$A$4:$J$24,9,FALSE))*VLOOKUP($A72,FY14Majors!$A$3:$S$23,MATCH(E$28,FY14Majors!$A$2:$S$2,0),FALSE)</f>
        <v>0</v>
      </c>
      <c r="F72" s="410">
        <f>+GPpcntMjr*(VLOOKUP($A72,FY14Revenue!$A$4:$J$24,9,FALSE))*VLOOKUP($A72,FY14Majors!$A$3:$S$23,MATCH(F$28,FY14Majors!$A$2:$S$2,0),FALSE)</f>
        <v>0</v>
      </c>
      <c r="G72" s="410">
        <f>+GPpcntMjr*(VLOOKUP($A72,FY14Revenue!$A$4:$J$24,9,FALSE))*VLOOKUP($A72,FY14Majors!$A$3:$S$23,MATCH(G$28,FY14Majors!$A$2:$S$2,0),FALSE)</f>
        <v>0</v>
      </c>
      <c r="H72" s="410">
        <f>+GPpcntMjr*(VLOOKUP($A72,FY14Revenue!$A$4:$J$24,9,FALSE))*VLOOKUP($A72,FY14Majors!$A$3:$S$23,MATCH(H$28,FY14Majors!$A$2:$S$2,0),FALSE)</f>
        <v>0</v>
      </c>
      <c r="I72" s="410">
        <f>+GPpcntMjr*(VLOOKUP($A72,FY14Revenue!$A$4:$J$24,9,FALSE))*VLOOKUP($A72,FY14Majors!$A$3:$S$23,MATCH(I$28,FY14Majors!$A$2:$S$2,0),FALSE)</f>
        <v>0</v>
      </c>
      <c r="J72" s="410">
        <f>+GPpcntMjr*(VLOOKUP($A72,FY14Revenue!$A$4:$J$24,9,FALSE))*VLOOKUP($A72,FY14Majors!$A$3:$S$23,MATCH(J$28,FY14Majors!$A$2:$S$2,0),FALSE)</f>
        <v>0</v>
      </c>
      <c r="K72" s="410">
        <f>+GPpcntMjr*(VLOOKUP($A72,FY14Revenue!$A$4:$J$24,9,FALSE))*VLOOKUP($A72,FY14Majors!$A$3:$S$23,MATCH(K$28,FY14Majors!$A$2:$S$2,0),FALSE)</f>
        <v>0</v>
      </c>
      <c r="L72" s="410">
        <f>+GPpcntMjr*(VLOOKUP($A72,FY14Revenue!$A$4:$J$24,9,FALSE))*VLOOKUP($A72,FY14Majors!$A$3:$S$23,MATCH(L$28,FY14Majors!$A$2:$S$2,0),FALSE)</f>
        <v>0</v>
      </c>
      <c r="M72" s="410">
        <f>+GPpcntMjr*(VLOOKUP($A72,FY14Revenue!$A$4:$J$24,9,FALSE))*VLOOKUP($A72,FY14Majors!$A$3:$S$23,MATCH(M$28,FY14Majors!$A$2:$S$2,0),FALSE)</f>
        <v>4018259.8044750961</v>
      </c>
      <c r="N72" s="410">
        <f>+GPpcntMjr*(VLOOKUP($A72,FY14Revenue!$A$4:$J$24,9,FALSE))*VLOOKUP($A72,FY14Majors!$A$3:$S$23,MATCH(N$28,FY14Majors!$A$2:$S$2,0),FALSE)</f>
        <v>0</v>
      </c>
      <c r="O72" s="410">
        <f>+GPpcntMjr*(VLOOKUP($A72,FY14Revenue!$A$4:$J$24,9,FALSE))*VLOOKUP($A72,FY14Majors!$A$3:$S$23,MATCH(O$28,FY14Majors!$A$2:$S$2,0),FALSE)</f>
        <v>0</v>
      </c>
      <c r="P72" s="410">
        <f>+GPpcntMjr*(VLOOKUP($A72,FY14Revenue!$A$4:$J$24,9,FALSE))*VLOOKUP($A72,FY14Majors!$A$3:$S$23,MATCH(P$28,FY14Majors!$A$2:$S$2,0),FALSE)</f>
        <v>0</v>
      </c>
      <c r="Q72" s="410">
        <f>+GPpcntMjr*(VLOOKUP($A72,FY14Revenue!$A$4:$J$24,9,FALSE))*VLOOKUP($A72,FY14Majors!$A$3:$S$23,MATCH(Q$28,FY14Majors!$A$2:$S$2,0),FALSE)</f>
        <v>0</v>
      </c>
      <c r="R72" s="410">
        <f>+GPpcntMjr*(VLOOKUP($A72,FY14Revenue!$A$4:$J$24,9,FALSE))*VLOOKUP($A72,FY14Majors!$A$3:$S$23,MATCH(R$28,FY14Majors!$A$2:$S$2,0),FALSE)</f>
        <v>0</v>
      </c>
      <c r="S72" s="410">
        <f>+GPpcntMjr*(VLOOKUP($A72,FY14Revenue!$A$4:$J$24,9,FALSE))*VLOOKUP($A72,FY14Majors!$A$3:$S$23,MATCH(S$28,FY14Majors!$A$2:$S$2,0),FALSE)</f>
        <v>0</v>
      </c>
      <c r="T72" s="410">
        <f t="shared" si="25"/>
        <v>4018259.8044750961</v>
      </c>
    </row>
    <row r="73" spans="1:20" ht="20.100000000000001" customHeight="1">
      <c r="A73" s="406" t="s">
        <v>163</v>
      </c>
      <c r="B73" s="458" t="s">
        <v>164</v>
      </c>
      <c r="C73" s="457">
        <f>+GPpcntMjr*(VLOOKUP($A73,FY14Revenue!$A$4:$J$24,9,FALSE))*VLOOKUP($A73,FY14Majors!$A$3:$S$23,MATCH(C$28,FY14Majors!$A$2:$S$2,0),FALSE)</f>
        <v>0</v>
      </c>
      <c r="D73" s="457">
        <f>+GPpcntMjr*(VLOOKUP($A73,FY14Revenue!$A$4:$J$24,9,FALSE))*VLOOKUP($A73,FY14Majors!$A$3:$S$23,MATCH(D$28,FY14Majors!$A$2:$S$2,0),FALSE)</f>
        <v>0</v>
      </c>
      <c r="E73" s="457">
        <f>+GPpcntMjr*(VLOOKUP($A73,FY14Revenue!$A$4:$J$24,9,FALSE))*VLOOKUP($A73,FY14Majors!$A$3:$S$23,MATCH(E$28,FY14Majors!$A$2:$S$2,0),FALSE)</f>
        <v>0</v>
      </c>
      <c r="F73" s="457">
        <f>+GPpcntMjr*(VLOOKUP($A73,FY14Revenue!$A$4:$J$24,9,FALSE))*VLOOKUP($A73,FY14Majors!$A$3:$S$23,MATCH(F$28,FY14Majors!$A$2:$S$2,0),FALSE)</f>
        <v>0</v>
      </c>
      <c r="G73" s="457">
        <f>+GPpcntMjr*(VLOOKUP($A73,FY14Revenue!$A$4:$J$24,9,FALSE))*VLOOKUP($A73,FY14Majors!$A$3:$S$23,MATCH(G$28,FY14Majors!$A$2:$S$2,0),FALSE)</f>
        <v>0</v>
      </c>
      <c r="H73" s="457">
        <f>+GPpcntMjr*(VLOOKUP($A73,FY14Revenue!$A$4:$J$24,9,FALSE))*VLOOKUP($A73,FY14Majors!$A$3:$S$23,MATCH(H$28,FY14Majors!$A$2:$S$2,0),FALSE)</f>
        <v>0</v>
      </c>
      <c r="I73" s="457">
        <f>+GPpcntMjr*(VLOOKUP($A73,FY14Revenue!$A$4:$J$24,9,FALSE))*VLOOKUP($A73,FY14Majors!$A$3:$S$23,MATCH(I$28,FY14Majors!$A$2:$S$2,0),FALSE)</f>
        <v>0</v>
      </c>
      <c r="J73" s="457">
        <f>+GPpcntMjr*(VLOOKUP($A73,FY14Revenue!$A$4:$J$24,9,FALSE))*VLOOKUP($A73,FY14Majors!$A$3:$S$23,MATCH(J$28,FY14Majors!$A$2:$S$2,0),FALSE)</f>
        <v>0</v>
      </c>
      <c r="K73" s="457">
        <f>+GPpcntMjr*(VLOOKUP($A73,FY14Revenue!$A$4:$J$24,9,FALSE))*VLOOKUP($A73,FY14Majors!$A$3:$S$23,MATCH(K$28,FY14Majors!$A$2:$S$2,0),FALSE)</f>
        <v>0</v>
      </c>
      <c r="L73" s="457">
        <f>+GPpcntMjr*(VLOOKUP($A73,FY14Revenue!$A$4:$J$24,9,FALSE))*VLOOKUP($A73,FY14Majors!$A$3:$S$23,MATCH(L$28,FY14Majors!$A$2:$S$2,0),FALSE)</f>
        <v>0</v>
      </c>
      <c r="M73" s="457">
        <f>+GPpcntMjr*(VLOOKUP($A73,FY14Revenue!$A$4:$J$24,9,FALSE))*VLOOKUP($A73,FY14Majors!$A$3:$S$23,MATCH(M$28,FY14Majors!$A$2:$S$2,0),FALSE)</f>
        <v>713825.45796618157</v>
      </c>
      <c r="N73" s="457">
        <f>+GPpcntMjr*(VLOOKUP($A73,FY14Revenue!$A$4:$J$24,9,FALSE))*VLOOKUP($A73,FY14Majors!$A$3:$S$23,MATCH(N$28,FY14Majors!$A$2:$S$2,0),FALSE)</f>
        <v>0</v>
      </c>
      <c r="O73" s="457">
        <f>+GPpcntMjr*(VLOOKUP($A73,FY14Revenue!$A$4:$J$24,9,FALSE))*VLOOKUP($A73,FY14Majors!$A$3:$S$23,MATCH(O$28,FY14Majors!$A$2:$S$2,0),FALSE)</f>
        <v>0</v>
      </c>
      <c r="P73" s="457">
        <f>+GPpcntMjr*(VLOOKUP($A73,FY14Revenue!$A$4:$J$24,9,FALSE))*VLOOKUP($A73,FY14Majors!$A$3:$S$23,MATCH(P$28,FY14Majors!$A$2:$S$2,0),FALSE)</f>
        <v>0</v>
      </c>
      <c r="Q73" s="457">
        <f>+GPpcntMjr*(VLOOKUP($A73,FY14Revenue!$A$4:$J$24,9,FALSE))*VLOOKUP($A73,FY14Majors!$A$3:$S$23,MATCH(Q$28,FY14Majors!$A$2:$S$2,0),FALSE)</f>
        <v>0</v>
      </c>
      <c r="R73" s="457">
        <f>+GPpcntMjr*(VLOOKUP($A73,FY14Revenue!$A$4:$J$24,9,FALSE))*VLOOKUP($A73,FY14Majors!$A$3:$S$23,MATCH(R$28,FY14Majors!$A$2:$S$2,0),FALSE)</f>
        <v>0</v>
      </c>
      <c r="S73" s="457">
        <f>+GPpcntMjr*(VLOOKUP($A73,FY14Revenue!$A$4:$J$24,9,FALSE))*VLOOKUP($A73,FY14Majors!$A$3:$S$23,MATCH(S$28,FY14Majors!$A$2:$S$2,0),FALSE)</f>
        <v>0</v>
      </c>
      <c r="T73" s="457">
        <f t="shared" si="25"/>
        <v>713825.45796618157</v>
      </c>
    </row>
    <row r="74" spans="1:20" ht="20.100000000000001" customHeight="1">
      <c r="B74" s="459" t="s">
        <v>17</v>
      </c>
      <c r="C74" s="460">
        <f t="shared" ref="C74:S74" si="26">SUM(C53:C73)</f>
        <v>4821127.8124831514</v>
      </c>
      <c r="D74" s="460">
        <f t="shared" si="26"/>
        <v>77735431.564414144</v>
      </c>
      <c r="E74" s="460">
        <f t="shared" si="26"/>
        <v>13066804.925220786</v>
      </c>
      <c r="F74" s="460">
        <f t="shared" si="26"/>
        <v>4516475.1839376306</v>
      </c>
      <c r="G74" s="460">
        <f t="shared" si="26"/>
        <v>16039073.882533047</v>
      </c>
      <c r="H74" s="460">
        <f t="shared" si="26"/>
        <v>6150950.9448331315</v>
      </c>
      <c r="I74" s="460">
        <f t="shared" si="26"/>
        <v>1446216.3911789684</v>
      </c>
      <c r="J74" s="460">
        <f t="shared" si="26"/>
        <v>9149736.5293627996</v>
      </c>
      <c r="K74" s="460">
        <f t="shared" si="26"/>
        <v>3180915.6692140233</v>
      </c>
      <c r="L74" s="460">
        <f t="shared" si="26"/>
        <v>2855243.100502552</v>
      </c>
      <c r="M74" s="460">
        <f t="shared" si="26"/>
        <v>4732085.2624412775</v>
      </c>
      <c r="N74" s="460">
        <f t="shared" si="26"/>
        <v>14226350.207056815</v>
      </c>
      <c r="O74" s="460">
        <f t="shared" si="26"/>
        <v>2712742.4896265469</v>
      </c>
      <c r="P74" s="460">
        <f t="shared" si="26"/>
        <v>5392478.8232367178</v>
      </c>
      <c r="Q74" s="460">
        <f t="shared" si="26"/>
        <v>3982665.9296980118</v>
      </c>
      <c r="R74" s="460">
        <f t="shared" si="26"/>
        <v>130554.46234578229</v>
      </c>
      <c r="S74" s="460">
        <f t="shared" si="26"/>
        <v>1854086.1749481694</v>
      </c>
      <c r="T74" s="460">
        <f t="shared" si="25"/>
        <v>171992939.35303351</v>
      </c>
    </row>
  </sheetData>
  <mergeCells count="5">
    <mergeCell ref="A2:A3"/>
    <mergeCell ref="B4:T4"/>
    <mergeCell ref="B27:T27"/>
    <mergeCell ref="B51:T51"/>
    <mergeCell ref="B1:F1"/>
  </mergeCells>
  <printOptions horizontalCentered="1"/>
  <pageMargins left="0.2" right="0.2" top="0.2" bottom="0.2" header="0.1" footer="0.1"/>
  <pageSetup paperSize="5" scale="58" orientation="landscape" r:id="rId1"/>
  <headerFooter>
    <oddFooter xml:space="preserve">&amp;L&amp;9&amp;Z&amp;F, &amp;A
Revised/Printed &amp;D, &amp;T&amp;R&amp;9Page &amp;P
</oddFooter>
  </headerFooter>
  <rowBreaks count="2" manualBreakCount="2">
    <brk id="26" max="16383" man="1"/>
    <brk id="50" max="16383" man="1"/>
  </rowBreaks>
  <colBreaks count="1" manualBreakCount="1">
    <brk id="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topLeftCell="A2" workbookViewId="0">
      <selection activeCell="D25" sqref="D25"/>
    </sheetView>
  </sheetViews>
  <sheetFormatPr defaultColWidth="8.85546875" defaultRowHeight="12.75"/>
  <cols>
    <col min="1" max="1" width="8.85546875" style="5"/>
    <col min="2" max="2" width="47.7109375" style="5" customWidth="1"/>
    <col min="3" max="3" width="15.42578125" style="5" customWidth="1"/>
    <col min="4" max="7" width="18.42578125" style="5" customWidth="1"/>
    <col min="8" max="8" width="18.140625" style="5" customWidth="1"/>
    <col min="9" max="9" width="18.7109375" style="5" customWidth="1"/>
    <col min="10" max="10" width="25.85546875" style="5" customWidth="1"/>
    <col min="11" max="11" width="22.28515625" style="5" customWidth="1"/>
    <col min="12" max="16384" width="8.85546875" style="5"/>
  </cols>
  <sheetData>
    <row r="1" spans="1:9" ht="28.5" customHeight="1">
      <c r="B1" s="648" t="s">
        <v>196</v>
      </c>
      <c r="C1" s="648"/>
      <c r="D1" s="648"/>
      <c r="E1" s="648"/>
      <c r="F1" s="648"/>
      <c r="G1" s="648"/>
      <c r="H1" s="648"/>
      <c r="I1" s="648"/>
    </row>
    <row r="2" spans="1:9" ht="28.5" customHeight="1">
      <c r="B2" s="399"/>
      <c r="C2" s="399"/>
      <c r="D2" s="649" t="s">
        <v>215</v>
      </c>
      <c r="E2" s="649"/>
      <c r="F2" s="399"/>
      <c r="G2" s="399"/>
      <c r="H2" s="399"/>
      <c r="I2" s="399"/>
    </row>
    <row r="3" spans="1:9" s="348" customFormat="1" ht="25.5">
      <c r="A3" s="343" t="s">
        <v>197</v>
      </c>
      <c r="B3" s="343" t="s">
        <v>103</v>
      </c>
      <c r="C3" s="343" t="s">
        <v>124</v>
      </c>
      <c r="D3" s="344" t="s">
        <v>198</v>
      </c>
      <c r="E3" s="345" t="s">
        <v>200</v>
      </c>
      <c r="F3" s="346" t="s">
        <v>170</v>
      </c>
      <c r="G3" s="346" t="s">
        <v>176</v>
      </c>
      <c r="H3" s="346" t="s">
        <v>171</v>
      </c>
      <c r="I3" s="347" t="s">
        <v>81</v>
      </c>
    </row>
    <row r="4" spans="1:9" s="368" customFormat="1" ht="20.100000000000001" customHeight="1">
      <c r="A4" s="363" t="s">
        <v>128</v>
      </c>
      <c r="B4" s="363" t="s">
        <v>21</v>
      </c>
      <c r="C4" s="364">
        <v>25930.161111026515</v>
      </c>
      <c r="D4" s="365">
        <v>381477479.03378862</v>
      </c>
      <c r="E4" s="365">
        <f t="shared" ref="E4:E24" si="0">+D4*E$30</f>
        <v>379532612.3105942</v>
      </c>
      <c r="F4" s="366">
        <f>+FY13Revenue!D3+951000</f>
        <v>13463000</v>
      </c>
      <c r="G4" s="366">
        <v>3000000</v>
      </c>
      <c r="H4" s="366">
        <f>+E4-F4-G4</f>
        <v>363069612.3105942</v>
      </c>
      <c r="I4" s="367">
        <f>+H4*0.7</f>
        <v>254148728.61741593</v>
      </c>
    </row>
    <row r="5" spans="1:9" s="368" customFormat="1" ht="20.100000000000001" customHeight="1">
      <c r="A5" s="369" t="s">
        <v>129</v>
      </c>
      <c r="B5" s="369" t="s">
        <v>35</v>
      </c>
      <c r="C5" s="370">
        <v>3024.0944444286511</v>
      </c>
      <c r="D5" s="371">
        <v>20094226.844945472</v>
      </c>
      <c r="E5" s="371">
        <f t="shared" si="0"/>
        <v>19991781.496879216</v>
      </c>
      <c r="F5" s="372"/>
      <c r="G5" s="372"/>
      <c r="H5" s="372">
        <f t="shared" ref="H5:H24" si="1">+E5-F5-G5</f>
        <v>19991781.496879216</v>
      </c>
      <c r="I5" s="373">
        <f t="shared" ref="I5:I25" si="2">+H5*0.7</f>
        <v>13994247.047815451</v>
      </c>
    </row>
    <row r="6" spans="1:9" s="368" customFormat="1" ht="20.100000000000001" customHeight="1">
      <c r="A6" s="369" t="s">
        <v>140</v>
      </c>
      <c r="B6" s="369" t="s">
        <v>36</v>
      </c>
      <c r="C6" s="370">
        <v>165.52777777681015</v>
      </c>
      <c r="D6" s="371">
        <v>1731801.1950045382</v>
      </c>
      <c r="E6" s="371">
        <f t="shared" si="0"/>
        <v>1722972.043349548</v>
      </c>
      <c r="F6" s="372"/>
      <c r="G6" s="372"/>
      <c r="H6" s="372">
        <f t="shared" si="1"/>
        <v>1722972.043349548</v>
      </c>
      <c r="I6" s="373">
        <f t="shared" si="2"/>
        <v>1206080.4303446836</v>
      </c>
    </row>
    <row r="7" spans="1:9" s="368" customFormat="1" ht="20.100000000000001" customHeight="1">
      <c r="A7" s="369" t="s">
        <v>130</v>
      </c>
      <c r="B7" s="369" t="s">
        <v>37</v>
      </c>
      <c r="C7" s="370">
        <v>1095.5499999859621</v>
      </c>
      <c r="D7" s="371">
        <v>10921800.931666872</v>
      </c>
      <c r="E7" s="371">
        <f t="shared" si="0"/>
        <v>10866118.883952932</v>
      </c>
      <c r="F7" s="372"/>
      <c r="G7" s="372"/>
      <c r="H7" s="372">
        <f t="shared" si="1"/>
        <v>10866118.883952932</v>
      </c>
      <c r="I7" s="373">
        <f t="shared" si="2"/>
        <v>7606283.2187670525</v>
      </c>
    </row>
    <row r="8" spans="1:9" s="368" customFormat="1" ht="20.100000000000001" customHeight="1">
      <c r="A8" s="369" t="s">
        <v>131</v>
      </c>
      <c r="B8" s="369" t="s">
        <v>141</v>
      </c>
      <c r="C8" s="370">
        <v>537.47777777416957</v>
      </c>
      <c r="D8" s="371">
        <v>5010788.1300326725</v>
      </c>
      <c r="E8" s="371">
        <f t="shared" si="0"/>
        <v>4985241.8904073061</v>
      </c>
      <c r="F8" s="372"/>
      <c r="G8" s="372"/>
      <c r="H8" s="372">
        <f t="shared" si="1"/>
        <v>4985241.8904073061</v>
      </c>
      <c r="I8" s="373">
        <f t="shared" si="2"/>
        <v>3489669.323285114</v>
      </c>
    </row>
    <row r="9" spans="1:9" s="368" customFormat="1" ht="20.100000000000001" customHeight="1">
      <c r="A9" s="369" t="s">
        <v>132</v>
      </c>
      <c r="B9" s="369" t="s">
        <v>206</v>
      </c>
      <c r="C9" s="370">
        <v>689.25555555423216</v>
      </c>
      <c r="D9" s="371">
        <v>6486802.4817872448</v>
      </c>
      <c r="E9" s="371">
        <f t="shared" si="0"/>
        <v>6453731.1552210823</v>
      </c>
      <c r="F9" s="372"/>
      <c r="G9" s="372"/>
      <c r="H9" s="372">
        <f t="shared" si="1"/>
        <v>6453731.1552210823</v>
      </c>
      <c r="I9" s="373">
        <f t="shared" si="2"/>
        <v>4517611.8086547572</v>
      </c>
    </row>
    <row r="10" spans="1:9" s="368" customFormat="1" ht="20.100000000000001" customHeight="1">
      <c r="A10" s="369" t="s">
        <v>134</v>
      </c>
      <c r="B10" s="369" t="s">
        <v>40</v>
      </c>
      <c r="C10" s="370">
        <v>0.73333333332999995</v>
      </c>
      <c r="D10" s="371">
        <v>11487.962399999999</v>
      </c>
      <c r="E10" s="371">
        <f t="shared" si="0"/>
        <v>11429.393920818324</v>
      </c>
      <c r="F10" s="372"/>
      <c r="G10" s="372"/>
      <c r="H10" s="372">
        <f t="shared" si="1"/>
        <v>11429.393920818324</v>
      </c>
      <c r="I10" s="373">
        <f t="shared" si="2"/>
        <v>8000.5757445728259</v>
      </c>
    </row>
    <row r="11" spans="1:9" s="368" customFormat="1" ht="20.100000000000001" customHeight="1">
      <c r="A11" s="369" t="s">
        <v>135</v>
      </c>
      <c r="B11" s="369" t="s">
        <v>70</v>
      </c>
      <c r="C11" s="370">
        <v>313.93333333182136</v>
      </c>
      <c r="D11" s="371">
        <v>3716917.8330061277</v>
      </c>
      <c r="E11" s="371">
        <f t="shared" si="0"/>
        <v>3697968.0647928878</v>
      </c>
      <c r="F11" s="372"/>
      <c r="G11" s="372"/>
      <c r="H11" s="372">
        <f t="shared" si="1"/>
        <v>3697968.0647928878</v>
      </c>
      <c r="I11" s="373">
        <f t="shared" si="2"/>
        <v>2588577.6453550211</v>
      </c>
    </row>
    <row r="12" spans="1:9" s="368" customFormat="1" ht="20.100000000000001" customHeight="1">
      <c r="A12" s="369" t="s">
        <v>136</v>
      </c>
      <c r="B12" s="369" t="s">
        <v>144</v>
      </c>
      <c r="C12" s="370">
        <v>328.39444443991999</v>
      </c>
      <c r="D12" s="371">
        <v>3381851.2090237131</v>
      </c>
      <c r="E12" s="371">
        <f t="shared" si="0"/>
        <v>3364609.6934934021</v>
      </c>
      <c r="F12" s="372"/>
      <c r="G12" s="372"/>
      <c r="H12" s="372">
        <f t="shared" si="1"/>
        <v>3364609.6934934021</v>
      </c>
      <c r="I12" s="373">
        <f t="shared" si="2"/>
        <v>2355226.7854453814</v>
      </c>
    </row>
    <row r="13" spans="1:9" s="368" customFormat="1" ht="20.100000000000001" customHeight="1">
      <c r="A13" s="369" t="s">
        <v>137</v>
      </c>
      <c r="B13" s="369" t="s">
        <v>49</v>
      </c>
      <c r="C13" s="370">
        <v>184.07777777518012</v>
      </c>
      <c r="D13" s="371">
        <v>1712285.5783461332</v>
      </c>
      <c r="E13" s="371">
        <f t="shared" si="0"/>
        <v>1703555.9221410912</v>
      </c>
      <c r="F13" s="372"/>
      <c r="G13" s="372"/>
      <c r="H13" s="372">
        <f t="shared" si="1"/>
        <v>1703555.9221410912</v>
      </c>
      <c r="I13" s="373">
        <f t="shared" si="2"/>
        <v>1192489.1454987638</v>
      </c>
    </row>
    <row r="14" spans="1:9" s="368" customFormat="1" ht="20.100000000000001" customHeight="1">
      <c r="A14" s="395" t="s">
        <v>138</v>
      </c>
      <c r="B14" s="369" t="s">
        <v>207</v>
      </c>
      <c r="C14" s="370">
        <v>388.45555555622002</v>
      </c>
      <c r="D14" s="371">
        <v>5841677.6070981482</v>
      </c>
      <c r="E14" s="371">
        <f t="shared" si="0"/>
        <v>5811895.2870134842</v>
      </c>
      <c r="F14" s="372"/>
      <c r="G14" s="372"/>
      <c r="H14" s="372">
        <f t="shared" si="1"/>
        <v>5811895.2870134842</v>
      </c>
      <c r="I14" s="373">
        <f t="shared" si="2"/>
        <v>4068326.7009094385</v>
      </c>
    </row>
    <row r="15" spans="1:9" s="368" customFormat="1" ht="20.100000000000001" customHeight="1">
      <c r="A15" s="369" t="s">
        <v>147</v>
      </c>
      <c r="B15" s="369" t="s">
        <v>208</v>
      </c>
      <c r="C15" s="370">
        <v>32.711111110769998</v>
      </c>
      <c r="D15" s="371">
        <v>715751.50419999997</v>
      </c>
      <c r="E15" s="371">
        <f t="shared" si="0"/>
        <v>712102.4256590578</v>
      </c>
      <c r="F15" s="372"/>
      <c r="G15" s="372"/>
      <c r="H15" s="372">
        <f t="shared" si="1"/>
        <v>712102.4256590578</v>
      </c>
      <c r="I15" s="373">
        <f t="shared" si="2"/>
        <v>498471.69796134043</v>
      </c>
    </row>
    <row r="16" spans="1:9" s="368" customFormat="1" ht="20.100000000000001" customHeight="1">
      <c r="A16" s="369" t="s">
        <v>148</v>
      </c>
      <c r="B16" s="369" t="s">
        <v>39</v>
      </c>
      <c r="C16" s="370">
        <v>414.57777776813083</v>
      </c>
      <c r="D16" s="371">
        <v>6397703.5165762268</v>
      </c>
      <c r="E16" s="371">
        <f t="shared" si="0"/>
        <v>6365086.438614592</v>
      </c>
      <c r="F16" s="372"/>
      <c r="G16" s="372"/>
      <c r="H16" s="372">
        <f t="shared" si="1"/>
        <v>6365086.438614592</v>
      </c>
      <c r="I16" s="373">
        <f t="shared" si="2"/>
        <v>4455560.5070302142</v>
      </c>
    </row>
    <row r="17" spans="1:11" s="368" customFormat="1" ht="20.100000000000001" customHeight="1">
      <c r="A17" s="369" t="s">
        <v>149</v>
      </c>
      <c r="B17" s="369" t="s">
        <v>38</v>
      </c>
      <c r="C17" s="370">
        <v>354.54444444159003</v>
      </c>
      <c r="D17" s="371">
        <v>6109249.1686264761</v>
      </c>
      <c r="E17" s="371">
        <f t="shared" si="0"/>
        <v>6078102.7024134276</v>
      </c>
      <c r="F17" s="372"/>
      <c r="G17" s="372"/>
      <c r="H17" s="372">
        <f t="shared" si="1"/>
        <v>6078102.7024134276</v>
      </c>
      <c r="I17" s="373">
        <f t="shared" si="2"/>
        <v>4254671.8916893993</v>
      </c>
    </row>
    <row r="18" spans="1:11" s="368" customFormat="1" ht="20.100000000000001" customHeight="1">
      <c r="A18" s="369" t="s">
        <v>150</v>
      </c>
      <c r="B18" s="369" t="s">
        <v>31</v>
      </c>
      <c r="C18" s="370">
        <v>766.01111110863962</v>
      </c>
      <c r="D18" s="371">
        <v>14921155.775875781</v>
      </c>
      <c r="E18" s="371">
        <f t="shared" si="0"/>
        <v>14845084.026073925</v>
      </c>
      <c r="F18" s="372"/>
      <c r="G18" s="372"/>
      <c r="H18" s="372">
        <f t="shared" si="1"/>
        <v>14845084.026073925</v>
      </c>
      <c r="I18" s="373">
        <f t="shared" si="2"/>
        <v>10391558.818251748</v>
      </c>
    </row>
    <row r="19" spans="1:11" s="368" customFormat="1" ht="20.100000000000001" customHeight="1">
      <c r="A19" s="369" t="s">
        <v>151</v>
      </c>
      <c r="B19" s="369" t="s">
        <v>209</v>
      </c>
      <c r="C19" s="370">
        <v>80.144444444070032</v>
      </c>
      <c r="D19" s="371">
        <v>1711866.5747380597</v>
      </c>
      <c r="E19" s="371">
        <f t="shared" si="0"/>
        <v>1703139.0547172462</v>
      </c>
      <c r="F19" s="372"/>
      <c r="G19" s="372"/>
      <c r="H19" s="372">
        <f t="shared" si="1"/>
        <v>1703139.0547172462</v>
      </c>
      <c r="I19" s="373">
        <f t="shared" si="2"/>
        <v>1192197.3383020724</v>
      </c>
    </row>
    <row r="20" spans="1:11" s="368" customFormat="1" ht="20.100000000000001" customHeight="1">
      <c r="A20" s="369" t="s">
        <v>153</v>
      </c>
      <c r="B20" s="369" t="s">
        <v>210</v>
      </c>
      <c r="C20" s="370">
        <v>78.322222222150018</v>
      </c>
      <c r="D20" s="371">
        <v>1472962.7590642904</v>
      </c>
      <c r="E20" s="371">
        <f t="shared" si="0"/>
        <v>1465453.2298992542</v>
      </c>
      <c r="F20" s="372"/>
      <c r="G20" s="372"/>
      <c r="H20" s="372">
        <f t="shared" si="1"/>
        <v>1465453.2298992542</v>
      </c>
      <c r="I20" s="373">
        <f t="shared" si="2"/>
        <v>1025817.2609294779</v>
      </c>
    </row>
    <row r="21" spans="1:11" s="368" customFormat="1" ht="20.100000000000001" customHeight="1">
      <c r="A21" s="369" t="s">
        <v>155</v>
      </c>
      <c r="B21" s="369" t="s">
        <v>42</v>
      </c>
      <c r="C21" s="370">
        <v>605.36666666587826</v>
      </c>
      <c r="D21" s="371">
        <v>9287310.9862794857</v>
      </c>
      <c r="E21" s="371">
        <f t="shared" si="0"/>
        <v>9239961.9733549953</v>
      </c>
      <c r="F21" s="372"/>
      <c r="G21" s="372"/>
      <c r="H21" s="372">
        <f t="shared" si="1"/>
        <v>9239961.9733549953</v>
      </c>
      <c r="I21" s="373">
        <f t="shared" si="2"/>
        <v>6467973.3813484963</v>
      </c>
    </row>
    <row r="22" spans="1:11" s="368" customFormat="1" ht="20.100000000000001" customHeight="1">
      <c r="A22" s="369" t="s">
        <v>162</v>
      </c>
      <c r="B22" s="369" t="s">
        <v>76</v>
      </c>
      <c r="C22" s="370">
        <v>1349.6166666610561</v>
      </c>
      <c r="D22" s="371">
        <v>18219946.555823285</v>
      </c>
      <c r="E22" s="371">
        <f t="shared" si="0"/>
        <v>18127056.753142003</v>
      </c>
      <c r="F22" s="372"/>
      <c r="G22" s="372"/>
      <c r="H22" s="372">
        <f t="shared" si="1"/>
        <v>18127056.753142003</v>
      </c>
      <c r="I22" s="373">
        <f t="shared" si="2"/>
        <v>12688939.727199402</v>
      </c>
    </row>
    <row r="23" spans="1:11" s="368" customFormat="1" ht="20.100000000000001" customHeight="1">
      <c r="A23" s="369" t="s">
        <v>156</v>
      </c>
      <c r="B23" s="369" t="s">
        <v>77</v>
      </c>
      <c r="C23" s="370">
        <v>542.09999998995977</v>
      </c>
      <c r="D23" s="371">
        <v>7212233.6912057381</v>
      </c>
      <c r="E23" s="371">
        <f t="shared" si="0"/>
        <v>7175463.9365626723</v>
      </c>
      <c r="F23" s="372"/>
      <c r="G23" s="372"/>
      <c r="H23" s="372">
        <f t="shared" si="1"/>
        <v>7175463.9365626723</v>
      </c>
      <c r="I23" s="373">
        <f t="shared" si="2"/>
        <v>5022824.7555938698</v>
      </c>
    </row>
    <row r="24" spans="1:11" s="368" customFormat="1" ht="20.100000000000001" customHeight="1">
      <c r="A24" s="369" t="s">
        <v>163</v>
      </c>
      <c r="B24" s="369" t="s">
        <v>212</v>
      </c>
      <c r="C24" s="370">
        <v>94.188888887819999</v>
      </c>
      <c r="D24" s="371">
        <v>1281220.2963707014</v>
      </c>
      <c r="E24" s="371">
        <f t="shared" si="0"/>
        <v>1274688.3177967528</v>
      </c>
      <c r="F24" s="372"/>
      <c r="G24" s="372"/>
      <c r="H24" s="372">
        <f t="shared" si="1"/>
        <v>1274688.3177967528</v>
      </c>
      <c r="I24" s="373">
        <f t="shared" si="2"/>
        <v>892281.82245772693</v>
      </c>
      <c r="J24" s="610" t="s">
        <v>335</v>
      </c>
    </row>
    <row r="25" spans="1:11" s="368" customFormat="1" ht="20.100000000000001" customHeight="1">
      <c r="A25" s="375"/>
      <c r="B25" s="375" t="s">
        <v>106</v>
      </c>
      <c r="C25" s="376">
        <f>SUM(C4:C24)</f>
        <v>36975.244444282871</v>
      </c>
      <c r="D25" s="614">
        <f>SUM(D4:D24)</f>
        <v>507716519.63585967</v>
      </c>
      <c r="E25" s="377">
        <f>SUM(E4:E24)</f>
        <v>505128054.99999994</v>
      </c>
      <c r="F25" s="377">
        <f>SUM(F4:F24)</f>
        <v>13463000</v>
      </c>
      <c r="G25" s="377">
        <v>3000000</v>
      </c>
      <c r="H25" s="377">
        <f>SUM(H4:H24)</f>
        <v>488665054.99999994</v>
      </c>
      <c r="I25" s="378">
        <f t="shared" si="2"/>
        <v>342065538.49999994</v>
      </c>
      <c r="J25" s="606">
        <f>+H25-I25</f>
        <v>146599516.5</v>
      </c>
      <c r="K25" s="593"/>
    </row>
    <row r="26" spans="1:11" s="368" customFormat="1" ht="20.100000000000001" customHeight="1">
      <c r="A26" s="379"/>
      <c r="B26" s="379" t="s">
        <v>107</v>
      </c>
      <c r="C26" s="380">
        <v>3949.0444444005075</v>
      </c>
      <c r="D26" s="365">
        <v>47879260.052859426</v>
      </c>
      <c r="E26" s="365">
        <f>+D26*E31</f>
        <v>47862279</v>
      </c>
      <c r="F26" s="381">
        <f>+FY13Revenue!D25+551000</f>
        <v>2695600</v>
      </c>
      <c r="G26" s="382"/>
      <c r="H26" s="382">
        <f>+E26-F26-G26</f>
        <v>45166679</v>
      </c>
      <c r="I26" s="383"/>
    </row>
    <row r="27" spans="1:11" s="368" customFormat="1" ht="20.100000000000001" customHeight="1">
      <c r="A27" s="384"/>
      <c r="B27" s="384" t="s">
        <v>108</v>
      </c>
      <c r="C27" s="385">
        <v>3763.9111110779418</v>
      </c>
      <c r="D27" s="374">
        <v>43613096.585805409</v>
      </c>
      <c r="E27" s="374">
        <f>+D27*E32</f>
        <v>43540934</v>
      </c>
      <c r="F27" s="386">
        <f>+FY13Revenue!D26+464000</f>
        <v>2467400</v>
      </c>
      <c r="G27" s="387"/>
      <c r="H27" s="387">
        <f>+E27-F27-G27</f>
        <v>41073534</v>
      </c>
      <c r="I27" s="388"/>
    </row>
    <row r="28" spans="1:11" s="368" customFormat="1" ht="20.100000000000001" customHeight="1">
      <c r="A28" s="389"/>
      <c r="B28" s="389" t="s">
        <v>109</v>
      </c>
      <c r="C28" s="390">
        <f t="shared" ref="C28:H28" si="3">SUM(C25:C27)</f>
        <v>44688.199999761317</v>
      </c>
      <c r="D28" s="391">
        <f t="shared" si="3"/>
        <v>599208876.27452445</v>
      </c>
      <c r="E28" s="391">
        <f t="shared" si="3"/>
        <v>596531268</v>
      </c>
      <c r="F28" s="391">
        <f t="shared" si="3"/>
        <v>18626000</v>
      </c>
      <c r="G28" s="377">
        <f t="shared" si="3"/>
        <v>3000000</v>
      </c>
      <c r="H28" s="391">
        <f t="shared" si="3"/>
        <v>574905268</v>
      </c>
      <c r="I28" s="392"/>
    </row>
    <row r="29" spans="1:11">
      <c r="B29" s="351"/>
      <c r="C29" s="352"/>
      <c r="D29" s="353"/>
      <c r="E29" s="354"/>
      <c r="F29" s="354"/>
      <c r="G29" s="355"/>
      <c r="H29" s="354"/>
    </row>
    <row r="30" spans="1:11">
      <c r="B30" s="351"/>
      <c r="C30" s="356"/>
      <c r="D30" s="354">
        <v>505128055</v>
      </c>
      <c r="E30" s="357">
        <f>+D30/D25</f>
        <v>0.99490175218699572</v>
      </c>
      <c r="F30" s="357">
        <f>+F26/E26</f>
        <v>5.6319925760325788E-2</v>
      </c>
      <c r="G30" s="355"/>
      <c r="H30" s="354">
        <f>+E28-F28-G28</f>
        <v>574905268</v>
      </c>
    </row>
    <row r="31" spans="1:11">
      <c r="B31" s="351"/>
      <c r="C31" s="356"/>
      <c r="D31" s="354">
        <v>47862279</v>
      </c>
      <c r="E31" s="357">
        <f>+D31/D26</f>
        <v>0.99964533593792637</v>
      </c>
      <c r="F31" s="357">
        <f>+F27/E27</f>
        <v>5.6668513358027646E-2</v>
      </c>
      <c r="G31" s="355"/>
      <c r="H31" s="354"/>
    </row>
    <row r="32" spans="1:11">
      <c r="C32" s="358"/>
      <c r="D32" s="359">
        <v>43540934</v>
      </c>
      <c r="E32" s="357">
        <f>+D32/D27</f>
        <v>0.99834539183285387</v>
      </c>
      <c r="F32" s="350"/>
      <c r="H32" s="360"/>
      <c r="I32" s="349"/>
    </row>
    <row r="33" spans="3:9">
      <c r="C33" s="358"/>
      <c r="D33" s="361">
        <f>SUM(D30:D32)</f>
        <v>596531268</v>
      </c>
      <c r="E33" s="357"/>
      <c r="I33" s="350"/>
    </row>
    <row r="34" spans="3:9">
      <c r="C34" s="358"/>
      <c r="D34" s="361"/>
      <c r="E34" s="361">
        <v>0.99619634503017329</v>
      </c>
      <c r="H34" s="350"/>
      <c r="I34" s="350"/>
    </row>
    <row r="35" spans="3:9">
      <c r="H35" s="350" t="e">
        <f>+H25-#REF!</f>
        <v>#REF!</v>
      </c>
      <c r="I35" s="465" t="e">
        <f>+H35*0.7</f>
        <v>#REF!</v>
      </c>
    </row>
    <row r="36" spans="3:9">
      <c r="H36" s="350" t="e">
        <f>+H26-#REF!</f>
        <v>#REF!</v>
      </c>
    </row>
    <row r="37" spans="3:9">
      <c r="H37" s="350" t="e">
        <f>+H27-#REF!</f>
        <v>#REF!</v>
      </c>
    </row>
    <row r="38" spans="3:9">
      <c r="H38" s="362" t="e">
        <f>SUM(H35:H37)</f>
        <v>#REF!</v>
      </c>
    </row>
    <row r="39" spans="3:9">
      <c r="H39" s="360"/>
    </row>
  </sheetData>
  <mergeCells count="2">
    <mergeCell ref="B1:I1"/>
    <mergeCell ref="D2:E2"/>
  </mergeCells>
  <pageMargins left="0.7" right="0.7" top="0.75" bottom="0.75" header="0.3" footer="0.3"/>
  <pageSetup scale="68" orientation="landscape" horizontalDpi="4294967293"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workbookViewId="0"/>
  </sheetViews>
  <sheetFormatPr defaultColWidth="8.85546875" defaultRowHeight="18" customHeight="1"/>
  <cols>
    <col min="1" max="1" width="8.85546875" style="502"/>
    <col min="2" max="2" width="33.85546875" style="502" customWidth="1"/>
    <col min="3" max="19" width="25" style="502" customWidth="1"/>
    <col min="20" max="30" width="13.7109375" style="502" customWidth="1"/>
    <col min="31" max="16384" width="8.85546875" style="502"/>
  </cols>
  <sheetData>
    <row r="1" spans="1:21" ht="60" customHeight="1">
      <c r="B1" s="529" t="s">
        <v>267</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27.75" hidden="1" customHeight="1">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row>
    <row r="3" spans="1:21" s="507" customFormat="1" ht="20.100000000000001" customHeight="1">
      <c r="A3" s="505" t="s">
        <v>128</v>
      </c>
      <c r="B3" s="505" t="s">
        <v>21</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0.100000000000001" customHeight="1">
      <c r="A4" s="508" t="s">
        <v>129</v>
      </c>
      <c r="B4" s="508" t="s">
        <v>35</v>
      </c>
      <c r="C4" s="509">
        <f t="shared" ref="C4:T15"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0.100000000000001" customHeight="1">
      <c r="A5" s="508" t="s">
        <v>140</v>
      </c>
      <c r="B5" s="508" t="s">
        <v>36</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0.100000000000001" customHeight="1">
      <c r="A6" s="508" t="s">
        <v>130</v>
      </c>
      <c r="B6" s="508" t="s">
        <v>37</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0.100000000000001" customHeight="1">
      <c r="A7" s="508" t="s">
        <v>131</v>
      </c>
      <c r="B7" s="508"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0.100000000000001" customHeight="1">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0.100000000000001" customHeight="1">
      <c r="A9" s="508" t="s">
        <v>134</v>
      </c>
      <c r="B9" s="508" t="s">
        <v>40</v>
      </c>
      <c r="C9" s="509">
        <f t="shared" si="1"/>
        <v>0</v>
      </c>
      <c r="D9" s="509">
        <f t="shared" si="1"/>
        <v>0</v>
      </c>
      <c r="E9" s="509">
        <f t="shared" si="1"/>
        <v>0</v>
      </c>
      <c r="F9" s="509">
        <f t="shared" si="1"/>
        <v>0</v>
      </c>
      <c r="G9" s="509">
        <f t="shared" si="1"/>
        <v>0</v>
      </c>
      <c r="H9" s="509">
        <f t="shared" si="1"/>
        <v>0</v>
      </c>
      <c r="I9" s="509">
        <f t="shared" si="1"/>
        <v>1</v>
      </c>
      <c r="J9" s="509">
        <f t="shared" si="1"/>
        <v>0</v>
      </c>
      <c r="K9" s="509">
        <f t="shared" si="1"/>
        <v>0</v>
      </c>
      <c r="L9" s="509">
        <f t="shared" si="1"/>
        <v>0</v>
      </c>
      <c r="M9" s="509">
        <f t="shared" si="1"/>
        <v>0</v>
      </c>
      <c r="N9" s="509">
        <f t="shared" si="1"/>
        <v>0</v>
      </c>
      <c r="O9" s="509">
        <f t="shared" si="1"/>
        <v>0</v>
      </c>
      <c r="P9" s="509">
        <f t="shared" si="1"/>
        <v>0</v>
      </c>
      <c r="Q9" s="509">
        <f t="shared" si="1"/>
        <v>0</v>
      </c>
      <c r="R9" s="509">
        <f t="shared" si="1"/>
        <v>0</v>
      </c>
      <c r="S9" s="509">
        <f t="shared" si="1"/>
        <v>0</v>
      </c>
      <c r="T9" s="509">
        <f t="shared" si="1"/>
        <v>1</v>
      </c>
    </row>
    <row r="10" spans="1:21" s="507" customFormat="1" ht="20.100000000000001" customHeight="1">
      <c r="A10" s="508" t="s">
        <v>135</v>
      </c>
      <c r="B10" s="508"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0.100000000000001" customHeight="1">
      <c r="A11" s="508" t="s">
        <v>136</v>
      </c>
      <c r="B11" s="508"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0.100000000000001" customHeight="1">
      <c r="A12" s="508" t="s">
        <v>137</v>
      </c>
      <c r="B12" s="508"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0.100000000000001" customHeight="1">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0.100000000000001" customHeight="1">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0.100000000000001" customHeight="1">
      <c r="A15" s="508" t="s">
        <v>148</v>
      </c>
      <c r="B15" s="508"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0.100000000000001" customHeight="1">
      <c r="A16" s="508" t="s">
        <v>149</v>
      </c>
      <c r="B16" s="508" t="s">
        <v>38</v>
      </c>
      <c r="C16" s="509">
        <f t="shared" ref="C16:T16" si="2">+C39/$T39</f>
        <v>0</v>
      </c>
      <c r="D16" s="509">
        <f t="shared" si="2"/>
        <v>5.6657223796033988E-3</v>
      </c>
      <c r="E16" s="509">
        <f t="shared" si="2"/>
        <v>0.97733711048158634</v>
      </c>
      <c r="F16" s="509">
        <f t="shared" si="2"/>
        <v>0</v>
      </c>
      <c r="G16" s="509">
        <f t="shared" si="2"/>
        <v>0</v>
      </c>
      <c r="H16" s="509">
        <f t="shared" si="2"/>
        <v>4.2492917847025491E-3</v>
      </c>
      <c r="I16" s="509">
        <f t="shared" si="2"/>
        <v>0</v>
      </c>
      <c r="J16" s="509">
        <f t="shared" si="2"/>
        <v>1.4164305949008497E-3</v>
      </c>
      <c r="K16" s="509">
        <f t="shared" si="2"/>
        <v>0</v>
      </c>
      <c r="L16" s="509">
        <f t="shared" si="2"/>
        <v>0</v>
      </c>
      <c r="M16" s="509">
        <f t="shared" si="2"/>
        <v>0</v>
      </c>
      <c r="N16" s="509">
        <f t="shared" si="2"/>
        <v>0</v>
      </c>
      <c r="O16" s="509">
        <f t="shared" si="2"/>
        <v>0</v>
      </c>
      <c r="P16" s="509">
        <f t="shared" si="2"/>
        <v>0</v>
      </c>
      <c r="Q16" s="509">
        <f t="shared" si="2"/>
        <v>0</v>
      </c>
      <c r="R16" s="509">
        <f t="shared" si="2"/>
        <v>0</v>
      </c>
      <c r="S16" s="509">
        <f t="shared" si="2"/>
        <v>1.1331444759206798E-2</v>
      </c>
      <c r="T16" s="509">
        <f t="shared" si="2"/>
        <v>1</v>
      </c>
    </row>
    <row r="17" spans="1:21" s="507" customFormat="1" ht="20.100000000000001" customHeight="1">
      <c r="A17" s="508" t="s">
        <v>150</v>
      </c>
      <c r="B17" s="508" t="s">
        <v>31</v>
      </c>
      <c r="C17" s="509">
        <f>+C40/$T40</f>
        <v>0</v>
      </c>
      <c r="D17" s="509">
        <f>+D40/$T40</f>
        <v>3.0712530712530711E-3</v>
      </c>
      <c r="E17" s="509">
        <f>+E40/$T40</f>
        <v>6.7567567567567571E-3</v>
      </c>
      <c r="F17" s="509">
        <f t="shared" ref="F17:T17" si="3">+F40/$T40</f>
        <v>0</v>
      </c>
      <c r="G17" s="509">
        <f t="shared" si="3"/>
        <v>2.4570024570024569E-3</v>
      </c>
      <c r="H17" s="509">
        <f t="shared" si="3"/>
        <v>1.2285012285012285E-3</v>
      </c>
      <c r="I17" s="509">
        <f t="shared" si="3"/>
        <v>1.8427518427518428E-3</v>
      </c>
      <c r="J17" s="509">
        <f t="shared" si="3"/>
        <v>0.98095823095823087</v>
      </c>
      <c r="K17" s="509">
        <f t="shared" si="3"/>
        <v>3.6855036855036856E-3</v>
      </c>
      <c r="L17" s="509">
        <f t="shared" si="3"/>
        <v>0</v>
      </c>
      <c r="M17" s="509">
        <f t="shared" si="3"/>
        <v>0</v>
      </c>
      <c r="N17" s="509">
        <f t="shared" si="3"/>
        <v>0</v>
      </c>
      <c r="O17" s="509">
        <f t="shared" si="3"/>
        <v>0</v>
      </c>
      <c r="P17" s="509">
        <f t="shared" si="3"/>
        <v>0</v>
      </c>
      <c r="Q17" s="509">
        <f t="shared" si="3"/>
        <v>0</v>
      </c>
      <c r="R17" s="509">
        <f t="shared" si="3"/>
        <v>0</v>
      </c>
      <c r="S17" s="509">
        <f t="shared" si="3"/>
        <v>0</v>
      </c>
      <c r="T17" s="509">
        <f t="shared" si="3"/>
        <v>1</v>
      </c>
    </row>
    <row r="18" spans="1:21" s="507" customFormat="1" ht="20.100000000000001" customHeight="1">
      <c r="A18" s="508" t="s">
        <v>151</v>
      </c>
      <c r="B18" s="508" t="s">
        <v>209</v>
      </c>
      <c r="C18" s="509">
        <f t="shared" ref="C18:T23" si="4">+C41/$T41</f>
        <v>0</v>
      </c>
      <c r="D18" s="509">
        <f t="shared" si="4"/>
        <v>0</v>
      </c>
      <c r="E18" s="509">
        <f t="shared" si="4"/>
        <v>0</v>
      </c>
      <c r="F18" s="509">
        <f t="shared" si="4"/>
        <v>0</v>
      </c>
      <c r="G18" s="509">
        <f t="shared" si="4"/>
        <v>0</v>
      </c>
      <c r="H18" s="509">
        <f t="shared" si="4"/>
        <v>0</v>
      </c>
      <c r="I18" s="509">
        <f t="shared" si="4"/>
        <v>0</v>
      </c>
      <c r="J18" s="509">
        <f t="shared" si="4"/>
        <v>1</v>
      </c>
      <c r="K18" s="509">
        <f t="shared" si="4"/>
        <v>0</v>
      </c>
      <c r="L18" s="509">
        <f t="shared" si="4"/>
        <v>0</v>
      </c>
      <c r="M18" s="509">
        <f t="shared" si="4"/>
        <v>0</v>
      </c>
      <c r="N18" s="509">
        <f t="shared" si="4"/>
        <v>0</v>
      </c>
      <c r="O18" s="509">
        <f t="shared" si="4"/>
        <v>0</v>
      </c>
      <c r="P18" s="509">
        <f t="shared" si="4"/>
        <v>0</v>
      </c>
      <c r="Q18" s="509">
        <f t="shared" si="4"/>
        <v>0</v>
      </c>
      <c r="R18" s="509">
        <f t="shared" si="4"/>
        <v>0</v>
      </c>
      <c r="S18" s="509">
        <f t="shared" si="4"/>
        <v>0</v>
      </c>
      <c r="T18" s="509">
        <f t="shared" si="4"/>
        <v>1</v>
      </c>
      <c r="U18" s="510"/>
    </row>
    <row r="19" spans="1:21" s="507" customFormat="1" ht="20.100000000000001" customHeight="1">
      <c r="A19" s="508" t="s">
        <v>153</v>
      </c>
      <c r="B19" s="508" t="s">
        <v>210</v>
      </c>
      <c r="C19" s="509">
        <f t="shared" si="4"/>
        <v>0</v>
      </c>
      <c r="D19" s="509">
        <f t="shared" si="4"/>
        <v>0</v>
      </c>
      <c r="E19" s="509">
        <f t="shared" si="4"/>
        <v>0</v>
      </c>
      <c r="F19" s="509">
        <f t="shared" si="4"/>
        <v>0</v>
      </c>
      <c r="G19" s="509">
        <f t="shared" si="4"/>
        <v>0</v>
      </c>
      <c r="H19" s="509">
        <f t="shared" si="4"/>
        <v>0</v>
      </c>
      <c r="I19" s="509">
        <f t="shared" si="4"/>
        <v>0</v>
      </c>
      <c r="J19" s="509">
        <f t="shared" si="4"/>
        <v>0</v>
      </c>
      <c r="K19" s="509">
        <f t="shared" si="4"/>
        <v>0</v>
      </c>
      <c r="L19" s="509">
        <f t="shared" si="4"/>
        <v>0</v>
      </c>
      <c r="M19" s="509">
        <f t="shared" si="4"/>
        <v>0</v>
      </c>
      <c r="N19" s="509">
        <f t="shared" si="4"/>
        <v>0</v>
      </c>
      <c r="O19" s="509">
        <f t="shared" si="4"/>
        <v>0.99090909090909085</v>
      </c>
      <c r="P19" s="509">
        <f t="shared" si="4"/>
        <v>0</v>
      </c>
      <c r="Q19" s="509">
        <f t="shared" si="4"/>
        <v>9.0909090909090887E-3</v>
      </c>
      <c r="R19" s="509">
        <f t="shared" si="4"/>
        <v>0</v>
      </c>
      <c r="S19" s="509">
        <f t="shared" si="4"/>
        <v>0</v>
      </c>
      <c r="T19" s="509">
        <f t="shared" si="4"/>
        <v>1</v>
      </c>
    </row>
    <row r="20" spans="1:21" s="507" customFormat="1" ht="20.100000000000001" customHeight="1">
      <c r="A20" s="508" t="s">
        <v>155</v>
      </c>
      <c r="B20" s="508" t="s">
        <v>42</v>
      </c>
      <c r="C20" s="509">
        <f t="shared" si="4"/>
        <v>0</v>
      </c>
      <c r="D20" s="509">
        <f t="shared" si="4"/>
        <v>0</v>
      </c>
      <c r="E20" s="509">
        <f t="shared" si="4"/>
        <v>0</v>
      </c>
      <c r="F20" s="509">
        <f t="shared" si="4"/>
        <v>0</v>
      </c>
      <c r="G20" s="509">
        <f t="shared" si="4"/>
        <v>0</v>
      </c>
      <c r="H20" s="509">
        <f t="shared" si="4"/>
        <v>0</v>
      </c>
      <c r="I20" s="509">
        <f t="shared" si="4"/>
        <v>0</v>
      </c>
      <c r="J20" s="509">
        <f t="shared" si="4"/>
        <v>0</v>
      </c>
      <c r="K20" s="509">
        <f t="shared" si="4"/>
        <v>0</v>
      </c>
      <c r="L20" s="509">
        <f t="shared" si="4"/>
        <v>0</v>
      </c>
      <c r="M20" s="509">
        <f t="shared" si="4"/>
        <v>0</v>
      </c>
      <c r="N20" s="509">
        <f t="shared" si="4"/>
        <v>0</v>
      </c>
      <c r="O20" s="509">
        <f t="shared" si="4"/>
        <v>0</v>
      </c>
      <c r="P20" s="509">
        <f t="shared" si="4"/>
        <v>1</v>
      </c>
      <c r="Q20" s="509">
        <f t="shared" si="4"/>
        <v>0</v>
      </c>
      <c r="R20" s="509">
        <f t="shared" si="4"/>
        <v>0</v>
      </c>
      <c r="S20" s="509">
        <f t="shared" si="4"/>
        <v>0</v>
      </c>
      <c r="T20" s="509">
        <f t="shared" si="4"/>
        <v>1</v>
      </c>
    </row>
    <row r="21" spans="1:21" s="507" customFormat="1" ht="20.100000000000001" customHeight="1">
      <c r="A21" s="508" t="s">
        <v>162</v>
      </c>
      <c r="B21" s="508" t="s">
        <v>76</v>
      </c>
      <c r="C21" s="509">
        <f t="shared" si="4"/>
        <v>0</v>
      </c>
      <c r="D21" s="509">
        <f t="shared" si="4"/>
        <v>0</v>
      </c>
      <c r="E21" s="509">
        <f t="shared" si="4"/>
        <v>0</v>
      </c>
      <c r="F21" s="509">
        <f t="shared" si="4"/>
        <v>0</v>
      </c>
      <c r="G21" s="509">
        <f t="shared" si="4"/>
        <v>2.5553662691652473E-3</v>
      </c>
      <c r="H21" s="509">
        <f t="shared" si="4"/>
        <v>0</v>
      </c>
      <c r="I21" s="509">
        <f t="shared" si="4"/>
        <v>0</v>
      </c>
      <c r="J21" s="509">
        <f t="shared" si="4"/>
        <v>0</v>
      </c>
      <c r="K21" s="509">
        <f t="shared" si="4"/>
        <v>0</v>
      </c>
      <c r="L21" s="509">
        <f t="shared" si="4"/>
        <v>0</v>
      </c>
      <c r="M21" s="509">
        <f t="shared" si="4"/>
        <v>0</v>
      </c>
      <c r="N21" s="509">
        <f t="shared" si="4"/>
        <v>0.97742759795570699</v>
      </c>
      <c r="O21" s="509">
        <f t="shared" si="4"/>
        <v>0</v>
      </c>
      <c r="P21" s="509">
        <f t="shared" si="4"/>
        <v>0</v>
      </c>
      <c r="Q21" s="509">
        <f t="shared" si="4"/>
        <v>1.235093696763203E-2</v>
      </c>
      <c r="R21" s="509">
        <f t="shared" si="4"/>
        <v>0</v>
      </c>
      <c r="S21" s="509">
        <f t="shared" si="4"/>
        <v>7.6660988074957418E-3</v>
      </c>
      <c r="T21" s="509">
        <f t="shared" si="4"/>
        <v>1</v>
      </c>
    </row>
    <row r="22" spans="1:21" s="507" customFormat="1" ht="20.100000000000001" customHeight="1">
      <c r="A22" s="508" t="s">
        <v>156</v>
      </c>
      <c r="B22" s="508" t="s">
        <v>77</v>
      </c>
      <c r="C22" s="509">
        <f t="shared" si="4"/>
        <v>0</v>
      </c>
      <c r="D22" s="509">
        <f t="shared" si="4"/>
        <v>0</v>
      </c>
      <c r="E22" s="509">
        <f t="shared" si="4"/>
        <v>0</v>
      </c>
      <c r="F22" s="509">
        <f t="shared" si="4"/>
        <v>0</v>
      </c>
      <c r="G22" s="509">
        <f t="shared" si="4"/>
        <v>0</v>
      </c>
      <c r="H22" s="509">
        <f t="shared" si="4"/>
        <v>0</v>
      </c>
      <c r="I22" s="509">
        <f t="shared" si="4"/>
        <v>0</v>
      </c>
      <c r="J22" s="509">
        <f t="shared" si="4"/>
        <v>0</v>
      </c>
      <c r="K22" s="509">
        <f t="shared" si="4"/>
        <v>0</v>
      </c>
      <c r="L22" s="509">
        <f t="shared" si="4"/>
        <v>0</v>
      </c>
      <c r="M22" s="509">
        <f t="shared" si="4"/>
        <v>1</v>
      </c>
      <c r="N22" s="509">
        <f t="shared" si="4"/>
        <v>0</v>
      </c>
      <c r="O22" s="509">
        <f t="shared" si="4"/>
        <v>0</v>
      </c>
      <c r="P22" s="509">
        <f t="shared" si="4"/>
        <v>0</v>
      </c>
      <c r="Q22" s="509">
        <f t="shared" si="4"/>
        <v>0</v>
      </c>
      <c r="R22" s="509">
        <f t="shared" si="4"/>
        <v>0</v>
      </c>
      <c r="S22" s="509">
        <f t="shared" si="4"/>
        <v>0</v>
      </c>
      <c r="T22" s="509">
        <f t="shared" si="4"/>
        <v>1</v>
      </c>
    </row>
    <row r="23" spans="1:21" s="507" customFormat="1" ht="20.100000000000001" customHeight="1">
      <c r="A23" s="511" t="s">
        <v>163</v>
      </c>
      <c r="B23" s="511" t="s">
        <v>164</v>
      </c>
      <c r="C23" s="512">
        <f t="shared" si="4"/>
        <v>0</v>
      </c>
      <c r="D23" s="512">
        <f t="shared" si="4"/>
        <v>0</v>
      </c>
      <c r="E23" s="512">
        <f t="shared" si="4"/>
        <v>0</v>
      </c>
      <c r="F23" s="512">
        <f t="shared" si="4"/>
        <v>0</v>
      </c>
      <c r="G23" s="512">
        <f t="shared" si="4"/>
        <v>0</v>
      </c>
      <c r="H23" s="512">
        <f t="shared" si="4"/>
        <v>0</v>
      </c>
      <c r="I23" s="512">
        <f t="shared" si="4"/>
        <v>0</v>
      </c>
      <c r="J23" s="512">
        <f t="shared" si="4"/>
        <v>0</v>
      </c>
      <c r="K23" s="512">
        <f t="shared" si="4"/>
        <v>0</v>
      </c>
      <c r="L23" s="512">
        <f t="shared" si="4"/>
        <v>0</v>
      </c>
      <c r="M23" s="512">
        <f t="shared" si="4"/>
        <v>1</v>
      </c>
      <c r="N23" s="512">
        <f t="shared" si="4"/>
        <v>0</v>
      </c>
      <c r="O23" s="512">
        <f t="shared" si="4"/>
        <v>0</v>
      </c>
      <c r="P23" s="512">
        <f t="shared" si="4"/>
        <v>0</v>
      </c>
      <c r="Q23" s="512">
        <f t="shared" si="4"/>
        <v>0</v>
      </c>
      <c r="R23" s="512">
        <f t="shared" si="4"/>
        <v>0</v>
      </c>
      <c r="S23" s="512">
        <f t="shared" si="4"/>
        <v>0</v>
      </c>
      <c r="T23" s="512">
        <f t="shared" si="4"/>
        <v>1</v>
      </c>
    </row>
    <row r="24" spans="1:21" ht="21" customHeight="1"/>
    <row r="25" spans="1:21" ht="51" customHeight="1">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0.100000000000001" customHeight="1">
      <c r="A26" s="505" t="s">
        <v>128</v>
      </c>
      <c r="B26" s="505" t="s">
        <v>21</v>
      </c>
      <c r="C26" s="515">
        <v>134</v>
      </c>
      <c r="D26" s="516">
        <v>6064</v>
      </c>
      <c r="E26" s="516">
        <v>815</v>
      </c>
      <c r="F26" s="516">
        <v>79</v>
      </c>
      <c r="G26" s="516">
        <v>844</v>
      </c>
      <c r="H26" s="516">
        <v>282</v>
      </c>
      <c r="I26" s="516">
        <v>107</v>
      </c>
      <c r="J26" s="516"/>
      <c r="K26" s="516"/>
      <c r="L26" s="516">
        <v>43</v>
      </c>
      <c r="M26" s="516"/>
      <c r="N26" s="516">
        <v>152</v>
      </c>
      <c r="O26" s="516">
        <v>134</v>
      </c>
      <c r="P26" s="516"/>
      <c r="Q26" s="516">
        <v>104</v>
      </c>
      <c r="R26" s="516">
        <v>11</v>
      </c>
      <c r="S26" s="516">
        <v>50</v>
      </c>
      <c r="T26" s="517">
        <f t="shared" ref="T26:T46" si="5">SUM(C26:S26)</f>
        <v>8819</v>
      </c>
    </row>
    <row r="27" spans="1:21" s="507" customFormat="1" ht="20.100000000000001" customHeight="1">
      <c r="A27" s="508" t="s">
        <v>129</v>
      </c>
      <c r="B27" s="508" t="s">
        <v>240</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5"/>
        <v>3045.6666666666652</v>
      </c>
    </row>
    <row r="28" spans="1:21" s="507" customFormat="1" ht="20.100000000000001" customHeight="1">
      <c r="A28" s="508" t="s">
        <v>140</v>
      </c>
      <c r="B28" s="508" t="s">
        <v>241</v>
      </c>
      <c r="C28" s="519"/>
      <c r="D28" s="518"/>
      <c r="E28" s="519"/>
      <c r="F28" s="518"/>
      <c r="G28" s="519"/>
      <c r="H28" s="518"/>
      <c r="I28" s="518"/>
      <c r="J28" s="519"/>
      <c r="K28" s="518"/>
      <c r="L28" s="518">
        <v>34.666666666666664</v>
      </c>
      <c r="M28" s="518"/>
      <c r="N28" s="518">
        <v>97.333333333333329</v>
      </c>
      <c r="O28" s="518"/>
      <c r="P28" s="518"/>
      <c r="Q28" s="518"/>
      <c r="R28" s="519"/>
      <c r="S28" s="518"/>
      <c r="T28" s="520">
        <f t="shared" si="5"/>
        <v>132</v>
      </c>
    </row>
    <row r="29" spans="1:21" s="507" customFormat="1" ht="20.100000000000001" customHeight="1">
      <c r="A29" s="508" t="s">
        <v>130</v>
      </c>
      <c r="B29" s="508" t="s">
        <v>242</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5"/>
        <v>1080.666666666667</v>
      </c>
    </row>
    <row r="30" spans="1:21" s="507" customFormat="1" ht="20.100000000000001" customHeight="1">
      <c r="A30" s="508" t="s">
        <v>131</v>
      </c>
      <c r="B30" s="508" t="s">
        <v>243</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5"/>
        <v>487.99999999999994</v>
      </c>
    </row>
    <row r="31" spans="1:21" s="507" customFormat="1" ht="20.100000000000001" customHeight="1">
      <c r="A31" s="508" t="s">
        <v>132</v>
      </c>
      <c r="B31" s="508" t="s">
        <v>250</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0.100000000000001" customHeight="1">
      <c r="A32" s="508" t="s">
        <v>134</v>
      </c>
      <c r="B32" s="508" t="s">
        <v>40</v>
      </c>
      <c r="C32" s="518"/>
      <c r="D32" s="518"/>
      <c r="E32" s="518"/>
      <c r="F32" s="518"/>
      <c r="G32" s="518"/>
      <c r="H32" s="518"/>
      <c r="I32" s="519">
        <v>1.6666666666666667</v>
      </c>
      <c r="J32" s="519"/>
      <c r="K32" s="518"/>
      <c r="L32" s="518"/>
      <c r="M32" s="519"/>
      <c r="N32" s="518"/>
      <c r="O32" s="519"/>
      <c r="P32" s="519"/>
      <c r="Q32" s="518"/>
      <c r="R32" s="519"/>
      <c r="S32" s="519"/>
      <c r="T32" s="520">
        <f t="shared" si="5"/>
        <v>1.6666666666666667</v>
      </c>
    </row>
    <row r="33" spans="1:20" s="507" customFormat="1" ht="20.100000000000001" customHeight="1">
      <c r="A33" s="508" t="s">
        <v>135</v>
      </c>
      <c r="B33" s="508"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5"/>
        <v>244.33333333333334</v>
      </c>
    </row>
    <row r="34" spans="1:20" s="507" customFormat="1" ht="20.100000000000001" customHeight="1">
      <c r="A34" s="508" t="s">
        <v>136</v>
      </c>
      <c r="B34" s="508" t="s">
        <v>244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5"/>
        <v>317.66666666666674</v>
      </c>
    </row>
    <row r="35" spans="1:20" s="507" customFormat="1" ht="20.100000000000001" customHeight="1">
      <c r="A35" s="508" t="s">
        <v>137</v>
      </c>
      <c r="B35" s="508"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5"/>
        <v>219.33333333333331</v>
      </c>
    </row>
    <row r="36" spans="1:20" s="507" customFormat="1" ht="20.100000000000001" customHeight="1">
      <c r="A36" s="508" t="s">
        <v>145</v>
      </c>
      <c r="B36" s="508" t="s">
        <v>251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0.100000000000001" customHeight="1">
      <c r="A37" s="508" t="s">
        <v>147</v>
      </c>
      <c r="B37" s="508" t="s">
        <v>252</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0.100000000000001" customHeight="1">
      <c r="A38" s="508" t="s">
        <v>148</v>
      </c>
      <c r="B38" s="508"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5"/>
        <v>399.66666666666669</v>
      </c>
    </row>
    <row r="39" spans="1:20" s="507" customFormat="1" ht="20.100000000000001" customHeight="1">
      <c r="A39" s="508" t="s">
        <v>149</v>
      </c>
      <c r="B39" s="508"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5"/>
        <v>235.33333333333334</v>
      </c>
    </row>
    <row r="40" spans="1:20" s="507" customFormat="1" ht="20.100000000000001" customHeight="1">
      <c r="A40" s="508" t="s">
        <v>150</v>
      </c>
      <c r="B40" s="508" t="s">
        <v>98</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5"/>
        <v>542.66666666666663</v>
      </c>
    </row>
    <row r="41" spans="1:20" s="507" customFormat="1" ht="20.100000000000001" customHeight="1">
      <c r="A41" s="508" t="s">
        <v>151</v>
      </c>
      <c r="B41" s="508" t="s">
        <v>253</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0.100000000000001" customHeight="1">
      <c r="A42" s="508" t="s">
        <v>153</v>
      </c>
      <c r="B42" s="508" t="s">
        <v>245</v>
      </c>
      <c r="C42" s="518"/>
      <c r="D42" s="518"/>
      <c r="E42" s="518"/>
      <c r="F42" s="518"/>
      <c r="G42" s="518"/>
      <c r="H42" s="518"/>
      <c r="I42" s="518"/>
      <c r="J42" s="518"/>
      <c r="K42" s="518"/>
      <c r="L42" s="518"/>
      <c r="M42" s="519"/>
      <c r="N42" s="518"/>
      <c r="O42" s="519">
        <v>72.666666666666671</v>
      </c>
      <c r="P42" s="518"/>
      <c r="Q42" s="518">
        <v>0.66666666666666663</v>
      </c>
      <c r="R42" s="519"/>
      <c r="S42" s="518"/>
      <c r="T42" s="520">
        <f t="shared" si="5"/>
        <v>73.333333333333343</v>
      </c>
    </row>
    <row r="43" spans="1:20" s="507" customFormat="1" ht="20.100000000000001" customHeight="1">
      <c r="A43" s="508" t="s">
        <v>155</v>
      </c>
      <c r="B43" s="508" t="s">
        <v>246</v>
      </c>
      <c r="C43" s="518"/>
      <c r="D43" s="518"/>
      <c r="E43" s="518"/>
      <c r="F43" s="518"/>
      <c r="G43" s="519"/>
      <c r="H43" s="518"/>
      <c r="I43" s="518"/>
      <c r="J43" s="518"/>
      <c r="K43" s="518"/>
      <c r="L43" s="518"/>
      <c r="M43" s="519"/>
      <c r="N43" s="518"/>
      <c r="O43" s="518"/>
      <c r="P43" s="519">
        <v>364.66666666666669</v>
      </c>
      <c r="Q43" s="519"/>
      <c r="R43" s="519"/>
      <c r="S43" s="518"/>
      <c r="T43" s="520">
        <f t="shared" si="5"/>
        <v>364.66666666666669</v>
      </c>
    </row>
    <row r="44" spans="1:20" s="507" customFormat="1" ht="20.100000000000001" customHeight="1">
      <c r="A44" s="508" t="s">
        <v>162</v>
      </c>
      <c r="B44" s="508" t="s">
        <v>247</v>
      </c>
      <c r="C44" s="519"/>
      <c r="D44" s="518"/>
      <c r="E44" s="519"/>
      <c r="F44" s="518"/>
      <c r="G44" s="519">
        <v>2</v>
      </c>
      <c r="H44" s="519"/>
      <c r="I44" s="519"/>
      <c r="J44" s="519"/>
      <c r="K44" s="518"/>
      <c r="L44" s="519"/>
      <c r="M44" s="519"/>
      <c r="N44" s="519">
        <v>765</v>
      </c>
      <c r="O44" s="519"/>
      <c r="P44" s="519"/>
      <c r="Q44" s="519">
        <v>9.6666666666666679</v>
      </c>
      <c r="R44" s="519"/>
      <c r="S44" s="519">
        <v>6</v>
      </c>
      <c r="T44" s="520">
        <f t="shared" si="5"/>
        <v>782.66666666666663</v>
      </c>
    </row>
    <row r="45" spans="1:20" s="507" customFormat="1" ht="20.100000000000001" customHeight="1">
      <c r="A45" s="508" t="s">
        <v>156</v>
      </c>
      <c r="B45" s="508" t="s">
        <v>248</v>
      </c>
      <c r="C45" s="519"/>
      <c r="D45" s="519"/>
      <c r="E45" s="519"/>
      <c r="F45" s="519"/>
      <c r="G45" s="518"/>
      <c r="H45" s="519"/>
      <c r="I45" s="519"/>
      <c r="J45" s="519"/>
      <c r="K45" s="519"/>
      <c r="L45" s="519"/>
      <c r="M45" s="519">
        <v>243</v>
      </c>
      <c r="N45" s="518"/>
      <c r="O45" s="519"/>
      <c r="P45" s="519"/>
      <c r="Q45" s="519"/>
      <c r="R45" s="519"/>
      <c r="S45" s="519"/>
      <c r="T45" s="520">
        <f t="shared" si="5"/>
        <v>243</v>
      </c>
    </row>
    <row r="46" spans="1:20" s="507" customFormat="1" ht="20.100000000000001" customHeight="1">
      <c r="A46" s="511" t="s">
        <v>163</v>
      </c>
      <c r="B46" s="511" t="s">
        <v>249</v>
      </c>
      <c r="C46" s="521"/>
      <c r="D46" s="522"/>
      <c r="E46" s="521"/>
      <c r="F46" s="521"/>
      <c r="G46" s="522"/>
      <c r="H46" s="521"/>
      <c r="I46" s="521"/>
      <c r="J46" s="521"/>
      <c r="K46" s="521"/>
      <c r="L46" s="521"/>
      <c r="M46" s="521">
        <v>76.333333333333329</v>
      </c>
      <c r="N46" s="522"/>
      <c r="O46" s="521"/>
      <c r="P46" s="521"/>
      <c r="Q46" s="521"/>
      <c r="R46" s="521"/>
      <c r="S46" s="521"/>
      <c r="T46" s="523">
        <f t="shared" si="5"/>
        <v>76.333333333333329</v>
      </c>
    </row>
    <row r="47" spans="1:20" ht="20.100000000000001" customHeight="1">
      <c r="C47" s="524">
        <f t="shared" ref="C47:T47" si="6">SUM(C26:C46)</f>
        <v>514.66666666666674</v>
      </c>
      <c r="D47" s="525">
        <f t="shared" si="6"/>
        <v>8139.9999999999991</v>
      </c>
      <c r="E47" s="524">
        <f t="shared" si="6"/>
        <v>1125</v>
      </c>
      <c r="F47" s="524">
        <f t="shared" si="6"/>
        <v>678.66666666666663</v>
      </c>
      <c r="G47" s="525">
        <f t="shared" si="6"/>
        <v>1968.6666666666665</v>
      </c>
      <c r="H47" s="524">
        <f t="shared" si="6"/>
        <v>778.33333333333326</v>
      </c>
      <c r="I47" s="524">
        <f t="shared" si="6"/>
        <v>157.66666666666666</v>
      </c>
      <c r="J47" s="524">
        <f t="shared" si="6"/>
        <v>607</v>
      </c>
      <c r="K47" s="524">
        <f t="shared" si="6"/>
        <v>367</v>
      </c>
      <c r="L47" s="524">
        <f t="shared" si="6"/>
        <v>329.33333333333331</v>
      </c>
      <c r="M47" s="524">
        <f t="shared" si="6"/>
        <v>319.33333333333331</v>
      </c>
      <c r="N47" s="525">
        <f t="shared" si="6"/>
        <v>1496.6666666666667</v>
      </c>
      <c r="O47" s="524">
        <f t="shared" si="6"/>
        <v>270</v>
      </c>
      <c r="P47" s="524">
        <f t="shared" si="6"/>
        <v>424</v>
      </c>
      <c r="Q47" s="524">
        <f t="shared" si="6"/>
        <v>598.33333333333337</v>
      </c>
      <c r="R47" s="524">
        <f t="shared" si="6"/>
        <v>11.666666666666666</v>
      </c>
      <c r="S47" s="524">
        <f t="shared" si="6"/>
        <v>355</v>
      </c>
      <c r="T47" s="526">
        <f t="shared" si="6"/>
        <v>18141.333333333332</v>
      </c>
    </row>
    <row r="49" spans="1:22" ht="45" customHeight="1">
      <c r="A49" s="650" t="s">
        <v>255</v>
      </c>
      <c r="B49" s="651"/>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1:22" ht="18" customHeight="1">
      <c r="A50" s="505" t="s">
        <v>128</v>
      </c>
      <c r="B50" s="505" t="s">
        <v>21</v>
      </c>
      <c r="C50" s="515" t="e">
        <f>+C26-#REF!</f>
        <v>#REF!</v>
      </c>
      <c r="D50" s="516" t="e">
        <f>+D26-#REF!</f>
        <v>#REF!</v>
      </c>
      <c r="E50" s="516" t="e">
        <f>+E26-#REF!</f>
        <v>#REF!</v>
      </c>
      <c r="F50" s="516" t="e">
        <f>+F26-#REF!</f>
        <v>#REF!</v>
      </c>
      <c r="G50" s="516" t="e">
        <f>+G26-#REF!</f>
        <v>#REF!</v>
      </c>
      <c r="H50" s="516" t="e">
        <f>+H26-#REF!</f>
        <v>#REF!</v>
      </c>
      <c r="I50" s="516" t="e">
        <f>+I26-#REF!</f>
        <v>#REF!</v>
      </c>
      <c r="J50" s="516" t="e">
        <f>+J26-#REF!</f>
        <v>#REF!</v>
      </c>
      <c r="K50" s="516" t="e">
        <f>+K26-#REF!</f>
        <v>#REF!</v>
      </c>
      <c r="L50" s="516" t="e">
        <f>+L26-#REF!</f>
        <v>#REF!</v>
      </c>
      <c r="M50" s="516" t="e">
        <f>+M26-#REF!</f>
        <v>#REF!</v>
      </c>
      <c r="N50" s="516" t="e">
        <f>+N26-#REF!</f>
        <v>#REF!</v>
      </c>
      <c r="O50" s="516" t="e">
        <f>+O26-#REF!</f>
        <v>#REF!</v>
      </c>
      <c r="P50" s="516" t="e">
        <f>+P26-#REF!</f>
        <v>#REF!</v>
      </c>
      <c r="Q50" s="516" t="e">
        <f>+Q26-#REF!</f>
        <v>#REF!</v>
      </c>
      <c r="R50" s="516" t="e">
        <f>+R26-#REF!</f>
        <v>#REF!</v>
      </c>
      <c r="S50" s="516" t="e">
        <f>+S26-#REF!</f>
        <v>#REF!</v>
      </c>
      <c r="T50" s="517" t="e">
        <f t="shared" ref="T50:T70" si="7">SUM(C50:S50)</f>
        <v>#REF!</v>
      </c>
    </row>
    <row r="51" spans="1:22" ht="18" customHeight="1">
      <c r="A51" s="508" t="s">
        <v>129</v>
      </c>
      <c r="B51" s="508" t="s">
        <v>240</v>
      </c>
      <c r="C51" s="518" t="e">
        <f>+C27-#REF!</f>
        <v>#REF!</v>
      </c>
      <c r="D51" s="518" t="e">
        <f>+D27-#REF!</f>
        <v>#REF!</v>
      </c>
      <c r="E51" s="518" t="e">
        <f>+E27-#REF!</f>
        <v>#REF!</v>
      </c>
      <c r="F51" s="518" t="e">
        <f>+F27-#REF!</f>
        <v>#REF!</v>
      </c>
      <c r="G51" s="518" t="e">
        <f>+G27-#REF!</f>
        <v>#REF!</v>
      </c>
      <c r="H51" s="518" t="e">
        <f>+H27-#REF!</f>
        <v>#REF!</v>
      </c>
      <c r="I51" s="518" t="e">
        <f>+I27-#REF!</f>
        <v>#REF!</v>
      </c>
      <c r="J51" s="518" t="e">
        <f>+J27-#REF!</f>
        <v>#REF!</v>
      </c>
      <c r="K51" s="518" t="e">
        <f>+K27-#REF!</f>
        <v>#REF!</v>
      </c>
      <c r="L51" s="518" t="e">
        <f>+L27-#REF!</f>
        <v>#REF!</v>
      </c>
      <c r="M51" s="518" t="e">
        <f>+M27-#REF!</f>
        <v>#REF!</v>
      </c>
      <c r="N51" s="518" t="e">
        <f>+N27-#REF!</f>
        <v>#REF!</v>
      </c>
      <c r="O51" s="518" t="e">
        <f>+O27-#REF!</f>
        <v>#REF!</v>
      </c>
      <c r="P51" s="518" t="e">
        <f>+P27-#REF!</f>
        <v>#REF!</v>
      </c>
      <c r="Q51" s="518" t="e">
        <f>+Q27-#REF!</f>
        <v>#REF!</v>
      </c>
      <c r="R51" s="519" t="e">
        <f>+R27-#REF!</f>
        <v>#REF!</v>
      </c>
      <c r="S51" s="518" t="e">
        <f>+S27-#REF!</f>
        <v>#REF!</v>
      </c>
      <c r="T51" s="520" t="e">
        <f t="shared" si="7"/>
        <v>#REF!</v>
      </c>
    </row>
    <row r="52" spans="1:22" ht="18" customHeight="1">
      <c r="A52" s="508" t="s">
        <v>140</v>
      </c>
      <c r="B52" s="508" t="s">
        <v>241</v>
      </c>
      <c r="C52" s="519" t="e">
        <f>+C28-#REF!</f>
        <v>#REF!</v>
      </c>
      <c r="D52" s="518" t="e">
        <f>+D28-#REF!</f>
        <v>#REF!</v>
      </c>
      <c r="E52" s="519" t="e">
        <f>+E28-#REF!</f>
        <v>#REF!</v>
      </c>
      <c r="F52" s="518" t="e">
        <f>+F28-#REF!</f>
        <v>#REF!</v>
      </c>
      <c r="G52" s="519" t="e">
        <f>+G28-#REF!</f>
        <v>#REF!</v>
      </c>
      <c r="H52" s="518" t="e">
        <f>+H28-#REF!</f>
        <v>#REF!</v>
      </c>
      <c r="I52" s="518" t="e">
        <f>+I28-#REF!</f>
        <v>#REF!</v>
      </c>
      <c r="J52" s="519" t="e">
        <f>+J28-#REF!</f>
        <v>#REF!</v>
      </c>
      <c r="K52" s="518" t="e">
        <f>+K28-#REF!</f>
        <v>#REF!</v>
      </c>
      <c r="L52" s="518" t="e">
        <f>+L28-#REF!</f>
        <v>#REF!</v>
      </c>
      <c r="M52" s="518" t="e">
        <f>+M28-#REF!</f>
        <v>#REF!</v>
      </c>
      <c r="N52" s="518" t="e">
        <f>+N28-#REF!</f>
        <v>#REF!</v>
      </c>
      <c r="O52" s="518" t="e">
        <f>+O28-#REF!</f>
        <v>#REF!</v>
      </c>
      <c r="P52" s="518" t="e">
        <f>+P28-#REF!</f>
        <v>#REF!</v>
      </c>
      <c r="Q52" s="518" t="e">
        <f>+Q28-#REF!</f>
        <v>#REF!</v>
      </c>
      <c r="R52" s="519" t="e">
        <f>+R28-#REF!</f>
        <v>#REF!</v>
      </c>
      <c r="S52" s="518" t="e">
        <f>+S28-#REF!</f>
        <v>#REF!</v>
      </c>
      <c r="T52" s="520" t="e">
        <f t="shared" si="7"/>
        <v>#REF!</v>
      </c>
    </row>
    <row r="53" spans="1:22" ht="18" customHeight="1">
      <c r="A53" s="508" t="s">
        <v>130</v>
      </c>
      <c r="B53" s="508" t="s">
        <v>242</v>
      </c>
      <c r="C53" s="518" t="e">
        <f>+C29-#REF!</f>
        <v>#REF!</v>
      </c>
      <c r="D53" s="518" t="e">
        <f>+D29-#REF!</f>
        <v>#REF!</v>
      </c>
      <c r="E53" s="518" t="e">
        <f>+E29-#REF!</f>
        <v>#REF!</v>
      </c>
      <c r="F53" s="518" t="e">
        <f>+F29-#REF!</f>
        <v>#REF!</v>
      </c>
      <c r="G53" s="518" t="e">
        <f>+G29-#REF!</f>
        <v>#REF!</v>
      </c>
      <c r="H53" s="518" t="e">
        <f>+H29-#REF!</f>
        <v>#REF!</v>
      </c>
      <c r="I53" s="518" t="e">
        <f>+I29-#REF!</f>
        <v>#REF!</v>
      </c>
      <c r="J53" s="518" t="e">
        <f>+J29-#REF!</f>
        <v>#REF!</v>
      </c>
      <c r="K53" s="518" t="e">
        <f>+K29-#REF!</f>
        <v>#REF!</v>
      </c>
      <c r="L53" s="518" t="e">
        <f>+L29-#REF!</f>
        <v>#REF!</v>
      </c>
      <c r="M53" s="518" t="e">
        <f>+M29-#REF!</f>
        <v>#REF!</v>
      </c>
      <c r="N53" s="518" t="e">
        <f>+N29-#REF!</f>
        <v>#REF!</v>
      </c>
      <c r="O53" s="518" t="e">
        <f>+O29-#REF!</f>
        <v>#REF!</v>
      </c>
      <c r="P53" s="518" t="e">
        <f>+P29-#REF!</f>
        <v>#REF!</v>
      </c>
      <c r="Q53" s="518" t="e">
        <f>+Q29-#REF!</f>
        <v>#REF!</v>
      </c>
      <c r="R53" s="519" t="e">
        <f>+R29-#REF!</f>
        <v>#REF!</v>
      </c>
      <c r="S53" s="518" t="e">
        <f>+S29-#REF!</f>
        <v>#REF!</v>
      </c>
      <c r="T53" s="520" t="e">
        <f t="shared" si="7"/>
        <v>#REF!</v>
      </c>
    </row>
    <row r="54" spans="1:22" ht="18" customHeight="1">
      <c r="A54" s="508" t="s">
        <v>131</v>
      </c>
      <c r="B54" s="508" t="s">
        <v>243</v>
      </c>
      <c r="C54" s="518" t="e">
        <f>+C30-#REF!</f>
        <v>#REF!</v>
      </c>
      <c r="D54" s="518" t="e">
        <f>+D30-#REF!</f>
        <v>#REF!</v>
      </c>
      <c r="E54" s="518" t="e">
        <f>+E30-#REF!</f>
        <v>#REF!</v>
      </c>
      <c r="F54" s="518" t="e">
        <f>+F30-#REF!</f>
        <v>#REF!</v>
      </c>
      <c r="G54" s="518" t="e">
        <f>+G30-#REF!</f>
        <v>#REF!</v>
      </c>
      <c r="H54" s="518" t="e">
        <f>+H30-#REF!</f>
        <v>#REF!</v>
      </c>
      <c r="I54" s="519" t="e">
        <f>+I30-#REF!</f>
        <v>#REF!</v>
      </c>
      <c r="J54" s="518" t="e">
        <f>+J30-#REF!</f>
        <v>#REF!</v>
      </c>
      <c r="K54" s="518" t="e">
        <f>+K30-#REF!</f>
        <v>#REF!</v>
      </c>
      <c r="L54" s="519" t="e">
        <f>+L30-#REF!</f>
        <v>#REF!</v>
      </c>
      <c r="M54" s="519" t="e">
        <f>+M30-#REF!</f>
        <v>#REF!</v>
      </c>
      <c r="N54" s="519" t="e">
        <f>+N30-#REF!</f>
        <v>#REF!</v>
      </c>
      <c r="O54" s="519" t="e">
        <f>+O30-#REF!</f>
        <v>#REF!</v>
      </c>
      <c r="P54" s="519" t="e">
        <f>+P30-#REF!</f>
        <v>#REF!</v>
      </c>
      <c r="Q54" s="518" t="e">
        <f>+Q30-#REF!</f>
        <v>#REF!</v>
      </c>
      <c r="R54" s="519" t="e">
        <f>+R30-#REF!</f>
        <v>#REF!</v>
      </c>
      <c r="S54" s="519" t="e">
        <f>+S30-#REF!</f>
        <v>#REF!</v>
      </c>
      <c r="T54" s="520" t="e">
        <f t="shared" si="7"/>
        <v>#REF!</v>
      </c>
    </row>
    <row r="55" spans="1:22" ht="18" customHeight="1">
      <c r="A55" s="508" t="s">
        <v>132</v>
      </c>
      <c r="B55" s="508" t="s">
        <v>250</v>
      </c>
      <c r="C55" s="519" t="e">
        <f>+C31-#REF!</f>
        <v>#REF!</v>
      </c>
      <c r="D55" s="519" t="e">
        <f>+D31-#REF!</f>
        <v>#REF!</v>
      </c>
      <c r="E55" s="519" t="e">
        <f>+E31-#REF!</f>
        <v>#REF!</v>
      </c>
      <c r="F55" s="519" t="e">
        <f>+F31-#REF!</f>
        <v>#REF!</v>
      </c>
      <c r="G55" s="519" t="e">
        <f>+G31-#REF!</f>
        <v>#REF!</v>
      </c>
      <c r="H55" s="519" t="e">
        <f>+H31-#REF!</f>
        <v>#REF!</v>
      </c>
      <c r="I55" s="519" t="e">
        <f>+I31-#REF!</f>
        <v>#REF!</v>
      </c>
      <c r="J55" s="519" t="e">
        <f>+J31-#REF!</f>
        <v>#REF!</v>
      </c>
      <c r="K55" s="519" t="e">
        <f>+K31-#REF!</f>
        <v>#REF!</v>
      </c>
      <c r="L55" s="519" t="e">
        <f>+L31-#REF!</f>
        <v>#REF!</v>
      </c>
      <c r="M55" s="519" t="e">
        <f>+M31-#REF!</f>
        <v>#REF!</v>
      </c>
      <c r="N55" s="519" t="e">
        <f>+N31-#REF!</f>
        <v>#REF!</v>
      </c>
      <c r="O55" s="519" t="e">
        <f>+O31-#REF!</f>
        <v>#REF!</v>
      </c>
      <c r="P55" s="519" t="e">
        <f>+P31-#REF!</f>
        <v>#REF!</v>
      </c>
      <c r="Q55" s="519" t="e">
        <f>+Q31-#REF!</f>
        <v>#REF!</v>
      </c>
      <c r="R55" s="519" t="e">
        <f>+R31-#REF!</f>
        <v>#REF!</v>
      </c>
      <c r="S55" s="519" t="e">
        <f>+S31-#REF!</f>
        <v>#REF!</v>
      </c>
      <c r="T55" s="520" t="e">
        <f t="shared" si="7"/>
        <v>#REF!</v>
      </c>
      <c r="V55" s="502">
        <f>9322+8819</f>
        <v>18141</v>
      </c>
    </row>
    <row r="56" spans="1:22" ht="18" customHeight="1">
      <c r="A56" s="508" t="s">
        <v>134</v>
      </c>
      <c r="B56" s="508" t="s">
        <v>40</v>
      </c>
      <c r="C56" s="518" t="e">
        <f>+C32-#REF!</f>
        <v>#REF!</v>
      </c>
      <c r="D56" s="518" t="e">
        <f>+D32-#REF!</f>
        <v>#REF!</v>
      </c>
      <c r="E56" s="518" t="e">
        <f>+E32-#REF!</f>
        <v>#REF!</v>
      </c>
      <c r="F56" s="518" t="e">
        <f>+F32-#REF!</f>
        <v>#REF!</v>
      </c>
      <c r="G56" s="518" t="e">
        <f>+G32-#REF!</f>
        <v>#REF!</v>
      </c>
      <c r="H56" s="518" t="e">
        <f>+H32-#REF!</f>
        <v>#REF!</v>
      </c>
      <c r="I56" s="519" t="e">
        <f>+I32-#REF!</f>
        <v>#REF!</v>
      </c>
      <c r="J56" s="519" t="e">
        <f>+J32-#REF!</f>
        <v>#REF!</v>
      </c>
      <c r="K56" s="518" t="e">
        <f>+K32-#REF!</f>
        <v>#REF!</v>
      </c>
      <c r="L56" s="518" t="e">
        <f>+L32-#REF!</f>
        <v>#REF!</v>
      </c>
      <c r="M56" s="519" t="e">
        <f>+M32-#REF!</f>
        <v>#REF!</v>
      </c>
      <c r="N56" s="518" t="e">
        <f>+N32-#REF!</f>
        <v>#REF!</v>
      </c>
      <c r="O56" s="519" t="e">
        <f>+O32-#REF!</f>
        <v>#REF!</v>
      </c>
      <c r="P56" s="519" t="e">
        <f>+P32-#REF!</f>
        <v>#REF!</v>
      </c>
      <c r="Q56" s="518" t="e">
        <f>+Q32-#REF!</f>
        <v>#REF!</v>
      </c>
      <c r="R56" s="519" t="e">
        <f>+R32-#REF!</f>
        <v>#REF!</v>
      </c>
      <c r="S56" s="519" t="e">
        <f>+S32-#REF!</f>
        <v>#REF!</v>
      </c>
      <c r="T56" s="520" t="e">
        <f t="shared" si="7"/>
        <v>#REF!</v>
      </c>
    </row>
    <row r="57" spans="1:22" ht="18" customHeight="1">
      <c r="A57" s="508" t="s">
        <v>135</v>
      </c>
      <c r="B57" s="508" t="s">
        <v>70</v>
      </c>
      <c r="C57" s="518" t="e">
        <f>+C33-#REF!</f>
        <v>#REF!</v>
      </c>
      <c r="D57" s="518" t="e">
        <f>+D33-#REF!</f>
        <v>#REF!</v>
      </c>
      <c r="E57" s="519" t="e">
        <f>+E33-#REF!</f>
        <v>#REF!</v>
      </c>
      <c r="F57" s="518" t="e">
        <f>+F33-#REF!</f>
        <v>#REF!</v>
      </c>
      <c r="G57" s="519" t="e">
        <f>+G33-#REF!</f>
        <v>#REF!</v>
      </c>
      <c r="H57" s="518" t="e">
        <f>+H33-#REF!</f>
        <v>#REF!</v>
      </c>
      <c r="I57" s="518" t="e">
        <f>+I33-#REF!</f>
        <v>#REF!</v>
      </c>
      <c r="J57" s="519" t="e">
        <f>+J33-#REF!</f>
        <v>#REF!</v>
      </c>
      <c r="K57" s="518" t="e">
        <f>+K33-#REF!</f>
        <v>#REF!</v>
      </c>
      <c r="L57" s="518" t="e">
        <f>+L33-#REF!</f>
        <v>#REF!</v>
      </c>
      <c r="M57" s="519" t="e">
        <f>+M33-#REF!</f>
        <v>#REF!</v>
      </c>
      <c r="N57" s="518" t="e">
        <f>+N33-#REF!</f>
        <v>#REF!</v>
      </c>
      <c r="O57" s="518" t="e">
        <f>+O33-#REF!</f>
        <v>#REF!</v>
      </c>
      <c r="P57" s="518" t="e">
        <f>+P33-#REF!</f>
        <v>#REF!</v>
      </c>
      <c r="Q57" s="518" t="e">
        <f>+Q33-#REF!</f>
        <v>#REF!</v>
      </c>
      <c r="R57" s="519" t="e">
        <f>+R33-#REF!</f>
        <v>#REF!</v>
      </c>
      <c r="S57" s="519" t="e">
        <f>+S33-#REF!</f>
        <v>#REF!</v>
      </c>
      <c r="T57" s="520" t="e">
        <f t="shared" si="7"/>
        <v>#REF!</v>
      </c>
      <c r="V57" s="527" t="s">
        <v>256</v>
      </c>
    </row>
    <row r="58" spans="1:22" ht="18" customHeight="1">
      <c r="A58" s="508" t="s">
        <v>136</v>
      </c>
      <c r="B58" s="508" t="s">
        <v>244</v>
      </c>
      <c r="C58" s="519" t="e">
        <f>+C34-#REF!</f>
        <v>#REF!</v>
      </c>
      <c r="D58" s="518" t="e">
        <f>+D34-#REF!</f>
        <v>#REF!</v>
      </c>
      <c r="E58" s="519" t="e">
        <f>+E34-#REF!</f>
        <v>#REF!</v>
      </c>
      <c r="F58" s="519" t="e">
        <f>+F34-#REF!</f>
        <v>#REF!</v>
      </c>
      <c r="G58" s="518" t="e">
        <f>+G34-#REF!</f>
        <v>#REF!</v>
      </c>
      <c r="H58" s="518" t="e">
        <f>+H34-#REF!</f>
        <v>#REF!</v>
      </c>
      <c r="I58" s="519" t="e">
        <f>+I34-#REF!</f>
        <v>#REF!</v>
      </c>
      <c r="J58" s="519" t="e">
        <f>+J34-#REF!</f>
        <v>#REF!</v>
      </c>
      <c r="K58" s="519" t="e">
        <f>+K34-#REF!</f>
        <v>#REF!</v>
      </c>
      <c r="L58" s="519" t="e">
        <f>+L34-#REF!</f>
        <v>#REF!</v>
      </c>
      <c r="M58" s="519" t="e">
        <f>+M34-#REF!</f>
        <v>#REF!</v>
      </c>
      <c r="N58" s="518" t="e">
        <f>+N34-#REF!</f>
        <v>#REF!</v>
      </c>
      <c r="O58" s="518" t="e">
        <f>+O34-#REF!</f>
        <v>#REF!</v>
      </c>
      <c r="P58" s="518" t="e">
        <f>+P34-#REF!</f>
        <v>#REF!</v>
      </c>
      <c r="Q58" s="518" t="e">
        <f>+Q34-#REF!</f>
        <v>#REF!</v>
      </c>
      <c r="R58" s="519" t="e">
        <f>+R34-#REF!</f>
        <v>#REF!</v>
      </c>
      <c r="S58" s="519" t="e">
        <f>+S34-#REF!</f>
        <v>#REF!</v>
      </c>
      <c r="T58" s="520" t="e">
        <f t="shared" si="7"/>
        <v>#REF!</v>
      </c>
      <c r="V58" s="528">
        <v>3045.6666666666665</v>
      </c>
    </row>
    <row r="59" spans="1:22" ht="18" customHeight="1">
      <c r="A59" s="508" t="s">
        <v>137</v>
      </c>
      <c r="B59" s="508" t="s">
        <v>49</v>
      </c>
      <c r="C59" s="518" t="e">
        <f>+C35-#REF!</f>
        <v>#REF!</v>
      </c>
      <c r="D59" s="518" t="e">
        <f>+D35-#REF!</f>
        <v>#REF!</v>
      </c>
      <c r="E59" s="518" t="e">
        <f>+E35-#REF!</f>
        <v>#REF!</v>
      </c>
      <c r="F59" s="518" t="e">
        <f>+F35-#REF!</f>
        <v>#REF!</v>
      </c>
      <c r="G59" s="519" t="e">
        <f>+G35-#REF!</f>
        <v>#REF!</v>
      </c>
      <c r="H59" s="519" t="e">
        <f>+H35-#REF!</f>
        <v>#REF!</v>
      </c>
      <c r="I59" s="518" t="e">
        <f>+I35-#REF!</f>
        <v>#REF!</v>
      </c>
      <c r="J59" s="518" t="e">
        <f>+J35-#REF!</f>
        <v>#REF!</v>
      </c>
      <c r="K59" s="518" t="e">
        <f>+K35-#REF!</f>
        <v>#REF!</v>
      </c>
      <c r="L59" s="519" t="e">
        <f>+L35-#REF!</f>
        <v>#REF!</v>
      </c>
      <c r="M59" s="519" t="e">
        <f>+M35-#REF!</f>
        <v>#REF!</v>
      </c>
      <c r="N59" s="518" t="e">
        <f>+N35-#REF!</f>
        <v>#REF!</v>
      </c>
      <c r="O59" s="519" t="e">
        <f>+O35-#REF!</f>
        <v>#REF!</v>
      </c>
      <c r="P59" s="519" t="e">
        <f>+P35-#REF!</f>
        <v>#REF!</v>
      </c>
      <c r="Q59" s="518" t="e">
        <f>+Q35-#REF!</f>
        <v>#REF!</v>
      </c>
      <c r="R59" s="519" t="e">
        <f>+R35-#REF!</f>
        <v>#REF!</v>
      </c>
      <c r="S59" s="519" t="e">
        <f>+S35-#REF!</f>
        <v>#REF!</v>
      </c>
      <c r="T59" s="520" t="e">
        <f t="shared" si="7"/>
        <v>#REF!</v>
      </c>
      <c r="V59" s="528">
        <v>131.99999999999997</v>
      </c>
    </row>
    <row r="60" spans="1:22" ht="18" customHeight="1">
      <c r="A60" s="508" t="s">
        <v>145</v>
      </c>
      <c r="B60" s="508" t="s">
        <v>251</v>
      </c>
      <c r="C60" s="519" t="e">
        <f>+C36-#REF!</f>
        <v>#REF!</v>
      </c>
      <c r="D60" s="519" t="e">
        <f>+D36-#REF!</f>
        <v>#REF!</v>
      </c>
      <c r="E60" s="519" t="e">
        <f>+E36-#REF!</f>
        <v>#REF!</v>
      </c>
      <c r="F60" s="519" t="e">
        <f>+F36-#REF!</f>
        <v>#REF!</v>
      </c>
      <c r="G60" s="519" t="e">
        <f>+G36-#REF!</f>
        <v>#REF!</v>
      </c>
      <c r="H60" s="519" t="e">
        <f>+H36-#REF!</f>
        <v>#REF!</v>
      </c>
      <c r="I60" s="519" t="e">
        <f>+I36-#REF!</f>
        <v>#REF!</v>
      </c>
      <c r="J60" s="519" t="e">
        <f>+J36-#REF!</f>
        <v>#REF!</v>
      </c>
      <c r="K60" s="519" t="e">
        <f>+K36-#REF!</f>
        <v>#REF!</v>
      </c>
      <c r="L60" s="519" t="e">
        <f>+L36-#REF!</f>
        <v>#REF!</v>
      </c>
      <c r="M60" s="518" t="e">
        <f>+M36-#REF!</f>
        <v>#REF!</v>
      </c>
      <c r="N60" s="518" t="e">
        <f>+N36-#REF!</f>
        <v>#REF!</v>
      </c>
      <c r="O60" s="519" t="e">
        <f>+O36-#REF!</f>
        <v>#REF!</v>
      </c>
      <c r="P60" s="519" t="e">
        <f>+P36-#REF!</f>
        <v>#REF!</v>
      </c>
      <c r="Q60" s="518" t="e">
        <f>+Q36-#REF!</f>
        <v>#REF!</v>
      </c>
      <c r="R60" s="519" t="e">
        <f>+R36-#REF!</f>
        <v>#REF!</v>
      </c>
      <c r="S60" s="519" t="e">
        <f>+S36-#REF!</f>
        <v>#REF!</v>
      </c>
      <c r="T60" s="520" t="e">
        <f t="shared" si="7"/>
        <v>#REF!</v>
      </c>
      <c r="V60" s="528">
        <v>1080.6666666666665</v>
      </c>
    </row>
    <row r="61" spans="1:22" ht="18" customHeight="1">
      <c r="A61" s="508" t="s">
        <v>147</v>
      </c>
      <c r="B61" s="508" t="s">
        <v>252</v>
      </c>
      <c r="C61" s="519" t="e">
        <f>+C37-#REF!</f>
        <v>#REF!</v>
      </c>
      <c r="D61" s="518" t="e">
        <f>+D37-#REF!</f>
        <v>#REF!</v>
      </c>
      <c r="E61" s="518" t="e">
        <f>+E37-#REF!</f>
        <v>#REF!</v>
      </c>
      <c r="F61" s="519" t="e">
        <f>+F37-#REF!</f>
        <v>#REF!</v>
      </c>
      <c r="G61" s="519" t="e">
        <f>+G37-#REF!</f>
        <v>#REF!</v>
      </c>
      <c r="H61" s="519" t="e">
        <f>+H37-#REF!</f>
        <v>#REF!</v>
      </c>
      <c r="I61" s="519" t="e">
        <f>+I37-#REF!</f>
        <v>#REF!</v>
      </c>
      <c r="J61" s="518" t="e">
        <f>+J37-#REF!</f>
        <v>#REF!</v>
      </c>
      <c r="K61" s="518" t="e">
        <f>+K37-#REF!</f>
        <v>#REF!</v>
      </c>
      <c r="L61" s="519" t="e">
        <f>+L37-#REF!</f>
        <v>#REF!</v>
      </c>
      <c r="M61" s="519" t="e">
        <f>+M37-#REF!</f>
        <v>#REF!</v>
      </c>
      <c r="N61" s="519" t="e">
        <f>+N37-#REF!</f>
        <v>#REF!</v>
      </c>
      <c r="O61" s="519" t="e">
        <f>+O37-#REF!</f>
        <v>#REF!</v>
      </c>
      <c r="P61" s="519" t="e">
        <f>+P37-#REF!</f>
        <v>#REF!</v>
      </c>
      <c r="Q61" s="518" t="e">
        <f>+Q37-#REF!</f>
        <v>#REF!</v>
      </c>
      <c r="R61" s="519" t="e">
        <f>+R37-#REF!</f>
        <v>#REF!</v>
      </c>
      <c r="S61" s="519" t="e">
        <f>+S37-#REF!</f>
        <v>#REF!</v>
      </c>
      <c r="T61" s="520" t="e">
        <f t="shared" si="7"/>
        <v>#REF!</v>
      </c>
      <c r="V61" s="528">
        <v>1.6666666666666667</v>
      </c>
    </row>
    <row r="62" spans="1:22" ht="18" customHeight="1">
      <c r="A62" s="508" t="s">
        <v>148</v>
      </c>
      <c r="B62" s="508" t="s">
        <v>39</v>
      </c>
      <c r="C62" s="518" t="e">
        <f>+C38-#REF!</f>
        <v>#REF!</v>
      </c>
      <c r="D62" s="518" t="e">
        <f>+D38-#REF!</f>
        <v>#REF!</v>
      </c>
      <c r="E62" s="518" t="e">
        <f>+E38-#REF!</f>
        <v>#REF!</v>
      </c>
      <c r="F62" s="518" t="e">
        <f>+F38-#REF!</f>
        <v>#REF!</v>
      </c>
      <c r="G62" s="518" t="e">
        <f>+G38-#REF!</f>
        <v>#REF!</v>
      </c>
      <c r="H62" s="518" t="e">
        <f>+H38-#REF!</f>
        <v>#REF!</v>
      </c>
      <c r="I62" s="518" t="e">
        <f>+I38-#REF!</f>
        <v>#REF!</v>
      </c>
      <c r="J62" s="518" t="e">
        <f>+J38-#REF!</f>
        <v>#REF!</v>
      </c>
      <c r="K62" s="518" t="e">
        <f>+K38-#REF!</f>
        <v>#REF!</v>
      </c>
      <c r="L62" s="518" t="e">
        <f>+L38-#REF!</f>
        <v>#REF!</v>
      </c>
      <c r="M62" s="519" t="e">
        <f>+M38-#REF!</f>
        <v>#REF!</v>
      </c>
      <c r="N62" s="518" t="e">
        <f>+N38-#REF!</f>
        <v>#REF!</v>
      </c>
      <c r="O62" s="519" t="e">
        <f>+O38-#REF!</f>
        <v>#REF!</v>
      </c>
      <c r="P62" s="518" t="e">
        <f>+P38-#REF!</f>
        <v>#REF!</v>
      </c>
      <c r="Q62" s="518" t="e">
        <f>+Q38-#REF!</f>
        <v>#REF!</v>
      </c>
      <c r="R62" s="519" t="e">
        <f>+R38-#REF!</f>
        <v>#REF!</v>
      </c>
      <c r="S62" s="518" t="e">
        <f>+S38-#REF!</f>
        <v>#REF!</v>
      </c>
      <c r="T62" s="520" t="e">
        <f t="shared" si="7"/>
        <v>#REF!</v>
      </c>
      <c r="V62" s="528">
        <v>487.99999999999989</v>
      </c>
    </row>
    <row r="63" spans="1:22" ht="18" customHeight="1">
      <c r="A63" s="508" t="s">
        <v>149</v>
      </c>
      <c r="B63" s="508" t="s">
        <v>38</v>
      </c>
      <c r="C63" s="519" t="e">
        <f>+C39-#REF!</f>
        <v>#REF!</v>
      </c>
      <c r="D63" s="518" t="e">
        <f>+D39-#REF!</f>
        <v>#REF!</v>
      </c>
      <c r="E63" s="519" t="e">
        <f>+E39-#REF!</f>
        <v>#REF!</v>
      </c>
      <c r="F63" s="518" t="e">
        <f>+F39-#REF!</f>
        <v>#REF!</v>
      </c>
      <c r="G63" s="519" t="e">
        <f>+G39-#REF!</f>
        <v>#REF!</v>
      </c>
      <c r="H63" s="519" t="e">
        <f>+H39-#REF!</f>
        <v>#REF!</v>
      </c>
      <c r="I63" s="519" t="e">
        <f>+I39-#REF!</f>
        <v>#REF!</v>
      </c>
      <c r="J63" s="519" t="e">
        <f>+J39-#REF!</f>
        <v>#REF!</v>
      </c>
      <c r="K63" s="518" t="e">
        <f>+K39-#REF!</f>
        <v>#REF!</v>
      </c>
      <c r="L63" s="519" t="e">
        <f>+L39-#REF!</f>
        <v>#REF!</v>
      </c>
      <c r="M63" s="519" t="e">
        <f>+M39-#REF!</f>
        <v>#REF!</v>
      </c>
      <c r="N63" s="519" t="e">
        <f>+N39-#REF!</f>
        <v>#REF!</v>
      </c>
      <c r="O63" s="519" t="e">
        <f>+O39-#REF!</f>
        <v>#REF!</v>
      </c>
      <c r="P63" s="519" t="e">
        <f>+P39-#REF!</f>
        <v>#REF!</v>
      </c>
      <c r="Q63" s="519" t="e">
        <f>+Q39-#REF!</f>
        <v>#REF!</v>
      </c>
      <c r="R63" s="519" t="e">
        <f>+R39-#REF!</f>
        <v>#REF!</v>
      </c>
      <c r="S63" s="519" t="e">
        <f>+S39-#REF!</f>
        <v>#REF!</v>
      </c>
      <c r="T63" s="520" t="e">
        <f t="shared" si="7"/>
        <v>#REF!</v>
      </c>
      <c r="V63" s="528">
        <v>600.99999999999989</v>
      </c>
    </row>
    <row r="64" spans="1:22" ht="18" customHeight="1">
      <c r="A64" s="508" t="s">
        <v>150</v>
      </c>
      <c r="B64" s="508" t="s">
        <v>98</v>
      </c>
      <c r="C64" s="519" t="e">
        <f>+C40-#REF!</f>
        <v>#REF!</v>
      </c>
      <c r="D64" s="519" t="e">
        <f>+D40-#REF!</f>
        <v>#REF!</v>
      </c>
      <c r="E64" s="519" t="e">
        <f>+E40-#REF!</f>
        <v>#REF!</v>
      </c>
      <c r="F64" s="519" t="e">
        <f>+F40-#REF!</f>
        <v>#REF!</v>
      </c>
      <c r="G64" s="518" t="e">
        <f>+G40-#REF!</f>
        <v>#REF!</v>
      </c>
      <c r="H64" s="519" t="e">
        <f>+H40-#REF!</f>
        <v>#REF!</v>
      </c>
      <c r="I64" s="519" t="e">
        <f>+I40-#REF!</f>
        <v>#REF!</v>
      </c>
      <c r="J64" s="519" t="e">
        <f>+J40-#REF!</f>
        <v>#REF!</v>
      </c>
      <c r="K64" s="519" t="e">
        <f>+K40-#REF!</f>
        <v>#REF!</v>
      </c>
      <c r="L64" s="519" t="e">
        <f>+L40-#REF!</f>
        <v>#REF!</v>
      </c>
      <c r="M64" s="519" t="e">
        <f>+M40-#REF!</f>
        <v>#REF!</v>
      </c>
      <c r="N64" s="518" t="e">
        <f>+N40-#REF!</f>
        <v>#REF!</v>
      </c>
      <c r="O64" s="519" t="e">
        <f>+O40-#REF!</f>
        <v>#REF!</v>
      </c>
      <c r="P64" s="519" t="e">
        <f>+P40-#REF!</f>
        <v>#REF!</v>
      </c>
      <c r="Q64" s="519" t="e">
        <f>+Q40-#REF!</f>
        <v>#REF!</v>
      </c>
      <c r="R64" s="519" t="e">
        <f>+R40-#REF!</f>
        <v>#REF!</v>
      </c>
      <c r="S64" s="519" t="e">
        <f>+S40-#REF!</f>
        <v>#REF!</v>
      </c>
      <c r="T64" s="520" t="e">
        <f t="shared" si="7"/>
        <v>#REF!</v>
      </c>
      <c r="V64" s="528">
        <v>244.3333333333334</v>
      </c>
    </row>
    <row r="65" spans="1:22" ht="18" customHeight="1">
      <c r="A65" s="508" t="s">
        <v>151</v>
      </c>
      <c r="B65" s="508" t="s">
        <v>253</v>
      </c>
      <c r="C65" s="519" t="e">
        <f>+C41-#REF!</f>
        <v>#REF!</v>
      </c>
      <c r="D65" s="519" t="e">
        <f>+D41-#REF!</f>
        <v>#REF!</v>
      </c>
      <c r="E65" s="519" t="e">
        <f>+E41-#REF!</f>
        <v>#REF!</v>
      </c>
      <c r="F65" s="519" t="e">
        <f>+F41-#REF!</f>
        <v>#REF!</v>
      </c>
      <c r="G65" s="519" t="e">
        <f>+G41-#REF!</f>
        <v>#REF!</v>
      </c>
      <c r="H65" s="519" t="e">
        <f>+H41-#REF!</f>
        <v>#REF!</v>
      </c>
      <c r="I65" s="519" t="e">
        <f>+I41-#REF!</f>
        <v>#REF!</v>
      </c>
      <c r="J65" s="519" t="e">
        <f>+J41-#REF!</f>
        <v>#REF!</v>
      </c>
      <c r="K65" s="519" t="e">
        <f>+K41-#REF!</f>
        <v>#REF!</v>
      </c>
      <c r="L65" s="519" t="e">
        <f>+L41-#REF!</f>
        <v>#REF!</v>
      </c>
      <c r="M65" s="519" t="e">
        <f>+M41-#REF!</f>
        <v>#REF!</v>
      </c>
      <c r="N65" s="519" t="e">
        <f>+N41-#REF!</f>
        <v>#REF!</v>
      </c>
      <c r="O65" s="519" t="e">
        <f>+O41-#REF!</f>
        <v>#REF!</v>
      </c>
      <c r="P65" s="519" t="e">
        <f>+P41-#REF!</f>
        <v>#REF!</v>
      </c>
      <c r="Q65" s="519" t="e">
        <f>+Q41-#REF!</f>
        <v>#REF!</v>
      </c>
      <c r="R65" s="519" t="e">
        <f>+R41-#REF!</f>
        <v>#REF!</v>
      </c>
      <c r="S65" s="519" t="e">
        <f>+S41-#REF!</f>
        <v>#REF!</v>
      </c>
      <c r="T65" s="520" t="e">
        <f t="shared" si="7"/>
        <v>#REF!</v>
      </c>
      <c r="V65" s="528">
        <v>317.66666666666674</v>
      </c>
    </row>
    <row r="66" spans="1:22" ht="18" customHeight="1">
      <c r="A66" s="508" t="s">
        <v>153</v>
      </c>
      <c r="B66" s="508" t="s">
        <v>245</v>
      </c>
      <c r="C66" s="518" t="e">
        <f>+C42-#REF!</f>
        <v>#REF!</v>
      </c>
      <c r="D66" s="518" t="e">
        <f>+D42-#REF!</f>
        <v>#REF!</v>
      </c>
      <c r="E66" s="518" t="e">
        <f>+E42-#REF!</f>
        <v>#REF!</v>
      </c>
      <c r="F66" s="518" t="e">
        <f>+F42-#REF!</f>
        <v>#REF!</v>
      </c>
      <c r="G66" s="518" t="e">
        <f>+G42-#REF!</f>
        <v>#REF!</v>
      </c>
      <c r="H66" s="518" t="e">
        <f>+H42-#REF!</f>
        <v>#REF!</v>
      </c>
      <c r="I66" s="518" t="e">
        <f>+I42-#REF!</f>
        <v>#REF!</v>
      </c>
      <c r="J66" s="518" t="e">
        <f>+J42-#REF!</f>
        <v>#REF!</v>
      </c>
      <c r="K66" s="518" t="e">
        <f>+K42-#REF!</f>
        <v>#REF!</v>
      </c>
      <c r="L66" s="518" t="e">
        <f>+L42-#REF!</f>
        <v>#REF!</v>
      </c>
      <c r="M66" s="519" t="e">
        <f>+M42-#REF!</f>
        <v>#REF!</v>
      </c>
      <c r="N66" s="518" t="e">
        <f>+N42-#REF!</f>
        <v>#REF!</v>
      </c>
      <c r="O66" s="519" t="e">
        <f>+O42-#REF!</f>
        <v>#REF!</v>
      </c>
      <c r="P66" s="518" t="e">
        <f>+P42-#REF!</f>
        <v>#REF!</v>
      </c>
      <c r="Q66" s="518" t="e">
        <f>+Q42-#REF!</f>
        <v>#REF!</v>
      </c>
      <c r="R66" s="519" t="e">
        <f>+R42-#REF!</f>
        <v>#REF!</v>
      </c>
      <c r="S66" s="518" t="e">
        <f>+S42-#REF!</f>
        <v>#REF!</v>
      </c>
      <c r="T66" s="520" t="e">
        <f t="shared" si="7"/>
        <v>#REF!</v>
      </c>
      <c r="V66" s="528">
        <v>219.33333333333329</v>
      </c>
    </row>
    <row r="67" spans="1:22" ht="18" customHeight="1">
      <c r="A67" s="508" t="s">
        <v>155</v>
      </c>
      <c r="B67" s="508" t="s">
        <v>246</v>
      </c>
      <c r="C67" s="518" t="e">
        <f>+C43-#REF!</f>
        <v>#REF!</v>
      </c>
      <c r="D67" s="518" t="e">
        <f>+D43-#REF!</f>
        <v>#REF!</v>
      </c>
      <c r="E67" s="518" t="e">
        <f>+E43-#REF!</f>
        <v>#REF!</v>
      </c>
      <c r="F67" s="518" t="e">
        <f>+F43-#REF!</f>
        <v>#REF!</v>
      </c>
      <c r="G67" s="519" t="e">
        <f>+G43-#REF!</f>
        <v>#REF!</v>
      </c>
      <c r="H67" s="518" t="e">
        <f>+H43-#REF!</f>
        <v>#REF!</v>
      </c>
      <c r="I67" s="518" t="e">
        <f>+I43-#REF!</f>
        <v>#REF!</v>
      </c>
      <c r="J67" s="518" t="e">
        <f>+J43-#REF!</f>
        <v>#REF!</v>
      </c>
      <c r="K67" s="518" t="e">
        <f>+K43-#REF!</f>
        <v>#REF!</v>
      </c>
      <c r="L67" s="518" t="e">
        <f>+L43-#REF!</f>
        <v>#REF!</v>
      </c>
      <c r="M67" s="519" t="e">
        <f>+M43-#REF!</f>
        <v>#REF!</v>
      </c>
      <c r="N67" s="518" t="e">
        <f>+N43-#REF!</f>
        <v>#REF!</v>
      </c>
      <c r="O67" s="518" t="e">
        <f>+O43-#REF!</f>
        <v>#REF!</v>
      </c>
      <c r="P67" s="519" t="e">
        <f>+P43-#REF!</f>
        <v>#REF!</v>
      </c>
      <c r="Q67" s="519" t="e">
        <f>+Q43-#REF!</f>
        <v>#REF!</v>
      </c>
      <c r="R67" s="519" t="e">
        <f>+R43-#REF!</f>
        <v>#REF!</v>
      </c>
      <c r="S67" s="518" t="e">
        <f>+S43-#REF!</f>
        <v>#REF!</v>
      </c>
      <c r="T67" s="520" t="e">
        <f t="shared" si="7"/>
        <v>#REF!</v>
      </c>
      <c r="V67" s="528">
        <v>367</v>
      </c>
    </row>
    <row r="68" spans="1:22" ht="18" customHeight="1">
      <c r="A68" s="508" t="s">
        <v>162</v>
      </c>
      <c r="B68" s="508" t="s">
        <v>247</v>
      </c>
      <c r="C68" s="519" t="e">
        <f>+C44-#REF!</f>
        <v>#REF!</v>
      </c>
      <c r="D68" s="518" t="e">
        <f>+D44-#REF!</f>
        <v>#REF!</v>
      </c>
      <c r="E68" s="519" t="e">
        <f>+E44-#REF!</f>
        <v>#REF!</v>
      </c>
      <c r="F68" s="518" t="e">
        <f>+F44-#REF!</f>
        <v>#REF!</v>
      </c>
      <c r="G68" s="519" t="e">
        <f>+G44-#REF!</f>
        <v>#REF!</v>
      </c>
      <c r="H68" s="519" t="e">
        <f>+H44-#REF!</f>
        <v>#REF!</v>
      </c>
      <c r="I68" s="519" t="e">
        <f>+I44-#REF!</f>
        <v>#REF!</v>
      </c>
      <c r="J68" s="519" t="e">
        <f>+J44-#REF!</f>
        <v>#REF!</v>
      </c>
      <c r="K68" s="518" t="e">
        <f>+K44-#REF!</f>
        <v>#REF!</v>
      </c>
      <c r="L68" s="519" t="e">
        <f>+L44-#REF!</f>
        <v>#REF!</v>
      </c>
      <c r="M68" s="519" t="e">
        <f>+M44-#REF!</f>
        <v>#REF!</v>
      </c>
      <c r="N68" s="519" t="e">
        <f>+N44-#REF!</f>
        <v>#REF!</v>
      </c>
      <c r="O68" s="519" t="e">
        <f>+O44-#REF!</f>
        <v>#REF!</v>
      </c>
      <c r="P68" s="519" t="e">
        <f>+P44-#REF!</f>
        <v>#REF!</v>
      </c>
      <c r="Q68" s="519" t="e">
        <f>+Q44-#REF!</f>
        <v>#REF!</v>
      </c>
      <c r="R68" s="519" t="e">
        <f>+R44-#REF!</f>
        <v>#REF!</v>
      </c>
      <c r="S68" s="519" t="e">
        <f>+S44-#REF!</f>
        <v>#REF!</v>
      </c>
      <c r="T68" s="520" t="e">
        <f t="shared" si="7"/>
        <v>#REF!</v>
      </c>
      <c r="V68" s="528">
        <v>40</v>
      </c>
    </row>
    <row r="69" spans="1:22" ht="18" customHeight="1">
      <c r="A69" s="508" t="s">
        <v>156</v>
      </c>
      <c r="B69" s="508" t="s">
        <v>248</v>
      </c>
      <c r="C69" s="519" t="e">
        <f>+C45-#REF!</f>
        <v>#REF!</v>
      </c>
      <c r="D69" s="519" t="e">
        <f>+D45-#REF!</f>
        <v>#REF!</v>
      </c>
      <c r="E69" s="519" t="e">
        <f>+E45-#REF!</f>
        <v>#REF!</v>
      </c>
      <c r="F69" s="519" t="e">
        <f>+F45-#REF!</f>
        <v>#REF!</v>
      </c>
      <c r="G69" s="518" t="e">
        <f>+G45-#REF!</f>
        <v>#REF!</v>
      </c>
      <c r="H69" s="519" t="e">
        <f>+H45-#REF!</f>
        <v>#REF!</v>
      </c>
      <c r="I69" s="519" t="e">
        <f>+I45-#REF!</f>
        <v>#REF!</v>
      </c>
      <c r="J69" s="519" t="e">
        <f>+J45-#REF!</f>
        <v>#REF!</v>
      </c>
      <c r="K69" s="519" t="e">
        <f>+K45-#REF!</f>
        <v>#REF!</v>
      </c>
      <c r="L69" s="519" t="e">
        <f>+L45-#REF!</f>
        <v>#REF!</v>
      </c>
      <c r="M69" s="519" t="e">
        <f>+M45-#REF!</f>
        <v>#REF!</v>
      </c>
      <c r="N69" s="518" t="e">
        <f>+N45-#REF!</f>
        <v>#REF!</v>
      </c>
      <c r="O69" s="519" t="e">
        <f>+O45-#REF!</f>
        <v>#REF!</v>
      </c>
      <c r="P69" s="519" t="e">
        <f>+P45-#REF!</f>
        <v>#REF!</v>
      </c>
      <c r="Q69" s="519" t="e">
        <f>+Q45-#REF!</f>
        <v>#REF!</v>
      </c>
      <c r="R69" s="519" t="e">
        <f>+R45-#REF!</f>
        <v>#REF!</v>
      </c>
      <c r="S69" s="519" t="e">
        <f>+S45-#REF!</f>
        <v>#REF!</v>
      </c>
      <c r="T69" s="520" t="e">
        <f t="shared" si="7"/>
        <v>#REF!</v>
      </c>
      <c r="V69" s="528">
        <v>399.66666666666674</v>
      </c>
    </row>
    <row r="70" spans="1:22" ht="18" customHeight="1">
      <c r="A70" s="511" t="s">
        <v>163</v>
      </c>
      <c r="B70" s="511" t="s">
        <v>249</v>
      </c>
      <c r="C70" s="521" t="e">
        <f>+C46-#REF!</f>
        <v>#REF!</v>
      </c>
      <c r="D70" s="522" t="e">
        <f>+D46-#REF!</f>
        <v>#REF!</v>
      </c>
      <c r="E70" s="521" t="e">
        <f>+E46-#REF!</f>
        <v>#REF!</v>
      </c>
      <c r="F70" s="521" t="e">
        <f>+F46-#REF!</f>
        <v>#REF!</v>
      </c>
      <c r="G70" s="522" t="e">
        <f>+G46-#REF!</f>
        <v>#REF!</v>
      </c>
      <c r="H70" s="521" t="e">
        <f>+H46-#REF!</f>
        <v>#REF!</v>
      </c>
      <c r="I70" s="521" t="e">
        <f>+I46-#REF!</f>
        <v>#REF!</v>
      </c>
      <c r="J70" s="521" t="e">
        <f>+J46-#REF!</f>
        <v>#REF!</v>
      </c>
      <c r="K70" s="521" t="e">
        <f>+K46-#REF!</f>
        <v>#REF!</v>
      </c>
      <c r="L70" s="521" t="e">
        <f>+L46-#REF!</f>
        <v>#REF!</v>
      </c>
      <c r="M70" s="521" t="e">
        <f>+M46-#REF!</f>
        <v>#REF!</v>
      </c>
      <c r="N70" s="522" t="e">
        <f>+N46-#REF!</f>
        <v>#REF!</v>
      </c>
      <c r="O70" s="521" t="e">
        <f>+O46-#REF!</f>
        <v>#REF!</v>
      </c>
      <c r="P70" s="521" t="e">
        <f>+P46-#REF!</f>
        <v>#REF!</v>
      </c>
      <c r="Q70" s="521" t="e">
        <f>+Q46-#REF!</f>
        <v>#REF!</v>
      </c>
      <c r="R70" s="521" t="e">
        <f>+R46-#REF!</f>
        <v>#REF!</v>
      </c>
      <c r="S70" s="521" t="e">
        <f>+S46-#REF!</f>
        <v>#REF!</v>
      </c>
      <c r="T70" s="523" t="e">
        <f t="shared" si="7"/>
        <v>#REF!</v>
      </c>
      <c r="V70" s="528">
        <v>73.333333333333343</v>
      </c>
    </row>
    <row r="71" spans="1:22" ht="18" customHeight="1">
      <c r="C71" s="524" t="e">
        <f t="shared" ref="C71:T71" si="8">SUM(C50:C70)</f>
        <v>#REF!</v>
      </c>
      <c r="D71" s="525" t="e">
        <f t="shared" si="8"/>
        <v>#REF!</v>
      </c>
      <c r="E71" s="524" t="e">
        <f t="shared" si="8"/>
        <v>#REF!</v>
      </c>
      <c r="F71" s="524" t="e">
        <f t="shared" si="8"/>
        <v>#REF!</v>
      </c>
      <c r="G71" s="525" t="e">
        <f t="shared" si="8"/>
        <v>#REF!</v>
      </c>
      <c r="H71" s="524" t="e">
        <f t="shared" si="8"/>
        <v>#REF!</v>
      </c>
      <c r="I71" s="524" t="e">
        <f t="shared" si="8"/>
        <v>#REF!</v>
      </c>
      <c r="J71" s="524" t="e">
        <f t="shared" si="8"/>
        <v>#REF!</v>
      </c>
      <c r="K71" s="524" t="e">
        <f t="shared" si="8"/>
        <v>#REF!</v>
      </c>
      <c r="L71" s="524" t="e">
        <f t="shared" si="8"/>
        <v>#REF!</v>
      </c>
      <c r="M71" s="524" t="e">
        <f t="shared" si="8"/>
        <v>#REF!</v>
      </c>
      <c r="N71" s="525" t="e">
        <f t="shared" si="8"/>
        <v>#REF!</v>
      </c>
      <c r="O71" s="524" t="e">
        <f t="shared" si="8"/>
        <v>#REF!</v>
      </c>
      <c r="P71" s="524" t="e">
        <f t="shared" si="8"/>
        <v>#REF!</v>
      </c>
      <c r="Q71" s="524" t="e">
        <f t="shared" si="8"/>
        <v>#REF!</v>
      </c>
      <c r="R71" s="524" t="e">
        <f t="shared" si="8"/>
        <v>#REF!</v>
      </c>
      <c r="S71" s="524" t="e">
        <f t="shared" si="8"/>
        <v>#REF!</v>
      </c>
      <c r="T71" s="526" t="e">
        <f t="shared" si="8"/>
        <v>#REF!</v>
      </c>
      <c r="V71" s="528">
        <v>364.66666666666669</v>
      </c>
    </row>
    <row r="72" spans="1:22" ht="18" customHeight="1">
      <c r="V72" s="528">
        <v>235.33333333333334</v>
      </c>
    </row>
    <row r="73" spans="1:22" ht="18" customHeight="1">
      <c r="V73" s="528">
        <v>542.66666666666663</v>
      </c>
    </row>
    <row r="74" spans="1:22" ht="18" customHeight="1">
      <c r="V74" s="528">
        <v>67.333333333333329</v>
      </c>
    </row>
    <row r="75" spans="1:22" ht="18" customHeight="1">
      <c r="V75" s="528">
        <v>782.66666666666663</v>
      </c>
    </row>
    <row r="76" spans="1:22" ht="18" customHeight="1">
      <c r="V76" s="528">
        <v>243</v>
      </c>
    </row>
    <row r="77" spans="1:22" ht="18" customHeight="1">
      <c r="V77" s="528">
        <v>76.333333333333329</v>
      </c>
    </row>
  </sheetData>
  <mergeCells count="1">
    <mergeCell ref="A49:B49"/>
  </mergeCells>
  <printOptions horizontalCentered="1"/>
  <pageMargins left="0.2" right="0.2" top="0.5" bottom="0.5" header="0.05" footer="0.05"/>
  <pageSetup paperSize="5" scale="38" orientation="landscape" r:id="rId1"/>
  <headerFooter>
    <oddFooter xml:space="preserve">&amp;L&amp;9&amp;Z&amp;F, &amp;A
Revised/Printed &amp;D, &amp;T&amp;R&amp;9Page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workbookViewId="0"/>
  </sheetViews>
  <sheetFormatPr defaultColWidth="8.85546875" defaultRowHeight="18" customHeight="1"/>
  <cols>
    <col min="1" max="1" width="8.85546875" style="32"/>
    <col min="2" max="2" width="45.7109375" style="32" customWidth="1"/>
    <col min="3" max="3" width="13.28515625" style="32" customWidth="1"/>
    <col min="4" max="14" width="13.28515625" style="273" customWidth="1"/>
    <col min="15" max="20" width="13.28515625" style="32" customWidth="1"/>
    <col min="21" max="24" width="12.7109375" style="32" customWidth="1"/>
    <col min="25" max="30" width="12.85546875" style="32" customWidth="1"/>
    <col min="31" max="16384" width="8.85546875" style="32"/>
  </cols>
  <sheetData>
    <row r="1" spans="1:21" s="315" customFormat="1" ht="46.5" customHeight="1">
      <c r="A1" s="314"/>
      <c r="B1" s="314" t="s">
        <v>266</v>
      </c>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18" hidden="1" customHeight="1">
      <c r="A2" s="311"/>
      <c r="B2" s="31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282</v>
      </c>
      <c r="S2" s="317">
        <v>266</v>
      </c>
      <c r="T2" s="318"/>
      <c r="U2" s="268"/>
    </row>
    <row r="3" spans="1:21" s="6" customFormat="1" ht="20.100000000000001" customHeight="1">
      <c r="A3" s="319" t="s">
        <v>128</v>
      </c>
      <c r="B3" s="319"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20.100000000000001" customHeight="1">
      <c r="A4" s="322" t="s">
        <v>129</v>
      </c>
      <c r="B4" s="331" t="s">
        <v>35</v>
      </c>
      <c r="C4" s="393">
        <f t="shared" ref="C4:T15" si="1">+C27/$T27</f>
        <v>7.8338353021956582E-3</v>
      </c>
      <c r="D4" s="393">
        <f t="shared" si="1"/>
        <v>0.68672461416020347</v>
      </c>
      <c r="E4" s="393">
        <f t="shared" si="1"/>
        <v>2.0463683983291979E-2</v>
      </c>
      <c r="F4" s="393">
        <f t="shared" si="1"/>
        <v>3.2042779190919824E-3</v>
      </c>
      <c r="G4" s="393">
        <f t="shared" si="1"/>
        <v>4.1416332454237606E-2</v>
      </c>
      <c r="H4" s="393">
        <f t="shared" si="1"/>
        <v>4.2758383920350803E-3</v>
      </c>
      <c r="I4" s="393">
        <f t="shared" si="1"/>
        <v>1.281711167636793E-2</v>
      </c>
      <c r="J4" s="393">
        <f t="shared" si="1"/>
        <v>1.8726299527160937E-3</v>
      </c>
      <c r="K4" s="393">
        <f t="shared" si="1"/>
        <v>4.4422943878320671E-3</v>
      </c>
      <c r="L4" s="393">
        <f t="shared" si="1"/>
        <v>3.7452599054321875E-4</v>
      </c>
      <c r="M4" s="393">
        <f t="shared" si="1"/>
        <v>1.0403499737311632E-5</v>
      </c>
      <c r="N4" s="393">
        <f t="shared" si="1"/>
        <v>0.12519051408893953</v>
      </c>
      <c r="O4" s="393">
        <f t="shared" si="1"/>
        <v>6.9703448239987929E-4</v>
      </c>
      <c r="P4" s="393">
        <f t="shared" si="1"/>
        <v>1.6135828092570342E-2</v>
      </c>
      <c r="Q4" s="393">
        <f t="shared" si="1"/>
        <v>9.9665527483445426E-3</v>
      </c>
      <c r="R4" s="393">
        <f t="shared" si="1"/>
        <v>0</v>
      </c>
      <c r="S4" s="393">
        <f t="shared" si="1"/>
        <v>6.4574522869493292E-2</v>
      </c>
      <c r="T4" s="393">
        <f t="shared" si="1"/>
        <v>1</v>
      </c>
    </row>
    <row r="5" spans="1:21" ht="20.100000000000001" customHeight="1">
      <c r="A5" s="322" t="s">
        <v>140</v>
      </c>
      <c r="B5" s="331" t="s">
        <v>36</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20.100000000000001" customHeight="1">
      <c r="A6" s="322" t="s">
        <v>130</v>
      </c>
      <c r="B6" s="331" t="s">
        <v>37</v>
      </c>
      <c r="C6" s="393">
        <f t="shared" si="1"/>
        <v>4.664550889364529E-3</v>
      </c>
      <c r="D6" s="393">
        <f t="shared" si="1"/>
        <v>5.5945088198391023E-2</v>
      </c>
      <c r="E6" s="393">
        <f t="shared" si="1"/>
        <v>5.1959554210642854E-3</v>
      </c>
      <c r="F6" s="393">
        <f t="shared" si="1"/>
        <v>4.9597756291977265E-3</v>
      </c>
      <c r="G6" s="393">
        <f t="shared" si="1"/>
        <v>0.84310281201564696</v>
      </c>
      <c r="H6" s="393">
        <f t="shared" si="1"/>
        <v>8.1777252933795848E-3</v>
      </c>
      <c r="I6" s="393">
        <f t="shared" si="1"/>
        <v>1.3285113292493911E-3</v>
      </c>
      <c r="J6" s="393">
        <f t="shared" si="1"/>
        <v>4.5169385194479298E-3</v>
      </c>
      <c r="K6" s="393">
        <f t="shared" si="1"/>
        <v>5.9044947966639606E-4</v>
      </c>
      <c r="L6" s="393">
        <f t="shared" si="1"/>
        <v>7.9710679754963463E-4</v>
      </c>
      <c r="M6" s="393">
        <f t="shared" si="1"/>
        <v>0</v>
      </c>
      <c r="N6" s="393">
        <f t="shared" si="1"/>
        <v>1.5676433685142814E-2</v>
      </c>
      <c r="O6" s="393">
        <f t="shared" si="1"/>
        <v>3.6430732895416637E-2</v>
      </c>
      <c r="P6" s="393">
        <f t="shared" si="1"/>
        <v>3.5426968779983764E-4</v>
      </c>
      <c r="Q6" s="393">
        <f t="shared" si="1"/>
        <v>1.7300169754225405E-2</v>
      </c>
      <c r="R6" s="393">
        <f t="shared" si="1"/>
        <v>0</v>
      </c>
      <c r="S6" s="393">
        <f t="shared" si="1"/>
        <v>9.5948040445789358E-4</v>
      </c>
      <c r="T6" s="393">
        <f t="shared" si="1"/>
        <v>1</v>
      </c>
    </row>
    <row r="7" spans="1:21" ht="20.100000000000001" customHeight="1">
      <c r="A7" s="322" t="s">
        <v>131</v>
      </c>
      <c r="B7" s="331"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20.100000000000001" customHeight="1">
      <c r="A8" s="322" t="s">
        <v>132</v>
      </c>
      <c r="B8" s="331" t="s">
        <v>206</v>
      </c>
      <c r="C8" s="393">
        <f t="shared" si="1"/>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20.100000000000001" customHeight="1">
      <c r="A9" s="322" t="s">
        <v>134</v>
      </c>
      <c r="B9" s="331" t="s">
        <v>40</v>
      </c>
      <c r="C9" s="393">
        <f t="shared" si="1"/>
        <v>0</v>
      </c>
      <c r="D9" s="393">
        <f t="shared" si="1"/>
        <v>0</v>
      </c>
      <c r="E9" s="393">
        <f t="shared" si="1"/>
        <v>0</v>
      </c>
      <c r="F9" s="393">
        <f t="shared" si="1"/>
        <v>0</v>
      </c>
      <c r="G9" s="393">
        <f t="shared" si="1"/>
        <v>0</v>
      </c>
      <c r="H9" s="393">
        <f t="shared" si="1"/>
        <v>0</v>
      </c>
      <c r="I9" s="393">
        <f t="shared" si="1"/>
        <v>1</v>
      </c>
      <c r="J9" s="393">
        <f t="shared" si="1"/>
        <v>0</v>
      </c>
      <c r="K9" s="393">
        <f t="shared" si="1"/>
        <v>0</v>
      </c>
      <c r="L9" s="393">
        <f t="shared" si="1"/>
        <v>0</v>
      </c>
      <c r="M9" s="393">
        <f t="shared" si="1"/>
        <v>0</v>
      </c>
      <c r="N9" s="393">
        <f t="shared" si="1"/>
        <v>0</v>
      </c>
      <c r="O9" s="393">
        <f t="shared" si="1"/>
        <v>0</v>
      </c>
      <c r="P9" s="393">
        <f t="shared" si="1"/>
        <v>0</v>
      </c>
      <c r="Q9" s="393">
        <f t="shared" si="1"/>
        <v>0</v>
      </c>
      <c r="R9" s="393">
        <f t="shared" si="1"/>
        <v>0</v>
      </c>
      <c r="S9" s="393">
        <f t="shared" si="1"/>
        <v>0</v>
      </c>
      <c r="T9" s="393">
        <f t="shared" si="1"/>
        <v>1</v>
      </c>
    </row>
    <row r="10" spans="1:21" ht="20.100000000000001" customHeight="1">
      <c r="A10" s="322" t="s">
        <v>135</v>
      </c>
      <c r="B10" s="331"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20.100000000000001" customHeight="1">
      <c r="A11" s="322" t="s">
        <v>136</v>
      </c>
      <c r="B11" s="331"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20.100000000000001" customHeight="1">
      <c r="A12" s="322" t="s">
        <v>137</v>
      </c>
      <c r="B12" s="331"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20.100000000000001" customHeight="1">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20.100000000000001" customHeight="1">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20.100000000000001" customHeight="1">
      <c r="A15" s="322" t="s">
        <v>148</v>
      </c>
      <c r="B15" s="331"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20.100000000000001" customHeight="1">
      <c r="A16" s="322" t="s">
        <v>149</v>
      </c>
      <c r="B16" s="331" t="s">
        <v>38</v>
      </c>
      <c r="C16" s="393">
        <f t="shared" ref="C16:T16" si="2">+C39/$T39</f>
        <v>8.4340736575766093E-4</v>
      </c>
      <c r="D16" s="393">
        <f t="shared" si="2"/>
        <v>6.4661231374754007E-3</v>
      </c>
      <c r="E16" s="393">
        <f t="shared" si="2"/>
        <v>0.98472495548683348</v>
      </c>
      <c r="F16" s="393">
        <f t="shared" si="2"/>
        <v>0</v>
      </c>
      <c r="G16" s="393">
        <f t="shared" si="2"/>
        <v>2.6239340268016118E-3</v>
      </c>
      <c r="H16" s="393">
        <f t="shared" si="2"/>
        <v>4.6855964764314496E-4</v>
      </c>
      <c r="I16" s="393">
        <f t="shared" si="2"/>
        <v>7.4969543622903194E-4</v>
      </c>
      <c r="J16" s="393">
        <f t="shared" si="2"/>
        <v>0</v>
      </c>
      <c r="K16" s="393">
        <f t="shared" si="2"/>
        <v>2.905069815387499E-3</v>
      </c>
      <c r="L16" s="393">
        <f t="shared" si="2"/>
        <v>0</v>
      </c>
      <c r="M16" s="393">
        <f t="shared" si="2"/>
        <v>0</v>
      </c>
      <c r="N16" s="393">
        <f t="shared" si="2"/>
        <v>4.6855964764314496E-4</v>
      </c>
      <c r="O16" s="393">
        <f t="shared" si="2"/>
        <v>0</v>
      </c>
      <c r="P16" s="393">
        <f t="shared" si="2"/>
        <v>0</v>
      </c>
      <c r="Q16" s="393">
        <f t="shared" si="2"/>
        <v>7.4969543622903194E-4</v>
      </c>
      <c r="R16" s="393">
        <f t="shared" si="2"/>
        <v>0</v>
      </c>
      <c r="S16" s="393">
        <f t="shared" si="2"/>
        <v>0</v>
      </c>
      <c r="T16" s="393">
        <f t="shared" si="2"/>
        <v>1</v>
      </c>
    </row>
    <row r="17" spans="1:20" ht="20.100000000000001" customHeight="1">
      <c r="A17" s="322" t="s">
        <v>150</v>
      </c>
      <c r="B17" s="331" t="s">
        <v>31</v>
      </c>
      <c r="C17" s="393">
        <f>+C40/$T40</f>
        <v>1.7803638890095098E-3</v>
      </c>
      <c r="D17" s="393">
        <f>+D40/$T40</f>
        <v>5.7753267619088978E-3</v>
      </c>
      <c r="E17" s="393">
        <f>+E40/$T40</f>
        <v>3.9081158539233142E-3</v>
      </c>
      <c r="F17" s="393">
        <f t="shared" ref="F17:T17" si="3">+F40/$T40</f>
        <v>0</v>
      </c>
      <c r="G17" s="393">
        <f t="shared" si="3"/>
        <v>1.3027052846411048E-4</v>
      </c>
      <c r="H17" s="393">
        <f t="shared" si="3"/>
        <v>1.0855877372009206E-3</v>
      </c>
      <c r="I17" s="393">
        <f t="shared" si="3"/>
        <v>3.9949628728993877E-3</v>
      </c>
      <c r="J17" s="393">
        <f t="shared" si="3"/>
        <v>0.97898302140779014</v>
      </c>
      <c r="K17" s="393">
        <f t="shared" si="3"/>
        <v>6.9477615180858917E-4</v>
      </c>
      <c r="L17" s="393">
        <f t="shared" si="3"/>
        <v>1.3027052846411048E-4</v>
      </c>
      <c r="M17" s="393">
        <f t="shared" si="3"/>
        <v>0</v>
      </c>
      <c r="N17" s="393">
        <f t="shared" si="3"/>
        <v>5.2108211385644193E-4</v>
      </c>
      <c r="O17" s="393">
        <f t="shared" si="3"/>
        <v>0</v>
      </c>
      <c r="P17" s="393">
        <f t="shared" si="3"/>
        <v>0</v>
      </c>
      <c r="Q17" s="393">
        <f t="shared" si="3"/>
        <v>2.9962221546745407E-3</v>
      </c>
      <c r="R17" s="393">
        <f t="shared" si="3"/>
        <v>0</v>
      </c>
      <c r="S17" s="393">
        <f t="shared" si="3"/>
        <v>0</v>
      </c>
      <c r="T17" s="393">
        <f t="shared" si="3"/>
        <v>1</v>
      </c>
    </row>
    <row r="18" spans="1:20" ht="20.100000000000001" customHeight="1">
      <c r="A18" s="322" t="s">
        <v>151</v>
      </c>
      <c r="B18" s="331" t="s">
        <v>209</v>
      </c>
      <c r="C18" s="393">
        <f t="shared" ref="C18:T23" si="4">+C41/$T41</f>
        <v>0</v>
      </c>
      <c r="D18" s="393">
        <f t="shared" si="4"/>
        <v>3.6837748344370862E-2</v>
      </c>
      <c r="E18" s="393">
        <f t="shared" si="4"/>
        <v>0</v>
      </c>
      <c r="F18" s="393">
        <f t="shared" si="4"/>
        <v>0</v>
      </c>
      <c r="G18" s="393">
        <f t="shared" si="4"/>
        <v>0</v>
      </c>
      <c r="H18" s="393">
        <f t="shared" si="4"/>
        <v>0</v>
      </c>
      <c r="I18" s="393">
        <f t="shared" si="4"/>
        <v>1.2417218543046358E-3</v>
      </c>
      <c r="J18" s="393">
        <f t="shared" si="4"/>
        <v>0.94950331125827814</v>
      </c>
      <c r="K18" s="393">
        <f t="shared" si="4"/>
        <v>1.1589403973509934E-2</v>
      </c>
      <c r="L18" s="393">
        <f t="shared" si="4"/>
        <v>0</v>
      </c>
      <c r="M18" s="393">
        <f t="shared" si="4"/>
        <v>0</v>
      </c>
      <c r="N18" s="393">
        <f t="shared" si="4"/>
        <v>0</v>
      </c>
      <c r="O18" s="393">
        <f t="shared" si="4"/>
        <v>0</v>
      </c>
      <c r="P18" s="393">
        <f t="shared" si="4"/>
        <v>0</v>
      </c>
      <c r="Q18" s="393">
        <f t="shared" si="4"/>
        <v>8.2781456953642384E-4</v>
      </c>
      <c r="R18" s="393">
        <f t="shared" si="4"/>
        <v>0</v>
      </c>
      <c r="S18" s="393">
        <f t="shared" si="4"/>
        <v>0</v>
      </c>
      <c r="T18" s="393">
        <f t="shared" si="4"/>
        <v>1</v>
      </c>
    </row>
    <row r="19" spans="1:20" ht="20.100000000000001" customHeight="1">
      <c r="A19" s="322" t="s">
        <v>153</v>
      </c>
      <c r="B19" s="331" t="s">
        <v>100</v>
      </c>
      <c r="C19" s="393">
        <f t="shared" si="4"/>
        <v>0</v>
      </c>
      <c r="D19" s="393">
        <f t="shared" si="4"/>
        <v>5.9121621621621625E-3</v>
      </c>
      <c r="E19" s="393">
        <f t="shared" si="4"/>
        <v>0</v>
      </c>
      <c r="F19" s="393">
        <f t="shared" si="4"/>
        <v>0</v>
      </c>
      <c r="G19" s="393">
        <f t="shared" si="4"/>
        <v>0</v>
      </c>
      <c r="H19" s="393">
        <f t="shared" si="4"/>
        <v>4.2229729729729732E-4</v>
      </c>
      <c r="I19" s="393">
        <f t="shared" si="4"/>
        <v>0</v>
      </c>
      <c r="J19" s="393">
        <f t="shared" si="4"/>
        <v>0</v>
      </c>
      <c r="K19" s="393">
        <f t="shared" si="4"/>
        <v>8.4459459459459464E-3</v>
      </c>
      <c r="L19" s="393">
        <f t="shared" si="4"/>
        <v>5.0675675675675678E-3</v>
      </c>
      <c r="M19" s="393">
        <f t="shared" si="4"/>
        <v>8.4459459459459464E-4</v>
      </c>
      <c r="N19" s="393">
        <f t="shared" si="4"/>
        <v>1.266891891891892E-2</v>
      </c>
      <c r="O19" s="393">
        <f t="shared" si="4"/>
        <v>0.88935810810810811</v>
      </c>
      <c r="P19" s="393">
        <f t="shared" si="4"/>
        <v>2.4915540540540539E-2</v>
      </c>
      <c r="Q19" s="393">
        <f t="shared" si="4"/>
        <v>5.2364864864864864E-2</v>
      </c>
      <c r="R19" s="393">
        <f t="shared" si="4"/>
        <v>0</v>
      </c>
      <c r="S19" s="393">
        <f t="shared" si="4"/>
        <v>0</v>
      </c>
      <c r="T19" s="393">
        <f t="shared" si="4"/>
        <v>1</v>
      </c>
    </row>
    <row r="20" spans="1:20" ht="20.100000000000001" customHeight="1">
      <c r="A20" s="322" t="s">
        <v>155</v>
      </c>
      <c r="B20" s="331" t="s">
        <v>42</v>
      </c>
      <c r="C20" s="393">
        <f t="shared" si="4"/>
        <v>0</v>
      </c>
      <c r="D20" s="393">
        <f t="shared" si="4"/>
        <v>1.9003378378378379E-3</v>
      </c>
      <c r="E20" s="393">
        <f t="shared" si="4"/>
        <v>0</v>
      </c>
      <c r="F20" s="393">
        <f t="shared" si="4"/>
        <v>0</v>
      </c>
      <c r="G20" s="393">
        <f t="shared" si="4"/>
        <v>0</v>
      </c>
      <c r="H20" s="393">
        <f t="shared" si="4"/>
        <v>3.1672297297297299E-4</v>
      </c>
      <c r="I20" s="393">
        <f t="shared" si="4"/>
        <v>0</v>
      </c>
      <c r="J20" s="393">
        <f t="shared" si="4"/>
        <v>5.2787162162162165E-5</v>
      </c>
      <c r="K20" s="393">
        <f t="shared" si="4"/>
        <v>0</v>
      </c>
      <c r="L20" s="393">
        <f t="shared" si="4"/>
        <v>0</v>
      </c>
      <c r="M20" s="393">
        <f t="shared" si="4"/>
        <v>5.2787162162162165E-5</v>
      </c>
      <c r="N20" s="393">
        <f t="shared" si="4"/>
        <v>0.11270059121621621</v>
      </c>
      <c r="O20" s="393">
        <f t="shared" si="4"/>
        <v>4.592483108108108E-3</v>
      </c>
      <c r="P20" s="393">
        <f t="shared" si="4"/>
        <v>0.87220228040540537</v>
      </c>
      <c r="Q20" s="393">
        <f t="shared" si="4"/>
        <v>8.1820101351351357E-3</v>
      </c>
      <c r="R20" s="393">
        <f t="shared" si="4"/>
        <v>0</v>
      </c>
      <c r="S20" s="393">
        <f t="shared" si="4"/>
        <v>0</v>
      </c>
      <c r="T20" s="393">
        <f t="shared" si="4"/>
        <v>1</v>
      </c>
    </row>
    <row r="21" spans="1:20" ht="20.100000000000001" customHeight="1">
      <c r="A21" s="322" t="s">
        <v>162</v>
      </c>
      <c r="B21" s="331" t="s">
        <v>76</v>
      </c>
      <c r="C21" s="393">
        <f t="shared" si="4"/>
        <v>0</v>
      </c>
      <c r="D21" s="393">
        <f t="shared" si="4"/>
        <v>4.4405521086455081E-4</v>
      </c>
      <c r="E21" s="393">
        <f t="shared" si="4"/>
        <v>0</v>
      </c>
      <c r="F21" s="393">
        <f t="shared" si="4"/>
        <v>0</v>
      </c>
      <c r="G21" s="393">
        <f t="shared" si="4"/>
        <v>0</v>
      </c>
      <c r="H21" s="393">
        <f t="shared" si="4"/>
        <v>0</v>
      </c>
      <c r="I21" s="393">
        <f t="shared" si="4"/>
        <v>0</v>
      </c>
      <c r="J21" s="393">
        <f t="shared" si="4"/>
        <v>0</v>
      </c>
      <c r="K21" s="393">
        <f t="shared" si="4"/>
        <v>0</v>
      </c>
      <c r="L21" s="393">
        <f t="shared" si="4"/>
        <v>0</v>
      </c>
      <c r="M21" s="393">
        <f t="shared" si="4"/>
        <v>7.4009201810758469E-5</v>
      </c>
      <c r="N21" s="393">
        <f t="shared" si="4"/>
        <v>0.9976810450099296</v>
      </c>
      <c r="O21" s="393">
        <f t="shared" si="4"/>
        <v>0</v>
      </c>
      <c r="P21" s="393">
        <f t="shared" si="4"/>
        <v>0</v>
      </c>
      <c r="Q21" s="393">
        <f t="shared" si="4"/>
        <v>1.7268813755843644E-3</v>
      </c>
      <c r="R21" s="393">
        <f t="shared" si="4"/>
        <v>0</v>
      </c>
      <c r="S21" s="393">
        <f t="shared" si="4"/>
        <v>7.4009201810758469E-5</v>
      </c>
      <c r="T21" s="393">
        <f t="shared" si="4"/>
        <v>1</v>
      </c>
    </row>
    <row r="22" spans="1:20" ht="20.100000000000001" customHeight="1">
      <c r="A22" s="322" t="s">
        <v>156</v>
      </c>
      <c r="B22" s="331" t="s">
        <v>77</v>
      </c>
      <c r="C22" s="393">
        <f t="shared" si="4"/>
        <v>0</v>
      </c>
      <c r="D22" s="393">
        <f t="shared" si="4"/>
        <v>0</v>
      </c>
      <c r="E22" s="393">
        <f t="shared" si="4"/>
        <v>0</v>
      </c>
      <c r="F22" s="393">
        <f t="shared" si="4"/>
        <v>0</v>
      </c>
      <c r="G22" s="393">
        <f t="shared" si="4"/>
        <v>0</v>
      </c>
      <c r="H22" s="393">
        <f t="shared" si="4"/>
        <v>0</v>
      </c>
      <c r="I22" s="393">
        <f t="shared" si="4"/>
        <v>0</v>
      </c>
      <c r="J22" s="393">
        <f t="shared" si="4"/>
        <v>0</v>
      </c>
      <c r="K22" s="393">
        <f t="shared" si="4"/>
        <v>0</v>
      </c>
      <c r="L22" s="393">
        <f t="shared" si="4"/>
        <v>0</v>
      </c>
      <c r="M22" s="393">
        <f t="shared" si="4"/>
        <v>0.86797289873649519</v>
      </c>
      <c r="N22" s="393">
        <f t="shared" si="4"/>
        <v>0.13202710126350486</v>
      </c>
      <c r="O22" s="393">
        <f t="shared" si="4"/>
        <v>0</v>
      </c>
      <c r="P22" s="393">
        <f t="shared" si="4"/>
        <v>0</v>
      </c>
      <c r="Q22" s="393">
        <f t="shared" si="4"/>
        <v>0</v>
      </c>
      <c r="R22" s="393">
        <f t="shared" si="4"/>
        <v>0</v>
      </c>
      <c r="S22" s="393">
        <f t="shared" si="4"/>
        <v>0</v>
      </c>
      <c r="T22" s="393">
        <f t="shared" si="4"/>
        <v>1</v>
      </c>
    </row>
    <row r="23" spans="1:20" ht="20.100000000000001" customHeight="1">
      <c r="A23" s="325" t="s">
        <v>163</v>
      </c>
      <c r="B23" s="335" t="s">
        <v>164</v>
      </c>
      <c r="C23" s="394">
        <f t="shared" si="4"/>
        <v>0</v>
      </c>
      <c r="D23" s="394">
        <f t="shared" si="4"/>
        <v>8.7935279634189234E-3</v>
      </c>
      <c r="E23" s="394">
        <f t="shared" si="4"/>
        <v>0</v>
      </c>
      <c r="F23" s="394">
        <f t="shared" si="4"/>
        <v>0</v>
      </c>
      <c r="G23" s="394">
        <f t="shared" si="4"/>
        <v>0</v>
      </c>
      <c r="H23" s="394">
        <f t="shared" si="4"/>
        <v>0</v>
      </c>
      <c r="I23" s="394">
        <f t="shared" si="4"/>
        <v>0</v>
      </c>
      <c r="J23" s="394">
        <f t="shared" si="4"/>
        <v>0</v>
      </c>
      <c r="K23" s="394">
        <f t="shared" si="4"/>
        <v>0</v>
      </c>
      <c r="L23" s="394">
        <f t="shared" si="4"/>
        <v>0</v>
      </c>
      <c r="M23" s="394">
        <f t="shared" si="4"/>
        <v>0.96623285262047132</v>
      </c>
      <c r="N23" s="394">
        <f t="shared" si="4"/>
        <v>1.8290538163911362E-2</v>
      </c>
      <c r="O23" s="394">
        <f t="shared" si="4"/>
        <v>0</v>
      </c>
      <c r="P23" s="394">
        <f t="shared" si="4"/>
        <v>0</v>
      </c>
      <c r="Q23" s="394">
        <f t="shared" si="4"/>
        <v>6.3313401336616247E-3</v>
      </c>
      <c r="R23" s="394">
        <f t="shared" si="4"/>
        <v>0</v>
      </c>
      <c r="S23" s="394">
        <f t="shared" si="4"/>
        <v>3.5174111853675694E-4</v>
      </c>
      <c r="T23" s="394">
        <f t="shared" si="4"/>
        <v>1</v>
      </c>
    </row>
    <row r="24" spans="1:20" ht="18" customHeight="1">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51.75" customHeight="1">
      <c r="A25" s="316"/>
      <c r="B25" s="316"/>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20.100000000000001" customHeight="1">
      <c r="A26" s="319" t="s">
        <v>128</v>
      </c>
      <c r="B26" s="319" t="s">
        <v>21</v>
      </c>
      <c r="C26" s="329">
        <v>23963</v>
      </c>
      <c r="D26" s="329">
        <v>785955</v>
      </c>
      <c r="E26" s="329">
        <v>77951</v>
      </c>
      <c r="F26" s="329">
        <v>16347</v>
      </c>
      <c r="G26" s="329">
        <v>106100</v>
      </c>
      <c r="H26" s="329">
        <v>70090</v>
      </c>
      <c r="I26" s="329">
        <v>13983</v>
      </c>
      <c r="J26" s="329">
        <v>154</v>
      </c>
      <c r="K26" s="329">
        <v>110</v>
      </c>
      <c r="L26" s="329">
        <v>3827</v>
      </c>
      <c r="M26" s="329">
        <v>91</v>
      </c>
      <c r="N26" s="329">
        <v>31306.5</v>
      </c>
      <c r="O26" s="329">
        <v>9559</v>
      </c>
      <c r="P26" s="329">
        <v>421</v>
      </c>
      <c r="Q26" s="329">
        <v>15027</v>
      </c>
      <c r="R26" s="329">
        <v>15439</v>
      </c>
      <c r="S26" s="329">
        <v>2110</v>
      </c>
      <c r="T26" s="330">
        <f t="shared" ref="T26:T46" si="5">SUM(C26:S26)</f>
        <v>1172433.5</v>
      </c>
    </row>
    <row r="27" spans="1:20" s="6" customFormat="1" ht="20.100000000000001" customHeight="1">
      <c r="A27" s="331" t="s">
        <v>129</v>
      </c>
      <c r="B27" s="331" t="s">
        <v>35</v>
      </c>
      <c r="C27" s="332">
        <v>753</v>
      </c>
      <c r="D27" s="332">
        <v>66009</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5"/>
        <v>96121.5</v>
      </c>
    </row>
    <row r="28" spans="1:20" s="6" customFormat="1" ht="20.100000000000001" customHeight="1">
      <c r="A28" s="331" t="s">
        <v>140</v>
      </c>
      <c r="B28" s="331" t="s">
        <v>36</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5"/>
        <v>4985.5</v>
      </c>
    </row>
    <row r="29" spans="1:20" s="6" customFormat="1" ht="20.100000000000001" customHeight="1">
      <c r="A29" s="331" t="s">
        <v>130</v>
      </c>
      <c r="B29" s="331" t="s">
        <v>37</v>
      </c>
      <c r="C29" s="332">
        <v>158</v>
      </c>
      <c r="D29" s="332">
        <v>1895</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5"/>
        <v>33872.5</v>
      </c>
    </row>
    <row r="30" spans="1:20" s="6" customFormat="1" ht="20.100000000000001" customHeight="1">
      <c r="A30" s="331" t="s">
        <v>131</v>
      </c>
      <c r="B30" s="331"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5"/>
        <v>16872</v>
      </c>
    </row>
    <row r="31" spans="1:20" s="6" customFormat="1" ht="20.100000000000001" customHeight="1">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20.100000000000001" customHeight="1">
      <c r="A32" s="331" t="s">
        <v>134</v>
      </c>
      <c r="B32" s="331" t="s">
        <v>40</v>
      </c>
      <c r="C32" s="332"/>
      <c r="D32" s="332"/>
      <c r="E32" s="332"/>
      <c r="F32" s="332"/>
      <c r="G32" s="332"/>
      <c r="H32" s="332"/>
      <c r="I32" s="333">
        <v>22</v>
      </c>
      <c r="J32" s="333"/>
      <c r="K32" s="332"/>
      <c r="L32" s="332"/>
      <c r="M32" s="333"/>
      <c r="N32" s="332"/>
      <c r="O32" s="333"/>
      <c r="P32" s="333"/>
      <c r="Q32" s="332"/>
      <c r="R32" s="333"/>
      <c r="S32" s="333"/>
      <c r="T32" s="334">
        <f t="shared" si="5"/>
        <v>22</v>
      </c>
    </row>
    <row r="33" spans="1:20" s="6" customFormat="1" ht="20.100000000000001" customHeight="1">
      <c r="A33" s="331" t="s">
        <v>135</v>
      </c>
      <c r="B33" s="331"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5"/>
        <v>9505</v>
      </c>
    </row>
    <row r="34" spans="1:20" s="6" customFormat="1" ht="20.100000000000001" customHeight="1">
      <c r="A34" s="331" t="s">
        <v>136</v>
      </c>
      <c r="B34" s="331"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5"/>
        <v>10041.5</v>
      </c>
    </row>
    <row r="35" spans="1:20" s="6" customFormat="1" ht="20.100000000000001" customHeight="1">
      <c r="A35" s="331" t="s">
        <v>137</v>
      </c>
      <c r="B35" s="331"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5"/>
        <v>6566</v>
      </c>
    </row>
    <row r="36" spans="1:20" s="6" customFormat="1" ht="20.100000000000001" customHeight="1">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20.100000000000001" customHeight="1">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20.100000000000001" customHeight="1">
      <c r="A38" s="331" t="s">
        <v>148</v>
      </c>
      <c r="B38" s="331"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5"/>
        <v>12624</v>
      </c>
    </row>
    <row r="39" spans="1:20" s="6" customFormat="1" ht="20.100000000000001" customHeight="1">
      <c r="A39" s="331" t="s">
        <v>149</v>
      </c>
      <c r="B39" s="331"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5"/>
        <v>10671</v>
      </c>
    </row>
    <row r="40" spans="1:20" s="6" customFormat="1" ht="20.100000000000001" customHeight="1">
      <c r="A40" s="331" t="s">
        <v>150</v>
      </c>
      <c r="B40" s="331"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5"/>
        <v>23029</v>
      </c>
    </row>
    <row r="41" spans="1:20" s="6" customFormat="1" ht="20.100000000000001" customHeight="1">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20.100000000000001" customHeight="1">
      <c r="A42" s="331" t="s">
        <v>153</v>
      </c>
      <c r="B42" s="331"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5"/>
        <v>2368</v>
      </c>
    </row>
    <row r="43" spans="1:20" s="6" customFormat="1" ht="20.100000000000001" customHeight="1">
      <c r="A43" s="331" t="s">
        <v>155</v>
      </c>
      <c r="B43" s="331"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5"/>
        <v>18944</v>
      </c>
    </row>
    <row r="44" spans="1:20" s="6" customFormat="1" ht="20.100000000000001" customHeight="1">
      <c r="A44" s="331" t="s">
        <v>162</v>
      </c>
      <c r="B44" s="331" t="s">
        <v>76</v>
      </c>
      <c r="C44" s="333"/>
      <c r="D44" s="332">
        <v>18</v>
      </c>
      <c r="E44" s="333"/>
      <c r="F44" s="332"/>
      <c r="G44" s="333"/>
      <c r="H44" s="333"/>
      <c r="I44" s="333"/>
      <c r="J44" s="333"/>
      <c r="K44" s="332"/>
      <c r="L44" s="333"/>
      <c r="M44" s="333">
        <v>3</v>
      </c>
      <c r="N44" s="333">
        <v>40441.5</v>
      </c>
      <c r="O44" s="333"/>
      <c r="P44" s="333"/>
      <c r="Q44" s="333">
        <v>70</v>
      </c>
      <c r="R44" s="333"/>
      <c r="S44" s="333">
        <v>3</v>
      </c>
      <c r="T44" s="334">
        <f t="shared" si="5"/>
        <v>40535.5</v>
      </c>
    </row>
    <row r="45" spans="1:20" s="6" customFormat="1" ht="20.100000000000001" customHeight="1">
      <c r="A45" s="331" t="s">
        <v>156</v>
      </c>
      <c r="B45" s="331" t="s">
        <v>77</v>
      </c>
      <c r="C45" s="333"/>
      <c r="D45" s="333"/>
      <c r="E45" s="333"/>
      <c r="F45" s="333"/>
      <c r="G45" s="332"/>
      <c r="H45" s="333"/>
      <c r="I45" s="333"/>
      <c r="J45" s="333"/>
      <c r="K45" s="333"/>
      <c r="L45" s="333"/>
      <c r="M45" s="333">
        <v>14220</v>
      </c>
      <c r="N45" s="332">
        <v>2163</v>
      </c>
      <c r="O45" s="333"/>
      <c r="P45" s="333"/>
      <c r="Q45" s="333"/>
      <c r="R45" s="333"/>
      <c r="S45" s="333"/>
      <c r="T45" s="334">
        <f t="shared" si="5"/>
        <v>16383</v>
      </c>
    </row>
    <row r="46" spans="1:20" s="6" customFormat="1" ht="20.100000000000001" customHeight="1">
      <c r="A46" s="335" t="s">
        <v>163</v>
      </c>
      <c r="B46" s="335" t="s">
        <v>164</v>
      </c>
      <c r="C46" s="336"/>
      <c r="D46" s="337">
        <v>25</v>
      </c>
      <c r="E46" s="336"/>
      <c r="F46" s="336"/>
      <c r="G46" s="337"/>
      <c r="H46" s="336"/>
      <c r="I46" s="336"/>
      <c r="J46" s="336"/>
      <c r="K46" s="336"/>
      <c r="L46" s="336"/>
      <c r="M46" s="336">
        <v>2747</v>
      </c>
      <c r="N46" s="337">
        <v>52</v>
      </c>
      <c r="O46" s="336"/>
      <c r="P46" s="336"/>
      <c r="Q46" s="336">
        <v>18</v>
      </c>
      <c r="R46" s="336"/>
      <c r="S46" s="336">
        <v>1</v>
      </c>
      <c r="T46" s="338">
        <f t="shared" si="5"/>
        <v>2843</v>
      </c>
    </row>
    <row r="47" spans="1:20" s="6" customFormat="1" ht="20.100000000000001" customHeight="1">
      <c r="A47" s="339"/>
      <c r="B47" s="339"/>
      <c r="C47" s="340">
        <f t="shared" ref="C47:T47" si="6">SUM(C26:C46)</f>
        <v>37140</v>
      </c>
      <c r="D47" s="341">
        <f t="shared" si="6"/>
        <v>857784</v>
      </c>
      <c r="E47" s="340">
        <f t="shared" si="6"/>
        <v>91065</v>
      </c>
      <c r="F47" s="340">
        <f t="shared" si="6"/>
        <v>36672</v>
      </c>
      <c r="G47" s="341">
        <f t="shared" si="6"/>
        <v>139906</v>
      </c>
      <c r="H47" s="340">
        <f t="shared" si="6"/>
        <v>87278</v>
      </c>
      <c r="I47" s="340">
        <f t="shared" si="6"/>
        <v>15422</v>
      </c>
      <c r="J47" s="340">
        <f t="shared" si="6"/>
        <v>25422</v>
      </c>
      <c r="K47" s="340">
        <f t="shared" si="6"/>
        <v>11854</v>
      </c>
      <c r="L47" s="340">
        <f t="shared" si="6"/>
        <v>14089</v>
      </c>
      <c r="M47" s="340">
        <f t="shared" si="6"/>
        <v>17078</v>
      </c>
      <c r="N47" s="341">
        <f t="shared" si="6"/>
        <v>94467</v>
      </c>
      <c r="O47" s="340">
        <f t="shared" si="6"/>
        <v>13082</v>
      </c>
      <c r="P47" s="340">
        <f t="shared" si="6"/>
        <v>18682</v>
      </c>
      <c r="Q47" s="340">
        <f t="shared" si="6"/>
        <v>31236.5</v>
      </c>
      <c r="R47" s="340">
        <f t="shared" si="6"/>
        <v>15439</v>
      </c>
      <c r="S47" s="340">
        <f t="shared" si="6"/>
        <v>8478.5</v>
      </c>
      <c r="T47" s="342">
        <f t="shared" si="6"/>
        <v>1515095</v>
      </c>
    </row>
    <row r="48" spans="1:20" ht="18" customHeight="1">
      <c r="D48" s="32"/>
      <c r="E48" s="32"/>
      <c r="F48" s="32"/>
      <c r="G48" s="32"/>
      <c r="H48" s="32"/>
      <c r="I48" s="32"/>
      <c r="J48" s="32"/>
      <c r="K48" s="32"/>
      <c r="L48" s="32"/>
      <c r="M48" s="32"/>
      <c r="N48" s="32"/>
    </row>
    <row r="49" spans="1:20" ht="38.25" customHeight="1">
      <c r="A49" s="652" t="s">
        <v>254</v>
      </c>
      <c r="B49" s="653"/>
      <c r="C49" s="327" t="s">
        <v>51</v>
      </c>
      <c r="D49" s="327" t="s">
        <v>52</v>
      </c>
      <c r="E49" s="327" t="s">
        <v>53</v>
      </c>
      <c r="F49" s="327" t="s">
        <v>54</v>
      </c>
      <c r="G49" s="327" t="s">
        <v>55</v>
      </c>
      <c r="H49" s="327" t="s">
        <v>56</v>
      </c>
      <c r="I49" s="327" t="s">
        <v>58</v>
      </c>
      <c r="J49" s="327" t="s">
        <v>59</v>
      </c>
      <c r="K49" s="327" t="s">
        <v>60</v>
      </c>
      <c r="L49" s="327" t="s">
        <v>61</v>
      </c>
      <c r="M49" s="327" t="s">
        <v>63</v>
      </c>
      <c r="N49" s="327" t="s">
        <v>64</v>
      </c>
      <c r="O49" s="327" t="s">
        <v>65</v>
      </c>
      <c r="P49" s="327" t="s">
        <v>66</v>
      </c>
      <c r="Q49" s="327" t="s">
        <v>67</v>
      </c>
      <c r="R49" s="327" t="s">
        <v>62</v>
      </c>
      <c r="S49" s="327" t="s">
        <v>57</v>
      </c>
      <c r="T49" s="328" t="s">
        <v>17</v>
      </c>
    </row>
    <row r="50" spans="1:20" ht="18" customHeight="1">
      <c r="A50" s="319" t="s">
        <v>128</v>
      </c>
      <c r="B50" s="319" t="s">
        <v>21</v>
      </c>
      <c r="C50" s="329" t="e">
        <f>+C26-#REF!</f>
        <v>#REF!</v>
      </c>
      <c r="D50" s="329" t="e">
        <f>+D26-#REF!</f>
        <v>#REF!</v>
      </c>
      <c r="E50" s="329" t="e">
        <f>+E26-#REF!</f>
        <v>#REF!</v>
      </c>
      <c r="F50" s="329" t="e">
        <f>+F26-#REF!</f>
        <v>#REF!</v>
      </c>
      <c r="G50" s="329" t="e">
        <f>+G26-#REF!</f>
        <v>#REF!</v>
      </c>
      <c r="H50" s="329" t="e">
        <f>+H26-#REF!</f>
        <v>#REF!</v>
      </c>
      <c r="I50" s="329" t="e">
        <f>+I26-#REF!</f>
        <v>#REF!</v>
      </c>
      <c r="J50" s="329" t="e">
        <f>+J26-#REF!</f>
        <v>#REF!</v>
      </c>
      <c r="K50" s="329" t="e">
        <f>+K26-#REF!</f>
        <v>#REF!</v>
      </c>
      <c r="L50" s="329" t="e">
        <f>+L26-#REF!</f>
        <v>#REF!</v>
      </c>
      <c r="M50" s="329" t="e">
        <f>+M26-#REF!</f>
        <v>#REF!</v>
      </c>
      <c r="N50" s="329" t="e">
        <f>+N26-#REF!</f>
        <v>#REF!</v>
      </c>
      <c r="O50" s="329" t="e">
        <f>+O26-#REF!</f>
        <v>#REF!</v>
      </c>
      <c r="P50" s="329" t="e">
        <f>+P26-#REF!</f>
        <v>#REF!</v>
      </c>
      <c r="Q50" s="329" t="e">
        <f>+Q26-#REF!</f>
        <v>#REF!</v>
      </c>
      <c r="R50" s="329" t="e">
        <f>+R26-#REF!</f>
        <v>#REF!</v>
      </c>
      <c r="S50" s="329" t="e">
        <f>+S26-#REF!</f>
        <v>#REF!</v>
      </c>
      <c r="T50" s="330" t="e">
        <f t="shared" ref="T50:T70" si="7">SUM(C50:S50)</f>
        <v>#REF!</v>
      </c>
    </row>
    <row r="51" spans="1:20" ht="18" customHeight="1">
      <c r="A51" s="331" t="s">
        <v>129</v>
      </c>
      <c r="B51" s="331" t="s">
        <v>35</v>
      </c>
      <c r="C51" s="332" t="e">
        <f>+C27-#REF!</f>
        <v>#REF!</v>
      </c>
      <c r="D51" s="332" t="e">
        <f>+D27-#REF!</f>
        <v>#REF!</v>
      </c>
      <c r="E51" s="332" t="e">
        <f>+E27-#REF!</f>
        <v>#REF!</v>
      </c>
      <c r="F51" s="332" t="e">
        <f>+F27-#REF!</f>
        <v>#REF!</v>
      </c>
      <c r="G51" s="332" t="e">
        <f>+G27-#REF!</f>
        <v>#REF!</v>
      </c>
      <c r="H51" s="332" t="e">
        <f>+H27-#REF!</f>
        <v>#REF!</v>
      </c>
      <c r="I51" s="332" t="e">
        <f>+I27-#REF!</f>
        <v>#REF!</v>
      </c>
      <c r="J51" s="332" t="e">
        <f>+J27-#REF!</f>
        <v>#REF!</v>
      </c>
      <c r="K51" s="332" t="e">
        <f>+K27-#REF!</f>
        <v>#REF!</v>
      </c>
      <c r="L51" s="332" t="e">
        <f>+L27-#REF!</f>
        <v>#REF!</v>
      </c>
      <c r="M51" s="332" t="e">
        <f>+M27-#REF!</f>
        <v>#REF!</v>
      </c>
      <c r="N51" s="332" t="e">
        <f>+N27-#REF!</f>
        <v>#REF!</v>
      </c>
      <c r="O51" s="332" t="e">
        <f>+O27-#REF!</f>
        <v>#REF!</v>
      </c>
      <c r="P51" s="332" t="e">
        <f>+P27-#REF!</f>
        <v>#REF!</v>
      </c>
      <c r="Q51" s="332" t="e">
        <f>+Q27-#REF!</f>
        <v>#REF!</v>
      </c>
      <c r="R51" s="333" t="e">
        <f>+R27-#REF!</f>
        <v>#REF!</v>
      </c>
      <c r="S51" s="332" t="e">
        <f>+S27-#REF!</f>
        <v>#REF!</v>
      </c>
      <c r="T51" s="334" t="e">
        <f t="shared" si="7"/>
        <v>#REF!</v>
      </c>
    </row>
    <row r="52" spans="1:20" ht="18" customHeight="1">
      <c r="A52" s="331" t="s">
        <v>140</v>
      </c>
      <c r="B52" s="331" t="s">
        <v>36</v>
      </c>
      <c r="C52" s="333" t="e">
        <f>+C28-#REF!</f>
        <v>#REF!</v>
      </c>
      <c r="D52" s="332" t="e">
        <f>+D28-#REF!</f>
        <v>#REF!</v>
      </c>
      <c r="E52" s="333" t="e">
        <f>+E28-#REF!</f>
        <v>#REF!</v>
      </c>
      <c r="F52" s="332" t="e">
        <f>+F28-#REF!</f>
        <v>#REF!</v>
      </c>
      <c r="G52" s="333" t="e">
        <f>+G28-#REF!</f>
        <v>#REF!</v>
      </c>
      <c r="H52" s="332" t="e">
        <f>+H28-#REF!</f>
        <v>#REF!</v>
      </c>
      <c r="I52" s="332" t="e">
        <f>+I28-#REF!</f>
        <v>#REF!</v>
      </c>
      <c r="J52" s="333" t="e">
        <f>+J28-#REF!</f>
        <v>#REF!</v>
      </c>
      <c r="K52" s="332" t="e">
        <f>+K28-#REF!</f>
        <v>#REF!</v>
      </c>
      <c r="L52" s="332" t="e">
        <f>+L28-#REF!</f>
        <v>#REF!</v>
      </c>
      <c r="M52" s="332" t="e">
        <f>+M28-#REF!</f>
        <v>#REF!</v>
      </c>
      <c r="N52" s="332" t="e">
        <f>+N28-#REF!</f>
        <v>#REF!</v>
      </c>
      <c r="O52" s="332" t="e">
        <f>+O28-#REF!</f>
        <v>#REF!</v>
      </c>
      <c r="P52" s="332" t="e">
        <f>+P28-#REF!</f>
        <v>#REF!</v>
      </c>
      <c r="Q52" s="332" t="e">
        <f>+Q28-#REF!</f>
        <v>#REF!</v>
      </c>
      <c r="R52" s="333" t="e">
        <f>+R28-#REF!</f>
        <v>#REF!</v>
      </c>
      <c r="S52" s="332" t="e">
        <f>+S28-#REF!</f>
        <v>#REF!</v>
      </c>
      <c r="T52" s="334" t="e">
        <f t="shared" si="7"/>
        <v>#REF!</v>
      </c>
    </row>
    <row r="53" spans="1:20" ht="18" customHeight="1">
      <c r="A53" s="331" t="s">
        <v>130</v>
      </c>
      <c r="B53" s="331" t="s">
        <v>37</v>
      </c>
      <c r="C53" s="332" t="e">
        <f>+C29-#REF!</f>
        <v>#REF!</v>
      </c>
      <c r="D53" s="332" t="e">
        <f>+D29-#REF!</f>
        <v>#REF!</v>
      </c>
      <c r="E53" s="332" t="e">
        <f>+E29-#REF!</f>
        <v>#REF!</v>
      </c>
      <c r="F53" s="332" t="e">
        <f>+F29-#REF!</f>
        <v>#REF!</v>
      </c>
      <c r="G53" s="332" t="e">
        <f>+G29-#REF!</f>
        <v>#REF!</v>
      </c>
      <c r="H53" s="332" t="e">
        <f>+H29-#REF!</f>
        <v>#REF!</v>
      </c>
      <c r="I53" s="332" t="e">
        <f>+I29-#REF!</f>
        <v>#REF!</v>
      </c>
      <c r="J53" s="332" t="e">
        <f>+J29-#REF!</f>
        <v>#REF!</v>
      </c>
      <c r="K53" s="332" t="e">
        <f>+K29-#REF!</f>
        <v>#REF!</v>
      </c>
      <c r="L53" s="332" t="e">
        <f>+L29-#REF!</f>
        <v>#REF!</v>
      </c>
      <c r="M53" s="332" t="e">
        <f>+M29-#REF!</f>
        <v>#REF!</v>
      </c>
      <c r="N53" s="332" t="e">
        <f>+N29-#REF!</f>
        <v>#REF!</v>
      </c>
      <c r="O53" s="332" t="e">
        <f>+O29-#REF!</f>
        <v>#REF!</v>
      </c>
      <c r="P53" s="332" t="e">
        <f>+P29-#REF!</f>
        <v>#REF!</v>
      </c>
      <c r="Q53" s="332" t="e">
        <f>+Q29-#REF!</f>
        <v>#REF!</v>
      </c>
      <c r="R53" s="333" t="e">
        <f>+R29-#REF!</f>
        <v>#REF!</v>
      </c>
      <c r="S53" s="332" t="e">
        <f>+S29-#REF!</f>
        <v>#REF!</v>
      </c>
      <c r="T53" s="334" t="e">
        <f t="shared" si="7"/>
        <v>#REF!</v>
      </c>
    </row>
    <row r="54" spans="1:20" ht="18" customHeight="1">
      <c r="A54" s="331" t="s">
        <v>131</v>
      </c>
      <c r="B54" s="331" t="s">
        <v>141</v>
      </c>
      <c r="C54" s="332" t="e">
        <f>+C30-#REF!</f>
        <v>#REF!</v>
      </c>
      <c r="D54" s="332" t="e">
        <f>+D30-#REF!</f>
        <v>#REF!</v>
      </c>
      <c r="E54" s="332" t="e">
        <f>+E30-#REF!</f>
        <v>#REF!</v>
      </c>
      <c r="F54" s="332" t="e">
        <f>+F30-#REF!</f>
        <v>#REF!</v>
      </c>
      <c r="G54" s="332" t="e">
        <f>+G30-#REF!</f>
        <v>#REF!</v>
      </c>
      <c r="H54" s="332" t="e">
        <f>+H30-#REF!</f>
        <v>#REF!</v>
      </c>
      <c r="I54" s="333" t="e">
        <f>+I30-#REF!</f>
        <v>#REF!</v>
      </c>
      <c r="J54" s="332" t="e">
        <f>+J30-#REF!</f>
        <v>#REF!</v>
      </c>
      <c r="K54" s="332" t="e">
        <f>+K30-#REF!</f>
        <v>#REF!</v>
      </c>
      <c r="L54" s="333" t="e">
        <f>+L30-#REF!</f>
        <v>#REF!</v>
      </c>
      <c r="M54" s="333" t="e">
        <f>+M30-#REF!</f>
        <v>#REF!</v>
      </c>
      <c r="N54" s="333" t="e">
        <f>+N30-#REF!</f>
        <v>#REF!</v>
      </c>
      <c r="O54" s="333" t="e">
        <f>+O30-#REF!</f>
        <v>#REF!</v>
      </c>
      <c r="P54" s="333" t="e">
        <f>+P30-#REF!</f>
        <v>#REF!</v>
      </c>
      <c r="Q54" s="332" t="e">
        <f>+Q30-#REF!</f>
        <v>#REF!</v>
      </c>
      <c r="R54" s="333" t="e">
        <f>+R30-#REF!</f>
        <v>#REF!</v>
      </c>
      <c r="S54" s="333" t="e">
        <f>+S30-#REF!</f>
        <v>#REF!</v>
      </c>
      <c r="T54" s="334" t="e">
        <f t="shared" si="7"/>
        <v>#REF!</v>
      </c>
    </row>
    <row r="55" spans="1:20" ht="18" customHeight="1">
      <c r="A55" s="331" t="s">
        <v>132</v>
      </c>
      <c r="B55" s="331" t="s">
        <v>206</v>
      </c>
      <c r="C55" s="333" t="e">
        <f>+C31-#REF!</f>
        <v>#REF!</v>
      </c>
      <c r="D55" s="332" t="e">
        <f>+D31-#REF!</f>
        <v>#REF!</v>
      </c>
      <c r="E55" s="333" t="e">
        <f>+E31-#REF!</f>
        <v>#REF!</v>
      </c>
      <c r="F55" s="332" t="e">
        <f>+F31-#REF!</f>
        <v>#REF!</v>
      </c>
      <c r="G55" s="332" t="e">
        <f>+G31-#REF!</f>
        <v>#REF!</v>
      </c>
      <c r="H55" s="333" t="e">
        <f>+H31-#REF!</f>
        <v>#REF!</v>
      </c>
      <c r="I55" s="332" t="e">
        <f>+I31-#REF!</f>
        <v>#REF!</v>
      </c>
      <c r="J55" s="333" t="e">
        <f>+J31-#REF!</f>
        <v>#REF!</v>
      </c>
      <c r="K55" s="332" t="e">
        <f>+K31-#REF!</f>
        <v>#REF!</v>
      </c>
      <c r="L55" s="333" t="e">
        <f>+L31-#REF!</f>
        <v>#REF!</v>
      </c>
      <c r="M55" s="333" t="e">
        <f>+M31-#REF!</f>
        <v>#REF!</v>
      </c>
      <c r="N55" s="332" t="e">
        <f>+N31-#REF!</f>
        <v>#REF!</v>
      </c>
      <c r="O55" s="333" t="e">
        <f>+O31-#REF!</f>
        <v>#REF!</v>
      </c>
      <c r="P55" s="333" t="e">
        <f>+P31-#REF!</f>
        <v>#REF!</v>
      </c>
      <c r="Q55" s="332" t="e">
        <f>+Q31-#REF!</f>
        <v>#REF!</v>
      </c>
      <c r="R55" s="333" t="e">
        <f>+R31-#REF!</f>
        <v>#REF!</v>
      </c>
      <c r="S55" s="332" t="e">
        <f>+S31-#REF!</f>
        <v>#REF!</v>
      </c>
      <c r="T55" s="334" t="e">
        <f t="shared" si="7"/>
        <v>#REF!</v>
      </c>
    </row>
    <row r="56" spans="1:20" ht="18" customHeight="1">
      <c r="A56" s="331" t="s">
        <v>134</v>
      </c>
      <c r="B56" s="331" t="s">
        <v>40</v>
      </c>
      <c r="C56" s="332" t="e">
        <f>+C32-#REF!</f>
        <v>#REF!</v>
      </c>
      <c r="D56" s="332" t="e">
        <f>+D32-#REF!</f>
        <v>#REF!</v>
      </c>
      <c r="E56" s="332" t="e">
        <f>+E32-#REF!</f>
        <v>#REF!</v>
      </c>
      <c r="F56" s="332" t="e">
        <f>+F32-#REF!</f>
        <v>#REF!</v>
      </c>
      <c r="G56" s="332" t="e">
        <f>+G32-#REF!</f>
        <v>#REF!</v>
      </c>
      <c r="H56" s="332" t="e">
        <f>+H32-#REF!</f>
        <v>#REF!</v>
      </c>
      <c r="I56" s="333" t="e">
        <f>+I32-#REF!</f>
        <v>#REF!</v>
      </c>
      <c r="J56" s="333" t="e">
        <f>+J32-#REF!</f>
        <v>#REF!</v>
      </c>
      <c r="K56" s="332" t="e">
        <f>+K32-#REF!</f>
        <v>#REF!</v>
      </c>
      <c r="L56" s="332" t="e">
        <f>+L32-#REF!</f>
        <v>#REF!</v>
      </c>
      <c r="M56" s="333" t="e">
        <f>+M32-#REF!</f>
        <v>#REF!</v>
      </c>
      <c r="N56" s="332" t="e">
        <f>+N32-#REF!</f>
        <v>#REF!</v>
      </c>
      <c r="O56" s="333" t="e">
        <f>+O32-#REF!</f>
        <v>#REF!</v>
      </c>
      <c r="P56" s="333" t="e">
        <f>+P32-#REF!</f>
        <v>#REF!</v>
      </c>
      <c r="Q56" s="332" t="e">
        <f>+Q32-#REF!</f>
        <v>#REF!</v>
      </c>
      <c r="R56" s="333" t="e">
        <f>+R32-#REF!</f>
        <v>#REF!</v>
      </c>
      <c r="S56" s="333" t="e">
        <f>+S32-#REF!</f>
        <v>#REF!</v>
      </c>
      <c r="T56" s="334" t="e">
        <f t="shared" si="7"/>
        <v>#REF!</v>
      </c>
    </row>
    <row r="57" spans="1:20" ht="18" customHeight="1">
      <c r="A57" s="331" t="s">
        <v>135</v>
      </c>
      <c r="B57" s="331" t="s">
        <v>70</v>
      </c>
      <c r="C57" s="332" t="e">
        <f>+C33-#REF!</f>
        <v>#REF!</v>
      </c>
      <c r="D57" s="332" t="e">
        <f>+D33-#REF!</f>
        <v>#REF!</v>
      </c>
      <c r="E57" s="333" t="e">
        <f>+E33-#REF!</f>
        <v>#REF!</v>
      </c>
      <c r="F57" s="332" t="e">
        <f>+F33-#REF!</f>
        <v>#REF!</v>
      </c>
      <c r="G57" s="333" t="e">
        <f>+G33-#REF!</f>
        <v>#REF!</v>
      </c>
      <c r="H57" s="332" t="e">
        <f>+H33-#REF!</f>
        <v>#REF!</v>
      </c>
      <c r="I57" s="332" t="e">
        <f>+I33-#REF!</f>
        <v>#REF!</v>
      </c>
      <c r="J57" s="333" t="e">
        <f>+J33-#REF!</f>
        <v>#REF!</v>
      </c>
      <c r="K57" s="332" t="e">
        <f>+K33-#REF!</f>
        <v>#REF!</v>
      </c>
      <c r="L57" s="332" t="e">
        <f>+L33-#REF!</f>
        <v>#REF!</v>
      </c>
      <c r="M57" s="333" t="e">
        <f>+M33-#REF!</f>
        <v>#REF!</v>
      </c>
      <c r="N57" s="332" t="e">
        <f>+N33-#REF!</f>
        <v>#REF!</v>
      </c>
      <c r="O57" s="332" t="e">
        <f>+O33-#REF!</f>
        <v>#REF!</v>
      </c>
      <c r="P57" s="332" t="e">
        <f>+P33-#REF!</f>
        <v>#REF!</v>
      </c>
      <c r="Q57" s="332" t="e">
        <f>+Q33-#REF!</f>
        <v>#REF!</v>
      </c>
      <c r="R57" s="333" t="e">
        <f>+R33-#REF!</f>
        <v>#REF!</v>
      </c>
      <c r="S57" s="333" t="e">
        <f>+S33-#REF!</f>
        <v>#REF!</v>
      </c>
      <c r="T57" s="334" t="e">
        <f t="shared" si="7"/>
        <v>#REF!</v>
      </c>
    </row>
    <row r="58" spans="1:20" ht="18" customHeight="1">
      <c r="A58" s="331" t="s">
        <v>136</v>
      </c>
      <c r="B58" s="331" t="s">
        <v>144</v>
      </c>
      <c r="C58" s="333" t="e">
        <f>+C34-#REF!</f>
        <v>#REF!</v>
      </c>
      <c r="D58" s="332" t="e">
        <f>+D34-#REF!</f>
        <v>#REF!</v>
      </c>
      <c r="E58" s="333" t="e">
        <f>+E34-#REF!</f>
        <v>#REF!</v>
      </c>
      <c r="F58" s="333" t="e">
        <f>+F34-#REF!</f>
        <v>#REF!</v>
      </c>
      <c r="G58" s="332" t="e">
        <f>+G34-#REF!</f>
        <v>#REF!</v>
      </c>
      <c r="H58" s="332" t="e">
        <f>+H34-#REF!</f>
        <v>#REF!</v>
      </c>
      <c r="I58" s="333" t="e">
        <f>+I34-#REF!</f>
        <v>#REF!</v>
      </c>
      <c r="J58" s="333" t="e">
        <f>+J34-#REF!</f>
        <v>#REF!</v>
      </c>
      <c r="K58" s="333" t="e">
        <f>+K34-#REF!</f>
        <v>#REF!</v>
      </c>
      <c r="L58" s="333" t="e">
        <f>+L34-#REF!</f>
        <v>#REF!</v>
      </c>
      <c r="M58" s="333" t="e">
        <f>+M34-#REF!</f>
        <v>#REF!</v>
      </c>
      <c r="N58" s="332" t="e">
        <f>+N34-#REF!</f>
        <v>#REF!</v>
      </c>
      <c r="O58" s="332" t="e">
        <f>+O34-#REF!</f>
        <v>#REF!</v>
      </c>
      <c r="P58" s="332" t="e">
        <f>+P34-#REF!</f>
        <v>#REF!</v>
      </c>
      <c r="Q58" s="332" t="e">
        <f>+Q34-#REF!</f>
        <v>#REF!</v>
      </c>
      <c r="R58" s="333" t="e">
        <f>+R34-#REF!</f>
        <v>#REF!</v>
      </c>
      <c r="S58" s="333" t="e">
        <f>+S34-#REF!</f>
        <v>#REF!</v>
      </c>
      <c r="T58" s="334" t="e">
        <f t="shared" si="7"/>
        <v>#REF!</v>
      </c>
    </row>
    <row r="59" spans="1:20" ht="18" customHeight="1">
      <c r="A59" s="331" t="s">
        <v>137</v>
      </c>
      <c r="B59" s="331" t="s">
        <v>49</v>
      </c>
      <c r="C59" s="332" t="e">
        <f>+C35-#REF!</f>
        <v>#REF!</v>
      </c>
      <c r="D59" s="332" t="e">
        <f>+D35-#REF!</f>
        <v>#REF!</v>
      </c>
      <c r="E59" s="332" t="e">
        <f>+E35-#REF!</f>
        <v>#REF!</v>
      </c>
      <c r="F59" s="332" t="e">
        <f>+F35-#REF!</f>
        <v>#REF!</v>
      </c>
      <c r="G59" s="333" t="e">
        <f>+G35-#REF!</f>
        <v>#REF!</v>
      </c>
      <c r="H59" s="333" t="e">
        <f>+H35-#REF!</f>
        <v>#REF!</v>
      </c>
      <c r="I59" s="332" t="e">
        <f>+I35-#REF!</f>
        <v>#REF!</v>
      </c>
      <c r="J59" s="332" t="e">
        <f>+J35-#REF!</f>
        <v>#REF!</v>
      </c>
      <c r="K59" s="332" t="e">
        <f>+K35-#REF!</f>
        <v>#REF!</v>
      </c>
      <c r="L59" s="333" t="e">
        <f>+L35-#REF!</f>
        <v>#REF!</v>
      </c>
      <c r="M59" s="333" t="e">
        <f>+M35-#REF!</f>
        <v>#REF!</v>
      </c>
      <c r="N59" s="332" t="e">
        <f>+N35-#REF!</f>
        <v>#REF!</v>
      </c>
      <c r="O59" s="333" t="e">
        <f>+O35-#REF!</f>
        <v>#REF!</v>
      </c>
      <c r="P59" s="333" t="e">
        <f>+P35-#REF!</f>
        <v>#REF!</v>
      </c>
      <c r="Q59" s="332" t="e">
        <f>+Q35-#REF!</f>
        <v>#REF!</v>
      </c>
      <c r="R59" s="333" t="e">
        <f>+R35-#REF!</f>
        <v>#REF!</v>
      </c>
      <c r="S59" s="333" t="e">
        <f>+S35-#REF!</f>
        <v>#REF!</v>
      </c>
      <c r="T59" s="334" t="e">
        <f t="shared" si="7"/>
        <v>#REF!</v>
      </c>
    </row>
    <row r="60" spans="1:20" ht="18" customHeight="1">
      <c r="A60" s="331" t="s">
        <v>138</v>
      </c>
      <c r="B60" s="331" t="s">
        <v>207</v>
      </c>
      <c r="C60" s="333" t="e">
        <f>+C36-#REF!</f>
        <v>#REF!</v>
      </c>
      <c r="D60" s="333" t="e">
        <f>+D36-#REF!</f>
        <v>#REF!</v>
      </c>
      <c r="E60" s="333" t="e">
        <f>+E36-#REF!</f>
        <v>#REF!</v>
      </c>
      <c r="F60" s="333" t="e">
        <f>+F36-#REF!</f>
        <v>#REF!</v>
      </c>
      <c r="G60" s="333" t="e">
        <f>+G36-#REF!</f>
        <v>#REF!</v>
      </c>
      <c r="H60" s="333" t="e">
        <f>+H36-#REF!</f>
        <v>#REF!</v>
      </c>
      <c r="I60" s="333" t="e">
        <f>+I36-#REF!</f>
        <v>#REF!</v>
      </c>
      <c r="J60" s="333" t="e">
        <f>+J36-#REF!</f>
        <v>#REF!</v>
      </c>
      <c r="K60" s="333" t="e">
        <f>+K36-#REF!</f>
        <v>#REF!</v>
      </c>
      <c r="L60" s="333" t="e">
        <f>+L36-#REF!</f>
        <v>#REF!</v>
      </c>
      <c r="M60" s="333" t="e">
        <f>+M36-#REF!</f>
        <v>#REF!</v>
      </c>
      <c r="N60" s="333" t="e">
        <f>+N36-#REF!</f>
        <v>#REF!</v>
      </c>
      <c r="O60" s="333" t="e">
        <f>+O36-#REF!</f>
        <v>#REF!</v>
      </c>
      <c r="P60" s="333" t="e">
        <f>+P36-#REF!</f>
        <v>#REF!</v>
      </c>
      <c r="Q60" s="333" t="e">
        <f>+Q36-#REF!</f>
        <v>#REF!</v>
      </c>
      <c r="R60" s="333" t="e">
        <f>+R36-#REF!</f>
        <v>#REF!</v>
      </c>
      <c r="S60" s="333" t="e">
        <f>+S36-#REF!</f>
        <v>#REF!</v>
      </c>
      <c r="T60" s="334" t="e">
        <f t="shared" si="7"/>
        <v>#REF!</v>
      </c>
    </row>
    <row r="61" spans="1:20" ht="18" customHeight="1">
      <c r="A61" s="331" t="s">
        <v>147</v>
      </c>
      <c r="B61" s="331" t="s">
        <v>208</v>
      </c>
      <c r="C61" s="333" t="e">
        <f>+C37-#REF!</f>
        <v>#REF!</v>
      </c>
      <c r="D61" s="333" t="e">
        <f>+D37-#REF!</f>
        <v>#REF!</v>
      </c>
      <c r="E61" s="333" t="e">
        <f>+E37-#REF!</f>
        <v>#REF!</v>
      </c>
      <c r="F61" s="333" t="e">
        <f>+F37-#REF!</f>
        <v>#REF!</v>
      </c>
      <c r="G61" s="333" t="e">
        <f>+G37-#REF!</f>
        <v>#REF!</v>
      </c>
      <c r="H61" s="333" t="e">
        <f>+H37-#REF!</f>
        <v>#REF!</v>
      </c>
      <c r="I61" s="333" t="e">
        <f>+I37-#REF!</f>
        <v>#REF!</v>
      </c>
      <c r="J61" s="333" t="e">
        <f>+J37-#REF!</f>
        <v>#REF!</v>
      </c>
      <c r="K61" s="333" t="e">
        <f>+K37-#REF!</f>
        <v>#REF!</v>
      </c>
      <c r="L61" s="333" t="e">
        <f>+L37-#REF!</f>
        <v>#REF!</v>
      </c>
      <c r="M61" s="333" t="e">
        <f>+M37-#REF!</f>
        <v>#REF!</v>
      </c>
      <c r="N61" s="333" t="e">
        <f>+N37-#REF!</f>
        <v>#REF!</v>
      </c>
      <c r="O61" s="333" t="e">
        <f>+O37-#REF!</f>
        <v>#REF!</v>
      </c>
      <c r="P61" s="333" t="e">
        <f>+P37-#REF!</f>
        <v>#REF!</v>
      </c>
      <c r="Q61" s="333" t="e">
        <f>+Q37-#REF!</f>
        <v>#REF!</v>
      </c>
      <c r="R61" s="333" t="e">
        <f>+R37-#REF!</f>
        <v>#REF!</v>
      </c>
      <c r="S61" s="333" t="e">
        <f>+S37-#REF!</f>
        <v>#REF!</v>
      </c>
      <c r="T61" s="334" t="e">
        <f t="shared" si="7"/>
        <v>#REF!</v>
      </c>
    </row>
    <row r="62" spans="1:20" ht="18" customHeight="1">
      <c r="A62" s="331" t="s">
        <v>148</v>
      </c>
      <c r="B62" s="331" t="s">
        <v>39</v>
      </c>
      <c r="C62" s="332" t="e">
        <f>+C38-#REF!</f>
        <v>#REF!</v>
      </c>
      <c r="D62" s="332" t="e">
        <f>+D38-#REF!</f>
        <v>#REF!</v>
      </c>
      <c r="E62" s="332" t="e">
        <f>+E38-#REF!</f>
        <v>#REF!</v>
      </c>
      <c r="F62" s="332" t="e">
        <f>+F38-#REF!</f>
        <v>#REF!</v>
      </c>
      <c r="G62" s="332" t="e">
        <f>+G38-#REF!</f>
        <v>#REF!</v>
      </c>
      <c r="H62" s="332" t="e">
        <f>+H38-#REF!</f>
        <v>#REF!</v>
      </c>
      <c r="I62" s="332" t="e">
        <f>+I38-#REF!</f>
        <v>#REF!</v>
      </c>
      <c r="J62" s="332" t="e">
        <f>+J38-#REF!</f>
        <v>#REF!</v>
      </c>
      <c r="K62" s="332" t="e">
        <f>+K38-#REF!</f>
        <v>#REF!</v>
      </c>
      <c r="L62" s="332" t="e">
        <f>+L38-#REF!</f>
        <v>#REF!</v>
      </c>
      <c r="M62" s="333" t="e">
        <f>+M38-#REF!</f>
        <v>#REF!</v>
      </c>
      <c r="N62" s="332" t="e">
        <f>+N38-#REF!</f>
        <v>#REF!</v>
      </c>
      <c r="O62" s="333" t="e">
        <f>+O38-#REF!</f>
        <v>#REF!</v>
      </c>
      <c r="P62" s="332" t="e">
        <f>+P38-#REF!</f>
        <v>#REF!</v>
      </c>
      <c r="Q62" s="332" t="e">
        <f>+Q38-#REF!</f>
        <v>#REF!</v>
      </c>
      <c r="R62" s="333" t="e">
        <f>+R38-#REF!</f>
        <v>#REF!</v>
      </c>
      <c r="S62" s="332" t="e">
        <f>+S38-#REF!</f>
        <v>#REF!</v>
      </c>
      <c r="T62" s="334" t="e">
        <f t="shared" si="7"/>
        <v>#REF!</v>
      </c>
    </row>
    <row r="63" spans="1:20" ht="18" customHeight="1">
      <c r="A63" s="331" t="s">
        <v>149</v>
      </c>
      <c r="B63" s="331" t="s">
        <v>38</v>
      </c>
      <c r="C63" s="333" t="e">
        <f>+C39-#REF!</f>
        <v>#REF!</v>
      </c>
      <c r="D63" s="332" t="e">
        <f>+D39-#REF!</f>
        <v>#REF!</v>
      </c>
      <c r="E63" s="333" t="e">
        <f>+E39-#REF!</f>
        <v>#REF!</v>
      </c>
      <c r="F63" s="332" t="e">
        <f>+F39-#REF!</f>
        <v>#REF!</v>
      </c>
      <c r="G63" s="333" t="e">
        <f>+G39-#REF!</f>
        <v>#REF!</v>
      </c>
      <c r="H63" s="333" t="e">
        <f>+H39-#REF!</f>
        <v>#REF!</v>
      </c>
      <c r="I63" s="333" t="e">
        <f>+I39-#REF!</f>
        <v>#REF!</v>
      </c>
      <c r="J63" s="333" t="e">
        <f>+J39-#REF!</f>
        <v>#REF!</v>
      </c>
      <c r="K63" s="332" t="e">
        <f>+K39-#REF!</f>
        <v>#REF!</v>
      </c>
      <c r="L63" s="333" t="e">
        <f>+L39-#REF!</f>
        <v>#REF!</v>
      </c>
      <c r="M63" s="333" t="e">
        <f>+M39-#REF!</f>
        <v>#REF!</v>
      </c>
      <c r="N63" s="333" t="e">
        <f>+N39-#REF!</f>
        <v>#REF!</v>
      </c>
      <c r="O63" s="333" t="e">
        <f>+O39-#REF!</f>
        <v>#REF!</v>
      </c>
      <c r="P63" s="333" t="e">
        <f>+P39-#REF!</f>
        <v>#REF!</v>
      </c>
      <c r="Q63" s="333" t="e">
        <f>+Q39-#REF!</f>
        <v>#REF!</v>
      </c>
      <c r="R63" s="333" t="e">
        <f>+R39-#REF!</f>
        <v>#REF!</v>
      </c>
      <c r="S63" s="333" t="e">
        <f>+S39-#REF!</f>
        <v>#REF!</v>
      </c>
      <c r="T63" s="334" t="e">
        <f t="shared" si="7"/>
        <v>#REF!</v>
      </c>
    </row>
    <row r="64" spans="1:20" ht="18" customHeight="1">
      <c r="A64" s="331" t="s">
        <v>150</v>
      </c>
      <c r="B64" s="331" t="s">
        <v>31</v>
      </c>
      <c r="C64" s="333" t="e">
        <f>+C40-#REF!</f>
        <v>#REF!</v>
      </c>
      <c r="D64" s="333" t="e">
        <f>+D40-#REF!</f>
        <v>#REF!</v>
      </c>
      <c r="E64" s="333" t="e">
        <f>+E40-#REF!</f>
        <v>#REF!</v>
      </c>
      <c r="F64" s="333" t="e">
        <f>+F40-#REF!</f>
        <v>#REF!</v>
      </c>
      <c r="G64" s="332" t="e">
        <f>+G40-#REF!</f>
        <v>#REF!</v>
      </c>
      <c r="H64" s="333" t="e">
        <f>+H40-#REF!</f>
        <v>#REF!</v>
      </c>
      <c r="I64" s="333" t="e">
        <f>+I40-#REF!</f>
        <v>#REF!</v>
      </c>
      <c r="J64" s="333" t="e">
        <f>+J40-#REF!</f>
        <v>#REF!</v>
      </c>
      <c r="K64" s="333" t="e">
        <f>+K40-#REF!</f>
        <v>#REF!</v>
      </c>
      <c r="L64" s="333" t="e">
        <f>+L40-#REF!</f>
        <v>#REF!</v>
      </c>
      <c r="M64" s="333" t="e">
        <f>+M40-#REF!</f>
        <v>#REF!</v>
      </c>
      <c r="N64" s="332" t="e">
        <f>+N40-#REF!</f>
        <v>#REF!</v>
      </c>
      <c r="O64" s="333" t="e">
        <f>+O40-#REF!</f>
        <v>#REF!</v>
      </c>
      <c r="P64" s="333" t="e">
        <f>+P40-#REF!</f>
        <v>#REF!</v>
      </c>
      <c r="Q64" s="333" t="e">
        <f>+Q40-#REF!</f>
        <v>#REF!</v>
      </c>
      <c r="R64" s="333" t="e">
        <f>+R40-#REF!</f>
        <v>#REF!</v>
      </c>
      <c r="S64" s="333" t="e">
        <f>+S40-#REF!</f>
        <v>#REF!</v>
      </c>
      <c r="T64" s="334" t="e">
        <f t="shared" si="7"/>
        <v>#REF!</v>
      </c>
    </row>
    <row r="65" spans="1:20" ht="18" customHeight="1">
      <c r="A65" s="331" t="s">
        <v>151</v>
      </c>
      <c r="B65" s="331" t="s">
        <v>209</v>
      </c>
      <c r="C65" s="333" t="e">
        <f>+C41-#REF!</f>
        <v>#REF!</v>
      </c>
      <c r="D65" s="332" t="e">
        <f>+D41-#REF!</f>
        <v>#REF!</v>
      </c>
      <c r="E65" s="332" t="e">
        <f>+E41-#REF!</f>
        <v>#REF!</v>
      </c>
      <c r="F65" s="333" t="e">
        <f>+F41-#REF!</f>
        <v>#REF!</v>
      </c>
      <c r="G65" s="333" t="e">
        <f>+G41-#REF!</f>
        <v>#REF!</v>
      </c>
      <c r="H65" s="333" t="e">
        <f>+H41-#REF!</f>
        <v>#REF!</v>
      </c>
      <c r="I65" s="333" t="e">
        <f>+I41-#REF!</f>
        <v>#REF!</v>
      </c>
      <c r="J65" s="332" t="e">
        <f>+J41-#REF!</f>
        <v>#REF!</v>
      </c>
      <c r="K65" s="332" t="e">
        <f>+K41-#REF!</f>
        <v>#REF!</v>
      </c>
      <c r="L65" s="333" t="e">
        <f>+L41-#REF!</f>
        <v>#REF!</v>
      </c>
      <c r="M65" s="333" t="e">
        <f>+M41-#REF!</f>
        <v>#REF!</v>
      </c>
      <c r="N65" s="333" t="e">
        <f>+N41-#REF!</f>
        <v>#REF!</v>
      </c>
      <c r="O65" s="333" t="e">
        <f>+O41-#REF!</f>
        <v>#REF!</v>
      </c>
      <c r="P65" s="333" t="e">
        <f>+P41-#REF!</f>
        <v>#REF!</v>
      </c>
      <c r="Q65" s="332" t="e">
        <f>+Q41-#REF!</f>
        <v>#REF!</v>
      </c>
      <c r="R65" s="333" t="e">
        <f>+R41-#REF!</f>
        <v>#REF!</v>
      </c>
      <c r="S65" s="333" t="e">
        <f>+S41-#REF!</f>
        <v>#REF!</v>
      </c>
      <c r="T65" s="334" t="e">
        <f t="shared" si="7"/>
        <v>#REF!</v>
      </c>
    </row>
    <row r="66" spans="1:20" ht="18" customHeight="1">
      <c r="A66" s="331" t="s">
        <v>153</v>
      </c>
      <c r="B66" s="331" t="s">
        <v>100</v>
      </c>
      <c r="C66" s="332" t="e">
        <f>+C42-#REF!</f>
        <v>#REF!</v>
      </c>
      <c r="D66" s="332" t="e">
        <f>+D42-#REF!</f>
        <v>#REF!</v>
      </c>
      <c r="E66" s="332" t="e">
        <f>+E42-#REF!</f>
        <v>#REF!</v>
      </c>
      <c r="F66" s="332" t="e">
        <f>+F42-#REF!</f>
        <v>#REF!</v>
      </c>
      <c r="G66" s="332" t="e">
        <f>+G42-#REF!</f>
        <v>#REF!</v>
      </c>
      <c r="H66" s="332" t="e">
        <f>+H42-#REF!</f>
        <v>#REF!</v>
      </c>
      <c r="I66" s="332" t="e">
        <f>+I42-#REF!</f>
        <v>#REF!</v>
      </c>
      <c r="J66" s="332" t="e">
        <f>+J42-#REF!</f>
        <v>#REF!</v>
      </c>
      <c r="K66" s="332" t="e">
        <f>+K42-#REF!</f>
        <v>#REF!</v>
      </c>
      <c r="L66" s="332" t="e">
        <f>+L42-#REF!</f>
        <v>#REF!</v>
      </c>
      <c r="M66" s="333" t="e">
        <f>+M42-#REF!</f>
        <v>#REF!</v>
      </c>
      <c r="N66" s="332" t="e">
        <f>+N42-#REF!</f>
        <v>#REF!</v>
      </c>
      <c r="O66" s="333" t="e">
        <f>+O42-#REF!</f>
        <v>#REF!</v>
      </c>
      <c r="P66" s="332" t="e">
        <f>+P42-#REF!</f>
        <v>#REF!</v>
      </c>
      <c r="Q66" s="332" t="e">
        <f>+Q42-#REF!</f>
        <v>#REF!</v>
      </c>
      <c r="R66" s="333" t="e">
        <f>+R42-#REF!</f>
        <v>#REF!</v>
      </c>
      <c r="S66" s="332" t="e">
        <f>+S42-#REF!</f>
        <v>#REF!</v>
      </c>
      <c r="T66" s="334" t="e">
        <f t="shared" si="7"/>
        <v>#REF!</v>
      </c>
    </row>
    <row r="67" spans="1:20" ht="18" customHeight="1">
      <c r="A67" s="331" t="s">
        <v>155</v>
      </c>
      <c r="B67" s="331" t="s">
        <v>42</v>
      </c>
      <c r="C67" s="332" t="e">
        <f>+C43-#REF!</f>
        <v>#REF!</v>
      </c>
      <c r="D67" s="332" t="e">
        <f>+D43-#REF!</f>
        <v>#REF!</v>
      </c>
      <c r="E67" s="332" t="e">
        <f>+E43-#REF!</f>
        <v>#REF!</v>
      </c>
      <c r="F67" s="332" t="e">
        <f>+F43-#REF!</f>
        <v>#REF!</v>
      </c>
      <c r="G67" s="333" t="e">
        <f>+G43-#REF!</f>
        <v>#REF!</v>
      </c>
      <c r="H67" s="332" t="e">
        <f>+H43-#REF!</f>
        <v>#REF!</v>
      </c>
      <c r="I67" s="332" t="e">
        <f>+I43-#REF!</f>
        <v>#REF!</v>
      </c>
      <c r="J67" s="332" t="e">
        <f>+J43-#REF!</f>
        <v>#REF!</v>
      </c>
      <c r="K67" s="332" t="e">
        <f>+K43-#REF!</f>
        <v>#REF!</v>
      </c>
      <c r="L67" s="332" t="e">
        <f>+L43-#REF!</f>
        <v>#REF!</v>
      </c>
      <c r="M67" s="333" t="e">
        <f>+M43-#REF!</f>
        <v>#REF!</v>
      </c>
      <c r="N67" s="332" t="e">
        <f>+N43-#REF!</f>
        <v>#REF!</v>
      </c>
      <c r="O67" s="332" t="e">
        <f>+O43-#REF!</f>
        <v>#REF!</v>
      </c>
      <c r="P67" s="333" t="e">
        <f>+P43-#REF!</f>
        <v>#REF!</v>
      </c>
      <c r="Q67" s="333" t="e">
        <f>+Q43-#REF!</f>
        <v>#REF!</v>
      </c>
      <c r="R67" s="333" t="e">
        <f>+R43-#REF!</f>
        <v>#REF!</v>
      </c>
      <c r="S67" s="332" t="e">
        <f>+S43-#REF!</f>
        <v>#REF!</v>
      </c>
      <c r="T67" s="334" t="e">
        <f t="shared" si="7"/>
        <v>#REF!</v>
      </c>
    </row>
    <row r="68" spans="1:20" ht="18" customHeight="1">
      <c r="A68" s="331" t="s">
        <v>162</v>
      </c>
      <c r="B68" s="331" t="s">
        <v>76</v>
      </c>
      <c r="C68" s="333" t="e">
        <f>+C44-#REF!</f>
        <v>#REF!</v>
      </c>
      <c r="D68" s="332" t="e">
        <f>+D44-#REF!</f>
        <v>#REF!</v>
      </c>
      <c r="E68" s="333" t="e">
        <f>+E44-#REF!</f>
        <v>#REF!</v>
      </c>
      <c r="F68" s="332" t="e">
        <f>+F44-#REF!</f>
        <v>#REF!</v>
      </c>
      <c r="G68" s="333" t="e">
        <f>+G44-#REF!</f>
        <v>#REF!</v>
      </c>
      <c r="H68" s="333" t="e">
        <f>+H44-#REF!</f>
        <v>#REF!</v>
      </c>
      <c r="I68" s="333" t="e">
        <f>+I44-#REF!</f>
        <v>#REF!</v>
      </c>
      <c r="J68" s="333" t="e">
        <f>+J44-#REF!</f>
        <v>#REF!</v>
      </c>
      <c r="K68" s="332" t="e">
        <f>+K44-#REF!</f>
        <v>#REF!</v>
      </c>
      <c r="L68" s="333" t="e">
        <f>+L44-#REF!</f>
        <v>#REF!</v>
      </c>
      <c r="M68" s="333" t="e">
        <f>+M44-#REF!</f>
        <v>#REF!</v>
      </c>
      <c r="N68" s="333" t="e">
        <f>+N44-#REF!</f>
        <v>#REF!</v>
      </c>
      <c r="O68" s="333" t="e">
        <f>+O44-#REF!</f>
        <v>#REF!</v>
      </c>
      <c r="P68" s="333" t="e">
        <f>+P44-#REF!</f>
        <v>#REF!</v>
      </c>
      <c r="Q68" s="333" t="e">
        <f>+Q44-#REF!</f>
        <v>#REF!</v>
      </c>
      <c r="R68" s="333" t="e">
        <f>+R44-#REF!</f>
        <v>#REF!</v>
      </c>
      <c r="S68" s="333" t="e">
        <f>+S44-#REF!</f>
        <v>#REF!</v>
      </c>
      <c r="T68" s="334" t="e">
        <f t="shared" si="7"/>
        <v>#REF!</v>
      </c>
    </row>
    <row r="69" spans="1:20" ht="18" customHeight="1">
      <c r="A69" s="331" t="s">
        <v>156</v>
      </c>
      <c r="B69" s="331" t="s">
        <v>77</v>
      </c>
      <c r="C69" s="333" t="e">
        <f>+C45-#REF!</f>
        <v>#REF!</v>
      </c>
      <c r="D69" s="333" t="e">
        <f>+D45-#REF!</f>
        <v>#REF!</v>
      </c>
      <c r="E69" s="333" t="e">
        <f>+E45-#REF!</f>
        <v>#REF!</v>
      </c>
      <c r="F69" s="333" t="e">
        <f>+F45-#REF!</f>
        <v>#REF!</v>
      </c>
      <c r="G69" s="332" t="e">
        <f>+G45-#REF!</f>
        <v>#REF!</v>
      </c>
      <c r="H69" s="333" t="e">
        <f>+H45-#REF!</f>
        <v>#REF!</v>
      </c>
      <c r="I69" s="333" t="e">
        <f>+I45-#REF!</f>
        <v>#REF!</v>
      </c>
      <c r="J69" s="333" t="e">
        <f>+J45-#REF!</f>
        <v>#REF!</v>
      </c>
      <c r="K69" s="333" t="e">
        <f>+K45-#REF!</f>
        <v>#REF!</v>
      </c>
      <c r="L69" s="333" t="e">
        <f>+L45-#REF!</f>
        <v>#REF!</v>
      </c>
      <c r="M69" s="333" t="e">
        <f>+M45-#REF!</f>
        <v>#REF!</v>
      </c>
      <c r="N69" s="332" t="e">
        <f>+N45-#REF!</f>
        <v>#REF!</v>
      </c>
      <c r="O69" s="333" t="e">
        <f>+O45-#REF!</f>
        <v>#REF!</v>
      </c>
      <c r="P69" s="333" t="e">
        <f>+P45-#REF!</f>
        <v>#REF!</v>
      </c>
      <c r="Q69" s="333" t="e">
        <f>+Q45-#REF!</f>
        <v>#REF!</v>
      </c>
      <c r="R69" s="333" t="e">
        <f>+R45-#REF!</f>
        <v>#REF!</v>
      </c>
      <c r="S69" s="333" t="e">
        <f>+S45-#REF!</f>
        <v>#REF!</v>
      </c>
      <c r="T69" s="334" t="e">
        <f t="shared" si="7"/>
        <v>#REF!</v>
      </c>
    </row>
    <row r="70" spans="1:20" ht="18" customHeight="1">
      <c r="A70" s="335" t="s">
        <v>163</v>
      </c>
      <c r="B70" s="335" t="s">
        <v>164</v>
      </c>
      <c r="C70" s="336" t="e">
        <f>+C46-#REF!</f>
        <v>#REF!</v>
      </c>
      <c r="D70" s="337" t="e">
        <f>+D46-#REF!</f>
        <v>#REF!</v>
      </c>
      <c r="E70" s="336" t="e">
        <f>+E46-#REF!</f>
        <v>#REF!</v>
      </c>
      <c r="F70" s="336" t="e">
        <f>+F46-#REF!</f>
        <v>#REF!</v>
      </c>
      <c r="G70" s="337" t="e">
        <f>+G46-#REF!</f>
        <v>#REF!</v>
      </c>
      <c r="H70" s="336" t="e">
        <f>+H46-#REF!</f>
        <v>#REF!</v>
      </c>
      <c r="I70" s="336" t="e">
        <f>+I46-#REF!</f>
        <v>#REF!</v>
      </c>
      <c r="J70" s="336" t="e">
        <f>+J46-#REF!</f>
        <v>#REF!</v>
      </c>
      <c r="K70" s="336" t="e">
        <f>+K46-#REF!</f>
        <v>#REF!</v>
      </c>
      <c r="L70" s="336" t="e">
        <f>+L46-#REF!</f>
        <v>#REF!</v>
      </c>
      <c r="M70" s="336" t="e">
        <f>+M46-#REF!</f>
        <v>#REF!</v>
      </c>
      <c r="N70" s="337" t="e">
        <f>+N46-#REF!</f>
        <v>#REF!</v>
      </c>
      <c r="O70" s="336" t="e">
        <f>+O46-#REF!</f>
        <v>#REF!</v>
      </c>
      <c r="P70" s="336" t="e">
        <f>+P46-#REF!</f>
        <v>#REF!</v>
      </c>
      <c r="Q70" s="336" t="e">
        <f>+Q46-#REF!</f>
        <v>#REF!</v>
      </c>
      <c r="R70" s="336" t="e">
        <f>+R46-#REF!</f>
        <v>#REF!</v>
      </c>
      <c r="S70" s="336" t="e">
        <f>+S46-#REF!</f>
        <v>#REF!</v>
      </c>
      <c r="T70" s="338" t="e">
        <f t="shared" si="7"/>
        <v>#REF!</v>
      </c>
    </row>
    <row r="71" spans="1:20" ht="18" customHeight="1">
      <c r="A71" s="339"/>
      <c r="B71" s="339"/>
      <c r="C71" s="340" t="e">
        <f t="shared" ref="C71:T71" si="8">SUM(C50:C70)</f>
        <v>#REF!</v>
      </c>
      <c r="D71" s="341" t="e">
        <f t="shared" si="8"/>
        <v>#REF!</v>
      </c>
      <c r="E71" s="340" t="e">
        <f t="shared" si="8"/>
        <v>#REF!</v>
      </c>
      <c r="F71" s="340" t="e">
        <f t="shared" si="8"/>
        <v>#REF!</v>
      </c>
      <c r="G71" s="341" t="e">
        <f t="shared" si="8"/>
        <v>#REF!</v>
      </c>
      <c r="H71" s="340" t="e">
        <f t="shared" si="8"/>
        <v>#REF!</v>
      </c>
      <c r="I71" s="340" t="e">
        <f t="shared" si="8"/>
        <v>#REF!</v>
      </c>
      <c r="J71" s="340" t="e">
        <f t="shared" si="8"/>
        <v>#REF!</v>
      </c>
      <c r="K71" s="340" t="e">
        <f t="shared" si="8"/>
        <v>#REF!</v>
      </c>
      <c r="L71" s="340" t="e">
        <f t="shared" si="8"/>
        <v>#REF!</v>
      </c>
      <c r="M71" s="340" t="e">
        <f t="shared" si="8"/>
        <v>#REF!</v>
      </c>
      <c r="N71" s="341" t="e">
        <f t="shared" si="8"/>
        <v>#REF!</v>
      </c>
      <c r="O71" s="340" t="e">
        <f t="shared" si="8"/>
        <v>#REF!</v>
      </c>
      <c r="P71" s="340" t="e">
        <f t="shared" si="8"/>
        <v>#REF!</v>
      </c>
      <c r="Q71" s="340" t="e">
        <f t="shared" si="8"/>
        <v>#REF!</v>
      </c>
      <c r="R71" s="340" t="e">
        <f t="shared" si="8"/>
        <v>#REF!</v>
      </c>
      <c r="S71" s="340" t="e">
        <f t="shared" si="8"/>
        <v>#REF!</v>
      </c>
      <c r="T71" s="342" t="e">
        <f t="shared" si="8"/>
        <v>#REF!</v>
      </c>
    </row>
    <row r="78" spans="1:20" ht="18" customHeight="1">
      <c r="A78" s="461" t="s">
        <v>139</v>
      </c>
      <c r="B78" s="461" t="s">
        <v>221</v>
      </c>
      <c r="C78" s="461" t="s">
        <v>222</v>
      </c>
      <c r="D78" s="461" t="s">
        <v>223</v>
      </c>
      <c r="E78" s="461" t="s">
        <v>224</v>
      </c>
      <c r="F78" s="461" t="s">
        <v>225</v>
      </c>
      <c r="G78" s="461" t="s">
        <v>226</v>
      </c>
      <c r="H78" s="461" t="s">
        <v>227</v>
      </c>
      <c r="I78" s="461" t="s">
        <v>228</v>
      </c>
      <c r="J78" s="461" t="s">
        <v>229</v>
      </c>
      <c r="K78" s="461" t="s">
        <v>230</v>
      </c>
      <c r="L78" s="461" t="s">
        <v>231</v>
      </c>
      <c r="M78" s="461" t="s">
        <v>232</v>
      </c>
      <c r="N78" s="461" t="s">
        <v>233</v>
      </c>
      <c r="O78" s="461" t="s">
        <v>234</v>
      </c>
      <c r="P78" s="461" t="s">
        <v>235</v>
      </c>
      <c r="Q78" s="461" t="s">
        <v>236</v>
      </c>
      <c r="R78" s="461" t="s">
        <v>237</v>
      </c>
      <c r="S78" s="461" t="s">
        <v>238</v>
      </c>
    </row>
    <row r="79" spans="1:20" ht="18" customHeight="1">
      <c r="A79" s="462" t="s">
        <v>128</v>
      </c>
      <c r="B79" s="462" t="s">
        <v>21</v>
      </c>
      <c r="C79" s="463">
        <v>23963</v>
      </c>
      <c r="D79" s="463">
        <v>785955</v>
      </c>
      <c r="E79" s="463">
        <v>77951</v>
      </c>
      <c r="F79" s="463">
        <v>16347</v>
      </c>
      <c r="G79" s="463">
        <v>106100</v>
      </c>
      <c r="H79" s="463">
        <v>70090</v>
      </c>
      <c r="I79" s="463">
        <v>13983</v>
      </c>
      <c r="J79" s="463">
        <v>154</v>
      </c>
      <c r="K79" s="463">
        <v>110</v>
      </c>
      <c r="L79" s="463">
        <v>3827</v>
      </c>
      <c r="M79" s="463">
        <v>91</v>
      </c>
      <c r="N79" s="463">
        <v>31306.5</v>
      </c>
      <c r="O79" s="463">
        <v>9559</v>
      </c>
      <c r="P79" s="463">
        <v>421</v>
      </c>
      <c r="Q79" s="463">
        <v>15027</v>
      </c>
      <c r="R79" s="463">
        <v>15439</v>
      </c>
      <c r="S79" s="463">
        <v>2110</v>
      </c>
    </row>
    <row r="80" spans="1:20" ht="18" customHeight="1">
      <c r="A80" s="462" t="s">
        <v>129</v>
      </c>
      <c r="B80" s="462" t="s">
        <v>35</v>
      </c>
      <c r="C80" s="463">
        <v>753</v>
      </c>
      <c r="D80" s="463">
        <v>66009</v>
      </c>
      <c r="E80" s="463">
        <v>1967</v>
      </c>
      <c r="F80" s="463">
        <v>308</v>
      </c>
      <c r="G80" s="463">
        <v>3981</v>
      </c>
      <c r="H80" s="463">
        <v>411</v>
      </c>
      <c r="I80" s="463">
        <v>1232</v>
      </c>
      <c r="J80" s="463">
        <v>180</v>
      </c>
      <c r="K80" s="463">
        <v>427</v>
      </c>
      <c r="L80" s="463">
        <v>36</v>
      </c>
      <c r="M80" s="463">
        <v>1</v>
      </c>
      <c r="N80" s="463">
        <v>12033.5</v>
      </c>
      <c r="O80" s="463">
        <v>67</v>
      </c>
      <c r="P80" s="463">
        <v>1551</v>
      </c>
      <c r="Q80" s="463">
        <v>958</v>
      </c>
      <c r="R80" s="464"/>
      <c r="S80" s="463">
        <v>6207</v>
      </c>
    </row>
    <row r="81" spans="1:19" ht="18" customHeight="1">
      <c r="A81" s="462" t="s">
        <v>140</v>
      </c>
      <c r="B81" s="462" t="s">
        <v>36</v>
      </c>
      <c r="C81" s="463">
        <v>3</v>
      </c>
      <c r="D81" s="463">
        <v>224</v>
      </c>
      <c r="E81" s="464"/>
      <c r="F81" s="463">
        <v>23</v>
      </c>
      <c r="G81" s="464"/>
      <c r="H81" s="464"/>
      <c r="I81" s="463">
        <v>12</v>
      </c>
      <c r="J81" s="463">
        <v>3</v>
      </c>
      <c r="K81" s="463">
        <v>4</v>
      </c>
      <c r="L81" s="463">
        <v>779</v>
      </c>
      <c r="M81" s="464"/>
      <c r="N81" s="463">
        <v>3859.5</v>
      </c>
      <c r="O81" s="464"/>
      <c r="P81" s="464"/>
      <c r="Q81" s="463">
        <v>76</v>
      </c>
      <c r="R81" s="464"/>
      <c r="S81" s="463">
        <v>2</v>
      </c>
    </row>
    <row r="82" spans="1:19" ht="18" customHeight="1">
      <c r="A82" s="462" t="s">
        <v>130</v>
      </c>
      <c r="B82" s="462" t="s">
        <v>37</v>
      </c>
      <c r="C82" s="463">
        <v>158</v>
      </c>
      <c r="D82" s="463">
        <v>1895</v>
      </c>
      <c r="E82" s="463">
        <v>176</v>
      </c>
      <c r="F82" s="463">
        <v>168</v>
      </c>
      <c r="G82" s="463">
        <v>28558</v>
      </c>
      <c r="H82" s="463">
        <v>277</v>
      </c>
      <c r="I82" s="463">
        <v>45</v>
      </c>
      <c r="J82" s="463">
        <v>153</v>
      </c>
      <c r="K82" s="463">
        <v>20</v>
      </c>
      <c r="L82" s="463">
        <v>27</v>
      </c>
      <c r="M82" s="464"/>
      <c r="N82" s="463">
        <v>531</v>
      </c>
      <c r="O82" s="463">
        <v>1234</v>
      </c>
      <c r="P82" s="463">
        <v>12</v>
      </c>
      <c r="Q82" s="463">
        <v>586</v>
      </c>
      <c r="R82" s="464"/>
      <c r="S82" s="463">
        <v>32.5</v>
      </c>
    </row>
    <row r="83" spans="1:19" ht="18" customHeight="1">
      <c r="A83" s="462" t="s">
        <v>131</v>
      </c>
      <c r="B83" s="462" t="s">
        <v>141</v>
      </c>
      <c r="C83" s="463">
        <v>12</v>
      </c>
      <c r="D83" s="463">
        <v>808</v>
      </c>
      <c r="E83" s="463">
        <v>8</v>
      </c>
      <c r="F83" s="463">
        <v>34</v>
      </c>
      <c r="G83" s="463">
        <v>98</v>
      </c>
      <c r="H83" s="463">
        <v>15663</v>
      </c>
      <c r="I83" s="463">
        <v>1</v>
      </c>
      <c r="J83" s="463">
        <v>33</v>
      </c>
      <c r="K83" s="463">
        <v>123</v>
      </c>
      <c r="L83" s="464"/>
      <c r="M83" s="464"/>
      <c r="N83" s="463">
        <v>38</v>
      </c>
      <c r="O83" s="464"/>
      <c r="P83" s="464"/>
      <c r="Q83" s="463">
        <v>21</v>
      </c>
      <c r="R83" s="464"/>
      <c r="S83" s="463">
        <v>33</v>
      </c>
    </row>
    <row r="84" spans="1:19" ht="18" customHeight="1">
      <c r="A84" s="462" t="s">
        <v>132</v>
      </c>
      <c r="B84" s="462" t="s">
        <v>206</v>
      </c>
      <c r="C84" s="463">
        <v>6</v>
      </c>
      <c r="D84" s="463">
        <v>738</v>
      </c>
      <c r="E84" s="463">
        <v>4</v>
      </c>
      <c r="F84" s="463">
        <v>19698</v>
      </c>
      <c r="G84" s="463">
        <v>5</v>
      </c>
      <c r="H84" s="463">
        <v>186</v>
      </c>
      <c r="I84" s="463">
        <v>13</v>
      </c>
      <c r="J84" s="464"/>
      <c r="K84" s="463">
        <v>151</v>
      </c>
      <c r="L84" s="463">
        <v>70</v>
      </c>
      <c r="M84" s="464"/>
      <c r="N84" s="463">
        <v>30</v>
      </c>
      <c r="O84" s="463">
        <v>6</v>
      </c>
      <c r="P84" s="464"/>
      <c r="Q84" s="463">
        <v>22</v>
      </c>
      <c r="R84" s="464"/>
      <c r="S84" s="463">
        <v>32</v>
      </c>
    </row>
    <row r="85" spans="1:19" ht="18" customHeight="1">
      <c r="A85" s="462" t="s">
        <v>134</v>
      </c>
      <c r="B85" s="462" t="s">
        <v>40</v>
      </c>
      <c r="C85" s="464"/>
      <c r="D85" s="464"/>
      <c r="E85" s="464"/>
      <c r="F85" s="464"/>
      <c r="G85" s="464"/>
      <c r="H85" s="464"/>
      <c r="I85" s="463">
        <v>22</v>
      </c>
      <c r="J85" s="464"/>
      <c r="K85" s="464"/>
      <c r="L85" s="464"/>
      <c r="M85" s="464"/>
      <c r="N85" s="464"/>
      <c r="O85" s="464"/>
      <c r="P85" s="464"/>
      <c r="Q85" s="464"/>
      <c r="R85" s="464"/>
      <c r="S85" s="464"/>
    </row>
    <row r="86" spans="1:19" ht="18" customHeight="1">
      <c r="A86" s="462" t="s">
        <v>135</v>
      </c>
      <c r="B86" s="462" t="s">
        <v>70</v>
      </c>
      <c r="C86" s="464"/>
      <c r="D86" s="463">
        <v>52</v>
      </c>
      <c r="E86" s="464"/>
      <c r="F86" s="463">
        <v>3</v>
      </c>
      <c r="G86" s="464"/>
      <c r="H86" s="464"/>
      <c r="I86" s="464"/>
      <c r="J86" s="463">
        <v>1</v>
      </c>
      <c r="K86" s="463">
        <v>81</v>
      </c>
      <c r="L86" s="463">
        <v>9151</v>
      </c>
      <c r="M86" s="463">
        <v>8</v>
      </c>
      <c r="N86" s="463">
        <v>107</v>
      </c>
      <c r="O86" s="464"/>
      <c r="P86" s="464"/>
      <c r="Q86" s="463">
        <v>102</v>
      </c>
      <c r="R86" s="464"/>
      <c r="S86" s="464"/>
    </row>
    <row r="87" spans="1:19" ht="18" customHeight="1">
      <c r="A87" s="462" t="s">
        <v>136</v>
      </c>
      <c r="B87" s="462" t="s">
        <v>144</v>
      </c>
      <c r="C87" s="463">
        <v>4</v>
      </c>
      <c r="D87" s="463">
        <v>618</v>
      </c>
      <c r="E87" s="463">
        <v>2</v>
      </c>
      <c r="F87" s="463">
        <v>3</v>
      </c>
      <c r="G87" s="463">
        <v>47</v>
      </c>
      <c r="H87" s="463">
        <v>32</v>
      </c>
      <c r="I87" s="463">
        <v>1</v>
      </c>
      <c r="J87" s="463">
        <v>3</v>
      </c>
      <c r="K87" s="463">
        <v>36</v>
      </c>
      <c r="L87" s="463">
        <v>11</v>
      </c>
      <c r="M87" s="463">
        <v>1</v>
      </c>
      <c r="N87" s="463">
        <v>346</v>
      </c>
      <c r="O87" s="463">
        <v>3</v>
      </c>
      <c r="P87" s="463">
        <v>94</v>
      </c>
      <c r="Q87" s="463">
        <v>8783.5</v>
      </c>
      <c r="R87" s="464"/>
      <c r="S87" s="463">
        <v>57</v>
      </c>
    </row>
    <row r="88" spans="1:19" ht="18" customHeight="1">
      <c r="A88" s="462" t="s">
        <v>137</v>
      </c>
      <c r="B88" s="462" t="s">
        <v>49</v>
      </c>
      <c r="C88" s="463">
        <v>33</v>
      </c>
      <c r="D88" s="463">
        <v>134</v>
      </c>
      <c r="E88" s="463">
        <v>8</v>
      </c>
      <c r="F88" s="464"/>
      <c r="G88" s="463">
        <v>18</v>
      </c>
      <c r="H88" s="463">
        <v>4</v>
      </c>
      <c r="I88" s="464"/>
      <c r="J88" s="463">
        <v>21</v>
      </c>
      <c r="K88" s="463">
        <v>58</v>
      </c>
      <c r="L88" s="463">
        <v>93</v>
      </c>
      <c r="M88" s="463">
        <v>4</v>
      </c>
      <c r="N88" s="463">
        <v>1165</v>
      </c>
      <c r="O88" s="463">
        <v>20</v>
      </c>
      <c r="P88" s="463">
        <v>22</v>
      </c>
      <c r="Q88" s="463">
        <v>4986</v>
      </c>
      <c r="R88" s="464"/>
      <c r="S88" s="464"/>
    </row>
    <row r="89" spans="1:19" ht="18" customHeight="1">
      <c r="A89" s="462" t="s">
        <v>145</v>
      </c>
      <c r="B89" s="462" t="s">
        <v>207</v>
      </c>
      <c r="C89" s="463">
        <v>12028</v>
      </c>
      <c r="D89" s="463">
        <v>232</v>
      </c>
      <c r="E89" s="463">
        <v>65</v>
      </c>
      <c r="F89" s="463">
        <v>3</v>
      </c>
      <c r="G89" s="463">
        <v>65</v>
      </c>
      <c r="H89" s="463">
        <v>197</v>
      </c>
      <c r="I89" s="464"/>
      <c r="J89" s="464"/>
      <c r="K89" s="463">
        <v>158</v>
      </c>
      <c r="L89" s="464"/>
      <c r="M89" s="464"/>
      <c r="N89" s="463">
        <v>18</v>
      </c>
      <c r="O89" s="464"/>
      <c r="P89" s="464"/>
      <c r="Q89" s="463">
        <v>17</v>
      </c>
      <c r="R89" s="464"/>
      <c r="S89" s="464"/>
    </row>
    <row r="90" spans="1:19" ht="18" customHeight="1">
      <c r="A90" s="462" t="s">
        <v>147</v>
      </c>
      <c r="B90" s="462" t="s">
        <v>208</v>
      </c>
      <c r="C90" s="464"/>
      <c r="D90" s="463">
        <v>37</v>
      </c>
      <c r="E90" s="464"/>
      <c r="F90" s="464"/>
      <c r="G90" s="463">
        <v>975</v>
      </c>
      <c r="H90" s="463">
        <v>8</v>
      </c>
      <c r="I90" s="464"/>
      <c r="J90" s="464"/>
      <c r="K90" s="464"/>
      <c r="L90" s="464"/>
      <c r="M90" s="464"/>
      <c r="N90" s="463">
        <v>88</v>
      </c>
      <c r="O90" s="464"/>
      <c r="P90" s="464"/>
      <c r="Q90" s="463">
        <v>9</v>
      </c>
      <c r="R90" s="464"/>
      <c r="S90" s="463">
        <v>1</v>
      </c>
    </row>
    <row r="91" spans="1:19" ht="18" customHeight="1">
      <c r="A91" s="462" t="s">
        <v>148</v>
      </c>
      <c r="B91" s="462" t="s">
        <v>39</v>
      </c>
      <c r="C91" s="463">
        <v>130</v>
      </c>
      <c r="D91" s="463">
        <v>698</v>
      </c>
      <c r="E91" s="463">
        <v>286</v>
      </c>
      <c r="F91" s="463">
        <v>85</v>
      </c>
      <c r="G91" s="463">
        <v>28</v>
      </c>
      <c r="H91" s="463">
        <v>373</v>
      </c>
      <c r="I91" s="463">
        <v>10</v>
      </c>
      <c r="J91" s="463">
        <v>34</v>
      </c>
      <c r="K91" s="463">
        <v>10591</v>
      </c>
      <c r="L91" s="463">
        <v>80</v>
      </c>
      <c r="M91" s="464"/>
      <c r="N91" s="463">
        <v>106</v>
      </c>
      <c r="O91" s="464"/>
      <c r="P91" s="464"/>
      <c r="Q91" s="463">
        <v>203</v>
      </c>
      <c r="R91" s="464"/>
      <c r="S91" s="464"/>
    </row>
    <row r="92" spans="1:19" ht="18" customHeight="1">
      <c r="A92" s="462" t="s">
        <v>149</v>
      </c>
      <c r="B92" s="462" t="s">
        <v>38</v>
      </c>
      <c r="C92" s="463">
        <v>9</v>
      </c>
      <c r="D92" s="463">
        <v>69</v>
      </c>
      <c r="E92" s="463">
        <v>10508</v>
      </c>
      <c r="F92" s="464"/>
      <c r="G92" s="463">
        <v>28</v>
      </c>
      <c r="H92" s="463">
        <v>5</v>
      </c>
      <c r="I92" s="463">
        <v>8</v>
      </c>
      <c r="J92" s="464"/>
      <c r="K92" s="463">
        <v>31</v>
      </c>
      <c r="L92" s="464"/>
      <c r="M92" s="464"/>
      <c r="N92" s="463">
        <v>5</v>
      </c>
      <c r="O92" s="464"/>
      <c r="P92" s="464"/>
      <c r="Q92" s="463">
        <v>8</v>
      </c>
      <c r="R92" s="464"/>
      <c r="S92" s="464"/>
    </row>
    <row r="93" spans="1:19" ht="18" customHeight="1">
      <c r="A93" s="462" t="s">
        <v>150</v>
      </c>
      <c r="B93" s="462" t="s">
        <v>31</v>
      </c>
      <c r="C93" s="463">
        <v>41</v>
      </c>
      <c r="D93" s="463">
        <v>133</v>
      </c>
      <c r="E93" s="463">
        <v>90</v>
      </c>
      <c r="F93" s="464"/>
      <c r="G93" s="463">
        <v>3</v>
      </c>
      <c r="H93" s="463">
        <v>25</v>
      </c>
      <c r="I93" s="463">
        <v>92</v>
      </c>
      <c r="J93" s="463">
        <v>22545</v>
      </c>
      <c r="K93" s="463">
        <v>16</v>
      </c>
      <c r="L93" s="463">
        <v>3</v>
      </c>
      <c r="M93" s="464"/>
      <c r="N93" s="463">
        <v>12</v>
      </c>
      <c r="O93" s="464"/>
      <c r="P93" s="464"/>
      <c r="Q93" s="463">
        <v>69</v>
      </c>
      <c r="R93" s="464"/>
      <c r="S93" s="464"/>
    </row>
    <row r="94" spans="1:19" ht="18" customHeight="1">
      <c r="A94" s="462" t="s">
        <v>151</v>
      </c>
      <c r="B94" s="462" t="s">
        <v>209</v>
      </c>
      <c r="C94" s="464"/>
      <c r="D94" s="463">
        <v>89</v>
      </c>
      <c r="E94" s="464"/>
      <c r="F94" s="464"/>
      <c r="G94" s="464"/>
      <c r="H94" s="464"/>
      <c r="I94" s="463">
        <v>3</v>
      </c>
      <c r="J94" s="463">
        <v>2294</v>
      </c>
      <c r="K94" s="463">
        <v>28</v>
      </c>
      <c r="L94" s="464"/>
      <c r="M94" s="464"/>
      <c r="N94" s="464"/>
      <c r="O94" s="464"/>
      <c r="P94" s="464"/>
      <c r="Q94" s="463">
        <v>2</v>
      </c>
      <c r="R94" s="464"/>
      <c r="S94" s="464"/>
    </row>
    <row r="95" spans="1:19" ht="18" customHeight="1">
      <c r="A95" s="462" t="s">
        <v>153</v>
      </c>
      <c r="B95" s="462" t="s">
        <v>210</v>
      </c>
      <c r="C95" s="464"/>
      <c r="D95" s="463">
        <v>14</v>
      </c>
      <c r="E95" s="464"/>
      <c r="F95" s="464"/>
      <c r="G95" s="464"/>
      <c r="H95" s="463">
        <v>1</v>
      </c>
      <c r="I95" s="464"/>
      <c r="J95" s="464"/>
      <c r="K95" s="463">
        <v>20</v>
      </c>
      <c r="L95" s="463">
        <v>12</v>
      </c>
      <c r="M95" s="463">
        <v>2</v>
      </c>
      <c r="N95" s="463">
        <v>30</v>
      </c>
      <c r="O95" s="463">
        <v>2106</v>
      </c>
      <c r="P95" s="463">
        <v>59</v>
      </c>
      <c r="Q95" s="463">
        <v>124</v>
      </c>
      <c r="R95" s="464"/>
      <c r="S95" s="464"/>
    </row>
    <row r="96" spans="1:19" ht="18" customHeight="1">
      <c r="A96" s="462" t="s">
        <v>155</v>
      </c>
      <c r="B96" s="462" t="s">
        <v>42</v>
      </c>
      <c r="C96" s="464"/>
      <c r="D96" s="463">
        <v>36</v>
      </c>
      <c r="E96" s="464"/>
      <c r="F96" s="464"/>
      <c r="G96" s="464"/>
      <c r="H96" s="463">
        <v>6</v>
      </c>
      <c r="I96" s="464"/>
      <c r="J96" s="463">
        <v>1</v>
      </c>
      <c r="K96" s="464"/>
      <c r="L96" s="464"/>
      <c r="M96" s="463">
        <v>1</v>
      </c>
      <c r="N96" s="463">
        <v>2135</v>
      </c>
      <c r="O96" s="463">
        <v>87</v>
      </c>
      <c r="P96" s="463">
        <v>16523</v>
      </c>
      <c r="Q96" s="463">
        <v>155</v>
      </c>
      <c r="R96" s="464"/>
      <c r="S96" s="464"/>
    </row>
    <row r="97" spans="1:19" ht="18" customHeight="1">
      <c r="A97" s="462" t="s">
        <v>162</v>
      </c>
      <c r="B97" s="462" t="s">
        <v>76</v>
      </c>
      <c r="C97" s="464"/>
      <c r="D97" s="463">
        <v>18</v>
      </c>
      <c r="E97" s="464"/>
      <c r="F97" s="464"/>
      <c r="G97" s="464"/>
      <c r="H97" s="464"/>
      <c r="I97" s="464"/>
      <c r="J97" s="464"/>
      <c r="K97" s="464"/>
      <c r="L97" s="464"/>
      <c r="M97" s="463">
        <v>3</v>
      </c>
      <c r="N97" s="463">
        <v>40441.5</v>
      </c>
      <c r="O97" s="464"/>
      <c r="P97" s="464"/>
      <c r="Q97" s="463">
        <v>70</v>
      </c>
      <c r="R97" s="464"/>
      <c r="S97" s="463">
        <v>3</v>
      </c>
    </row>
    <row r="98" spans="1:19" ht="18" customHeight="1">
      <c r="A98" s="462" t="s">
        <v>156</v>
      </c>
      <c r="B98" s="462" t="s">
        <v>77</v>
      </c>
      <c r="C98" s="464"/>
      <c r="D98" s="464"/>
      <c r="E98" s="464"/>
      <c r="F98" s="464"/>
      <c r="G98" s="464"/>
      <c r="H98" s="464"/>
      <c r="I98" s="464"/>
      <c r="J98" s="464"/>
      <c r="K98" s="464"/>
      <c r="L98" s="464"/>
      <c r="M98" s="463">
        <v>14220</v>
      </c>
      <c r="N98" s="463">
        <v>2163</v>
      </c>
      <c r="O98" s="464"/>
      <c r="P98" s="464"/>
      <c r="Q98" s="464"/>
      <c r="R98" s="464"/>
      <c r="S98" s="464"/>
    </row>
    <row r="99" spans="1:19" ht="18" customHeight="1">
      <c r="A99" s="462" t="s">
        <v>163</v>
      </c>
      <c r="B99" s="462" t="s">
        <v>164</v>
      </c>
      <c r="C99" s="464"/>
      <c r="D99" s="463">
        <v>25</v>
      </c>
      <c r="E99" s="464"/>
      <c r="F99" s="464"/>
      <c r="G99" s="464"/>
      <c r="H99" s="464"/>
      <c r="I99" s="464"/>
      <c r="J99" s="464"/>
      <c r="K99" s="464"/>
      <c r="L99" s="464"/>
      <c r="M99" s="463">
        <v>2747</v>
      </c>
      <c r="N99" s="463">
        <v>52</v>
      </c>
      <c r="O99" s="464"/>
      <c r="P99" s="464"/>
      <c r="Q99" s="463">
        <v>18</v>
      </c>
      <c r="R99" s="464"/>
      <c r="S99" s="463">
        <v>1</v>
      </c>
    </row>
  </sheetData>
  <mergeCells count="1">
    <mergeCell ref="A49:B49"/>
  </mergeCells>
  <printOptions horizontalCentered="1"/>
  <pageMargins left="0.2" right="0.2" top="0.8" bottom="0.2" header="0.2" footer="0.2"/>
  <pageSetup paperSize="5" scale="57" orientation="landscape" r:id="rId1"/>
  <headerFooter>
    <oddFooter xml:space="preserve">&amp;L&amp;9&amp;Z&amp;F, &amp;A
Revised/Printed &amp;D, &amp;T&amp;R&amp;9Page &amp;P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4"/>
  <sheetViews>
    <sheetView showGridLines="0" workbookViewId="0">
      <pane xSplit="2" ySplit="1" topLeftCell="C2" activePane="bottomRight" state="frozen"/>
      <selection pane="topRight" activeCell="B1" sqref="B1"/>
      <selection pane="bottomLeft" activeCell="A3" sqref="A3"/>
      <selection pane="bottomRight" activeCell="C2" sqref="C2"/>
    </sheetView>
  </sheetViews>
  <sheetFormatPr defaultColWidth="8.85546875" defaultRowHeight="15.95" customHeight="1"/>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c r="B1" s="639" t="s">
        <v>219</v>
      </c>
      <c r="C1" s="639"/>
      <c r="D1" s="639"/>
      <c r="E1" s="639"/>
      <c r="F1" s="639"/>
    </row>
    <row r="2" spans="1:20" ht="60"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0" ht="24.75" customHeight="1">
      <c r="A4" s="400"/>
      <c r="B4" s="631" t="s">
        <v>111</v>
      </c>
      <c r="C4" s="631"/>
      <c r="D4" s="631"/>
      <c r="E4" s="631"/>
      <c r="F4" s="631"/>
      <c r="G4" s="631"/>
      <c r="H4" s="631"/>
      <c r="I4" s="631"/>
      <c r="J4" s="631"/>
      <c r="K4" s="631"/>
      <c r="L4" s="631"/>
      <c r="M4" s="631"/>
      <c r="N4" s="631"/>
      <c r="O4" s="631"/>
      <c r="P4" s="631"/>
      <c r="Q4" s="631"/>
      <c r="R4" s="631"/>
      <c r="S4" s="631"/>
      <c r="T4" s="631"/>
    </row>
    <row r="5" spans="1:20" ht="20.100000000000001" customHeight="1">
      <c r="A5" s="411" t="s">
        <v>128</v>
      </c>
      <c r="B5" s="412" t="s">
        <v>21</v>
      </c>
      <c r="C5" s="413">
        <f t="shared" ref="C5:S5" si="0">+C29+C53</f>
        <v>3801600.513811653</v>
      </c>
      <c r="D5" s="413">
        <f t="shared" si="0"/>
        <v>167989259.9740105</v>
      </c>
      <c r="E5" s="413">
        <f t="shared" si="0"/>
        <v>19314951.339711443</v>
      </c>
      <c r="F5" s="413">
        <f t="shared" si="0"/>
        <v>2680062.6880787932</v>
      </c>
      <c r="G5" s="413">
        <f t="shared" si="0"/>
        <v>20963366.846452162</v>
      </c>
      <c r="H5" s="413">
        <f t="shared" si="0"/>
        <v>11444134.204088736</v>
      </c>
      <c r="I5" s="413">
        <f t="shared" si="0"/>
        <v>2346385.558634473</v>
      </c>
      <c r="J5" s="413">
        <f t="shared" si="0"/>
        <v>6269.6216206896434</v>
      </c>
      <c r="K5" s="413">
        <f t="shared" si="0"/>
        <v>11771.534471498922</v>
      </c>
      <c r="L5" s="413">
        <f t="shared" si="0"/>
        <v>988688.71411545319</v>
      </c>
      <c r="M5" s="413">
        <f t="shared" si="0"/>
        <v>12539.243241379287</v>
      </c>
      <c r="N5" s="413">
        <f t="shared" si="0"/>
        <v>5817107.9064144688</v>
      </c>
      <c r="O5" s="413">
        <f t="shared" si="0"/>
        <v>2729029.0465204129</v>
      </c>
      <c r="P5" s="413">
        <f t="shared" si="0"/>
        <v>52076.244890218062</v>
      </c>
      <c r="Q5" s="413">
        <f t="shared" si="0"/>
        <v>3386457.682712066</v>
      </c>
      <c r="R5" s="413">
        <f t="shared" si="0"/>
        <v>2371158.6215150664</v>
      </c>
      <c r="S5" s="413">
        <f t="shared" si="0"/>
        <v>742622.84147103759</v>
      </c>
      <c r="T5" s="413">
        <f t="shared" ref="T5:T26" si="1">SUM(C5:S5)</f>
        <v>244657482.58176005</v>
      </c>
    </row>
    <row r="6" spans="1:20" ht="20.100000000000001" customHeight="1">
      <c r="A6" s="401" t="s">
        <v>129</v>
      </c>
      <c r="B6" s="408" t="s">
        <v>71</v>
      </c>
      <c r="C6" s="410">
        <f t="shared" ref="C6:C25" si="2">+C30+C54</f>
        <v>83476.22149360941</v>
      </c>
      <c r="D6" s="410">
        <f t="shared" ref="D6:S21" si="3">+D30+D54</f>
        <v>9346916.0685205813</v>
      </c>
      <c r="E6" s="410">
        <f t="shared" si="3"/>
        <v>318602.3695949234</v>
      </c>
      <c r="F6" s="410">
        <f t="shared" si="3"/>
        <v>8331.26688270458</v>
      </c>
      <c r="G6" s="410">
        <f t="shared" si="3"/>
        <v>550978.59283955069</v>
      </c>
      <c r="H6" s="410">
        <f t="shared" si="3"/>
        <v>32118.733094340241</v>
      </c>
      <c r="I6" s="410">
        <f t="shared" si="3"/>
        <v>203633.51689167623</v>
      </c>
      <c r="J6" s="410">
        <f t="shared" si="3"/>
        <v>7231.99279059133</v>
      </c>
      <c r="K6" s="410">
        <f t="shared" si="3"/>
        <v>111073.78442152028</v>
      </c>
      <c r="L6" s="410">
        <f t="shared" si="3"/>
        <v>2484.7638071224187</v>
      </c>
      <c r="M6" s="410">
        <f t="shared" si="3"/>
        <v>87.697546133732416</v>
      </c>
      <c r="N6" s="410">
        <f t="shared" si="3"/>
        <v>1902836.2850141213</v>
      </c>
      <c r="O6" s="410">
        <f t="shared" si="3"/>
        <v>1900.1134995642024</v>
      </c>
      <c r="P6" s="410">
        <f t="shared" si="3"/>
        <v>256572.28710203472</v>
      </c>
      <c r="Q6" s="410">
        <f t="shared" si="3"/>
        <v>44850.856531761441</v>
      </c>
      <c r="R6" s="410">
        <f t="shared" si="3"/>
        <v>0</v>
      </c>
      <c r="S6" s="410">
        <f t="shared" si="3"/>
        <v>1262753.5539011939</v>
      </c>
      <c r="T6" s="410">
        <f t="shared" si="1"/>
        <v>14133848.103931429</v>
      </c>
    </row>
    <row r="7" spans="1:20" ht="20.100000000000001" customHeight="1">
      <c r="A7" s="401" t="s">
        <v>140</v>
      </c>
      <c r="B7" s="414" t="s">
        <v>72</v>
      </c>
      <c r="C7" s="415">
        <f t="shared" si="2"/>
        <v>0</v>
      </c>
      <c r="D7" s="415">
        <f t="shared" ref="D7:R7" si="4">+D31+D55</f>
        <v>9928.9035258755757</v>
      </c>
      <c r="E7" s="415">
        <f t="shared" si="4"/>
        <v>0</v>
      </c>
      <c r="F7" s="415">
        <f t="shared" si="4"/>
        <v>839.062269792302</v>
      </c>
      <c r="G7" s="415">
        <f t="shared" si="4"/>
        <v>512.76027598418455</v>
      </c>
      <c r="H7" s="415">
        <f t="shared" si="4"/>
        <v>0</v>
      </c>
      <c r="I7" s="415">
        <f t="shared" si="4"/>
        <v>0</v>
      </c>
      <c r="J7" s="415">
        <f t="shared" si="4"/>
        <v>279.68742326410069</v>
      </c>
      <c r="K7" s="415">
        <f t="shared" si="4"/>
        <v>1445.0516868645202</v>
      </c>
      <c r="L7" s="415">
        <f t="shared" si="4"/>
        <v>268563.52450730215</v>
      </c>
      <c r="M7" s="415">
        <f t="shared" si="4"/>
        <v>0</v>
      </c>
      <c r="N7" s="415">
        <f t="shared" si="4"/>
        <v>854754.3964624143</v>
      </c>
      <c r="O7" s="415">
        <f t="shared" si="4"/>
        <v>559.37484652820137</v>
      </c>
      <c r="P7" s="415">
        <f t="shared" si="4"/>
        <v>419.531134896151</v>
      </c>
      <c r="Q7" s="415">
        <f t="shared" si="4"/>
        <v>3029.9470853610906</v>
      </c>
      <c r="R7" s="415">
        <f t="shared" si="4"/>
        <v>93.229141088033572</v>
      </c>
      <c r="S7" s="415">
        <f t="shared" si="3"/>
        <v>0</v>
      </c>
      <c r="T7" s="415">
        <f t="shared" si="1"/>
        <v>1140425.4683593707</v>
      </c>
    </row>
    <row r="8" spans="1:20" ht="20.100000000000001" customHeight="1">
      <c r="A8" s="401" t="s">
        <v>130</v>
      </c>
      <c r="B8" s="408" t="s">
        <v>73</v>
      </c>
      <c r="C8" s="410">
        <f t="shared" si="2"/>
        <v>10542.909632971552</v>
      </c>
      <c r="D8" s="410">
        <f t="shared" si="3"/>
        <v>141502.3827921279</v>
      </c>
      <c r="E8" s="410">
        <f t="shared" si="3"/>
        <v>64866.770013592613</v>
      </c>
      <c r="F8" s="410">
        <f t="shared" si="3"/>
        <v>9148.3625264350885</v>
      </c>
      <c r="G8" s="410">
        <f t="shared" si="3"/>
        <v>6488530.3289760416</v>
      </c>
      <c r="H8" s="410">
        <f t="shared" si="3"/>
        <v>21197.449788243968</v>
      </c>
      <c r="I8" s="410">
        <f t="shared" si="3"/>
        <v>3179.6341566810815</v>
      </c>
      <c r="J8" s="410">
        <f t="shared" si="3"/>
        <v>25288.455069640651</v>
      </c>
      <c r="K8" s="410">
        <f t="shared" si="3"/>
        <v>5522.5400494402857</v>
      </c>
      <c r="L8" s="410">
        <f t="shared" si="3"/>
        <v>1255.0923958828168</v>
      </c>
      <c r="M8" s="410">
        <f t="shared" si="3"/>
        <v>0</v>
      </c>
      <c r="N8" s="410">
        <f t="shared" si="3"/>
        <v>40344.982083657284</v>
      </c>
      <c r="O8" s="410">
        <f t="shared" si="3"/>
        <v>392781.2927305582</v>
      </c>
      <c r="P8" s="410">
        <f t="shared" si="3"/>
        <v>697.27355326823158</v>
      </c>
      <c r="Q8" s="410">
        <f t="shared" si="3"/>
        <v>37932.348835571254</v>
      </c>
      <c r="R8" s="410">
        <f t="shared" si="3"/>
        <v>14401.490396612162</v>
      </c>
      <c r="S8" s="410">
        <f t="shared" si="3"/>
        <v>113803.63085662932</v>
      </c>
      <c r="T8" s="410">
        <f t="shared" si="1"/>
        <v>7370994.9438573541</v>
      </c>
    </row>
    <row r="9" spans="1:20" ht="20.100000000000001" customHeight="1">
      <c r="A9" s="416" t="s">
        <v>131</v>
      </c>
      <c r="B9" s="414" t="s">
        <v>218</v>
      </c>
      <c r="C9" s="415">
        <f t="shared" si="2"/>
        <v>8857.9808944580727</v>
      </c>
      <c r="D9" s="415">
        <f t="shared" si="3"/>
        <v>90523.717781844549</v>
      </c>
      <c r="E9" s="415">
        <f t="shared" si="3"/>
        <v>5583.3908765733595</v>
      </c>
      <c r="F9" s="415">
        <f t="shared" si="3"/>
        <v>1071.9432558197288</v>
      </c>
      <c r="G9" s="415">
        <f t="shared" si="3"/>
        <v>10972.487280884767</v>
      </c>
      <c r="H9" s="415">
        <f t="shared" si="3"/>
        <v>3419891.9135253578</v>
      </c>
      <c r="I9" s="415">
        <f t="shared" si="3"/>
        <v>123.68576028689179</v>
      </c>
      <c r="J9" s="415">
        <f t="shared" si="3"/>
        <v>577.20021467216156</v>
      </c>
      <c r="K9" s="415">
        <f t="shared" si="3"/>
        <v>24771.73332738267</v>
      </c>
      <c r="L9" s="415">
        <f t="shared" si="3"/>
        <v>0</v>
      </c>
      <c r="M9" s="415">
        <f t="shared" si="3"/>
        <v>0</v>
      </c>
      <c r="N9" s="415">
        <f t="shared" si="3"/>
        <v>4111.0102146801919</v>
      </c>
      <c r="O9" s="415">
        <f t="shared" si="3"/>
        <v>0</v>
      </c>
      <c r="P9" s="415">
        <f t="shared" si="3"/>
        <v>123.68576028689179</v>
      </c>
      <c r="Q9" s="415">
        <f t="shared" si="3"/>
        <v>3410.1242397211386</v>
      </c>
      <c r="R9" s="415">
        <f t="shared" si="3"/>
        <v>0</v>
      </c>
      <c r="S9" s="415">
        <f t="shared" si="3"/>
        <v>6973.3143649419326</v>
      </c>
      <c r="T9" s="415">
        <f t="shared" si="1"/>
        <v>3576992.1874969113</v>
      </c>
    </row>
    <row r="10" spans="1:20" ht="20.100000000000001" customHeight="1">
      <c r="A10" s="401"/>
      <c r="B10" s="408" t="s">
        <v>206</v>
      </c>
      <c r="C10" s="410">
        <f t="shared" si="2"/>
        <v>84.408464108312216</v>
      </c>
      <c r="D10" s="410">
        <f t="shared" si="3"/>
        <v>54871.290800094357</v>
      </c>
      <c r="E10" s="410">
        <f t="shared" si="3"/>
        <v>1619.9918520160604</v>
      </c>
      <c r="F10" s="410">
        <f t="shared" si="3"/>
        <v>4154158.8743002843</v>
      </c>
      <c r="G10" s="410">
        <f t="shared" si="3"/>
        <v>168.81692821662443</v>
      </c>
      <c r="H10" s="410">
        <f t="shared" si="3"/>
        <v>8842.9877744737714</v>
      </c>
      <c r="I10" s="410">
        <f t="shared" si="3"/>
        <v>0</v>
      </c>
      <c r="J10" s="410">
        <f t="shared" si="3"/>
        <v>168.81692821662443</v>
      </c>
      <c r="K10" s="410">
        <f t="shared" si="3"/>
        <v>16325.155953733723</v>
      </c>
      <c r="L10" s="410">
        <f t="shared" si="3"/>
        <v>1776.2299504003245</v>
      </c>
      <c r="M10" s="410">
        <f t="shared" si="3"/>
        <v>0</v>
      </c>
      <c r="N10" s="410">
        <f t="shared" si="3"/>
        <v>812.8370214062694</v>
      </c>
      <c r="O10" s="410">
        <f t="shared" si="3"/>
        <v>12704.183125235855</v>
      </c>
      <c r="P10" s="410">
        <f t="shared" si="3"/>
        <v>0</v>
      </c>
      <c r="Q10" s="410">
        <f t="shared" si="3"/>
        <v>1651.239471692913</v>
      </c>
      <c r="R10" s="410">
        <f t="shared" si="3"/>
        <v>253.22539232493668</v>
      </c>
      <c r="S10" s="410">
        <f t="shared" si="3"/>
        <v>32244.363977699635</v>
      </c>
      <c r="T10" s="410">
        <f t="shared" si="1"/>
        <v>4285682.421939902</v>
      </c>
    </row>
    <row r="11" spans="1:20" ht="20.100000000000001" customHeight="1">
      <c r="A11" s="401" t="s">
        <v>134</v>
      </c>
      <c r="B11" s="414" t="s">
        <v>40</v>
      </c>
      <c r="C11" s="415">
        <f t="shared" si="2"/>
        <v>0</v>
      </c>
      <c r="D11" s="415">
        <f t="shared" si="3"/>
        <v>9722.6680425874965</v>
      </c>
      <c r="E11" s="415">
        <f t="shared" si="3"/>
        <v>0</v>
      </c>
      <c r="F11" s="415">
        <f t="shared" si="3"/>
        <v>0</v>
      </c>
      <c r="G11" s="415">
        <f t="shared" si="3"/>
        <v>0</v>
      </c>
      <c r="H11" s="415">
        <f t="shared" si="3"/>
        <v>0</v>
      </c>
      <c r="I11" s="415">
        <f t="shared" si="3"/>
        <v>32772.87027893724</v>
      </c>
      <c r="J11" s="415">
        <f t="shared" si="3"/>
        <v>0</v>
      </c>
      <c r="K11" s="415">
        <f t="shared" si="3"/>
        <v>403.86467253824981</v>
      </c>
      <c r="L11" s="415">
        <f t="shared" si="3"/>
        <v>0</v>
      </c>
      <c r="M11" s="415">
        <f t="shared" si="3"/>
        <v>0</v>
      </c>
      <c r="N11" s="415">
        <f t="shared" si="3"/>
        <v>0</v>
      </c>
      <c r="O11" s="415">
        <f t="shared" si="3"/>
        <v>0</v>
      </c>
      <c r="P11" s="415">
        <f t="shared" si="3"/>
        <v>0</v>
      </c>
      <c r="Q11" s="415">
        <f t="shared" si="3"/>
        <v>179.49541001699993</v>
      </c>
      <c r="R11" s="415">
        <f t="shared" si="3"/>
        <v>0</v>
      </c>
      <c r="S11" s="415">
        <f t="shared" si="3"/>
        <v>0</v>
      </c>
      <c r="T11" s="415">
        <f t="shared" si="1"/>
        <v>43078.898404079984</v>
      </c>
    </row>
    <row r="12" spans="1:20" ht="20.100000000000001" customHeight="1">
      <c r="A12" s="401" t="s">
        <v>135</v>
      </c>
      <c r="B12" s="408" t="s">
        <v>70</v>
      </c>
      <c r="C12" s="410">
        <f t="shared" si="2"/>
        <v>0</v>
      </c>
      <c r="D12" s="410">
        <f t="shared" si="3"/>
        <v>23771.15444786755</v>
      </c>
      <c r="E12" s="410">
        <f t="shared" si="3"/>
        <v>0</v>
      </c>
      <c r="F12" s="410">
        <f t="shared" si="3"/>
        <v>1241.0039642635782</v>
      </c>
      <c r="G12" s="410">
        <f t="shared" si="3"/>
        <v>0</v>
      </c>
      <c r="H12" s="410">
        <f t="shared" si="3"/>
        <v>51.70849851098243</v>
      </c>
      <c r="I12" s="410">
        <f t="shared" si="3"/>
        <v>0</v>
      </c>
      <c r="J12" s="410">
        <f t="shared" si="3"/>
        <v>103.41699702196486</v>
      </c>
      <c r="K12" s="410">
        <f t="shared" si="3"/>
        <v>35838.243123515327</v>
      </c>
      <c r="L12" s="410">
        <f t="shared" si="3"/>
        <v>2443474.4629979637</v>
      </c>
      <c r="M12" s="410">
        <f t="shared" si="3"/>
        <v>0</v>
      </c>
      <c r="N12" s="410">
        <f t="shared" si="3"/>
        <v>17875.32220376443</v>
      </c>
      <c r="O12" s="410">
        <f t="shared" si="3"/>
        <v>775.62747766473649</v>
      </c>
      <c r="P12" s="410">
        <f t="shared" si="3"/>
        <v>0</v>
      </c>
      <c r="Q12" s="410">
        <f t="shared" si="3"/>
        <v>25063.866910642108</v>
      </c>
      <c r="R12" s="410">
        <f t="shared" si="3"/>
        <v>0</v>
      </c>
      <c r="S12" s="410">
        <f t="shared" si="3"/>
        <v>0</v>
      </c>
      <c r="T12" s="410">
        <f t="shared" si="1"/>
        <v>2548194.8066212144</v>
      </c>
    </row>
    <row r="13" spans="1:20" ht="20.100000000000001" customHeight="1">
      <c r="A13" s="416" t="s">
        <v>136</v>
      </c>
      <c r="B13" s="414" t="s">
        <v>144</v>
      </c>
      <c r="C13" s="415">
        <f t="shared" si="2"/>
        <v>294.14623396779604</v>
      </c>
      <c r="D13" s="415">
        <f t="shared" si="3"/>
        <v>25884.86858916605</v>
      </c>
      <c r="E13" s="415">
        <f t="shared" si="3"/>
        <v>637.31684026355799</v>
      </c>
      <c r="F13" s="415">
        <f t="shared" si="3"/>
        <v>147.07311698389802</v>
      </c>
      <c r="G13" s="415">
        <f t="shared" si="3"/>
        <v>2206.0967547584701</v>
      </c>
      <c r="H13" s="415">
        <f t="shared" si="3"/>
        <v>4203.1638136631946</v>
      </c>
      <c r="I13" s="415">
        <f t="shared" si="3"/>
        <v>392.19497862372805</v>
      </c>
      <c r="J13" s="415">
        <f t="shared" si="3"/>
        <v>0</v>
      </c>
      <c r="K13" s="415">
        <f t="shared" si="3"/>
        <v>392.19497862372805</v>
      </c>
      <c r="L13" s="415">
        <f t="shared" si="3"/>
        <v>49.024372327966006</v>
      </c>
      <c r="M13" s="415">
        <f t="shared" si="3"/>
        <v>147.07311698389802</v>
      </c>
      <c r="N13" s="415">
        <f t="shared" si="3"/>
        <v>49471.762750860682</v>
      </c>
      <c r="O13" s="415">
        <f t="shared" si="3"/>
        <v>833.41432957542202</v>
      </c>
      <c r="P13" s="415">
        <f t="shared" si="3"/>
        <v>2990.4867120059262</v>
      </c>
      <c r="Q13" s="415">
        <f t="shared" si="3"/>
        <v>2433368.9260258968</v>
      </c>
      <c r="R13" s="415">
        <f t="shared" si="3"/>
        <v>196.09748931186402</v>
      </c>
      <c r="S13" s="415">
        <f t="shared" si="3"/>
        <v>6237.6752652737832</v>
      </c>
      <c r="T13" s="415">
        <f t="shared" si="1"/>
        <v>2527451.515368287</v>
      </c>
    </row>
    <row r="14" spans="1:20" ht="20.100000000000001" customHeight="1">
      <c r="A14" s="401" t="s">
        <v>137</v>
      </c>
      <c r="B14" s="408" t="s">
        <v>49</v>
      </c>
      <c r="C14" s="410">
        <f t="shared" si="2"/>
        <v>6242.6133433402474</v>
      </c>
      <c r="D14" s="410">
        <f t="shared" si="3"/>
        <v>24930.764778438803</v>
      </c>
      <c r="E14" s="410">
        <f t="shared" si="3"/>
        <v>0</v>
      </c>
      <c r="F14" s="410">
        <f t="shared" si="3"/>
        <v>0</v>
      </c>
      <c r="G14" s="410">
        <f t="shared" si="3"/>
        <v>5448.8414448965414</v>
      </c>
      <c r="H14" s="410">
        <f t="shared" si="3"/>
        <v>238.13156953311181</v>
      </c>
      <c r="I14" s="410">
        <f t="shared" si="3"/>
        <v>79.377189844370605</v>
      </c>
      <c r="J14" s="410">
        <f t="shared" si="3"/>
        <v>357.19735429966772</v>
      </c>
      <c r="K14" s="410">
        <f t="shared" si="3"/>
        <v>13040.867015591088</v>
      </c>
      <c r="L14" s="410">
        <f t="shared" si="3"/>
        <v>16783.098878833662</v>
      </c>
      <c r="M14" s="410">
        <f t="shared" si="3"/>
        <v>5964.7931788849501</v>
      </c>
      <c r="N14" s="410">
        <f t="shared" si="3"/>
        <v>195616.55228220482</v>
      </c>
      <c r="O14" s="410">
        <f t="shared" si="3"/>
        <v>5766.3502042740238</v>
      </c>
      <c r="P14" s="410">
        <f t="shared" si="3"/>
        <v>436.57454414403833</v>
      </c>
      <c r="Q14" s="410">
        <f t="shared" si="3"/>
        <v>925620.47849268746</v>
      </c>
      <c r="R14" s="410">
        <f t="shared" si="3"/>
        <v>79.377189844370605</v>
      </c>
      <c r="S14" s="410">
        <f t="shared" si="3"/>
        <v>14163.651613969432</v>
      </c>
      <c r="T14" s="410">
        <f t="shared" si="1"/>
        <v>1214768.6690807864</v>
      </c>
    </row>
    <row r="15" spans="1:20" ht="20.100000000000001" customHeight="1">
      <c r="A15" s="401"/>
      <c r="B15" s="414" t="s">
        <v>207</v>
      </c>
      <c r="C15" s="415">
        <f t="shared" si="2"/>
        <v>3057243.7551409197</v>
      </c>
      <c r="D15" s="415">
        <f t="shared" si="3"/>
        <v>21567.647410432619</v>
      </c>
      <c r="E15" s="415">
        <f t="shared" si="3"/>
        <v>17228.461550583466</v>
      </c>
      <c r="F15" s="415">
        <f t="shared" si="3"/>
        <v>275.17172806318661</v>
      </c>
      <c r="G15" s="415">
        <f t="shared" si="3"/>
        <v>14942.762697034468</v>
      </c>
      <c r="H15" s="415">
        <f t="shared" si="3"/>
        <v>23363.20395112659</v>
      </c>
      <c r="I15" s="415">
        <f t="shared" si="3"/>
        <v>0</v>
      </c>
      <c r="J15" s="415">
        <f t="shared" si="3"/>
        <v>0</v>
      </c>
      <c r="K15" s="415">
        <f t="shared" si="3"/>
        <v>42684.713198530233</v>
      </c>
      <c r="L15" s="415">
        <f t="shared" si="3"/>
        <v>177.07107665280301</v>
      </c>
      <c r="M15" s="415">
        <f t="shared" si="3"/>
        <v>0</v>
      </c>
      <c r="N15" s="415">
        <f t="shared" si="3"/>
        <v>2670.0695534889041</v>
      </c>
      <c r="O15" s="415">
        <f t="shared" si="3"/>
        <v>0</v>
      </c>
      <c r="P15" s="415">
        <f t="shared" si="3"/>
        <v>0</v>
      </c>
      <c r="Q15" s="415">
        <f t="shared" si="3"/>
        <v>2670.0695534889041</v>
      </c>
      <c r="R15" s="415">
        <f t="shared" si="3"/>
        <v>570.29018915119173</v>
      </c>
      <c r="S15" s="415">
        <f t="shared" si="3"/>
        <v>96911.969317305106</v>
      </c>
      <c r="T15" s="415">
        <f t="shared" si="1"/>
        <v>3280305.1853667772</v>
      </c>
    </row>
    <row r="16" spans="1:20" ht="20.100000000000001" customHeight="1">
      <c r="A16" s="401"/>
      <c r="B16" s="408" t="s">
        <v>208</v>
      </c>
      <c r="C16" s="410">
        <f t="shared" si="2"/>
        <v>0</v>
      </c>
      <c r="D16" s="410">
        <f t="shared" si="3"/>
        <v>878.30382407547154</v>
      </c>
      <c r="E16" s="410">
        <f t="shared" si="3"/>
        <v>0</v>
      </c>
      <c r="F16" s="410">
        <f t="shared" si="3"/>
        <v>0</v>
      </c>
      <c r="G16" s="410">
        <f t="shared" si="3"/>
        <v>340658.44506278489</v>
      </c>
      <c r="H16" s="410">
        <f t="shared" si="3"/>
        <v>0</v>
      </c>
      <c r="I16" s="410">
        <f t="shared" si="3"/>
        <v>0</v>
      </c>
      <c r="J16" s="410">
        <f t="shared" si="3"/>
        <v>0</v>
      </c>
      <c r="K16" s="410">
        <f t="shared" si="3"/>
        <v>0</v>
      </c>
      <c r="L16" s="410">
        <f t="shared" si="3"/>
        <v>0</v>
      </c>
      <c r="M16" s="410">
        <f t="shared" si="3"/>
        <v>0</v>
      </c>
      <c r="N16" s="410">
        <f t="shared" si="3"/>
        <v>3179.7575266641506</v>
      </c>
      <c r="O16" s="410">
        <f t="shared" si="3"/>
        <v>0</v>
      </c>
      <c r="P16" s="410">
        <f t="shared" si="3"/>
        <v>0</v>
      </c>
      <c r="Q16" s="410">
        <f t="shared" si="3"/>
        <v>231.60047447547163</v>
      </c>
      <c r="R16" s="410">
        <f t="shared" si="3"/>
        <v>0</v>
      </c>
      <c r="S16" s="410">
        <f t="shared" si="3"/>
        <v>0</v>
      </c>
      <c r="T16" s="410">
        <f t="shared" si="1"/>
        <v>344948.10688799998</v>
      </c>
    </row>
    <row r="17" spans="1:21" ht="20.100000000000001" customHeight="1">
      <c r="A17" s="416"/>
      <c r="B17" s="414" t="s">
        <v>39</v>
      </c>
      <c r="C17" s="415">
        <f t="shared" si="2"/>
        <v>61596.588665252028</v>
      </c>
      <c r="D17" s="415">
        <f t="shared" si="3"/>
        <v>357390.6278059684</v>
      </c>
      <c r="E17" s="415">
        <f t="shared" si="3"/>
        <v>16582.219471104734</v>
      </c>
      <c r="F17" s="415">
        <f t="shared" si="3"/>
        <v>6256.0607381332802</v>
      </c>
      <c r="G17" s="415">
        <f t="shared" si="3"/>
        <v>812.19034144186446</v>
      </c>
      <c r="H17" s="415">
        <f t="shared" si="3"/>
        <v>175820.35505556746</v>
      </c>
      <c r="I17" s="415">
        <f t="shared" si="3"/>
        <v>24426.075741606346</v>
      </c>
      <c r="J17" s="415">
        <f t="shared" si="3"/>
        <v>3248.7613657674578</v>
      </c>
      <c r="K17" s="415">
        <f t="shared" si="3"/>
        <v>3712653.01470683</v>
      </c>
      <c r="L17" s="415">
        <f t="shared" si="3"/>
        <v>10240.183629260264</v>
      </c>
      <c r="M17" s="415">
        <f t="shared" si="3"/>
        <v>0</v>
      </c>
      <c r="N17" s="415">
        <f t="shared" si="3"/>
        <v>8624.9492340053839</v>
      </c>
      <c r="O17" s="415">
        <f t="shared" si="3"/>
        <v>0</v>
      </c>
      <c r="P17" s="415">
        <f t="shared" si="3"/>
        <v>0</v>
      </c>
      <c r="Q17" s="415">
        <f t="shared" si="3"/>
        <v>63800.843983804836</v>
      </c>
      <c r="R17" s="415">
        <f t="shared" si="3"/>
        <v>0</v>
      </c>
      <c r="S17" s="415">
        <f t="shared" si="3"/>
        <v>0</v>
      </c>
      <c r="T17" s="415">
        <f t="shared" si="1"/>
        <v>4441451.8707387419</v>
      </c>
    </row>
    <row r="18" spans="1:21" ht="20.100000000000001" customHeight="1">
      <c r="A18" s="401" t="s">
        <v>149</v>
      </c>
      <c r="B18" s="408" t="s">
        <v>38</v>
      </c>
      <c r="C18" s="410">
        <f t="shared" si="2"/>
        <v>0</v>
      </c>
      <c r="D18" s="410">
        <f t="shared" si="3"/>
        <v>32017.693544081572</v>
      </c>
      <c r="E18" s="410">
        <f t="shared" si="3"/>
        <v>3627937.6888259836</v>
      </c>
      <c r="F18" s="410">
        <f t="shared" si="3"/>
        <v>232.58729606417688</v>
      </c>
      <c r="G18" s="410">
        <f t="shared" si="3"/>
        <v>310.11639475223581</v>
      </c>
      <c r="H18" s="410">
        <f t="shared" si="3"/>
        <v>10820.325855722864</v>
      </c>
      <c r="I18" s="410">
        <f t="shared" si="3"/>
        <v>0</v>
      </c>
      <c r="J18" s="410">
        <f t="shared" si="3"/>
        <v>27421.586152444761</v>
      </c>
      <c r="K18" s="410">
        <f t="shared" si="3"/>
        <v>46559.416136831263</v>
      </c>
      <c r="L18" s="410">
        <f t="shared" si="3"/>
        <v>0</v>
      </c>
      <c r="M18" s="410">
        <f t="shared" si="3"/>
        <v>0</v>
      </c>
      <c r="N18" s="410">
        <f t="shared" si="3"/>
        <v>465.17459212835377</v>
      </c>
      <c r="O18" s="410">
        <f t="shared" si="3"/>
        <v>232.58729606417688</v>
      </c>
      <c r="P18" s="410">
        <f t="shared" si="3"/>
        <v>0</v>
      </c>
      <c r="Q18" s="410">
        <f t="shared" si="3"/>
        <v>15571.491444735795</v>
      </c>
      <c r="R18" s="410">
        <f t="shared" si="3"/>
        <v>0</v>
      </c>
      <c r="S18" s="410">
        <f t="shared" si="3"/>
        <v>13323.147582782085</v>
      </c>
      <c r="T18" s="410">
        <f t="shared" si="1"/>
        <v>3774891.8151215897</v>
      </c>
    </row>
    <row r="19" spans="1:21" ht="20.100000000000001" customHeight="1">
      <c r="A19" s="401" t="s">
        <v>150</v>
      </c>
      <c r="B19" s="414" t="s">
        <v>31</v>
      </c>
      <c r="C19" s="415">
        <f t="shared" si="2"/>
        <v>15490.373663765018</v>
      </c>
      <c r="D19" s="415">
        <f t="shared" si="3"/>
        <v>68206.269925459215</v>
      </c>
      <c r="E19" s="415">
        <f t="shared" si="3"/>
        <v>74115.435079470233</v>
      </c>
      <c r="F19" s="415">
        <f t="shared" si="3"/>
        <v>1064.578723306</v>
      </c>
      <c r="G19" s="415">
        <f t="shared" si="3"/>
        <v>20298.971977251356</v>
      </c>
      <c r="H19" s="415">
        <f t="shared" si="3"/>
        <v>10504.345563061011</v>
      </c>
      <c r="I19" s="415">
        <f t="shared" si="3"/>
        <v>27555.599194566348</v>
      </c>
      <c r="J19" s="415">
        <f t="shared" si="3"/>
        <v>10461745.257003121</v>
      </c>
      <c r="K19" s="415">
        <f t="shared" si="3"/>
        <v>27148.012843740864</v>
      </c>
      <c r="L19" s="415">
        <f t="shared" si="3"/>
        <v>0</v>
      </c>
      <c r="M19" s="415">
        <f t="shared" si="3"/>
        <v>0</v>
      </c>
      <c r="N19" s="415">
        <f t="shared" si="3"/>
        <v>16200.092812635683</v>
      </c>
      <c r="O19" s="415">
        <f t="shared" si="3"/>
        <v>0</v>
      </c>
      <c r="P19" s="415">
        <f t="shared" si="3"/>
        <v>0</v>
      </c>
      <c r="Q19" s="415">
        <f t="shared" si="3"/>
        <v>36126.211156842364</v>
      </c>
      <c r="R19" s="415">
        <f t="shared" si="3"/>
        <v>0</v>
      </c>
      <c r="S19" s="415">
        <f t="shared" si="3"/>
        <v>0</v>
      </c>
      <c r="T19" s="415">
        <f t="shared" si="1"/>
        <v>10758455.147943219</v>
      </c>
    </row>
    <row r="20" spans="1:21" ht="20.100000000000001" customHeight="1">
      <c r="A20" s="401"/>
      <c r="B20" s="408" t="s">
        <v>209</v>
      </c>
      <c r="C20" s="410">
        <f t="shared" si="2"/>
        <v>95.508055131725513</v>
      </c>
      <c r="D20" s="410">
        <f t="shared" si="3"/>
        <v>22545.048965820482</v>
      </c>
      <c r="E20" s="410">
        <f t="shared" si="3"/>
        <v>0</v>
      </c>
      <c r="F20" s="410">
        <f t="shared" si="3"/>
        <v>0</v>
      </c>
      <c r="G20" s="410">
        <f t="shared" si="3"/>
        <v>0</v>
      </c>
      <c r="H20" s="410">
        <f t="shared" si="3"/>
        <v>191.01611026345103</v>
      </c>
      <c r="I20" s="410">
        <f t="shared" si="3"/>
        <v>0</v>
      </c>
      <c r="J20" s="410">
        <f t="shared" si="3"/>
        <v>937923.61381311482</v>
      </c>
      <c r="K20" s="410">
        <f t="shared" si="3"/>
        <v>1798.4577012724772</v>
      </c>
      <c r="L20" s="410">
        <f t="shared" si="3"/>
        <v>0</v>
      </c>
      <c r="M20" s="410">
        <f t="shared" si="3"/>
        <v>0</v>
      </c>
      <c r="N20" s="410">
        <f t="shared" si="3"/>
        <v>0</v>
      </c>
      <c r="O20" s="410">
        <f t="shared" si="3"/>
        <v>0</v>
      </c>
      <c r="P20" s="410">
        <f t="shared" si="3"/>
        <v>265.5797776397954</v>
      </c>
      <c r="Q20" s="410">
        <f t="shared" si="3"/>
        <v>0</v>
      </c>
      <c r="R20" s="410">
        <f t="shared" si="3"/>
        <v>0</v>
      </c>
      <c r="S20" s="410">
        <f t="shared" si="3"/>
        <v>0</v>
      </c>
      <c r="T20" s="410">
        <f t="shared" si="1"/>
        <v>962819.22442324273</v>
      </c>
    </row>
    <row r="21" spans="1:21" ht="20.100000000000001" customHeight="1">
      <c r="A21" s="416" t="s">
        <v>153</v>
      </c>
      <c r="B21" s="414" t="s">
        <v>210</v>
      </c>
      <c r="C21" s="415">
        <f t="shared" si="2"/>
        <v>0</v>
      </c>
      <c r="D21" s="415">
        <f t="shared" si="3"/>
        <v>8748.6818774393087</v>
      </c>
      <c r="E21" s="415">
        <f t="shared" si="3"/>
        <v>0</v>
      </c>
      <c r="F21" s="415">
        <f t="shared" si="3"/>
        <v>251.64645980714258</v>
      </c>
      <c r="G21" s="415">
        <f t="shared" si="3"/>
        <v>0</v>
      </c>
      <c r="H21" s="415">
        <f t="shared" si="3"/>
        <v>0</v>
      </c>
      <c r="I21" s="415">
        <f t="shared" si="3"/>
        <v>0</v>
      </c>
      <c r="J21" s="415">
        <f t="shared" si="3"/>
        <v>0</v>
      </c>
      <c r="K21" s="415">
        <f t="shared" si="3"/>
        <v>8245.3889578250237</v>
      </c>
      <c r="L21" s="415">
        <f t="shared" si="3"/>
        <v>1006.5858392285703</v>
      </c>
      <c r="M21" s="415">
        <f t="shared" si="3"/>
        <v>0</v>
      </c>
      <c r="N21" s="415">
        <f t="shared" si="3"/>
        <v>18659.244931916099</v>
      </c>
      <c r="O21" s="415">
        <f t="shared" si="3"/>
        <v>1071336.0602966046</v>
      </c>
      <c r="P21" s="415">
        <f t="shared" si="3"/>
        <v>8891.5082465190389</v>
      </c>
      <c r="Q21" s="415">
        <f t="shared" si="3"/>
        <v>35821.080073718527</v>
      </c>
      <c r="R21" s="415">
        <f t="shared" si="3"/>
        <v>0</v>
      </c>
      <c r="S21" s="415">
        <f t="shared" si="3"/>
        <v>0</v>
      </c>
      <c r="T21" s="415">
        <f t="shared" si="1"/>
        <v>1152960.1966830583</v>
      </c>
    </row>
    <row r="22" spans="1:21" ht="20.100000000000001" customHeight="1">
      <c r="A22" s="401" t="s">
        <v>155</v>
      </c>
      <c r="B22" s="408" t="s">
        <v>42</v>
      </c>
      <c r="C22" s="410">
        <f t="shared" si="2"/>
        <v>0</v>
      </c>
      <c r="D22" s="410">
        <f t="shared" ref="D22:S25" si="5">+D46+D70</f>
        <v>647.94895086088763</v>
      </c>
      <c r="E22" s="410">
        <f t="shared" si="5"/>
        <v>259.17958034435503</v>
      </c>
      <c r="F22" s="410">
        <f t="shared" si="5"/>
        <v>0</v>
      </c>
      <c r="G22" s="410">
        <f t="shared" si="5"/>
        <v>323.97447543044382</v>
      </c>
      <c r="H22" s="410">
        <f t="shared" si="5"/>
        <v>518.35916068871006</v>
      </c>
      <c r="I22" s="410">
        <f t="shared" si="5"/>
        <v>0</v>
      </c>
      <c r="J22" s="410">
        <f t="shared" si="5"/>
        <v>0</v>
      </c>
      <c r="K22" s="410">
        <f t="shared" si="5"/>
        <v>0</v>
      </c>
      <c r="L22" s="410">
        <f t="shared" si="5"/>
        <v>0</v>
      </c>
      <c r="M22" s="410">
        <f t="shared" si="5"/>
        <v>0</v>
      </c>
      <c r="N22" s="410">
        <f t="shared" si="5"/>
        <v>139730.19125315041</v>
      </c>
      <c r="O22" s="410">
        <f t="shared" si="5"/>
        <v>4017.2834953375032</v>
      </c>
      <c r="P22" s="410">
        <f t="shared" si="5"/>
        <v>5710438.8988320883</v>
      </c>
      <c r="Q22" s="410">
        <f t="shared" si="5"/>
        <v>7192.2333545558522</v>
      </c>
      <c r="R22" s="410">
        <f t="shared" si="5"/>
        <v>0</v>
      </c>
      <c r="S22" s="410">
        <f t="shared" si="5"/>
        <v>0</v>
      </c>
      <c r="T22" s="410">
        <f t="shared" si="1"/>
        <v>5863128.0691024559</v>
      </c>
    </row>
    <row r="23" spans="1:21" ht="20.100000000000001" customHeight="1">
      <c r="A23" s="401" t="s">
        <v>162</v>
      </c>
      <c r="B23" s="414" t="s">
        <v>76</v>
      </c>
      <c r="C23" s="415">
        <f t="shared" si="2"/>
        <v>0</v>
      </c>
      <c r="D23" s="415">
        <f t="shared" si="5"/>
        <v>1653.5091001694741</v>
      </c>
      <c r="E23" s="415">
        <f t="shared" si="5"/>
        <v>122.48215556810919</v>
      </c>
      <c r="F23" s="415">
        <f t="shared" si="5"/>
        <v>0</v>
      </c>
      <c r="G23" s="415">
        <f t="shared" si="5"/>
        <v>183.72323335216379</v>
      </c>
      <c r="H23" s="415">
        <f t="shared" si="5"/>
        <v>0</v>
      </c>
      <c r="I23" s="415">
        <f t="shared" si="5"/>
        <v>0</v>
      </c>
      <c r="J23" s="415">
        <f t="shared" si="5"/>
        <v>0</v>
      </c>
      <c r="K23" s="415">
        <f t="shared" si="5"/>
        <v>0</v>
      </c>
      <c r="L23" s="415">
        <f t="shared" si="5"/>
        <v>0</v>
      </c>
      <c r="M23" s="415">
        <f t="shared" si="5"/>
        <v>0</v>
      </c>
      <c r="N23" s="415">
        <f t="shared" si="5"/>
        <v>12834775.666874394</v>
      </c>
      <c r="O23" s="415">
        <f t="shared" si="5"/>
        <v>61.241077784054596</v>
      </c>
      <c r="P23" s="415">
        <f t="shared" si="5"/>
        <v>0</v>
      </c>
      <c r="Q23" s="415">
        <f t="shared" si="5"/>
        <v>91202.986216894918</v>
      </c>
      <c r="R23" s="415">
        <f t="shared" si="5"/>
        <v>0</v>
      </c>
      <c r="S23" s="415">
        <f t="shared" si="5"/>
        <v>129210.58568011956</v>
      </c>
      <c r="T23" s="415">
        <f t="shared" si="1"/>
        <v>13057210.194338283</v>
      </c>
    </row>
    <row r="24" spans="1:21" ht="20.100000000000001" customHeight="1">
      <c r="A24" s="401" t="s">
        <v>156</v>
      </c>
      <c r="B24" s="408" t="s">
        <v>77</v>
      </c>
      <c r="C24" s="410">
        <f t="shared" si="2"/>
        <v>0</v>
      </c>
      <c r="D24" s="410">
        <f t="shared" si="5"/>
        <v>0</v>
      </c>
      <c r="E24" s="410">
        <f t="shared" si="5"/>
        <v>0</v>
      </c>
      <c r="F24" s="410">
        <f t="shared" si="5"/>
        <v>0</v>
      </c>
      <c r="G24" s="410">
        <f t="shared" si="5"/>
        <v>0</v>
      </c>
      <c r="H24" s="410">
        <f t="shared" si="5"/>
        <v>0</v>
      </c>
      <c r="I24" s="410">
        <f t="shared" si="5"/>
        <v>0</v>
      </c>
      <c r="J24" s="410">
        <f t="shared" si="5"/>
        <v>0</v>
      </c>
      <c r="K24" s="410">
        <f t="shared" si="5"/>
        <v>0</v>
      </c>
      <c r="L24" s="410">
        <f t="shared" si="5"/>
        <v>0</v>
      </c>
      <c r="M24" s="410">
        <f t="shared" si="5"/>
        <v>4806946.7990595018</v>
      </c>
      <c r="N24" s="410">
        <f t="shared" si="5"/>
        <v>130258.28234600284</v>
      </c>
      <c r="O24" s="410">
        <f t="shared" si="5"/>
        <v>0</v>
      </c>
      <c r="P24" s="410">
        <f t="shared" si="5"/>
        <v>0</v>
      </c>
      <c r="Q24" s="410">
        <f t="shared" si="5"/>
        <v>124.23298268574425</v>
      </c>
      <c r="R24" s="410">
        <f t="shared" si="5"/>
        <v>0</v>
      </c>
      <c r="S24" s="410">
        <f t="shared" si="5"/>
        <v>0</v>
      </c>
      <c r="T24" s="410">
        <f t="shared" si="1"/>
        <v>4937329.3143881904</v>
      </c>
    </row>
    <row r="25" spans="1:21" ht="20.100000000000001" customHeight="1">
      <c r="A25" s="417" t="s">
        <v>163</v>
      </c>
      <c r="B25" s="418" t="s">
        <v>164</v>
      </c>
      <c r="C25" s="419">
        <f t="shared" si="2"/>
        <v>0</v>
      </c>
      <c r="D25" s="419">
        <f t="shared" si="5"/>
        <v>0</v>
      </c>
      <c r="E25" s="419">
        <f t="shared" si="5"/>
        <v>0</v>
      </c>
      <c r="F25" s="419">
        <f t="shared" si="5"/>
        <v>0</v>
      </c>
      <c r="G25" s="419">
        <f t="shared" si="5"/>
        <v>0</v>
      </c>
      <c r="H25" s="419">
        <f t="shared" si="5"/>
        <v>0</v>
      </c>
      <c r="I25" s="419">
        <f t="shared" si="5"/>
        <v>0</v>
      </c>
      <c r="J25" s="419">
        <f t="shared" si="5"/>
        <v>0</v>
      </c>
      <c r="K25" s="419">
        <f t="shared" si="5"/>
        <v>0</v>
      </c>
      <c r="L25" s="419">
        <f t="shared" si="5"/>
        <v>0</v>
      </c>
      <c r="M25" s="419">
        <f t="shared" si="5"/>
        <v>822631.66660143691</v>
      </c>
      <c r="N25" s="419">
        <f t="shared" si="5"/>
        <v>4269.17143622817</v>
      </c>
      <c r="O25" s="419">
        <f t="shared" si="5"/>
        <v>0</v>
      </c>
      <c r="P25" s="419">
        <f t="shared" si="5"/>
        <v>0</v>
      </c>
      <c r="Q25" s="419">
        <f t="shared" si="5"/>
        <v>1883.4579865712515</v>
      </c>
      <c r="R25" s="419">
        <f t="shared" si="5"/>
        <v>0</v>
      </c>
      <c r="S25" s="419">
        <f t="shared" si="5"/>
        <v>251.12773154283352</v>
      </c>
      <c r="T25" s="420">
        <f t="shared" si="1"/>
        <v>829035.42375577916</v>
      </c>
    </row>
    <row r="26" spans="1:21" ht="20.100000000000001" customHeight="1">
      <c r="A26" s="402"/>
      <c r="B26" s="421" t="s">
        <v>17</v>
      </c>
      <c r="C26" s="422">
        <f>SUM(C5:C25)</f>
        <v>7045525.0193991773</v>
      </c>
      <c r="D26" s="422">
        <f t="shared" ref="D26:S26" si="6">SUM(D5:D25)</f>
        <v>178230967.52469334</v>
      </c>
      <c r="E26" s="422">
        <f t="shared" si="6"/>
        <v>23442506.645551868</v>
      </c>
      <c r="F26" s="422">
        <f t="shared" si="6"/>
        <v>6863080.3193404507</v>
      </c>
      <c r="G26" s="422">
        <f t="shared" si="6"/>
        <v>28399714.955134552</v>
      </c>
      <c r="H26" s="422">
        <f t="shared" si="6"/>
        <v>15151895.897849292</v>
      </c>
      <c r="I26" s="422">
        <f t="shared" si="6"/>
        <v>2638548.5128266951</v>
      </c>
      <c r="J26" s="422">
        <f t="shared" si="6"/>
        <v>11470615.606732845</v>
      </c>
      <c r="K26" s="422">
        <f t="shared" si="6"/>
        <v>4059673.9732457381</v>
      </c>
      <c r="L26" s="422">
        <f t="shared" si="6"/>
        <v>3734498.7515704278</v>
      </c>
      <c r="M26" s="422">
        <f t="shared" si="6"/>
        <v>5648317.2727443213</v>
      </c>
      <c r="N26" s="422">
        <f t="shared" si="6"/>
        <v>22041763.655008189</v>
      </c>
      <c r="O26" s="422">
        <f t="shared" si="6"/>
        <v>4219996.5748996045</v>
      </c>
      <c r="P26" s="422">
        <f t="shared" si="6"/>
        <v>6032912.0705531016</v>
      </c>
      <c r="Q26" s="422">
        <f t="shared" si="6"/>
        <v>7116189.1729431916</v>
      </c>
      <c r="R26" s="423">
        <f t="shared" si="6"/>
        <v>2386752.3313133991</v>
      </c>
      <c r="S26" s="423">
        <f t="shared" si="6"/>
        <v>2418495.8617624952</v>
      </c>
      <c r="T26" s="422">
        <f t="shared" si="1"/>
        <v>330901454.14556861</v>
      </c>
    </row>
    <row r="27" spans="1:2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row>
    <row r="28" spans="1:2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c r="A29" s="403" t="s">
        <v>128</v>
      </c>
      <c r="B29" s="437" t="s">
        <v>21</v>
      </c>
      <c r="C29" s="438">
        <f>+FY14ProjRevenueToCollege!C34</f>
        <v>2371452.3901604461</v>
      </c>
      <c r="D29" s="438">
        <f>+FY14ProjRevenueToCollege!D34</f>
        <v>101793832.53644034</v>
      </c>
      <c r="E29" s="438">
        <f>+FY14ProjRevenueToCollege!E34</f>
        <v>9465209.3753166609</v>
      </c>
      <c r="F29" s="438">
        <f>+FY14ProjRevenueToCollege!F34</f>
        <v>1884341.1756713546</v>
      </c>
      <c r="G29" s="438">
        <f>+FY14ProjRevenueToCollege!G34</f>
        <v>12027629.321984846</v>
      </c>
      <c r="H29" s="438">
        <f>+FY14ProjRevenueToCollege!H34</f>
        <v>8401037.0688008294</v>
      </c>
      <c r="I29" s="438">
        <f>+FY14ProjRevenueToCollege!I34</f>
        <v>1507652.072583389</v>
      </c>
      <c r="J29" s="438">
        <f>+FY14ProjRevenueToCollege!J34</f>
        <v>6269.6216206896434</v>
      </c>
      <c r="K29" s="438">
        <f>+FY14ProjRevenueToCollege!K34</f>
        <v>11771.534471498922</v>
      </c>
      <c r="L29" s="438">
        <f>+FY14ProjRevenueToCollege!L34</f>
        <v>429533.05674806394</v>
      </c>
      <c r="M29" s="438">
        <f>+FY14ProjRevenueToCollege!M34</f>
        <v>12539.243241379287</v>
      </c>
      <c r="N29" s="438">
        <f>+FY14ProjRevenueToCollege!N34</f>
        <v>3946087.0529158968</v>
      </c>
      <c r="O29" s="438">
        <f>+FY14ProjRevenueToCollege!O34</f>
        <v>1202103.9821710039</v>
      </c>
      <c r="P29" s="438">
        <f>+FY14ProjRevenueToCollege!P34</f>
        <v>52076.244890218062</v>
      </c>
      <c r="Q29" s="438">
        <f>+FY14ProjRevenueToCollege!Q34</f>
        <v>1558448.8028571398</v>
      </c>
      <c r="R29" s="438">
        <f>+FY14ProjRevenueToCollege!R34</f>
        <v>1908779.9048458794</v>
      </c>
      <c r="S29" s="438">
        <f>+FY14ProjRevenueToCollege!S34</f>
        <v>215726.16433638244</v>
      </c>
      <c r="T29" s="439">
        <f t="shared" ref="T29:T49" si="7">SUM(C29:Q29)+R29+S29</f>
        <v>146794489.54905599</v>
      </c>
    </row>
    <row r="30" spans="1:21" s="18" customFormat="1" ht="20.100000000000001" customHeight="1">
      <c r="A30" s="404" t="s">
        <v>129</v>
      </c>
      <c r="B30" s="440" t="s">
        <v>71</v>
      </c>
      <c r="C30" s="410">
        <f>+FY14ProjRevenueToCollege!C35</f>
        <v>24964.568132735829</v>
      </c>
      <c r="D30" s="410">
        <f>+FY14ProjRevenueToCollege!D35</f>
        <v>1933847.8223103115</v>
      </c>
      <c r="E30" s="410">
        <f>+FY14ProjRevenueToCollege!E35</f>
        <v>57091.102533059806</v>
      </c>
      <c r="F30" s="410">
        <f>+FY14ProjRevenueToCollege!F35</f>
        <v>8331.26688270458</v>
      </c>
      <c r="G30" s="410">
        <f>+FY14ProjRevenueToCollege!G35</f>
        <v>117514.71181920143</v>
      </c>
      <c r="H30" s="410">
        <f>+FY14ProjRevenueToCollege!H35</f>
        <v>14207.00247366465</v>
      </c>
      <c r="I30" s="410">
        <f>+FY14ProjRevenueToCollege!I35</f>
        <v>37651.479806749114</v>
      </c>
      <c r="J30" s="410">
        <f>+FY14ProjRevenueToCollege!J35</f>
        <v>2455.5312917445076</v>
      </c>
      <c r="K30" s="410">
        <f>+FY14ProjRevenueToCollege!K35</f>
        <v>21515.131318142354</v>
      </c>
      <c r="L30" s="410">
        <f>+FY14ProjRevenueToCollege!L35</f>
        <v>2484.7638071224187</v>
      </c>
      <c r="M30" s="410">
        <f>+FY14ProjRevenueToCollege!M35</f>
        <v>87.697546133732416</v>
      </c>
      <c r="N30" s="410">
        <f>+FY14ProjRevenueToCollege!N35</f>
        <v>355262.75938775006</v>
      </c>
      <c r="O30" s="410">
        <f>+FY14ProjRevenueToCollege!O35</f>
        <v>1900.1134995642024</v>
      </c>
      <c r="P30" s="410">
        <f>+FY14ProjRevenueToCollege!P35</f>
        <v>42825.635028639328</v>
      </c>
      <c r="Q30" s="410">
        <f>+FY14ProjRevenueToCollege!Q35</f>
        <v>23356.779786950734</v>
      </c>
      <c r="R30" s="410">
        <f>+FY14ProjRevenueToCollege!R35</f>
        <v>0</v>
      </c>
      <c r="S30" s="410">
        <f>+FY14ProjRevenueToCollege!S35</f>
        <v>183273.25516181177</v>
      </c>
      <c r="T30" s="441">
        <f t="shared" si="7"/>
        <v>2826769.620786286</v>
      </c>
    </row>
    <row r="31" spans="1:21" ht="20.100000000000001" customHeight="1">
      <c r="A31" s="404" t="s">
        <v>140</v>
      </c>
      <c r="B31" s="442" t="s">
        <v>72</v>
      </c>
      <c r="C31" s="443">
        <f>+FY14ProjRevenueToCollege!C36</f>
        <v>0</v>
      </c>
      <c r="D31" s="443">
        <f>+FY14ProjRevenueToCollege!D36</f>
        <v>9928.9035258755757</v>
      </c>
      <c r="E31" s="443">
        <f>+FY14ProjRevenueToCollege!E36</f>
        <v>0</v>
      </c>
      <c r="F31" s="443">
        <f>+FY14ProjRevenueToCollege!F36</f>
        <v>839.062269792302</v>
      </c>
      <c r="G31" s="443">
        <f>+FY14ProjRevenueToCollege!G36</f>
        <v>512.76027598418455</v>
      </c>
      <c r="H31" s="443">
        <f>+FY14ProjRevenueToCollege!H36</f>
        <v>0</v>
      </c>
      <c r="I31" s="443">
        <f>+FY14ProjRevenueToCollege!I36</f>
        <v>0</v>
      </c>
      <c r="J31" s="443">
        <f>+FY14ProjRevenueToCollege!J36</f>
        <v>279.68742326410069</v>
      </c>
      <c r="K31" s="443">
        <f>+FY14ProjRevenueToCollege!K36</f>
        <v>1445.0516868645202</v>
      </c>
      <c r="L31" s="443">
        <f>+FY14ProjRevenueToCollege!L36</f>
        <v>32816.657662987811</v>
      </c>
      <c r="M31" s="443">
        <f>+FY14ProjRevenueToCollege!M36</f>
        <v>0</v>
      </c>
      <c r="N31" s="443">
        <f>+FY14ProjRevenueToCollege!N36</f>
        <v>178160.88861923214</v>
      </c>
      <c r="O31" s="443">
        <f>+FY14ProjRevenueToCollege!O36</f>
        <v>559.37484652820137</v>
      </c>
      <c r="P31" s="443">
        <f>+FY14ProjRevenueToCollege!P36</f>
        <v>419.531134896151</v>
      </c>
      <c r="Q31" s="443">
        <f>+FY14ProjRevenueToCollege!Q36</f>
        <v>3029.9470853610906</v>
      </c>
      <c r="R31" s="443">
        <f>+FY14ProjRevenueToCollege!R36</f>
        <v>93.229141088033572</v>
      </c>
      <c r="S31" s="443">
        <f>+FY14ProjRevenueToCollege!S36</f>
        <v>0</v>
      </c>
      <c r="T31" s="444">
        <f t="shared" si="7"/>
        <v>228085.09367187408</v>
      </c>
    </row>
    <row r="32" spans="1:21" s="18" customFormat="1" ht="20.100000000000001" customHeight="1">
      <c r="A32" s="404" t="s">
        <v>130</v>
      </c>
      <c r="B32" s="440" t="s">
        <v>73</v>
      </c>
      <c r="C32" s="410">
        <f>+FY14ProjRevenueToCollege!C37</f>
        <v>6693.8261113750232</v>
      </c>
      <c r="D32" s="410">
        <f>+FY14ProjRevenueToCollege!D37</f>
        <v>74143.421164188621</v>
      </c>
      <c r="E32" s="410">
        <f>+FY14ProjRevenueToCollege!E37</f>
        <v>14828.684232837724</v>
      </c>
      <c r="F32" s="410">
        <f>+FY14ProjRevenueToCollege!F37</f>
        <v>5299.2790048385596</v>
      </c>
      <c r="G32" s="410">
        <f>+FY14ProjRevenueToCollege!G37</f>
        <v>1257625.823126358</v>
      </c>
      <c r="H32" s="410">
        <f>+FY14ProjRevenueToCollege!H37</f>
        <v>11574.740984252645</v>
      </c>
      <c r="I32" s="410">
        <f>+FY14ProjRevenueToCollege!I37</f>
        <v>1255.0923958828168</v>
      </c>
      <c r="J32" s="410">
        <f>+FY14ProjRevenueToCollege!J37</f>
        <v>6043.0374616580066</v>
      </c>
      <c r="K32" s="410">
        <f>+FY14ProjRevenueToCollege!K37</f>
        <v>1673.4565278437558</v>
      </c>
      <c r="L32" s="410">
        <f>+FY14ProjRevenueToCollege!L37</f>
        <v>1255.0923958828168</v>
      </c>
      <c r="M32" s="410">
        <f>+FY14ProjRevenueToCollege!M37</f>
        <v>0</v>
      </c>
      <c r="N32" s="410">
        <f>+FY14ProjRevenueToCollege!N37</f>
        <v>19175.02271487637</v>
      </c>
      <c r="O32" s="410">
        <f>+FY14ProjRevenueToCollege!O37</f>
        <v>54061.942830063548</v>
      </c>
      <c r="P32" s="410">
        <f>+FY14ProjRevenueToCollege!P37</f>
        <v>697.27355326823158</v>
      </c>
      <c r="Q32" s="410">
        <f>+FY14ProjRevenueToCollege!Q37</f>
        <v>18686.931227588608</v>
      </c>
      <c r="R32" s="410">
        <f>+FY14ProjRevenueToCollege!R37</f>
        <v>929.69807102430866</v>
      </c>
      <c r="S32" s="410">
        <f>+FY14ProjRevenueToCollege!S37</f>
        <v>255.66696953168491</v>
      </c>
      <c r="T32" s="441">
        <f t="shared" si="7"/>
        <v>1474198.988771471</v>
      </c>
    </row>
    <row r="33" spans="1:20" ht="20.100000000000001" customHeight="1">
      <c r="A33" s="404" t="s">
        <v>131</v>
      </c>
      <c r="B33" s="442" t="s">
        <v>218</v>
      </c>
      <c r="C33" s="443">
        <f>+FY14ProjRevenueToCollege!C38</f>
        <v>1814.0578175410794</v>
      </c>
      <c r="D33" s="443">
        <f>+FY14ProjRevenueToCollege!D38</f>
        <v>27128.410089591594</v>
      </c>
      <c r="E33" s="443">
        <f>+FY14ProjRevenueToCollege!E38</f>
        <v>2061.4293381148632</v>
      </c>
      <c r="F33" s="443">
        <f>+FY14ProjRevenueToCollege!F38</f>
        <v>1071.9432558197288</v>
      </c>
      <c r="G33" s="443">
        <f>+FY14ProjRevenueToCollege!G38</f>
        <v>5689.544973197022</v>
      </c>
      <c r="H33" s="443">
        <f>+FY14ProjRevenueToCollege!H38</f>
        <v>665717.9904508139</v>
      </c>
      <c r="I33" s="443">
        <f>+FY14ProjRevenueToCollege!I38</f>
        <v>123.68576028689179</v>
      </c>
      <c r="J33" s="443">
        <f>+FY14ProjRevenueToCollege!J38</f>
        <v>577.20021467216156</v>
      </c>
      <c r="K33" s="443">
        <f>+FY14ProjRevenueToCollege!K38</f>
        <v>5400.9448658609408</v>
      </c>
      <c r="L33" s="443">
        <f>+FY14ProjRevenueToCollege!L38</f>
        <v>0</v>
      </c>
      <c r="M33" s="443">
        <f>+FY14ProjRevenueToCollege!M38</f>
        <v>0</v>
      </c>
      <c r="N33" s="443">
        <f>+FY14ProjRevenueToCollege!N38</f>
        <v>2350.029445450944</v>
      </c>
      <c r="O33" s="443">
        <f>+FY14ProjRevenueToCollege!O38</f>
        <v>0</v>
      </c>
      <c r="P33" s="443">
        <f>+FY14ProjRevenueToCollege!P38</f>
        <v>123.68576028689179</v>
      </c>
      <c r="Q33" s="443">
        <f>+FY14ProjRevenueToCollege!Q38</f>
        <v>1649.1434704918904</v>
      </c>
      <c r="R33" s="443">
        <f>+FY14ProjRevenueToCollege!R38</f>
        <v>0</v>
      </c>
      <c r="S33" s="443">
        <f>+FY14ProjRevenueToCollege!S38</f>
        <v>1690.3720572541877</v>
      </c>
      <c r="T33" s="444">
        <f t="shared" si="7"/>
        <v>715398.43749938207</v>
      </c>
    </row>
    <row r="34" spans="1:20" s="18" customFormat="1" ht="20.100000000000001" customHeight="1">
      <c r="A34" s="404"/>
      <c r="B34" s="440" t="s">
        <v>206</v>
      </c>
      <c r="C34" s="410">
        <f>+FY14ProjRevenueToCollege!C39+FY14ProjRevenueToCollege!C40</f>
        <v>84.408464108312216</v>
      </c>
      <c r="D34" s="410">
        <f>+FY14ProjRevenueToCollege!D39+FY14ProjRevenueToCollege!D40</f>
        <v>37780.065518498581</v>
      </c>
      <c r="E34" s="410">
        <f>+FY14ProjRevenueToCollege!E39+FY14ProjRevenueToCollege!E40</f>
        <v>1619.9918520160604</v>
      </c>
      <c r="F34" s="410">
        <f>+FY14ProjRevenueToCollege!F39+FY14ProjRevenueToCollege!F40</f>
        <v>796644.88641177234</v>
      </c>
      <c r="G34" s="410">
        <f>+FY14ProjRevenueToCollege!G39+FY14ProjRevenueToCollege!G40</f>
        <v>168.81692821662443</v>
      </c>
      <c r="H34" s="410">
        <f>+FY14ProjRevenueToCollege!H39+FY14ProjRevenueToCollege!H40</f>
        <v>8842.9877744737714</v>
      </c>
      <c r="I34" s="410">
        <f>+FY14ProjRevenueToCollege!I39+FY14ProjRevenueToCollege!I40</f>
        <v>0</v>
      </c>
      <c r="J34" s="410">
        <f>+FY14ProjRevenueToCollege!J39+FY14ProjRevenueToCollege!J40</f>
        <v>168.81692821662443</v>
      </c>
      <c r="K34" s="410">
        <f>+FY14ProjRevenueToCollege!K39+FY14ProjRevenueToCollege!K40</f>
        <v>5603.0129298492093</v>
      </c>
      <c r="L34" s="410">
        <f>+FY14ProjRevenueToCollege!L39+FY14ProjRevenueToCollege!L40</f>
        <v>1776.2299504003245</v>
      </c>
      <c r="M34" s="410">
        <f>+FY14ProjRevenueToCollege!M39+FY14ProjRevenueToCollege!M40</f>
        <v>0</v>
      </c>
      <c r="N34" s="410">
        <f>+FY14ProjRevenueToCollege!N39+FY14ProjRevenueToCollege!N40</f>
        <v>812.8370214062694</v>
      </c>
      <c r="O34" s="410">
        <f>+FY14ProjRevenueToCollege!O39+FY14ProjRevenueToCollege!O40</f>
        <v>644.02009318964497</v>
      </c>
      <c r="P34" s="410">
        <f>+FY14ProjRevenueToCollege!P39+FY14ProjRevenueToCollege!P40</f>
        <v>0</v>
      </c>
      <c r="Q34" s="410">
        <f>+FY14ProjRevenueToCollege!Q39+FY14ProjRevenueToCollege!Q40</f>
        <v>1651.239471692913</v>
      </c>
      <c r="R34" s="410">
        <f>+FY14ProjRevenueToCollege!R39+FY14ProjRevenueToCollege!R40</f>
        <v>253.22539232493668</v>
      </c>
      <c r="S34" s="410">
        <f>+FY14ProjRevenueToCollege!S39+FY14ProjRevenueToCollege!S40</f>
        <v>1085.9456518151019</v>
      </c>
      <c r="T34" s="441">
        <f>SUM(C34:S34)</f>
        <v>857136.48438798077</v>
      </c>
    </row>
    <row r="35" spans="1:20" ht="20.100000000000001" customHeight="1">
      <c r="A35" s="404" t="s">
        <v>134</v>
      </c>
      <c r="B35" s="442" t="s">
        <v>40</v>
      </c>
      <c r="C35" s="443">
        <f>+FY14ProjRevenueToCollege!C41</f>
        <v>0</v>
      </c>
      <c r="D35" s="443">
        <f>+FY14ProjRevenueToCollege!D41</f>
        <v>2064.1972151954992</v>
      </c>
      <c r="E35" s="443">
        <f>+FY14ProjRevenueToCollege!E41</f>
        <v>0</v>
      </c>
      <c r="F35" s="443">
        <f>+FY14ProjRevenueToCollege!F41</f>
        <v>0</v>
      </c>
      <c r="G35" s="443">
        <f>+FY14ProjRevenueToCollege!G41</f>
        <v>0</v>
      </c>
      <c r="H35" s="443">
        <f>+FY14ProjRevenueToCollege!H41</f>
        <v>0</v>
      </c>
      <c r="I35" s="443">
        <f>+FY14ProjRevenueToCollege!I41</f>
        <v>5968.2223830652483</v>
      </c>
      <c r="J35" s="443">
        <f>+FY14ProjRevenueToCollege!J41</f>
        <v>0</v>
      </c>
      <c r="K35" s="443">
        <f>+FY14ProjRevenueToCollege!K41</f>
        <v>403.86467253824981</v>
      </c>
      <c r="L35" s="443">
        <f>+FY14ProjRevenueToCollege!L41</f>
        <v>0</v>
      </c>
      <c r="M35" s="443">
        <f>+FY14ProjRevenueToCollege!M41</f>
        <v>0</v>
      </c>
      <c r="N35" s="443">
        <f>+FY14ProjRevenueToCollege!N41</f>
        <v>0</v>
      </c>
      <c r="O35" s="443">
        <f>+FY14ProjRevenueToCollege!O41</f>
        <v>0</v>
      </c>
      <c r="P35" s="443">
        <f>+FY14ProjRevenueToCollege!P41</f>
        <v>0</v>
      </c>
      <c r="Q35" s="443">
        <f>+FY14ProjRevenueToCollege!Q41</f>
        <v>179.49541001699993</v>
      </c>
      <c r="R35" s="443">
        <f>+FY14ProjRevenueToCollege!R41</f>
        <v>0</v>
      </c>
      <c r="S35" s="443">
        <f>+FY14ProjRevenueToCollege!S41</f>
        <v>0</v>
      </c>
      <c r="T35" s="444">
        <f t="shared" si="7"/>
        <v>8615.7796808159965</v>
      </c>
    </row>
    <row r="36" spans="1:20" s="18" customFormat="1" ht="20.100000000000001" customHeight="1">
      <c r="A36" s="404" t="s">
        <v>135</v>
      </c>
      <c r="B36" s="440" t="s">
        <v>70</v>
      </c>
      <c r="C36" s="410">
        <f>+FY14ProjRevenueToCollege!C42</f>
        <v>0</v>
      </c>
      <c r="D36" s="410">
        <f>+FY14ProjRevenueToCollege!D42</f>
        <v>5429.392343653155</v>
      </c>
      <c r="E36" s="410">
        <f>+FY14ProjRevenueToCollege!E42</f>
        <v>0</v>
      </c>
      <c r="F36" s="410">
        <f>+FY14ProjRevenueToCollege!F42</f>
        <v>1241.0039642635782</v>
      </c>
      <c r="G36" s="410">
        <f>+FY14ProjRevenueToCollege!G42</f>
        <v>0</v>
      </c>
      <c r="H36" s="410">
        <f>+FY14ProjRevenueToCollege!H42</f>
        <v>51.70849851098243</v>
      </c>
      <c r="I36" s="410">
        <f>+FY14ProjRevenueToCollege!I42</f>
        <v>0</v>
      </c>
      <c r="J36" s="410">
        <f>+FY14ProjRevenueToCollege!J42</f>
        <v>103.41699702196486</v>
      </c>
      <c r="K36" s="410">
        <f>+FY14ProjRevenueToCollege!K42</f>
        <v>4395.2223734335066</v>
      </c>
      <c r="L36" s="410">
        <f>+FY14ProjRevenueToCollege!L42</f>
        <v>483526.1695761967</v>
      </c>
      <c r="M36" s="410">
        <f>+FY14ProjRevenueToCollege!M42</f>
        <v>0</v>
      </c>
      <c r="N36" s="410">
        <f>+FY14ProjRevenueToCollege!N42</f>
        <v>7394.3152870704871</v>
      </c>
      <c r="O36" s="410">
        <f>+FY14ProjRevenueToCollege!O42</f>
        <v>775.62747766473649</v>
      </c>
      <c r="P36" s="410">
        <f>+FY14ProjRevenueToCollege!P42</f>
        <v>0</v>
      </c>
      <c r="Q36" s="410">
        <f>+FY14ProjRevenueToCollege!Q42</f>
        <v>6722.1048064277156</v>
      </c>
      <c r="R36" s="410">
        <f>+FY14ProjRevenueToCollege!R42</f>
        <v>0</v>
      </c>
      <c r="S36" s="410">
        <f>+FY14ProjRevenueToCollege!S42</f>
        <v>0</v>
      </c>
      <c r="T36" s="441">
        <f t="shared" si="7"/>
        <v>509638.96132424282</v>
      </c>
    </row>
    <row r="37" spans="1:20" ht="20.100000000000001" customHeight="1">
      <c r="A37" s="404" t="s">
        <v>136</v>
      </c>
      <c r="B37" s="442" t="s">
        <v>144</v>
      </c>
      <c r="C37" s="443">
        <f>+FY14ProjRevenueToCollege!C43</f>
        <v>294.14623396779604</v>
      </c>
      <c r="D37" s="443">
        <f>+FY14ProjRevenueToCollege!D43</f>
        <v>25884.86858916605</v>
      </c>
      <c r="E37" s="443">
        <f>+FY14ProjRevenueToCollege!E43</f>
        <v>637.31684026355799</v>
      </c>
      <c r="F37" s="443">
        <f>+FY14ProjRevenueToCollege!F43</f>
        <v>147.07311698389802</v>
      </c>
      <c r="G37" s="443">
        <f>+FY14ProjRevenueToCollege!G43</f>
        <v>2206.0967547584701</v>
      </c>
      <c r="H37" s="443">
        <f>+FY14ProjRevenueToCollege!H43</f>
        <v>147.07311698389802</v>
      </c>
      <c r="I37" s="443">
        <f>+FY14ProjRevenueToCollege!I43</f>
        <v>392.19497862372805</v>
      </c>
      <c r="J37" s="443">
        <f>+FY14ProjRevenueToCollege!J43</f>
        <v>0</v>
      </c>
      <c r="K37" s="443">
        <f>+FY14ProjRevenueToCollege!K43</f>
        <v>392.19497862372805</v>
      </c>
      <c r="L37" s="443">
        <f>+FY14ProjRevenueToCollege!L43</f>
        <v>49.024372327966006</v>
      </c>
      <c r="M37" s="443">
        <f>+FY14ProjRevenueToCollege!M43</f>
        <v>147.07311698389802</v>
      </c>
      <c r="N37" s="443">
        <f>+FY14ProjRevenueToCollege!N43</f>
        <v>12966.946480747007</v>
      </c>
      <c r="O37" s="443">
        <f>+FY14ProjRevenueToCollege!O43</f>
        <v>833.41432957542202</v>
      </c>
      <c r="P37" s="443">
        <f>+FY14ProjRevenueToCollege!P43</f>
        <v>2990.4867120059262</v>
      </c>
      <c r="Q37" s="443">
        <f>+FY14ProjRevenueToCollege!Q43</f>
        <v>456024.71139473974</v>
      </c>
      <c r="R37" s="443">
        <f>+FY14ProjRevenueToCollege!R43</f>
        <v>196.09748931186402</v>
      </c>
      <c r="S37" s="443">
        <f>+FY14ProjRevenueToCollege!S43</f>
        <v>2181.5845685944869</v>
      </c>
      <c r="T37" s="444">
        <f t="shared" si="7"/>
        <v>505490.30307365744</v>
      </c>
    </row>
    <row r="38" spans="1:20" s="18" customFormat="1" ht="20.100000000000001" customHeight="1">
      <c r="A38" s="404" t="s">
        <v>137</v>
      </c>
      <c r="B38" s="440" t="s">
        <v>49</v>
      </c>
      <c r="C38" s="410">
        <f>+FY14ProjRevenueToCollege!C44</f>
        <v>1547.8552019652268</v>
      </c>
      <c r="D38" s="410">
        <f>+FY14ProjRevenueToCollege!D44</f>
        <v>6151.7322129387221</v>
      </c>
      <c r="E38" s="410">
        <f>+FY14ProjRevenueToCollege!E44</f>
        <v>0</v>
      </c>
      <c r="F38" s="410">
        <f>+FY14ProjRevenueToCollege!F44</f>
        <v>0</v>
      </c>
      <c r="G38" s="410">
        <f>+FY14ProjRevenueToCollege!G44</f>
        <v>754.08330352152075</v>
      </c>
      <c r="H38" s="410">
        <f>+FY14ProjRevenueToCollege!H44</f>
        <v>238.13156953311181</v>
      </c>
      <c r="I38" s="410">
        <f>+FY14ProjRevenueToCollege!I44</f>
        <v>79.377189844370605</v>
      </c>
      <c r="J38" s="410">
        <f>+FY14ProjRevenueToCollege!J44</f>
        <v>357.19735429966772</v>
      </c>
      <c r="K38" s="410">
        <f>+FY14ProjRevenueToCollege!K44</f>
        <v>3651.3507328410478</v>
      </c>
      <c r="L38" s="410">
        <f>+FY14ProjRevenueToCollege!L44</f>
        <v>2698.8244547086006</v>
      </c>
      <c r="M38" s="410">
        <f>+FY14ProjRevenueToCollege!M44</f>
        <v>1270.0350375099297</v>
      </c>
      <c r="N38" s="410">
        <f>+FY14ProjRevenueToCollege!N44</f>
        <v>34429.856094995746</v>
      </c>
      <c r="O38" s="410">
        <f>+FY14ProjRevenueToCollege!O44</f>
        <v>1071.5920628990032</v>
      </c>
      <c r="P38" s="410">
        <f>+FY14ProjRevenueToCollege!P44</f>
        <v>436.57454414403833</v>
      </c>
      <c r="Q38" s="410">
        <f>+FY14ProjRevenueToCollege!Q44</f>
        <v>190108.36967726759</v>
      </c>
      <c r="R38" s="410">
        <f>+FY14ProjRevenueToCollege!R44</f>
        <v>79.377189844370605</v>
      </c>
      <c r="S38" s="410">
        <f>+FY14ProjRevenueToCollege!S44</f>
        <v>79.377189844370605</v>
      </c>
      <c r="T38" s="441">
        <f t="shared" si="7"/>
        <v>242953.73381615733</v>
      </c>
    </row>
    <row r="39" spans="1:20" ht="20.100000000000001" customHeight="1">
      <c r="A39" s="404"/>
      <c r="B39" s="442" t="s">
        <v>207</v>
      </c>
      <c r="C39" s="443">
        <f>+FY14ProjRevenueToCollege!C45+FY14ProjRevenueToCollege!C46</f>
        <v>610969.03517121857</v>
      </c>
      <c r="D39" s="443">
        <f>+FY14ProjRevenueToCollege!D45+FY14ProjRevenueToCollege!D46</f>
        <v>9988.0104095161278</v>
      </c>
      <c r="E39" s="443">
        <f>+FY14ProjRevenueToCollege!E45+FY14ProjRevenueToCollege!E46</f>
        <v>10280.67935003357</v>
      </c>
      <c r="F39" s="443">
        <f>+FY14ProjRevenueToCollege!F45+FY14ProjRevenueToCollege!F46</f>
        <v>275.17172806318661</v>
      </c>
      <c r="G39" s="443">
        <f>+FY14ProjRevenueToCollege!G45+FY14ProjRevenueToCollege!G46</f>
        <v>3363.1256961179761</v>
      </c>
      <c r="H39" s="443">
        <f>+FY14ProjRevenueToCollege!H45+FY14ProjRevenueToCollege!H46</f>
        <v>11783.566950210101</v>
      </c>
      <c r="I39" s="443">
        <f>+FY14ProjRevenueToCollege!I45+FY14ProjRevenueToCollege!I46</f>
        <v>0</v>
      </c>
      <c r="J39" s="443">
        <f>+FY14ProjRevenueToCollege!J45+FY14ProjRevenueToCollege!J46</f>
        <v>0</v>
      </c>
      <c r="K39" s="443">
        <f>+FY14ProjRevenueToCollege!K45+FY14ProjRevenueToCollege!K46</f>
        <v>7945.8021957807559</v>
      </c>
      <c r="L39" s="443">
        <f>+FY14ProjRevenueToCollege!L45+FY14ProjRevenueToCollege!L46</f>
        <v>177.07107665280301</v>
      </c>
      <c r="M39" s="443">
        <f>+FY14ProjRevenueToCollege!M45+FY14ProjRevenueToCollege!M46</f>
        <v>0</v>
      </c>
      <c r="N39" s="443">
        <f>+FY14ProjRevenueToCollege!N45+FY14ProjRevenueToCollege!N46</f>
        <v>354.14215330560603</v>
      </c>
      <c r="O39" s="443">
        <f>+FY14ProjRevenueToCollege!O45+FY14ProjRevenueToCollege!O46</f>
        <v>0</v>
      </c>
      <c r="P39" s="443">
        <f>+FY14ProjRevenueToCollege!P45+FY14ProjRevenueToCollege!P46</f>
        <v>0</v>
      </c>
      <c r="Q39" s="443">
        <f>+FY14ProjRevenueToCollege!Q45+FY14ProjRevenueToCollege!Q46</f>
        <v>354.14215330560603</v>
      </c>
      <c r="R39" s="443">
        <f>+FY14ProjRevenueToCollege!R45+FY14ProjRevenueToCollege!R46</f>
        <v>570.29018915119173</v>
      </c>
      <c r="S39" s="443">
        <f>+FY14ProjRevenueToCollege!S45+FY14ProjRevenueToCollege!S46</f>
        <v>0</v>
      </c>
      <c r="T39" s="444">
        <f t="shared" si="7"/>
        <v>656061.03707335552</v>
      </c>
    </row>
    <row r="40" spans="1:20" s="18" customFormat="1" ht="20.100000000000001" customHeight="1">
      <c r="A40" s="404"/>
      <c r="B40" s="440" t="s">
        <v>208</v>
      </c>
      <c r="C40" s="410">
        <f>+FY14ProjRevenueToCollege!C47+FY14ProjRevenueToCollege!C48+FY14ProjRevenueToCollege!C49</f>
        <v>0</v>
      </c>
      <c r="D40" s="410">
        <f>+FY14ProjRevenueToCollege!D47+FY14ProjRevenueToCollege!D48+FY14ProjRevenueToCollege!D49</f>
        <v>878.30382407547154</v>
      </c>
      <c r="E40" s="410">
        <f>+FY14ProjRevenueToCollege!E47+FY14ProjRevenueToCollege!E48+FY14ProjRevenueToCollege!E49</f>
        <v>0</v>
      </c>
      <c r="F40" s="410">
        <f>+FY14ProjRevenueToCollege!F47+FY14ProjRevenueToCollege!F48+FY14ProjRevenueToCollege!F49</f>
        <v>0</v>
      </c>
      <c r="G40" s="410">
        <f>+FY14ProjRevenueToCollege!G47+FY14ProjRevenueToCollege!G48+FY14ProjRevenueToCollege!G49</f>
        <v>64699.959552384898</v>
      </c>
      <c r="H40" s="410">
        <f>+FY14ProjRevenueToCollege!H47+FY14ProjRevenueToCollege!H48+FY14ProjRevenueToCollege!H49</f>
        <v>0</v>
      </c>
      <c r="I40" s="410">
        <f>+FY14ProjRevenueToCollege!I47+FY14ProjRevenueToCollege!I48+FY14ProjRevenueToCollege!I49</f>
        <v>0</v>
      </c>
      <c r="J40" s="410">
        <f>+FY14ProjRevenueToCollege!J47+FY14ProjRevenueToCollege!J48+FY14ProjRevenueToCollege!J49</f>
        <v>0</v>
      </c>
      <c r="K40" s="410">
        <f>+FY14ProjRevenueToCollege!K47+FY14ProjRevenueToCollege!K48+FY14ProjRevenueToCollege!K49</f>
        <v>0</v>
      </c>
      <c r="L40" s="410">
        <f>+FY14ProjRevenueToCollege!L47+FY14ProjRevenueToCollege!L48+FY14ProjRevenueToCollege!L49</f>
        <v>0</v>
      </c>
      <c r="M40" s="410">
        <f>+FY14ProjRevenueToCollege!M47+FY14ProjRevenueToCollege!M48+FY14ProjRevenueToCollege!M49</f>
        <v>0</v>
      </c>
      <c r="N40" s="410">
        <f>+FY14ProjRevenueToCollege!N47+FY14ProjRevenueToCollege!N48+FY14ProjRevenueToCollege!N49</f>
        <v>3179.7575266641506</v>
      </c>
      <c r="O40" s="410">
        <f>+FY14ProjRevenueToCollege!O47+FY14ProjRevenueToCollege!O48+FY14ProjRevenueToCollege!O49</f>
        <v>0</v>
      </c>
      <c r="P40" s="410">
        <f>+FY14ProjRevenueToCollege!P47+FY14ProjRevenueToCollege!P48+FY14ProjRevenueToCollege!P49</f>
        <v>0</v>
      </c>
      <c r="Q40" s="410">
        <f>+FY14ProjRevenueToCollege!Q47+FY14ProjRevenueToCollege!Q48+FY14ProjRevenueToCollege!Q49</f>
        <v>231.60047447547163</v>
      </c>
      <c r="R40" s="410">
        <f>+FY14ProjRevenueToCollege!R47+FY14ProjRevenueToCollege!R48+FY14ProjRevenueToCollege!R49</f>
        <v>0</v>
      </c>
      <c r="S40" s="410">
        <f>+FY14ProjRevenueToCollege!S47+FY14ProjRevenueToCollege!S48+FY14ProjRevenueToCollege!S49</f>
        <v>0</v>
      </c>
      <c r="T40" s="441">
        <f t="shared" si="7"/>
        <v>68989.621377599993</v>
      </c>
    </row>
    <row r="41" spans="1:20" ht="20.100000000000001" customHeight="1">
      <c r="A41" s="404"/>
      <c r="B41" s="442" t="s">
        <v>39</v>
      </c>
      <c r="C41" s="443">
        <f>+FY14ProjRevenueToCollege!C50+FY14ProjRevenueToCollege!C51</f>
        <v>6971.3004307093379</v>
      </c>
      <c r="D41" s="443">
        <f>+FY14ProjRevenueToCollege!D50+FY14ProjRevenueToCollege!D51</f>
        <v>45246.123608581613</v>
      </c>
      <c r="E41" s="443">
        <f>+FY14ProjRevenueToCollege!E50+FY14ProjRevenueToCollege!E51</f>
        <v>16582.219471104734</v>
      </c>
      <c r="F41" s="443">
        <f>+FY14ProjRevenueToCollege!F50+FY14ProjRevenueToCollege!F51</f>
        <v>3654.8565364883898</v>
      </c>
      <c r="G41" s="443">
        <f>+FY14ProjRevenueToCollege!G50+FY14ProjRevenueToCollege!G51</f>
        <v>812.19034144186446</v>
      </c>
      <c r="H41" s="443">
        <f>+FY14ProjRevenueToCollege!H50+FY14ProjRevenueToCollege!H51</f>
        <v>30152.919763453632</v>
      </c>
      <c r="I41" s="443">
        <f>+FY14ProjRevenueToCollege!I50+FY14ProjRevenueToCollege!I51</f>
        <v>1015.2379268023307</v>
      </c>
      <c r="J41" s="443">
        <f>+FY14ProjRevenueToCollege!J50+FY14ProjRevenueToCollege!J51</f>
        <v>3248.7613657674578</v>
      </c>
      <c r="K41" s="443">
        <f>+FY14ProjRevenueToCollege!K50+FY14ProjRevenueToCollege!K51</f>
        <v>760369.68869580596</v>
      </c>
      <c r="L41" s="443">
        <f>+FY14ProjRevenueToCollege!L50+FY14ProjRevenueToCollege!L51</f>
        <v>2436.5710243255935</v>
      </c>
      <c r="M41" s="443">
        <f>+FY14ProjRevenueToCollege!M50+FY14ProjRevenueToCollege!M51</f>
        <v>0</v>
      </c>
      <c r="N41" s="443">
        <f>+FY14ProjRevenueToCollege!N50+FY14ProjRevenueToCollege!N51</f>
        <v>6023.7450323604944</v>
      </c>
      <c r="O41" s="443">
        <f>+FY14ProjRevenueToCollege!O50+FY14ProjRevenueToCollege!O51</f>
        <v>0</v>
      </c>
      <c r="P41" s="443">
        <f>+FY14ProjRevenueToCollege!P50+FY14ProjRevenueToCollege!P51</f>
        <v>0</v>
      </c>
      <c r="Q41" s="443">
        <f>+FY14ProjRevenueToCollege!Q50+FY14ProjRevenueToCollege!Q51</f>
        <v>11776.759950907035</v>
      </c>
      <c r="R41" s="443">
        <f>+FY14ProjRevenueToCollege!R50+FY14ProjRevenueToCollege!R51</f>
        <v>0</v>
      </c>
      <c r="S41" s="443">
        <f>+FY14ProjRevenueToCollege!S50+FY14ProjRevenueToCollege!S51</f>
        <v>0</v>
      </c>
      <c r="T41" s="444">
        <f>SUM(C41:S41)</f>
        <v>888290.37414774857</v>
      </c>
    </row>
    <row r="42" spans="1:20" s="18" customFormat="1" ht="20.100000000000001" customHeight="1">
      <c r="A42" s="404" t="s">
        <v>149</v>
      </c>
      <c r="B42" s="440" t="s">
        <v>38</v>
      </c>
      <c r="C42" s="410">
        <f>+FY14ProjRevenueToCollege!C52</f>
        <v>0</v>
      </c>
      <c r="D42" s="410">
        <f>+FY14ProjRevenueToCollege!D52</f>
        <v>930.34918425670753</v>
      </c>
      <c r="E42" s="410">
        <f>+FY14ProjRevenueToCollege!E52</f>
        <v>741255.71255653165</v>
      </c>
      <c r="F42" s="410">
        <f>+FY14ProjRevenueToCollege!F52</f>
        <v>232.58729606417688</v>
      </c>
      <c r="G42" s="410">
        <f>+FY14ProjRevenueToCollege!G52</f>
        <v>310.11639475223581</v>
      </c>
      <c r="H42" s="410">
        <f>+FY14ProjRevenueToCollege!H52</f>
        <v>1938.2274672014739</v>
      </c>
      <c r="I42" s="410">
        <f>+FY14ProjRevenueToCollege!I52</f>
        <v>0</v>
      </c>
      <c r="J42" s="410">
        <f>+FY14ProjRevenueToCollege!J52</f>
        <v>775.29098688058957</v>
      </c>
      <c r="K42" s="410">
        <f>+FY14ProjRevenueToCollege!K52</f>
        <v>6589.973388485012</v>
      </c>
      <c r="L42" s="410">
        <f>+FY14ProjRevenueToCollege!L52</f>
        <v>0</v>
      </c>
      <c r="M42" s="410">
        <f>+FY14ProjRevenueToCollege!M52</f>
        <v>0</v>
      </c>
      <c r="N42" s="410">
        <f>+FY14ProjRevenueToCollege!N52</f>
        <v>465.17459212835377</v>
      </c>
      <c r="O42" s="410">
        <f>+FY14ProjRevenueToCollege!O52</f>
        <v>232.58729606417688</v>
      </c>
      <c r="P42" s="410">
        <f>+FY14ProjRevenueToCollege!P52</f>
        <v>0</v>
      </c>
      <c r="Q42" s="410">
        <f>+FY14ProjRevenueToCollege!Q52</f>
        <v>2248.3438619537096</v>
      </c>
      <c r="R42" s="410">
        <f>+FY14ProjRevenueToCollege!R52</f>
        <v>0</v>
      </c>
      <c r="S42" s="410">
        <f>+FY14ProjRevenueToCollege!S52</f>
        <v>0</v>
      </c>
      <c r="T42" s="441">
        <f t="shared" si="7"/>
        <v>754978.36302431801</v>
      </c>
    </row>
    <row r="43" spans="1:20" ht="20.100000000000001" customHeight="1">
      <c r="A43" s="404" t="s">
        <v>150</v>
      </c>
      <c r="B43" s="442" t="s">
        <v>31</v>
      </c>
      <c r="C43" s="443">
        <f>+FY14ProjRevenueToCollege!C53</f>
        <v>266.14468082650001</v>
      </c>
      <c r="D43" s="443">
        <f>+FY14ProjRevenueToCollege!D53</f>
        <v>22533.582976643665</v>
      </c>
      <c r="E43" s="443">
        <f>+FY14ProjRevenueToCollege!E53</f>
        <v>13218.519147716164</v>
      </c>
      <c r="F43" s="443">
        <f>+FY14ProjRevenueToCollege!F53</f>
        <v>1064.578723306</v>
      </c>
      <c r="G43" s="443">
        <f>+FY14ProjRevenueToCollege!G53</f>
        <v>0</v>
      </c>
      <c r="H43" s="443">
        <f>+FY14ProjRevenueToCollege!H53</f>
        <v>354.85957443533329</v>
      </c>
      <c r="I43" s="443">
        <f>+FY14ProjRevenueToCollege!I53</f>
        <v>12331.370211627833</v>
      </c>
      <c r="J43" s="443">
        <f>+FY14ProjRevenueToCollege!J53</f>
        <v>2093494.0593812487</v>
      </c>
      <c r="K43" s="443">
        <f>+FY14ProjRevenueToCollege!K53</f>
        <v>1774.2978721766665</v>
      </c>
      <c r="L43" s="443">
        <f>+FY14ProjRevenueToCollege!L53</f>
        <v>0</v>
      </c>
      <c r="M43" s="443">
        <f>+FY14ProjRevenueToCollege!M53</f>
        <v>0</v>
      </c>
      <c r="N43" s="443">
        <f>+FY14ProjRevenueToCollege!N53</f>
        <v>975.86382969716658</v>
      </c>
      <c r="O43" s="443">
        <f>+FY14ProjRevenueToCollege!O53</f>
        <v>0</v>
      </c>
      <c r="P43" s="443">
        <f>+FY14ProjRevenueToCollege!P53</f>
        <v>0</v>
      </c>
      <c r="Q43" s="443">
        <f>+FY14ProjRevenueToCollege!Q53</f>
        <v>5677.7531909653326</v>
      </c>
      <c r="R43" s="443">
        <f>+FY14ProjRevenueToCollege!R53</f>
        <v>0</v>
      </c>
      <c r="S43" s="443">
        <f>+FY14ProjRevenueToCollege!S53</f>
        <v>0</v>
      </c>
      <c r="T43" s="444">
        <f t="shared" si="7"/>
        <v>2151691.0295886435</v>
      </c>
    </row>
    <row r="44" spans="1:20" s="18" customFormat="1" ht="20.100000000000001" customHeight="1">
      <c r="A44" s="404"/>
      <c r="B44" s="440" t="s">
        <v>209</v>
      </c>
      <c r="C44" s="410">
        <f>+FY14ProjRevenueToCollege!C54+FY14ProjRevenueToCollege!C55</f>
        <v>95.508055131725513</v>
      </c>
      <c r="D44" s="410">
        <f>+FY14ProjRevenueToCollege!D54+FY14ProjRevenueToCollege!D55</f>
        <v>5965.9048141427647</v>
      </c>
      <c r="E44" s="410">
        <f>+FY14ProjRevenueToCollege!E54+FY14ProjRevenueToCollege!E55</f>
        <v>0</v>
      </c>
      <c r="F44" s="410">
        <f>+FY14ProjRevenueToCollege!F54+FY14ProjRevenueToCollege!F55</f>
        <v>0</v>
      </c>
      <c r="G44" s="410">
        <f>+FY14ProjRevenueToCollege!G54+FY14ProjRevenueToCollege!G55</f>
        <v>0</v>
      </c>
      <c r="H44" s="410">
        <f>+FY14ProjRevenueToCollege!H54+FY14ProjRevenueToCollege!H55</f>
        <v>191.01611026345103</v>
      </c>
      <c r="I44" s="410">
        <f>+FY14ProjRevenueToCollege!I54+FY14ProjRevenueToCollege!I55</f>
        <v>0</v>
      </c>
      <c r="J44" s="410">
        <f>+FY14ProjRevenueToCollege!J54+FY14ProjRevenueToCollege!J55</f>
        <v>184247.37842619832</v>
      </c>
      <c r="K44" s="410">
        <f>+FY14ProjRevenueToCollege!K54+FY14ProjRevenueToCollege!K55</f>
        <v>1798.4577012724772</v>
      </c>
      <c r="L44" s="410">
        <f>+FY14ProjRevenueToCollege!L54+FY14ProjRevenueToCollege!L55</f>
        <v>0</v>
      </c>
      <c r="M44" s="410">
        <f>+FY14ProjRevenueToCollege!M54+FY14ProjRevenueToCollege!M55</f>
        <v>0</v>
      </c>
      <c r="N44" s="410">
        <f>+FY14ProjRevenueToCollege!N54+FY14ProjRevenueToCollege!N55</f>
        <v>0</v>
      </c>
      <c r="O44" s="410">
        <f>+FY14ProjRevenueToCollege!O54+FY14ProjRevenueToCollege!O55</f>
        <v>0</v>
      </c>
      <c r="P44" s="410">
        <f>+FY14ProjRevenueToCollege!P54+FY14ProjRevenueToCollege!P55</f>
        <v>265.5797776397954</v>
      </c>
      <c r="Q44" s="410">
        <f>+FY14ProjRevenueToCollege!Q54+FY14ProjRevenueToCollege!Q55</f>
        <v>0</v>
      </c>
      <c r="R44" s="410">
        <f>+FY14ProjRevenueToCollege!R54+FY14ProjRevenueToCollege!R55</f>
        <v>0</v>
      </c>
      <c r="S44" s="410">
        <f>+FY14ProjRevenueToCollege!S54+FY14ProjRevenueToCollege!S55</f>
        <v>0</v>
      </c>
      <c r="T44" s="441">
        <f>SUM(C44:S44)</f>
        <v>192563.84488464854</v>
      </c>
    </row>
    <row r="45" spans="1:20" ht="20.100000000000001" customHeight="1">
      <c r="A45" s="404" t="s">
        <v>153</v>
      </c>
      <c r="B45" s="442" t="s">
        <v>210</v>
      </c>
      <c r="C45" s="443">
        <f>+FY14ProjRevenueToCollege!C56</f>
        <v>0</v>
      </c>
      <c r="D45" s="443">
        <f>+FY14ProjRevenueToCollege!D56</f>
        <v>2516.4645980714258</v>
      </c>
      <c r="E45" s="443">
        <f>+FY14ProjRevenueToCollege!E56</f>
        <v>0</v>
      </c>
      <c r="F45" s="443">
        <f>+FY14ProjRevenueToCollege!F56</f>
        <v>251.64645980714258</v>
      </c>
      <c r="G45" s="443">
        <f>+FY14ProjRevenueToCollege!G56</f>
        <v>0</v>
      </c>
      <c r="H45" s="443">
        <f>+FY14ProjRevenueToCollege!H56</f>
        <v>0</v>
      </c>
      <c r="I45" s="443">
        <f>+FY14ProjRevenueToCollege!I56</f>
        <v>0</v>
      </c>
      <c r="J45" s="443">
        <f>+FY14ProjRevenueToCollege!J56</f>
        <v>0</v>
      </c>
      <c r="K45" s="443">
        <f>+FY14ProjRevenueToCollege!K56</f>
        <v>2013.1716784571406</v>
      </c>
      <c r="L45" s="443">
        <f>+FY14ProjRevenueToCollege!L56</f>
        <v>1006.5858392285703</v>
      </c>
      <c r="M45" s="443">
        <f>+FY14ProjRevenueToCollege!M56</f>
        <v>0</v>
      </c>
      <c r="N45" s="443">
        <f>+FY14ProjRevenueToCollege!N56</f>
        <v>9310.9190128642749</v>
      </c>
      <c r="O45" s="443">
        <f>+FY14ProjRevenueToCollege!O56</f>
        <v>192593.42390573313</v>
      </c>
      <c r="P45" s="443">
        <f>+FY14ProjRevenueToCollege!P56</f>
        <v>8891.5082465190389</v>
      </c>
      <c r="Q45" s="443">
        <f>+FY14ProjRevenueToCollege!Q56</f>
        <v>14008.319595930938</v>
      </c>
      <c r="R45" s="443">
        <f>+FY14ProjRevenueToCollege!R56</f>
        <v>0</v>
      </c>
      <c r="S45" s="443">
        <f>+FY14ProjRevenueToCollege!S56</f>
        <v>0</v>
      </c>
      <c r="T45" s="444">
        <f t="shared" si="7"/>
        <v>230592.03933661169</v>
      </c>
    </row>
    <row r="46" spans="1:20" s="18" customFormat="1" ht="20.100000000000001" customHeight="1">
      <c r="A46" s="404" t="s">
        <v>155</v>
      </c>
      <c r="B46" s="440" t="s">
        <v>42</v>
      </c>
      <c r="C46" s="410">
        <f>+FY14ProjRevenueToCollege!C57</f>
        <v>0</v>
      </c>
      <c r="D46" s="410">
        <f>+FY14ProjRevenueToCollege!D57</f>
        <v>647.94895086088763</v>
      </c>
      <c r="E46" s="410">
        <f>+FY14ProjRevenueToCollege!E57</f>
        <v>259.17958034435503</v>
      </c>
      <c r="F46" s="410">
        <f>+FY14ProjRevenueToCollege!F57</f>
        <v>0</v>
      </c>
      <c r="G46" s="410">
        <f>+FY14ProjRevenueToCollege!G57</f>
        <v>323.97447543044382</v>
      </c>
      <c r="H46" s="410">
        <f>+FY14ProjRevenueToCollege!H57</f>
        <v>518.35916068871006</v>
      </c>
      <c r="I46" s="410">
        <f>+FY14ProjRevenueToCollege!I57</f>
        <v>0</v>
      </c>
      <c r="J46" s="410">
        <f>+FY14ProjRevenueToCollege!J57</f>
        <v>0</v>
      </c>
      <c r="K46" s="410">
        <f>+FY14ProjRevenueToCollege!K57</f>
        <v>0</v>
      </c>
      <c r="L46" s="410">
        <f>+FY14ProjRevenueToCollege!L57</f>
        <v>0</v>
      </c>
      <c r="M46" s="410">
        <f>+FY14ProjRevenueToCollege!M57</f>
        <v>0</v>
      </c>
      <c r="N46" s="410">
        <f>+FY14ProjRevenueToCollege!N57</f>
        <v>139730.19125315041</v>
      </c>
      <c r="O46" s="410">
        <f>+FY14ProjRevenueToCollege!O57</f>
        <v>4017.2834953375032</v>
      </c>
      <c r="P46" s="410">
        <f>+FY14ProjRevenueToCollege!P57</f>
        <v>1019936.4435501233</v>
      </c>
      <c r="Q46" s="410">
        <f>+FY14ProjRevenueToCollege!Q57</f>
        <v>7192.2333545558522</v>
      </c>
      <c r="R46" s="410">
        <f>+FY14ProjRevenueToCollege!R57</f>
        <v>0</v>
      </c>
      <c r="S46" s="410">
        <f>+FY14ProjRevenueToCollege!S57</f>
        <v>0</v>
      </c>
      <c r="T46" s="441">
        <f t="shared" si="7"/>
        <v>1172625.6138204914</v>
      </c>
    </row>
    <row r="47" spans="1:20" ht="20.100000000000001" customHeight="1">
      <c r="A47" s="404" t="s">
        <v>162</v>
      </c>
      <c r="B47" s="442" t="s">
        <v>76</v>
      </c>
      <c r="C47" s="443">
        <f>+FY14ProjRevenueToCollege!C58</f>
        <v>0</v>
      </c>
      <c r="D47" s="443">
        <f>+FY14ProjRevenueToCollege!D58</f>
        <v>1653.5091001694741</v>
      </c>
      <c r="E47" s="443">
        <f>+FY14ProjRevenueToCollege!E58</f>
        <v>122.48215556810919</v>
      </c>
      <c r="F47" s="443">
        <f>+FY14ProjRevenueToCollege!F58</f>
        <v>0</v>
      </c>
      <c r="G47" s="443">
        <f>+FY14ProjRevenueToCollege!G58</f>
        <v>183.72323335216379</v>
      </c>
      <c r="H47" s="443">
        <f>+FY14ProjRevenueToCollege!H58</f>
        <v>0</v>
      </c>
      <c r="I47" s="443">
        <f>+FY14ProjRevenueToCollege!I58</f>
        <v>0</v>
      </c>
      <c r="J47" s="443">
        <f>+FY14ProjRevenueToCollege!J58</f>
        <v>0</v>
      </c>
      <c r="K47" s="443">
        <f>+FY14ProjRevenueToCollege!K58</f>
        <v>0</v>
      </c>
      <c r="L47" s="443">
        <f>+FY14ProjRevenueToCollege!L58</f>
        <v>0</v>
      </c>
      <c r="M47" s="443">
        <f>+FY14ProjRevenueToCollege!M58</f>
        <v>0</v>
      </c>
      <c r="N47" s="443">
        <f>+FY14ProjRevenueToCollege!N58</f>
        <v>2603235.7344445931</v>
      </c>
      <c r="O47" s="443">
        <f>+FY14ProjRevenueToCollege!O58</f>
        <v>61.241077784054596</v>
      </c>
      <c r="P47" s="443">
        <f>+FY14ProjRevenueToCollege!P58</f>
        <v>0</v>
      </c>
      <c r="Q47" s="443">
        <f>+FY14ProjRevenueToCollege!Q58</f>
        <v>5511.6970005649146</v>
      </c>
      <c r="R47" s="443">
        <f>+FY14ProjRevenueToCollege!R58</f>
        <v>0</v>
      </c>
      <c r="S47" s="443">
        <f>+FY14ProjRevenueToCollege!S58</f>
        <v>673.65185562460067</v>
      </c>
      <c r="T47" s="444">
        <f t="shared" si="7"/>
        <v>2611442.0388676566</v>
      </c>
    </row>
    <row r="48" spans="1:20" s="18" customFormat="1" ht="20.100000000000001" customHeight="1">
      <c r="A48" s="404" t="s">
        <v>156</v>
      </c>
      <c r="B48" s="440" t="s">
        <v>77</v>
      </c>
      <c r="C48" s="410">
        <f>+FY14ProjRevenueToCollege!C59</f>
        <v>0</v>
      </c>
      <c r="D48" s="410">
        <f>+FY14ProjRevenueToCollege!D59</f>
        <v>0</v>
      </c>
      <c r="E48" s="410">
        <f>+FY14ProjRevenueToCollege!E59</f>
        <v>0</v>
      </c>
      <c r="F48" s="410">
        <f>+FY14ProjRevenueToCollege!F59</f>
        <v>0</v>
      </c>
      <c r="G48" s="410">
        <f>+FY14ProjRevenueToCollege!G59</f>
        <v>0</v>
      </c>
      <c r="H48" s="410">
        <f>+FY14ProjRevenueToCollege!H59</f>
        <v>0</v>
      </c>
      <c r="I48" s="410">
        <f>+FY14ProjRevenueToCollege!I59</f>
        <v>0</v>
      </c>
      <c r="J48" s="410">
        <f>+FY14ProjRevenueToCollege!J59</f>
        <v>0</v>
      </c>
      <c r="K48" s="410">
        <f>+FY14ProjRevenueToCollege!K59</f>
        <v>0</v>
      </c>
      <c r="L48" s="410">
        <f>+FY14ProjRevenueToCollege!L59</f>
        <v>0</v>
      </c>
      <c r="M48" s="410">
        <f>+FY14ProjRevenueToCollege!M59</f>
        <v>857083.34754894953</v>
      </c>
      <c r="N48" s="410">
        <f>+FY14ProjRevenueToCollege!N59</f>
        <v>130258.28234600284</v>
      </c>
      <c r="O48" s="410">
        <f>+FY14ProjRevenueToCollege!O59</f>
        <v>0</v>
      </c>
      <c r="P48" s="410">
        <f>+FY14ProjRevenueToCollege!P59</f>
        <v>0</v>
      </c>
      <c r="Q48" s="410">
        <f>+FY14ProjRevenueToCollege!Q59</f>
        <v>124.23298268574425</v>
      </c>
      <c r="R48" s="410">
        <f>+FY14ProjRevenueToCollege!R59</f>
        <v>0</v>
      </c>
      <c r="S48" s="410">
        <f>+FY14ProjRevenueToCollege!S59</f>
        <v>0</v>
      </c>
      <c r="T48" s="441">
        <f t="shared" si="7"/>
        <v>987465.8628776382</v>
      </c>
    </row>
    <row r="49" spans="1:20" ht="20.100000000000001" customHeight="1">
      <c r="A49" s="404" t="s">
        <v>163</v>
      </c>
      <c r="B49" s="445" t="s">
        <v>164</v>
      </c>
      <c r="C49" s="443">
        <f>+FY14ProjRevenueToCollege!C60</f>
        <v>0</v>
      </c>
      <c r="D49" s="443">
        <f>+FY14ProjRevenueToCollege!D60</f>
        <v>0</v>
      </c>
      <c r="E49" s="443">
        <f>+FY14ProjRevenueToCollege!E60</f>
        <v>0</v>
      </c>
      <c r="F49" s="443">
        <f>+FY14ProjRevenueToCollege!F60</f>
        <v>0</v>
      </c>
      <c r="G49" s="443">
        <f>+FY14ProjRevenueToCollege!G60</f>
        <v>0</v>
      </c>
      <c r="H49" s="443">
        <f>+FY14ProjRevenueToCollege!H60</f>
        <v>0</v>
      </c>
      <c r="I49" s="443">
        <f>+FY14ProjRevenueToCollege!I60</f>
        <v>0</v>
      </c>
      <c r="J49" s="443">
        <f>+FY14ProjRevenueToCollege!J60</f>
        <v>0</v>
      </c>
      <c r="K49" s="443">
        <f>+FY14ProjRevenueToCollege!K60</f>
        <v>0</v>
      </c>
      <c r="L49" s="443">
        <f>+FY14ProjRevenueToCollege!L60</f>
        <v>0</v>
      </c>
      <c r="M49" s="443">
        <f>+FY14ProjRevenueToCollege!M60</f>
        <v>159403.32759681359</v>
      </c>
      <c r="N49" s="443">
        <f>+FY14ProjRevenueToCollege!N60</f>
        <v>4269.17143622817</v>
      </c>
      <c r="O49" s="443">
        <f>+FY14ProjRevenueToCollege!O60</f>
        <v>0</v>
      </c>
      <c r="P49" s="443">
        <f>+FY14ProjRevenueToCollege!P60</f>
        <v>0</v>
      </c>
      <c r="Q49" s="443">
        <f>+FY14ProjRevenueToCollege!Q60</f>
        <v>1883.4579865712515</v>
      </c>
      <c r="R49" s="443">
        <f>+FY14ProjRevenueToCollege!R60</f>
        <v>0</v>
      </c>
      <c r="S49" s="443">
        <f>+FY14ProjRevenueToCollege!S60</f>
        <v>251.12773154283352</v>
      </c>
      <c r="T49" s="446">
        <f t="shared" si="7"/>
        <v>165807.08475115584</v>
      </c>
    </row>
    <row r="50" spans="1:20" ht="20.100000000000001" customHeight="1">
      <c r="A50" s="405"/>
      <c r="B50" s="447" t="s">
        <v>17</v>
      </c>
      <c r="C50" s="448">
        <f t="shared" ref="C50:S50" si="8">SUM(C29:C49)</f>
        <v>3025153.2404600256</v>
      </c>
      <c r="D50" s="448">
        <f t="shared" si="8"/>
        <v>104006551.54687609</v>
      </c>
      <c r="E50" s="448">
        <f t="shared" si="8"/>
        <v>10323166.69237425</v>
      </c>
      <c r="F50" s="448">
        <f t="shared" si="8"/>
        <v>2703394.5313212583</v>
      </c>
      <c r="G50" s="448">
        <f t="shared" si="8"/>
        <v>13481794.248859562</v>
      </c>
      <c r="H50" s="448">
        <f t="shared" si="8"/>
        <v>9146755.6526953168</v>
      </c>
      <c r="I50" s="448">
        <f t="shared" si="8"/>
        <v>1566468.7332362712</v>
      </c>
      <c r="J50" s="448">
        <f t="shared" si="8"/>
        <v>2298019.9994516619</v>
      </c>
      <c r="K50" s="448">
        <f t="shared" si="8"/>
        <v>836743.15608947421</v>
      </c>
      <c r="L50" s="448">
        <f t="shared" si="8"/>
        <v>957760.04690789757</v>
      </c>
      <c r="M50" s="448">
        <f t="shared" si="8"/>
        <v>1030530.72408777</v>
      </c>
      <c r="N50" s="448">
        <f t="shared" si="8"/>
        <v>7454442.6895944197</v>
      </c>
      <c r="O50" s="448">
        <f t="shared" si="8"/>
        <v>1458854.6030854073</v>
      </c>
      <c r="P50" s="448">
        <f t="shared" si="8"/>
        <v>1128662.9631977407</v>
      </c>
      <c r="Q50" s="448">
        <f t="shared" si="8"/>
        <v>2308866.065739593</v>
      </c>
      <c r="R50" s="448">
        <f t="shared" si="8"/>
        <v>1910901.822318624</v>
      </c>
      <c r="S50" s="448">
        <f t="shared" si="8"/>
        <v>405217.14552240149</v>
      </c>
      <c r="T50" s="448">
        <f>SUM(C50:S50)</f>
        <v>164043283.86181781</v>
      </c>
    </row>
    <row r="51" spans="1:20" ht="27.75" customHeight="1">
      <c r="B51" s="634" t="s">
        <v>204</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+FY14ProjRevenueToCollege!C64</f>
        <v>1430148.123651207</v>
      </c>
      <c r="D53" s="455">
        <f>+FY14ProjRevenueToCollege!D64</f>
        <v>66195427.437570155</v>
      </c>
      <c r="E53" s="455">
        <f>+FY14ProjRevenueToCollege!E64</f>
        <v>9849741.9643947799</v>
      </c>
      <c r="F53" s="455">
        <f>+FY14ProjRevenueToCollege!F64</f>
        <v>795721.51240743848</v>
      </c>
      <c r="G53" s="455">
        <f>+FY14ProjRevenueToCollege!G64</f>
        <v>8935737.5244673155</v>
      </c>
      <c r="H53" s="455">
        <f>+FY14ProjRevenueToCollege!H64</f>
        <v>3043097.135287907</v>
      </c>
      <c r="I53" s="455">
        <f>+FY14ProjRevenueToCollege!I64</f>
        <v>838733.48605108378</v>
      </c>
      <c r="J53" s="455">
        <f>+FY14ProjRevenueToCollege!J64</f>
        <v>0</v>
      </c>
      <c r="K53" s="455">
        <f>+FY14ProjRevenueToCollege!K64</f>
        <v>0</v>
      </c>
      <c r="L53" s="455">
        <f>+FY14ProjRevenueToCollege!L64</f>
        <v>559155.6573673893</v>
      </c>
      <c r="M53" s="455">
        <f>+FY14ProjRevenueToCollege!M64</f>
        <v>0</v>
      </c>
      <c r="N53" s="455">
        <f>+FY14ProjRevenueToCollege!N64</f>
        <v>1871020.8534985718</v>
      </c>
      <c r="O53" s="455">
        <f>+FY14ProjRevenueToCollege!O64</f>
        <v>1526925.064349409</v>
      </c>
      <c r="P53" s="455">
        <f>+FY14ProjRevenueToCollege!P64</f>
        <v>0</v>
      </c>
      <c r="Q53" s="455">
        <f>+FY14ProjRevenueToCollege!Q64</f>
        <v>1828008.8798549264</v>
      </c>
      <c r="R53" s="455">
        <f>+FY14ProjRevenueToCollege!R64</f>
        <v>462378.71666918718</v>
      </c>
      <c r="S53" s="455">
        <f>+FY14ProjRevenueToCollege!S64</f>
        <v>526896.67713465518</v>
      </c>
      <c r="T53" s="455">
        <f t="shared" ref="T53:T73" si="9">SUM(C53:S53)</f>
        <v>97862993.03270404</v>
      </c>
    </row>
    <row r="54" spans="1:20" s="18" customFormat="1" ht="20.100000000000001" customHeight="1">
      <c r="A54" s="404" t="s">
        <v>129</v>
      </c>
      <c r="B54" s="440" t="s">
        <v>71</v>
      </c>
      <c r="C54" s="410">
        <f>+FY14ProjRevenueToCollege!C65</f>
        <v>58511.653360873584</v>
      </c>
      <c r="D54" s="410">
        <f>+FY14ProjRevenueToCollege!D65</f>
        <v>7413068.2462102696</v>
      </c>
      <c r="E54" s="410">
        <f>+FY14ProjRevenueToCollege!E65</f>
        <v>261511.26706186359</v>
      </c>
      <c r="F54" s="410">
        <f>+FY14ProjRevenueToCollege!F65</f>
        <v>0</v>
      </c>
      <c r="G54" s="410">
        <f>+FY14ProjRevenueToCollege!G65</f>
        <v>433463.88102034928</v>
      </c>
      <c r="H54" s="410">
        <f>+FY14ProjRevenueToCollege!H65</f>
        <v>17911.730620675589</v>
      </c>
      <c r="I54" s="410">
        <f>+FY14ProjRevenueToCollege!I65</f>
        <v>165982.03708492711</v>
      </c>
      <c r="J54" s="410">
        <f>+FY14ProjRevenueToCollege!J65</f>
        <v>4776.4614988468229</v>
      </c>
      <c r="K54" s="410">
        <f>+FY14ProjRevenueToCollege!K65</f>
        <v>89558.653103377932</v>
      </c>
      <c r="L54" s="410">
        <f>+FY14ProjRevenueToCollege!L65</f>
        <v>0</v>
      </c>
      <c r="M54" s="410">
        <f>+FY14ProjRevenueToCollege!M65</f>
        <v>0</v>
      </c>
      <c r="N54" s="410">
        <f>+FY14ProjRevenueToCollege!N65</f>
        <v>1547573.5256263711</v>
      </c>
      <c r="O54" s="410">
        <f>+FY14ProjRevenueToCollege!O65</f>
        <v>0</v>
      </c>
      <c r="P54" s="410">
        <f>+FY14ProjRevenueToCollege!P65</f>
        <v>213746.65207339538</v>
      </c>
      <c r="Q54" s="410">
        <f>+FY14ProjRevenueToCollege!Q65</f>
        <v>21494.076744810707</v>
      </c>
      <c r="R54" s="410">
        <f>+FY14ProjRevenueToCollege!R65</f>
        <v>0</v>
      </c>
      <c r="S54" s="410">
        <f>+FY14ProjRevenueToCollege!S65</f>
        <v>1079480.2987393821</v>
      </c>
      <c r="T54" s="410">
        <f t="shared" si="9"/>
        <v>11307078.483145144</v>
      </c>
    </row>
    <row r="55" spans="1:20" ht="20.100000000000001" customHeight="1">
      <c r="A55" s="404" t="s">
        <v>140</v>
      </c>
      <c r="B55" s="456" t="s">
        <v>72</v>
      </c>
      <c r="C55" s="457">
        <f>+FY14ProjRevenueToCollege!C66</f>
        <v>0</v>
      </c>
      <c r="D55" s="457">
        <f>+FY14ProjRevenueToCollege!D66</f>
        <v>0</v>
      </c>
      <c r="E55" s="457">
        <f>+FY14ProjRevenueToCollege!E66</f>
        <v>0</v>
      </c>
      <c r="F55" s="457">
        <f>+FY14ProjRevenueToCollege!F66</f>
        <v>0</v>
      </c>
      <c r="G55" s="457">
        <f>+FY14ProjRevenueToCollege!G66</f>
        <v>0</v>
      </c>
      <c r="H55" s="457">
        <f>+FY14ProjRevenueToCollege!H66</f>
        <v>0</v>
      </c>
      <c r="I55" s="457">
        <f>+FY14ProjRevenueToCollege!I66</f>
        <v>0</v>
      </c>
      <c r="J55" s="457">
        <f>+FY14ProjRevenueToCollege!J66</f>
        <v>0</v>
      </c>
      <c r="K55" s="457">
        <f>+FY14ProjRevenueToCollege!K66</f>
        <v>0</v>
      </c>
      <c r="L55" s="457">
        <f>+FY14ProjRevenueToCollege!L66</f>
        <v>235746.86684431435</v>
      </c>
      <c r="M55" s="457">
        <f>+FY14ProjRevenueToCollege!M66</f>
        <v>0</v>
      </c>
      <c r="N55" s="457">
        <f>+FY14ProjRevenueToCollege!N66</f>
        <v>676593.50784318219</v>
      </c>
      <c r="O55" s="457">
        <f>+FY14ProjRevenueToCollege!O66</f>
        <v>0</v>
      </c>
      <c r="P55" s="457">
        <f>+FY14ProjRevenueToCollege!P66</f>
        <v>0</v>
      </c>
      <c r="Q55" s="457">
        <f>+FY14ProjRevenueToCollege!Q66</f>
        <v>0</v>
      </c>
      <c r="R55" s="457">
        <f>+FY14ProjRevenueToCollege!R66</f>
        <v>0</v>
      </c>
      <c r="S55" s="457">
        <f>+FY14ProjRevenueToCollege!S66</f>
        <v>0</v>
      </c>
      <c r="T55" s="457">
        <f t="shared" si="9"/>
        <v>912340.37468749657</v>
      </c>
    </row>
    <row r="56" spans="1:20" s="18" customFormat="1" ht="20.100000000000001" customHeight="1">
      <c r="A56" s="404" t="s">
        <v>130</v>
      </c>
      <c r="B56" s="440" t="s">
        <v>73</v>
      </c>
      <c r="C56" s="410">
        <f>+FY14ProjRevenueToCollege!C67</f>
        <v>3849.0835215965294</v>
      </c>
      <c r="D56" s="410">
        <f>+FY14ProjRevenueToCollege!D67</f>
        <v>67358.961627939279</v>
      </c>
      <c r="E56" s="410">
        <f>+FY14ProjRevenueToCollege!E67</f>
        <v>50038.085780754889</v>
      </c>
      <c r="F56" s="410">
        <f>+FY14ProjRevenueToCollege!F67</f>
        <v>3849.0835215965294</v>
      </c>
      <c r="G56" s="410">
        <f>+FY14ProjRevenueToCollege!G67</f>
        <v>5230904.5058496837</v>
      </c>
      <c r="H56" s="410">
        <f>+FY14ProjRevenueToCollege!H67</f>
        <v>9622.7088039913233</v>
      </c>
      <c r="I56" s="410">
        <f>+FY14ProjRevenueToCollege!I67</f>
        <v>1924.5417607982647</v>
      </c>
      <c r="J56" s="410">
        <f>+FY14ProjRevenueToCollege!J67</f>
        <v>19245.417607982647</v>
      </c>
      <c r="K56" s="410">
        <f>+FY14ProjRevenueToCollege!K67</f>
        <v>3849.0835215965294</v>
      </c>
      <c r="L56" s="410">
        <f>+FY14ProjRevenueToCollege!L67</f>
        <v>0</v>
      </c>
      <c r="M56" s="410">
        <f>+FY14ProjRevenueToCollege!M67</f>
        <v>0</v>
      </c>
      <c r="N56" s="410">
        <f>+FY14ProjRevenueToCollege!N67</f>
        <v>21169.959368780914</v>
      </c>
      <c r="O56" s="410">
        <f>+FY14ProjRevenueToCollege!O67</f>
        <v>338719.34990049462</v>
      </c>
      <c r="P56" s="410">
        <f>+FY14ProjRevenueToCollege!P67</f>
        <v>0</v>
      </c>
      <c r="Q56" s="410">
        <f>+FY14ProjRevenueToCollege!Q67</f>
        <v>19245.417607982647</v>
      </c>
      <c r="R56" s="410">
        <f>+FY14ProjRevenueToCollege!R67</f>
        <v>13471.792325587854</v>
      </c>
      <c r="S56" s="410">
        <f>+FY14ProjRevenueToCollege!S67</f>
        <v>113547.96388709763</v>
      </c>
      <c r="T56" s="410">
        <f t="shared" si="9"/>
        <v>5896795.9550858838</v>
      </c>
    </row>
    <row r="57" spans="1:20" ht="20.100000000000001" customHeight="1">
      <c r="A57" s="404" t="s">
        <v>131</v>
      </c>
      <c r="B57" s="456" t="s">
        <v>218</v>
      </c>
      <c r="C57" s="457">
        <f>+FY14ProjRevenueToCollege!C68</f>
        <v>7043.9230769169926</v>
      </c>
      <c r="D57" s="457">
        <f>+FY14ProjRevenueToCollege!D68</f>
        <v>63395.307692252951</v>
      </c>
      <c r="E57" s="457">
        <f>+FY14ProjRevenueToCollege!E68</f>
        <v>3521.9615384584963</v>
      </c>
      <c r="F57" s="457">
        <f>+FY14ProjRevenueToCollege!F68</f>
        <v>0</v>
      </c>
      <c r="G57" s="457">
        <f>+FY14ProjRevenueToCollege!G68</f>
        <v>5282.9423076877447</v>
      </c>
      <c r="H57" s="457">
        <f>+FY14ProjRevenueToCollege!H68</f>
        <v>2754173.9230745439</v>
      </c>
      <c r="I57" s="457">
        <f>+FY14ProjRevenueToCollege!I68</f>
        <v>0</v>
      </c>
      <c r="J57" s="457">
        <f>+FY14ProjRevenueToCollege!J68</f>
        <v>0</v>
      </c>
      <c r="K57" s="457">
        <f>+FY14ProjRevenueToCollege!K68</f>
        <v>19370.78846152173</v>
      </c>
      <c r="L57" s="457">
        <f>+FY14ProjRevenueToCollege!L68</f>
        <v>0</v>
      </c>
      <c r="M57" s="457">
        <f>+FY14ProjRevenueToCollege!M68</f>
        <v>0</v>
      </c>
      <c r="N57" s="457">
        <f>+FY14ProjRevenueToCollege!N68</f>
        <v>1760.9807692292482</v>
      </c>
      <c r="O57" s="457">
        <f>+FY14ProjRevenueToCollege!O68</f>
        <v>0</v>
      </c>
      <c r="P57" s="457">
        <f>+FY14ProjRevenueToCollege!P68</f>
        <v>0</v>
      </c>
      <c r="Q57" s="457">
        <f>+FY14ProjRevenueToCollege!Q68</f>
        <v>1760.9807692292482</v>
      </c>
      <c r="R57" s="457">
        <f>+FY14ProjRevenueToCollege!R68</f>
        <v>0</v>
      </c>
      <c r="S57" s="457">
        <f>+FY14ProjRevenueToCollege!S68</f>
        <v>5282.9423076877447</v>
      </c>
      <c r="T57" s="457">
        <f t="shared" si="9"/>
        <v>2861593.7499975278</v>
      </c>
    </row>
    <row r="58" spans="1:20" s="18" customFormat="1" ht="20.100000000000001" customHeight="1">
      <c r="A58" s="404"/>
      <c r="B58" s="440" t="s">
        <v>206</v>
      </c>
      <c r="C58" s="410">
        <f>+FY14ProjRevenueToCollege!C69+FY14ProjRevenueToCollege!C70</f>
        <v>0</v>
      </c>
      <c r="D58" s="410">
        <f>+FY14ProjRevenueToCollege!D69+FY14ProjRevenueToCollege!D70</f>
        <v>17091.22528159578</v>
      </c>
      <c r="E58" s="410">
        <f>+FY14ProjRevenueToCollege!E69+FY14ProjRevenueToCollege!E70</f>
        <v>0</v>
      </c>
      <c r="F58" s="410">
        <f>+FY14ProjRevenueToCollege!F69+FY14ProjRevenueToCollege!F70</f>
        <v>3357513.9878885122</v>
      </c>
      <c r="G58" s="410">
        <f>+FY14ProjRevenueToCollege!G69+FY14ProjRevenueToCollege!G70</f>
        <v>0</v>
      </c>
      <c r="H58" s="410">
        <f>+FY14ProjRevenueToCollege!H69+FY14ProjRevenueToCollege!H70</f>
        <v>0</v>
      </c>
      <c r="I58" s="410">
        <f>+FY14ProjRevenueToCollege!I69+FY14ProjRevenueToCollege!I70</f>
        <v>0</v>
      </c>
      <c r="J58" s="410">
        <f>+FY14ProjRevenueToCollege!J69+FY14ProjRevenueToCollege!J70</f>
        <v>0</v>
      </c>
      <c r="K58" s="410">
        <f>+FY14ProjRevenueToCollege!K69+FY14ProjRevenueToCollege!K70</f>
        <v>10722.143023884513</v>
      </c>
      <c r="L58" s="410">
        <f>+FY14ProjRevenueToCollege!L69+FY14ProjRevenueToCollege!L70</f>
        <v>0</v>
      </c>
      <c r="M58" s="410">
        <f>+FY14ProjRevenueToCollege!M69+FY14ProjRevenueToCollege!M70</f>
        <v>0</v>
      </c>
      <c r="N58" s="410">
        <f>+FY14ProjRevenueToCollege!N69+FY14ProjRevenueToCollege!N70</f>
        <v>0</v>
      </c>
      <c r="O58" s="410">
        <f>+FY14ProjRevenueToCollege!O69+FY14ProjRevenueToCollege!O70</f>
        <v>12060.16303204621</v>
      </c>
      <c r="P58" s="410">
        <f>+FY14ProjRevenueToCollege!P69+FY14ProjRevenueToCollege!P70</f>
        <v>0</v>
      </c>
      <c r="Q58" s="410">
        <f>+FY14ProjRevenueToCollege!Q69+FY14ProjRevenueToCollege!Q70</f>
        <v>0</v>
      </c>
      <c r="R58" s="410">
        <f>+FY14ProjRevenueToCollege!R69+FY14ProjRevenueToCollege!R70</f>
        <v>0</v>
      </c>
      <c r="S58" s="410">
        <f>+FY14ProjRevenueToCollege!S69+FY14ProjRevenueToCollege!S70</f>
        <v>31158.418325884533</v>
      </c>
      <c r="T58" s="410">
        <f t="shared" si="9"/>
        <v>3428545.9375519231</v>
      </c>
    </row>
    <row r="59" spans="1:20" ht="20.100000000000001" customHeight="1">
      <c r="A59" s="404" t="s">
        <v>134</v>
      </c>
      <c r="B59" s="456" t="s">
        <v>40</v>
      </c>
      <c r="C59" s="457">
        <f>+FY14ProjRevenueToCollege!C71</f>
        <v>0</v>
      </c>
      <c r="D59" s="457">
        <f>+FY14ProjRevenueToCollege!D71</f>
        <v>7658.4708273919969</v>
      </c>
      <c r="E59" s="457">
        <f>+FY14ProjRevenueToCollege!E71</f>
        <v>0</v>
      </c>
      <c r="F59" s="457">
        <f>+FY14ProjRevenueToCollege!F71</f>
        <v>0</v>
      </c>
      <c r="G59" s="457">
        <f>+FY14ProjRevenueToCollege!G71</f>
        <v>0</v>
      </c>
      <c r="H59" s="457">
        <f>+FY14ProjRevenueToCollege!H71</f>
        <v>0</v>
      </c>
      <c r="I59" s="457">
        <f>+FY14ProjRevenueToCollege!I71</f>
        <v>26804.647895871989</v>
      </c>
      <c r="J59" s="457">
        <f>+FY14ProjRevenueToCollege!J71</f>
        <v>0</v>
      </c>
      <c r="K59" s="457">
        <f>+FY14ProjRevenueToCollege!K71</f>
        <v>0</v>
      </c>
      <c r="L59" s="457">
        <f>+FY14ProjRevenueToCollege!L71</f>
        <v>0</v>
      </c>
      <c r="M59" s="457">
        <f>+FY14ProjRevenueToCollege!M71</f>
        <v>0</v>
      </c>
      <c r="N59" s="457">
        <f>+FY14ProjRevenueToCollege!N71</f>
        <v>0</v>
      </c>
      <c r="O59" s="457">
        <f>+FY14ProjRevenueToCollege!O71</f>
        <v>0</v>
      </c>
      <c r="P59" s="457">
        <f>+FY14ProjRevenueToCollege!P71</f>
        <v>0</v>
      </c>
      <c r="Q59" s="457">
        <f>+FY14ProjRevenueToCollege!Q71</f>
        <v>0</v>
      </c>
      <c r="R59" s="457">
        <f>+FY14ProjRevenueToCollege!R71</f>
        <v>0</v>
      </c>
      <c r="S59" s="457">
        <f>+FY14ProjRevenueToCollege!S71</f>
        <v>0</v>
      </c>
      <c r="T59" s="457">
        <f t="shared" si="9"/>
        <v>34463.118723263986</v>
      </c>
    </row>
    <row r="60" spans="1:20" s="18" customFormat="1" ht="20.100000000000001" customHeight="1">
      <c r="A60" s="404" t="s">
        <v>135</v>
      </c>
      <c r="B60" s="440" t="s">
        <v>70</v>
      </c>
      <c r="C60" s="410">
        <f>+FY14ProjRevenueToCollege!C72</f>
        <v>0</v>
      </c>
      <c r="D60" s="410">
        <f>+FY14ProjRevenueToCollege!D72</f>
        <v>18341.762104214395</v>
      </c>
      <c r="E60" s="410">
        <f>+FY14ProjRevenueToCollege!E72</f>
        <v>0</v>
      </c>
      <c r="F60" s="410">
        <f>+FY14ProjRevenueToCollege!F72</f>
        <v>0</v>
      </c>
      <c r="G60" s="410">
        <f>+FY14ProjRevenueToCollege!G72</f>
        <v>0</v>
      </c>
      <c r="H60" s="410">
        <f>+FY14ProjRevenueToCollege!H72</f>
        <v>0</v>
      </c>
      <c r="I60" s="410">
        <f>+FY14ProjRevenueToCollege!I72</f>
        <v>0</v>
      </c>
      <c r="J60" s="410">
        <f>+FY14ProjRevenueToCollege!J72</f>
        <v>0</v>
      </c>
      <c r="K60" s="410">
        <f>+FY14ProjRevenueToCollege!K72</f>
        <v>31443.020750081821</v>
      </c>
      <c r="L60" s="410">
        <f>+FY14ProjRevenueToCollege!L72</f>
        <v>1959948.293421767</v>
      </c>
      <c r="M60" s="410">
        <f>+FY14ProjRevenueToCollege!M72</f>
        <v>0</v>
      </c>
      <c r="N60" s="410">
        <f>+FY14ProjRevenueToCollege!N72</f>
        <v>10481.006916693941</v>
      </c>
      <c r="O60" s="410">
        <f>+FY14ProjRevenueToCollege!O72</f>
        <v>0</v>
      </c>
      <c r="P60" s="410">
        <f>+FY14ProjRevenueToCollege!P72</f>
        <v>0</v>
      </c>
      <c r="Q60" s="410">
        <f>+FY14ProjRevenueToCollege!Q72</f>
        <v>18341.762104214391</v>
      </c>
      <c r="R60" s="410">
        <f>+FY14ProjRevenueToCollege!R72</f>
        <v>0</v>
      </c>
      <c r="S60" s="410">
        <f>+FY14ProjRevenueToCollege!S72</f>
        <v>0</v>
      </c>
      <c r="T60" s="410">
        <f t="shared" si="9"/>
        <v>2038555.8452969715</v>
      </c>
    </row>
    <row r="61" spans="1:20" ht="20.100000000000001" customHeight="1">
      <c r="A61" s="404" t="s">
        <v>136</v>
      </c>
      <c r="B61" s="456" t="s">
        <v>144</v>
      </c>
      <c r="C61" s="457">
        <f>+FY14ProjRevenueToCollege!C73</f>
        <v>0</v>
      </c>
      <c r="D61" s="457">
        <f>+FY14ProjRevenueToCollege!D73</f>
        <v>0</v>
      </c>
      <c r="E61" s="457">
        <f>+FY14ProjRevenueToCollege!E73</f>
        <v>0</v>
      </c>
      <c r="F61" s="457">
        <f>+FY14ProjRevenueToCollege!F73</f>
        <v>0</v>
      </c>
      <c r="G61" s="457">
        <f>+FY14ProjRevenueToCollege!G73</f>
        <v>0</v>
      </c>
      <c r="H61" s="457">
        <f>+FY14ProjRevenueToCollege!H73</f>
        <v>4056.0906966792968</v>
      </c>
      <c r="I61" s="457">
        <f>+FY14ProjRevenueToCollege!I73</f>
        <v>0</v>
      </c>
      <c r="J61" s="457">
        <f>+FY14ProjRevenueToCollege!J73</f>
        <v>0</v>
      </c>
      <c r="K61" s="457">
        <f>+FY14ProjRevenueToCollege!K73</f>
        <v>0</v>
      </c>
      <c r="L61" s="457">
        <f>+FY14ProjRevenueToCollege!L73</f>
        <v>0</v>
      </c>
      <c r="M61" s="457">
        <f>+FY14ProjRevenueToCollege!M73</f>
        <v>0</v>
      </c>
      <c r="N61" s="457">
        <f>+FY14ProjRevenueToCollege!N73</f>
        <v>36504.816270113675</v>
      </c>
      <c r="O61" s="457">
        <f>+FY14ProjRevenueToCollege!O73</f>
        <v>0</v>
      </c>
      <c r="P61" s="457">
        <f>+FY14ProjRevenueToCollege!P73</f>
        <v>0</v>
      </c>
      <c r="Q61" s="457">
        <f>+FY14ProjRevenueToCollege!Q73</f>
        <v>1977344.2146311572</v>
      </c>
      <c r="R61" s="457">
        <f>+FY14ProjRevenueToCollege!R73</f>
        <v>0</v>
      </c>
      <c r="S61" s="457">
        <f>+FY14ProjRevenueToCollege!S73</f>
        <v>4056.0906966792968</v>
      </c>
      <c r="T61" s="457">
        <f t="shared" si="9"/>
        <v>2021961.2122946293</v>
      </c>
    </row>
    <row r="62" spans="1:20" s="18" customFormat="1" ht="20.100000000000001" customHeight="1">
      <c r="A62" s="404" t="s">
        <v>137</v>
      </c>
      <c r="B62" s="440" t="s">
        <v>49</v>
      </c>
      <c r="C62" s="410">
        <f>+FY14ProjRevenueToCollege!C74</f>
        <v>4694.7581413750204</v>
      </c>
      <c r="D62" s="410">
        <f>+FY14ProjRevenueToCollege!D74</f>
        <v>18779.032565500082</v>
      </c>
      <c r="E62" s="410">
        <f>+FY14ProjRevenueToCollege!E74</f>
        <v>0</v>
      </c>
      <c r="F62" s="410">
        <f>+FY14ProjRevenueToCollege!F74</f>
        <v>0</v>
      </c>
      <c r="G62" s="410">
        <f>+FY14ProjRevenueToCollege!G74</f>
        <v>4694.7581413750204</v>
      </c>
      <c r="H62" s="410">
        <f>+FY14ProjRevenueToCollege!H74</f>
        <v>0</v>
      </c>
      <c r="I62" s="410">
        <f>+FY14ProjRevenueToCollege!I74</f>
        <v>0</v>
      </c>
      <c r="J62" s="410">
        <f>+FY14ProjRevenueToCollege!J74</f>
        <v>0</v>
      </c>
      <c r="K62" s="410">
        <f>+FY14ProjRevenueToCollege!K74</f>
        <v>9389.5162827500408</v>
      </c>
      <c r="L62" s="410">
        <f>+FY14ProjRevenueToCollege!L74</f>
        <v>14084.274424125062</v>
      </c>
      <c r="M62" s="410">
        <f>+FY14ProjRevenueToCollege!M74</f>
        <v>4694.7581413750204</v>
      </c>
      <c r="N62" s="410">
        <f>+FY14ProjRevenueToCollege!N74</f>
        <v>161186.69618720908</v>
      </c>
      <c r="O62" s="410">
        <f>+FY14ProjRevenueToCollege!O74</f>
        <v>4694.7581413750204</v>
      </c>
      <c r="P62" s="410">
        <f>+FY14ProjRevenueToCollege!P74</f>
        <v>0</v>
      </c>
      <c r="Q62" s="410">
        <f>+FY14ProjRevenueToCollege!Q74</f>
        <v>735512.10881541984</v>
      </c>
      <c r="R62" s="410">
        <f>+FY14ProjRevenueToCollege!R74</f>
        <v>0</v>
      </c>
      <c r="S62" s="410">
        <f>+FY14ProjRevenueToCollege!S74</f>
        <v>14084.274424125062</v>
      </c>
      <c r="T62" s="410">
        <f t="shared" si="9"/>
        <v>971814.93526462931</v>
      </c>
    </row>
    <row r="63" spans="1:20" ht="20.100000000000001" customHeight="1">
      <c r="A63" s="404"/>
      <c r="B63" s="456" t="s">
        <v>207</v>
      </c>
      <c r="C63" s="457">
        <f>+FY14ProjRevenueToCollege!C75+FY14ProjRevenueToCollege!C76</f>
        <v>2446274.719969701</v>
      </c>
      <c r="D63" s="457">
        <f>+FY14ProjRevenueToCollege!D75+FY14ProjRevenueToCollege!D76</f>
        <v>11579.637000916491</v>
      </c>
      <c r="E63" s="457">
        <f>+FY14ProjRevenueToCollege!E75+FY14ProjRevenueToCollege!E76</f>
        <v>6947.7822005498956</v>
      </c>
      <c r="F63" s="457">
        <f>+FY14ProjRevenueToCollege!F75+FY14ProjRevenueToCollege!F76</f>
        <v>0</v>
      </c>
      <c r="G63" s="457">
        <f>+FY14ProjRevenueToCollege!G75+FY14ProjRevenueToCollege!G76</f>
        <v>11579.637000916493</v>
      </c>
      <c r="H63" s="457">
        <f>+FY14ProjRevenueToCollege!H75+FY14ProjRevenueToCollege!H76</f>
        <v>11579.637000916491</v>
      </c>
      <c r="I63" s="457">
        <f>+FY14ProjRevenueToCollege!I75+FY14ProjRevenueToCollege!I76</f>
        <v>0</v>
      </c>
      <c r="J63" s="457">
        <f>+FY14ProjRevenueToCollege!J75+FY14ProjRevenueToCollege!J76</f>
        <v>0</v>
      </c>
      <c r="K63" s="457">
        <f>+FY14ProjRevenueToCollege!K75+FY14ProjRevenueToCollege!K76</f>
        <v>34738.911002749475</v>
      </c>
      <c r="L63" s="457">
        <f>+FY14ProjRevenueToCollege!L75+FY14ProjRevenueToCollege!L76</f>
        <v>0</v>
      </c>
      <c r="M63" s="457">
        <f>+FY14ProjRevenueToCollege!M75+FY14ProjRevenueToCollege!M76</f>
        <v>0</v>
      </c>
      <c r="N63" s="457">
        <f>+FY14ProjRevenueToCollege!N75+FY14ProjRevenueToCollege!N76</f>
        <v>2315.9274001832982</v>
      </c>
      <c r="O63" s="457">
        <f>+FY14ProjRevenueToCollege!O75+FY14ProjRevenueToCollege!O76</f>
        <v>0</v>
      </c>
      <c r="P63" s="457">
        <f>+FY14ProjRevenueToCollege!P75+FY14ProjRevenueToCollege!P76</f>
        <v>0</v>
      </c>
      <c r="Q63" s="457">
        <f>+FY14ProjRevenueToCollege!Q75+FY14ProjRevenueToCollege!Q76</f>
        <v>2315.9274001832982</v>
      </c>
      <c r="R63" s="457">
        <f>+FY14ProjRevenueToCollege!R75+FY14ProjRevenueToCollege!R76</f>
        <v>0</v>
      </c>
      <c r="S63" s="457">
        <f>+FY14ProjRevenueToCollege!S75+FY14ProjRevenueToCollege!S76</f>
        <v>96911.969317305106</v>
      </c>
      <c r="T63" s="457">
        <f t="shared" si="9"/>
        <v>2624244.1482934216</v>
      </c>
    </row>
    <row r="64" spans="1:20" s="18" customFormat="1" ht="20.100000000000001" customHeight="1">
      <c r="A64" s="404"/>
      <c r="B64" s="440" t="s">
        <v>208</v>
      </c>
      <c r="C64" s="410">
        <f>+FY14ProjRevenueToCollege!C77+FY14ProjRevenueToCollege!C78+FY14ProjRevenueToCollege!C79</f>
        <v>0</v>
      </c>
      <c r="D64" s="410">
        <f>+FY14ProjRevenueToCollege!D77+FY14ProjRevenueToCollege!D78+FY14ProjRevenueToCollege!D79</f>
        <v>0</v>
      </c>
      <c r="E64" s="410">
        <f>+FY14ProjRevenueToCollege!E77+FY14ProjRevenueToCollege!E78+FY14ProjRevenueToCollege!E79</f>
        <v>0</v>
      </c>
      <c r="F64" s="410">
        <f>+FY14ProjRevenueToCollege!F77+FY14ProjRevenueToCollege!F78+FY14ProjRevenueToCollege!F79</f>
        <v>0</v>
      </c>
      <c r="G64" s="410">
        <f>+FY14ProjRevenueToCollege!G77+FY14ProjRevenueToCollege!G78+FY14ProjRevenueToCollege!G79</f>
        <v>275958.48551039997</v>
      </c>
      <c r="H64" s="410">
        <f>+FY14ProjRevenueToCollege!H77+FY14ProjRevenueToCollege!H78+FY14ProjRevenueToCollege!H79</f>
        <v>0</v>
      </c>
      <c r="I64" s="410">
        <f>+FY14ProjRevenueToCollege!I77+FY14ProjRevenueToCollege!I78+FY14ProjRevenueToCollege!I79</f>
        <v>0</v>
      </c>
      <c r="J64" s="410">
        <f>+FY14ProjRevenueToCollege!J77+FY14ProjRevenueToCollege!J78+FY14ProjRevenueToCollege!J79</f>
        <v>0</v>
      </c>
      <c r="K64" s="410">
        <f>+FY14ProjRevenueToCollege!K77+FY14ProjRevenueToCollege!K78+FY14ProjRevenueToCollege!K79</f>
        <v>0</v>
      </c>
      <c r="L64" s="410">
        <f>+FY14ProjRevenueToCollege!L77+FY14ProjRevenueToCollege!L78+FY14ProjRevenueToCollege!L79</f>
        <v>0</v>
      </c>
      <c r="M64" s="410">
        <f>+FY14ProjRevenueToCollege!M77+FY14ProjRevenueToCollege!M78+FY14ProjRevenueToCollege!M79</f>
        <v>0</v>
      </c>
      <c r="N64" s="410">
        <f>+FY14ProjRevenueToCollege!N77+FY14ProjRevenueToCollege!N78+FY14ProjRevenueToCollege!N79</f>
        <v>0</v>
      </c>
      <c r="O64" s="410">
        <f>+FY14ProjRevenueToCollege!O77+FY14ProjRevenueToCollege!O78+FY14ProjRevenueToCollege!O79</f>
        <v>0</v>
      </c>
      <c r="P64" s="410">
        <f>+FY14ProjRevenueToCollege!P77+FY14ProjRevenueToCollege!P78+FY14ProjRevenueToCollege!P79</f>
        <v>0</v>
      </c>
      <c r="Q64" s="410">
        <f>+FY14ProjRevenueToCollege!Q77+FY14ProjRevenueToCollege!Q78+FY14ProjRevenueToCollege!Q79</f>
        <v>0</v>
      </c>
      <c r="R64" s="410">
        <f>+FY14ProjRevenueToCollege!R77+FY14ProjRevenueToCollege!R78+FY14ProjRevenueToCollege!R79</f>
        <v>0</v>
      </c>
      <c r="S64" s="410">
        <f>+FY14ProjRevenueToCollege!S77+FY14ProjRevenueToCollege!S78+FY14ProjRevenueToCollege!S79</f>
        <v>0</v>
      </c>
      <c r="T64" s="410">
        <f t="shared" si="9"/>
        <v>275958.48551039997</v>
      </c>
    </row>
    <row r="65" spans="1:20" ht="20.100000000000001" customHeight="1">
      <c r="A65" s="404"/>
      <c r="B65" s="456" t="s">
        <v>39</v>
      </c>
      <c r="C65" s="457">
        <f>+FY14ProjRevenueToCollege!C80+FY14ProjRevenueToCollege!C81</f>
        <v>54625.288234542691</v>
      </c>
      <c r="D65" s="457">
        <f>+FY14ProjRevenueToCollege!D80+FY14ProjRevenueToCollege!D81</f>
        <v>312144.50419738679</v>
      </c>
      <c r="E65" s="457">
        <f>+FY14ProjRevenueToCollege!E80+FY14ProjRevenueToCollege!E81</f>
        <v>0</v>
      </c>
      <c r="F65" s="457">
        <f>+FY14ProjRevenueToCollege!F80+FY14ProjRevenueToCollege!F81</f>
        <v>2601.2042016448904</v>
      </c>
      <c r="G65" s="457">
        <f>+FY14ProjRevenueToCollege!G80+FY14ProjRevenueToCollege!G81</f>
        <v>0</v>
      </c>
      <c r="H65" s="457">
        <f>+FY14ProjRevenueToCollege!H80+FY14ProjRevenueToCollege!H81</f>
        <v>145667.43529211383</v>
      </c>
      <c r="I65" s="457">
        <f>+FY14ProjRevenueToCollege!I80+FY14ProjRevenueToCollege!I81</f>
        <v>23410.837814804014</v>
      </c>
      <c r="J65" s="457">
        <f>+FY14ProjRevenueToCollege!J80+FY14ProjRevenueToCollege!J81</f>
        <v>0</v>
      </c>
      <c r="K65" s="457">
        <f>+FY14ProjRevenueToCollege!K80+FY14ProjRevenueToCollege!K81</f>
        <v>2952283.3260110239</v>
      </c>
      <c r="L65" s="457">
        <f>+FY14ProjRevenueToCollege!L80+FY14ProjRevenueToCollege!L81</f>
        <v>7803.6126049346703</v>
      </c>
      <c r="M65" s="457">
        <f>+FY14ProjRevenueToCollege!M80+FY14ProjRevenueToCollege!M81</f>
        <v>0</v>
      </c>
      <c r="N65" s="457">
        <f>+FY14ProjRevenueToCollege!N80+FY14ProjRevenueToCollege!N81</f>
        <v>2601.2042016448904</v>
      </c>
      <c r="O65" s="457">
        <f>+FY14ProjRevenueToCollege!O80+FY14ProjRevenueToCollege!O81</f>
        <v>0</v>
      </c>
      <c r="P65" s="457">
        <f>+FY14ProjRevenueToCollege!P80+FY14ProjRevenueToCollege!P81</f>
        <v>0</v>
      </c>
      <c r="Q65" s="457">
        <f>+FY14ProjRevenueToCollege!Q80+FY14ProjRevenueToCollege!Q81</f>
        <v>52024.084032897801</v>
      </c>
      <c r="R65" s="457">
        <f>+FY14ProjRevenueToCollege!R80+FY14ProjRevenueToCollege!R81</f>
        <v>0</v>
      </c>
      <c r="S65" s="457">
        <f>+FY14ProjRevenueToCollege!S80+FY14ProjRevenueToCollege!S81</f>
        <v>0</v>
      </c>
      <c r="T65" s="457">
        <f t="shared" si="9"/>
        <v>3553161.4965909934</v>
      </c>
    </row>
    <row r="66" spans="1:20" s="18" customFormat="1" ht="20.100000000000001" customHeight="1">
      <c r="A66" s="404" t="s">
        <v>149</v>
      </c>
      <c r="B66" s="440" t="s">
        <v>38</v>
      </c>
      <c r="C66" s="410">
        <f>+FY14ProjRevenueToCollege!C82</f>
        <v>0</v>
      </c>
      <c r="D66" s="410">
        <f>+FY14ProjRevenueToCollege!D82</f>
        <v>31087.344359824863</v>
      </c>
      <c r="E66" s="410">
        <f>+FY14ProjRevenueToCollege!E82</f>
        <v>2886681.9762694519</v>
      </c>
      <c r="F66" s="410">
        <f>+FY14ProjRevenueToCollege!F82</f>
        <v>0</v>
      </c>
      <c r="G66" s="410">
        <f>+FY14ProjRevenueToCollege!G82</f>
        <v>0</v>
      </c>
      <c r="H66" s="410">
        <f>+FY14ProjRevenueToCollege!H82</f>
        <v>8882.09838852139</v>
      </c>
      <c r="I66" s="410">
        <f>+FY14ProjRevenueToCollege!I82</f>
        <v>0</v>
      </c>
      <c r="J66" s="410">
        <f>+FY14ProjRevenueToCollege!J82</f>
        <v>26646.29516556417</v>
      </c>
      <c r="K66" s="410">
        <f>+FY14ProjRevenueToCollege!K82</f>
        <v>39969.44274834625</v>
      </c>
      <c r="L66" s="410">
        <f>+FY14ProjRevenueToCollege!L82</f>
        <v>0</v>
      </c>
      <c r="M66" s="410">
        <f>+FY14ProjRevenueToCollege!M82</f>
        <v>0</v>
      </c>
      <c r="N66" s="410">
        <f>+FY14ProjRevenueToCollege!N82</f>
        <v>0</v>
      </c>
      <c r="O66" s="410">
        <f>+FY14ProjRevenueToCollege!O82</f>
        <v>0</v>
      </c>
      <c r="P66" s="410">
        <f>+FY14ProjRevenueToCollege!P82</f>
        <v>0</v>
      </c>
      <c r="Q66" s="410">
        <f>+FY14ProjRevenueToCollege!Q82</f>
        <v>13323.147582782085</v>
      </c>
      <c r="R66" s="410">
        <f>+FY14ProjRevenueToCollege!R82</f>
        <v>0</v>
      </c>
      <c r="S66" s="410">
        <f>+FY14ProjRevenueToCollege!S82</f>
        <v>13323.147582782085</v>
      </c>
      <c r="T66" s="410">
        <f t="shared" si="9"/>
        <v>3019913.452097273</v>
      </c>
    </row>
    <row r="67" spans="1:20" ht="20.100000000000001" customHeight="1">
      <c r="A67" s="404" t="s">
        <v>150</v>
      </c>
      <c r="B67" s="456" t="s">
        <v>31</v>
      </c>
      <c r="C67" s="457">
        <f>+FY14ProjRevenueToCollege!C83</f>
        <v>15224.228982938517</v>
      </c>
      <c r="D67" s="457">
        <f>+FY14ProjRevenueToCollege!D83</f>
        <v>45672.68694881555</v>
      </c>
      <c r="E67" s="457">
        <f>+FY14ProjRevenueToCollege!E83</f>
        <v>60896.915931754069</v>
      </c>
      <c r="F67" s="457">
        <f>+FY14ProjRevenueToCollege!F83</f>
        <v>0</v>
      </c>
      <c r="G67" s="457">
        <f>+FY14ProjRevenueToCollege!G83</f>
        <v>20298.971977251356</v>
      </c>
      <c r="H67" s="457">
        <f>+FY14ProjRevenueToCollege!H83</f>
        <v>10149.485988625678</v>
      </c>
      <c r="I67" s="457">
        <f>+FY14ProjRevenueToCollege!I83</f>
        <v>15224.228982938517</v>
      </c>
      <c r="J67" s="457">
        <f>+FY14ProjRevenueToCollege!J83</f>
        <v>8368251.1976218717</v>
      </c>
      <c r="K67" s="457">
        <f>+FY14ProjRevenueToCollege!K83</f>
        <v>25373.714971564197</v>
      </c>
      <c r="L67" s="457">
        <f>+FY14ProjRevenueToCollege!L83</f>
        <v>0</v>
      </c>
      <c r="M67" s="457">
        <f>+FY14ProjRevenueToCollege!M83</f>
        <v>0</v>
      </c>
      <c r="N67" s="457">
        <f>+FY14ProjRevenueToCollege!N83</f>
        <v>15224.228982938517</v>
      </c>
      <c r="O67" s="457">
        <f>+FY14ProjRevenueToCollege!O83</f>
        <v>0</v>
      </c>
      <c r="P67" s="457">
        <f>+FY14ProjRevenueToCollege!P83</f>
        <v>0</v>
      </c>
      <c r="Q67" s="457">
        <f>+FY14ProjRevenueToCollege!Q83</f>
        <v>30448.457965877034</v>
      </c>
      <c r="R67" s="457">
        <f>+FY14ProjRevenueToCollege!R83</f>
        <v>0</v>
      </c>
      <c r="S67" s="457">
        <f>+FY14ProjRevenueToCollege!S83</f>
        <v>0</v>
      </c>
      <c r="T67" s="457">
        <f t="shared" si="9"/>
        <v>8606764.1183545757</v>
      </c>
    </row>
    <row r="68" spans="1:20" s="18" customFormat="1" ht="20.100000000000001" customHeight="1">
      <c r="A68" s="404"/>
      <c r="B68" s="440" t="s">
        <v>209</v>
      </c>
      <c r="C68" s="410">
        <f>+FY14ProjRevenueToCollege!C84+FY14ProjRevenueToCollege!C85</f>
        <v>0</v>
      </c>
      <c r="D68" s="410">
        <f>+FY14ProjRevenueToCollege!D84+FY14ProjRevenueToCollege!D85</f>
        <v>16579.144151677719</v>
      </c>
      <c r="E68" s="410">
        <f>+FY14ProjRevenueToCollege!E84+FY14ProjRevenueToCollege!E85</f>
        <v>0</v>
      </c>
      <c r="F68" s="410">
        <f>+FY14ProjRevenueToCollege!F84+FY14ProjRevenueToCollege!F85</f>
        <v>0</v>
      </c>
      <c r="G68" s="410">
        <f>+FY14ProjRevenueToCollege!G84+FY14ProjRevenueToCollege!G85</f>
        <v>0</v>
      </c>
      <c r="H68" s="410">
        <f>+FY14ProjRevenueToCollege!H84+FY14ProjRevenueToCollege!H85</f>
        <v>0</v>
      </c>
      <c r="I68" s="410">
        <f>+FY14ProjRevenueToCollege!I84+FY14ProjRevenueToCollege!I85</f>
        <v>0</v>
      </c>
      <c r="J68" s="410">
        <f>+FY14ProjRevenueToCollege!J84+FY14ProjRevenueToCollege!J85</f>
        <v>753676.23538691644</v>
      </c>
      <c r="K68" s="410">
        <f>+FY14ProjRevenueToCollege!K84+FY14ProjRevenueToCollege!K85</f>
        <v>0</v>
      </c>
      <c r="L68" s="410">
        <f>+FY14ProjRevenueToCollege!L84+FY14ProjRevenueToCollege!L85</f>
        <v>0</v>
      </c>
      <c r="M68" s="410">
        <f>+FY14ProjRevenueToCollege!M84+FY14ProjRevenueToCollege!M85</f>
        <v>0</v>
      </c>
      <c r="N68" s="410">
        <f>+FY14ProjRevenueToCollege!N84+FY14ProjRevenueToCollege!N85</f>
        <v>0</v>
      </c>
      <c r="O68" s="410">
        <f>+FY14ProjRevenueToCollege!O84+FY14ProjRevenueToCollege!O85</f>
        <v>0</v>
      </c>
      <c r="P68" s="410">
        <f>+FY14ProjRevenueToCollege!P84+FY14ProjRevenueToCollege!P85</f>
        <v>0</v>
      </c>
      <c r="Q68" s="410">
        <f>+FY14ProjRevenueToCollege!Q84+FY14ProjRevenueToCollege!Q85</f>
        <v>0</v>
      </c>
      <c r="R68" s="410">
        <f>+FY14ProjRevenueToCollege!R84+FY14ProjRevenueToCollege!R85</f>
        <v>0</v>
      </c>
      <c r="S68" s="410">
        <f>+FY14ProjRevenueToCollege!S84+FY14ProjRevenueToCollege!S85</f>
        <v>0</v>
      </c>
      <c r="T68" s="410">
        <f t="shared" si="9"/>
        <v>770255.37953859416</v>
      </c>
    </row>
    <row r="69" spans="1:20" ht="20.100000000000001" customHeight="1">
      <c r="A69" s="404" t="s">
        <v>153</v>
      </c>
      <c r="B69" s="456" t="s">
        <v>210</v>
      </c>
      <c r="C69" s="457">
        <f>+FY14ProjRevenueToCollege!C86</f>
        <v>0</v>
      </c>
      <c r="D69" s="457">
        <f>+FY14ProjRevenueToCollege!D86</f>
        <v>6232.2172793678828</v>
      </c>
      <c r="E69" s="457">
        <f>+FY14ProjRevenueToCollege!E86</f>
        <v>0</v>
      </c>
      <c r="F69" s="457">
        <f>+FY14ProjRevenueToCollege!F86</f>
        <v>0</v>
      </c>
      <c r="G69" s="457">
        <f>+FY14ProjRevenueToCollege!G86</f>
        <v>0</v>
      </c>
      <c r="H69" s="457">
        <f>+FY14ProjRevenueToCollege!H86</f>
        <v>0</v>
      </c>
      <c r="I69" s="457">
        <f>+FY14ProjRevenueToCollege!I86</f>
        <v>0</v>
      </c>
      <c r="J69" s="457">
        <f>+FY14ProjRevenueToCollege!J86</f>
        <v>0</v>
      </c>
      <c r="K69" s="457">
        <f>+FY14ProjRevenueToCollege!K86</f>
        <v>6232.2172793678828</v>
      </c>
      <c r="L69" s="457">
        <f>+FY14ProjRevenueToCollege!L86</f>
        <v>0</v>
      </c>
      <c r="M69" s="457">
        <f>+FY14ProjRevenueToCollege!M86</f>
        <v>0</v>
      </c>
      <c r="N69" s="457">
        <f>+FY14ProjRevenueToCollege!N86</f>
        <v>9348.3259190518238</v>
      </c>
      <c r="O69" s="457">
        <f>+FY14ProjRevenueToCollege!O86</f>
        <v>878742.63639087148</v>
      </c>
      <c r="P69" s="457">
        <f>+FY14ProjRevenueToCollege!P86</f>
        <v>0</v>
      </c>
      <c r="Q69" s="457">
        <f>+FY14ProjRevenueToCollege!Q86</f>
        <v>21812.760477787589</v>
      </c>
      <c r="R69" s="457">
        <f>+FY14ProjRevenueToCollege!R86</f>
        <v>0</v>
      </c>
      <c r="S69" s="457">
        <f>+FY14ProjRevenueToCollege!S86</f>
        <v>0</v>
      </c>
      <c r="T69" s="457">
        <f t="shared" si="9"/>
        <v>922368.15734644665</v>
      </c>
    </row>
    <row r="70" spans="1:20" s="18" customFormat="1" ht="20.100000000000001" customHeight="1">
      <c r="A70" s="404" t="s">
        <v>155</v>
      </c>
      <c r="B70" s="440" t="s">
        <v>42</v>
      </c>
      <c r="C70" s="410">
        <f>+FY14ProjRevenueToCollege!C87</f>
        <v>0</v>
      </c>
      <c r="D70" s="410">
        <f>+FY14ProjRevenueToCollege!D87</f>
        <v>0</v>
      </c>
      <c r="E70" s="410">
        <f>+FY14ProjRevenueToCollege!E87</f>
        <v>0</v>
      </c>
      <c r="F70" s="410">
        <f>+FY14ProjRevenueToCollege!F87</f>
        <v>0</v>
      </c>
      <c r="G70" s="410">
        <f>+FY14ProjRevenueToCollege!G87</f>
        <v>0</v>
      </c>
      <c r="H70" s="410">
        <f>+FY14ProjRevenueToCollege!H87</f>
        <v>0</v>
      </c>
      <c r="I70" s="410">
        <f>+FY14ProjRevenueToCollege!I87</f>
        <v>0</v>
      </c>
      <c r="J70" s="410">
        <f>+FY14ProjRevenueToCollege!J87</f>
        <v>0</v>
      </c>
      <c r="K70" s="410">
        <f>+FY14ProjRevenueToCollege!K87</f>
        <v>0</v>
      </c>
      <c r="L70" s="410">
        <f>+FY14ProjRevenueToCollege!L87</f>
        <v>0</v>
      </c>
      <c r="M70" s="410">
        <f>+FY14ProjRevenueToCollege!M87</f>
        <v>0</v>
      </c>
      <c r="N70" s="410">
        <f>+FY14ProjRevenueToCollege!N87</f>
        <v>0</v>
      </c>
      <c r="O70" s="410">
        <f>+FY14ProjRevenueToCollege!O87</f>
        <v>0</v>
      </c>
      <c r="P70" s="410">
        <f>+FY14ProjRevenueToCollege!P87</f>
        <v>4690502.4552819654</v>
      </c>
      <c r="Q70" s="410">
        <f>+FY14ProjRevenueToCollege!Q87</f>
        <v>0</v>
      </c>
      <c r="R70" s="410">
        <f>+FY14ProjRevenueToCollege!R87</f>
        <v>0</v>
      </c>
      <c r="S70" s="410">
        <f>+FY14ProjRevenueToCollege!S87</f>
        <v>0</v>
      </c>
      <c r="T70" s="410">
        <f t="shared" si="9"/>
        <v>4690502.4552819654</v>
      </c>
    </row>
    <row r="71" spans="1:20" ht="20.100000000000001" customHeight="1">
      <c r="A71" s="404" t="s">
        <v>162</v>
      </c>
      <c r="B71" s="456" t="s">
        <v>76</v>
      </c>
      <c r="C71" s="457">
        <f>+FY14ProjRevenueToCollege!C88</f>
        <v>0</v>
      </c>
      <c r="D71" s="457">
        <f>+FY14ProjRevenueToCollege!D88</f>
        <v>0</v>
      </c>
      <c r="E71" s="457">
        <f>+FY14ProjRevenueToCollege!E88</f>
        <v>0</v>
      </c>
      <c r="F71" s="457">
        <f>+FY14ProjRevenueToCollege!F88</f>
        <v>0</v>
      </c>
      <c r="G71" s="457">
        <f>+FY14ProjRevenueToCollege!G88</f>
        <v>0</v>
      </c>
      <c r="H71" s="457">
        <f>+FY14ProjRevenueToCollege!H88</f>
        <v>0</v>
      </c>
      <c r="I71" s="457">
        <f>+FY14ProjRevenueToCollege!I88</f>
        <v>0</v>
      </c>
      <c r="J71" s="457">
        <f>+FY14ProjRevenueToCollege!J88</f>
        <v>0</v>
      </c>
      <c r="K71" s="457">
        <f>+FY14ProjRevenueToCollege!K88</f>
        <v>0</v>
      </c>
      <c r="L71" s="457">
        <f>+FY14ProjRevenueToCollege!L88</f>
        <v>0</v>
      </c>
      <c r="M71" s="457">
        <f>+FY14ProjRevenueToCollege!M88</f>
        <v>0</v>
      </c>
      <c r="N71" s="457">
        <f>+FY14ProjRevenueToCollege!N88</f>
        <v>10231539.9324298</v>
      </c>
      <c r="O71" s="457">
        <f>+FY14ProjRevenueToCollege!O88</f>
        <v>0</v>
      </c>
      <c r="P71" s="457">
        <f>+FY14ProjRevenueToCollege!P88</f>
        <v>0</v>
      </c>
      <c r="Q71" s="457">
        <f>+FY14ProjRevenueToCollege!Q88</f>
        <v>85691.289216329998</v>
      </c>
      <c r="R71" s="457">
        <f>+FY14ProjRevenueToCollege!R88</f>
        <v>0</v>
      </c>
      <c r="S71" s="457">
        <f>+FY14ProjRevenueToCollege!S88</f>
        <v>128536.93382449496</v>
      </c>
      <c r="T71" s="457">
        <f t="shared" si="9"/>
        <v>10445768.155470625</v>
      </c>
    </row>
    <row r="72" spans="1:20" s="18" customFormat="1" ht="20.100000000000001" customHeight="1">
      <c r="A72" s="404" t="s">
        <v>156</v>
      </c>
      <c r="B72" s="440" t="s">
        <v>77</v>
      </c>
      <c r="C72" s="410">
        <f>+FY14ProjRevenueToCollege!C89</f>
        <v>0</v>
      </c>
      <c r="D72" s="410">
        <f>+FY14ProjRevenueToCollege!D89</f>
        <v>0</v>
      </c>
      <c r="E72" s="410">
        <f>+FY14ProjRevenueToCollege!E89</f>
        <v>0</v>
      </c>
      <c r="F72" s="410">
        <f>+FY14ProjRevenueToCollege!F89</f>
        <v>0</v>
      </c>
      <c r="G72" s="410">
        <f>+FY14ProjRevenueToCollege!G89</f>
        <v>0</v>
      </c>
      <c r="H72" s="410">
        <f>+FY14ProjRevenueToCollege!H89</f>
        <v>0</v>
      </c>
      <c r="I72" s="410">
        <f>+FY14ProjRevenueToCollege!I89</f>
        <v>0</v>
      </c>
      <c r="J72" s="410">
        <f>+FY14ProjRevenueToCollege!J89</f>
        <v>0</v>
      </c>
      <c r="K72" s="410">
        <f>+FY14ProjRevenueToCollege!K89</f>
        <v>0</v>
      </c>
      <c r="L72" s="410">
        <f>+FY14ProjRevenueToCollege!L89</f>
        <v>0</v>
      </c>
      <c r="M72" s="410">
        <f>+FY14ProjRevenueToCollege!M89</f>
        <v>3949863.4515105523</v>
      </c>
      <c r="N72" s="410">
        <f>+FY14ProjRevenueToCollege!N89</f>
        <v>0</v>
      </c>
      <c r="O72" s="410">
        <f>+FY14ProjRevenueToCollege!O89</f>
        <v>0</v>
      </c>
      <c r="P72" s="410">
        <f>+FY14ProjRevenueToCollege!P89</f>
        <v>0</v>
      </c>
      <c r="Q72" s="410">
        <f>+FY14ProjRevenueToCollege!Q89</f>
        <v>0</v>
      </c>
      <c r="R72" s="410">
        <f>+FY14ProjRevenueToCollege!R89</f>
        <v>0</v>
      </c>
      <c r="S72" s="410">
        <f>+FY14ProjRevenueToCollege!S89</f>
        <v>0</v>
      </c>
      <c r="T72" s="410">
        <f t="shared" si="9"/>
        <v>3949863.4515105523</v>
      </c>
    </row>
    <row r="73" spans="1:20" ht="20.100000000000001" customHeight="1">
      <c r="A73" s="406" t="s">
        <v>163</v>
      </c>
      <c r="B73" s="458" t="s">
        <v>164</v>
      </c>
      <c r="C73" s="457">
        <f>+FY14ProjRevenueToCollege!C90</f>
        <v>0</v>
      </c>
      <c r="D73" s="457">
        <f>+FY14ProjRevenueToCollege!D90</f>
        <v>0</v>
      </c>
      <c r="E73" s="457">
        <f>+FY14ProjRevenueToCollege!E90</f>
        <v>0</v>
      </c>
      <c r="F73" s="457">
        <f>+FY14ProjRevenueToCollege!F90</f>
        <v>0</v>
      </c>
      <c r="G73" s="457">
        <f>+FY14ProjRevenueToCollege!G90</f>
        <v>0</v>
      </c>
      <c r="H73" s="457">
        <f>+FY14ProjRevenueToCollege!H90</f>
        <v>0</v>
      </c>
      <c r="I73" s="457">
        <f>+FY14ProjRevenueToCollege!I90</f>
        <v>0</v>
      </c>
      <c r="J73" s="457">
        <f>+FY14ProjRevenueToCollege!J90</f>
        <v>0</v>
      </c>
      <c r="K73" s="457">
        <f>+FY14ProjRevenueToCollege!K90</f>
        <v>0</v>
      </c>
      <c r="L73" s="457">
        <f>+FY14ProjRevenueToCollege!L90</f>
        <v>0</v>
      </c>
      <c r="M73" s="457">
        <f>+FY14ProjRevenueToCollege!M90</f>
        <v>663228.33900462335</v>
      </c>
      <c r="N73" s="457">
        <f>+FY14ProjRevenueToCollege!N90</f>
        <v>0</v>
      </c>
      <c r="O73" s="457">
        <f>+FY14ProjRevenueToCollege!O90</f>
        <v>0</v>
      </c>
      <c r="P73" s="457">
        <f>+FY14ProjRevenueToCollege!P90</f>
        <v>0</v>
      </c>
      <c r="Q73" s="457">
        <f>+FY14ProjRevenueToCollege!Q90</f>
        <v>0</v>
      </c>
      <c r="R73" s="457">
        <f>+FY14ProjRevenueToCollege!R90</f>
        <v>0</v>
      </c>
      <c r="S73" s="457">
        <f>+FY14ProjRevenueToCollege!S90</f>
        <v>0</v>
      </c>
      <c r="T73" s="457">
        <f t="shared" si="9"/>
        <v>663228.33900462335</v>
      </c>
    </row>
    <row r="74" spans="1:20" ht="20.100000000000001" customHeight="1">
      <c r="B74" s="459"/>
      <c r="C74" s="460">
        <f t="shared" ref="C74:S74" si="10">SUM(C53:C73)</f>
        <v>4020371.7789391512</v>
      </c>
      <c r="D74" s="460">
        <f t="shared" si="10"/>
        <v>74224415.977817342</v>
      </c>
      <c r="E74" s="460">
        <f t="shared" si="10"/>
        <v>13119339.953177612</v>
      </c>
      <c r="F74" s="460">
        <f t="shared" si="10"/>
        <v>4159685.7880191919</v>
      </c>
      <c r="G74" s="460">
        <f t="shared" si="10"/>
        <v>14917920.706274977</v>
      </c>
      <c r="H74" s="460">
        <f t="shared" si="10"/>
        <v>6005140.2451539738</v>
      </c>
      <c r="I74" s="460">
        <f t="shared" si="10"/>
        <v>1072079.7795904237</v>
      </c>
      <c r="J74" s="460">
        <f t="shared" si="10"/>
        <v>9172595.607281182</v>
      </c>
      <c r="K74" s="460">
        <f t="shared" si="10"/>
        <v>3222930.8171562646</v>
      </c>
      <c r="L74" s="460">
        <f t="shared" si="10"/>
        <v>2776738.7046625302</v>
      </c>
      <c r="M74" s="460">
        <f t="shared" si="10"/>
        <v>4617786.5486565512</v>
      </c>
      <c r="N74" s="460">
        <f t="shared" si="10"/>
        <v>14587320.96541377</v>
      </c>
      <c r="O74" s="460">
        <f t="shared" si="10"/>
        <v>2761141.9718141961</v>
      </c>
      <c r="P74" s="460">
        <f t="shared" si="10"/>
        <v>4904249.1073553609</v>
      </c>
      <c r="Q74" s="460">
        <f t="shared" si="10"/>
        <v>4807323.1072035981</v>
      </c>
      <c r="R74" s="460">
        <f t="shared" si="10"/>
        <v>475850.50899477501</v>
      </c>
      <c r="S74" s="460">
        <f t="shared" si="10"/>
        <v>2013278.7162400936</v>
      </c>
      <c r="T74" s="460">
        <f>SUM(T53:T73)</f>
        <v>166858170.28375101</v>
      </c>
    </row>
  </sheetData>
  <mergeCells count="5">
    <mergeCell ref="B1:F1"/>
    <mergeCell ref="B4:T4"/>
    <mergeCell ref="A2:A3"/>
    <mergeCell ref="B27:T27"/>
    <mergeCell ref="B51:T51"/>
  </mergeCells>
  <printOptions horizontalCentered="1"/>
  <pageMargins left="0.25" right="0.25" top="0.5" bottom="0.5" header="0.05" footer="0.05"/>
  <pageSetup paperSize="5" scale="58" orientation="landscape" r:id="rId1"/>
  <headerFooter>
    <oddFooter xml:space="preserve">&amp;L&amp;9&amp;Z&amp;F, &amp;A
Revised/Printed &amp;D, &amp;T&amp;R&amp;9Page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1"/>
  <sheetViews>
    <sheetView showGridLines="0" workbookViewId="0">
      <pane xSplit="2" ySplit="2" topLeftCell="C3" activePane="bottomRight" state="frozen"/>
      <selection sqref="A1:XFD1048576"/>
      <selection pane="topRight" sqref="A1:XFD1048576"/>
      <selection pane="bottomLeft" sqref="A1:XFD1048576"/>
      <selection pane="bottomRight" activeCell="E50" sqref="E50"/>
    </sheetView>
  </sheetViews>
  <sheetFormatPr defaultColWidth="8.85546875" defaultRowHeight="15.95" customHeight="1"/>
  <cols>
    <col min="1" max="1" width="8.85546875" style="32"/>
    <col min="2" max="2" width="41.85546875" style="32" customWidth="1"/>
    <col min="3" max="19" width="13.7109375" customWidth="1"/>
    <col min="20" max="24" width="12.7109375" customWidth="1"/>
    <col min="25" max="30" width="13.7109375" customWidth="1"/>
    <col min="31" max="31" width="24.42578125" customWidth="1"/>
    <col min="32" max="33" width="15.7109375" customWidth="1"/>
    <col min="35" max="35" width="12.7109375" bestFit="1" customWidth="1"/>
    <col min="36" max="36" width="11.140625" bestFit="1" customWidth="1"/>
    <col min="38" max="38" width="10.140625" bestFit="1" customWidth="1"/>
    <col min="40" max="40" width="14.7109375" customWidth="1"/>
  </cols>
  <sheetData>
    <row r="1" spans="1:20" s="32" customFormat="1" ht="15.95" customHeight="1">
      <c r="A1" s="69" t="s">
        <v>295</v>
      </c>
    </row>
    <row r="2" spans="1:20" ht="54" customHeight="1">
      <c r="A2" s="294"/>
      <c r="B2" s="295" t="s">
        <v>205</v>
      </c>
      <c r="C2" s="36" t="s">
        <v>0</v>
      </c>
      <c r="D2" s="39" t="s">
        <v>1</v>
      </c>
      <c r="E2" s="39" t="s">
        <v>6</v>
      </c>
      <c r="F2" s="42" t="s">
        <v>2</v>
      </c>
      <c r="G2" s="39" t="s">
        <v>3</v>
      </c>
      <c r="H2" s="39" t="s">
        <v>4</v>
      </c>
      <c r="I2" s="39" t="s">
        <v>14</v>
      </c>
      <c r="J2" s="39" t="s">
        <v>9</v>
      </c>
      <c r="K2" s="39" t="s">
        <v>5</v>
      </c>
      <c r="L2" s="39" t="s">
        <v>13</v>
      </c>
      <c r="M2" s="39" t="s">
        <v>8</v>
      </c>
      <c r="N2" s="39" t="s">
        <v>10</v>
      </c>
      <c r="O2" s="39" t="s">
        <v>11</v>
      </c>
      <c r="P2" s="39" t="s">
        <v>12</v>
      </c>
      <c r="Q2" s="39" t="s">
        <v>7</v>
      </c>
      <c r="R2" s="39" t="s">
        <v>16</v>
      </c>
      <c r="S2" s="44" t="s">
        <v>15</v>
      </c>
      <c r="T2" s="48" t="s">
        <v>34</v>
      </c>
    </row>
    <row r="3" spans="1:20" s="32" customFormat="1" ht="18.75" customHeight="1">
      <c r="A3" s="272"/>
      <c r="B3" s="293" t="s">
        <v>111</v>
      </c>
      <c r="C3" s="284">
        <v>252</v>
      </c>
      <c r="D3" s="44">
        <v>254</v>
      </c>
      <c r="E3" s="44">
        <v>256</v>
      </c>
      <c r="F3" s="285">
        <v>258</v>
      </c>
      <c r="G3" s="44">
        <v>260</v>
      </c>
      <c r="H3" s="44">
        <v>263</v>
      </c>
      <c r="I3" s="44">
        <v>267</v>
      </c>
      <c r="J3" s="44">
        <v>268</v>
      </c>
      <c r="K3" s="44">
        <v>270</v>
      </c>
      <c r="L3" s="44">
        <v>272</v>
      </c>
      <c r="M3" s="44">
        <v>302</v>
      </c>
      <c r="N3" s="44">
        <v>304</v>
      </c>
      <c r="O3" s="44">
        <v>306</v>
      </c>
      <c r="P3" s="44">
        <v>308</v>
      </c>
      <c r="Q3" s="44">
        <v>310</v>
      </c>
      <c r="R3" s="44">
        <v>282</v>
      </c>
      <c r="S3" s="44">
        <v>266</v>
      </c>
      <c r="T3" s="278"/>
    </row>
    <row r="4" spans="1:20" ht="18" customHeight="1">
      <c r="A4" s="287" t="s">
        <v>128</v>
      </c>
      <c r="B4" s="434" t="s">
        <v>21</v>
      </c>
      <c r="C4" s="203">
        <f>+C34+C64</f>
        <v>3801600.513811653</v>
      </c>
      <c r="D4" s="203">
        <f t="shared" ref="D4:S4" si="0">+D34+D64</f>
        <v>167989259.9740105</v>
      </c>
      <c r="E4" s="203">
        <f t="shared" si="0"/>
        <v>19314951.339711443</v>
      </c>
      <c r="F4" s="203">
        <f t="shared" si="0"/>
        <v>2680062.6880787932</v>
      </c>
      <c r="G4" s="203">
        <f t="shared" si="0"/>
        <v>20963366.846452162</v>
      </c>
      <c r="H4" s="203">
        <f t="shared" si="0"/>
        <v>11444134.204088736</v>
      </c>
      <c r="I4" s="203">
        <f t="shared" si="0"/>
        <v>2346385.558634473</v>
      </c>
      <c r="J4" s="203">
        <f t="shared" si="0"/>
        <v>6269.6216206896434</v>
      </c>
      <c r="K4" s="203">
        <f t="shared" si="0"/>
        <v>11771.534471498922</v>
      </c>
      <c r="L4" s="203">
        <f t="shared" si="0"/>
        <v>988688.71411545319</v>
      </c>
      <c r="M4" s="203">
        <f t="shared" si="0"/>
        <v>12539.243241379287</v>
      </c>
      <c r="N4" s="203">
        <f t="shared" si="0"/>
        <v>5817107.9064144688</v>
      </c>
      <c r="O4" s="203">
        <f t="shared" si="0"/>
        <v>2729029.0465204129</v>
      </c>
      <c r="P4" s="203">
        <f t="shared" si="0"/>
        <v>52076.244890218062</v>
      </c>
      <c r="Q4" s="203">
        <f t="shared" si="0"/>
        <v>3386457.682712066</v>
      </c>
      <c r="R4" s="203">
        <f t="shared" si="0"/>
        <v>2371158.6215150664</v>
      </c>
      <c r="S4" s="203">
        <f t="shared" si="0"/>
        <v>742622.84147103759</v>
      </c>
      <c r="T4" s="203">
        <f t="shared" ref="T4:T31" si="1">SUM(C4:S4)</f>
        <v>244657482.58176005</v>
      </c>
    </row>
    <row r="5" spans="1:20" ht="18" customHeight="1">
      <c r="A5" s="288" t="s">
        <v>129</v>
      </c>
      <c r="B5" s="435" t="s">
        <v>35</v>
      </c>
      <c r="C5" s="204">
        <f t="shared" ref="C5:S5" si="2">+C35+C65</f>
        <v>83476.22149360941</v>
      </c>
      <c r="D5" s="204">
        <f t="shared" si="2"/>
        <v>9346916.0685205813</v>
      </c>
      <c r="E5" s="204">
        <f t="shared" si="2"/>
        <v>318602.3695949234</v>
      </c>
      <c r="F5" s="204">
        <f t="shared" si="2"/>
        <v>8331.26688270458</v>
      </c>
      <c r="G5" s="204">
        <f t="shared" si="2"/>
        <v>550978.59283955069</v>
      </c>
      <c r="H5" s="204">
        <f t="shared" si="2"/>
        <v>32118.733094340241</v>
      </c>
      <c r="I5" s="204">
        <f t="shared" si="2"/>
        <v>203633.51689167623</v>
      </c>
      <c r="J5" s="204">
        <f t="shared" si="2"/>
        <v>7231.99279059133</v>
      </c>
      <c r="K5" s="204">
        <f t="shared" si="2"/>
        <v>111073.78442152028</v>
      </c>
      <c r="L5" s="204">
        <f t="shared" si="2"/>
        <v>2484.7638071224187</v>
      </c>
      <c r="M5" s="204">
        <f t="shared" si="2"/>
        <v>87.697546133732416</v>
      </c>
      <c r="N5" s="204">
        <f t="shared" si="2"/>
        <v>1902836.2850141213</v>
      </c>
      <c r="O5" s="204">
        <f t="shared" si="2"/>
        <v>1900.1134995642024</v>
      </c>
      <c r="P5" s="204">
        <f t="shared" si="2"/>
        <v>256572.28710203472</v>
      </c>
      <c r="Q5" s="204">
        <f t="shared" si="2"/>
        <v>44850.856531761441</v>
      </c>
      <c r="R5" s="204">
        <f t="shared" si="2"/>
        <v>0</v>
      </c>
      <c r="S5" s="204">
        <f t="shared" si="2"/>
        <v>1262753.5539011939</v>
      </c>
      <c r="T5" s="204">
        <f t="shared" si="1"/>
        <v>14133848.103931429</v>
      </c>
    </row>
    <row r="6" spans="1:20" ht="18" customHeight="1">
      <c r="A6" s="288" t="s">
        <v>140</v>
      </c>
      <c r="B6" s="435" t="s">
        <v>36</v>
      </c>
      <c r="C6" s="204">
        <f t="shared" ref="C6:S6" si="3">+C36+C66</f>
        <v>0</v>
      </c>
      <c r="D6" s="204">
        <f t="shared" si="3"/>
        <v>9928.9035258755757</v>
      </c>
      <c r="E6" s="204">
        <f t="shared" si="3"/>
        <v>0</v>
      </c>
      <c r="F6" s="204">
        <f t="shared" si="3"/>
        <v>839.062269792302</v>
      </c>
      <c r="G6" s="204">
        <f t="shared" si="3"/>
        <v>512.76027598418455</v>
      </c>
      <c r="H6" s="204">
        <f t="shared" si="3"/>
        <v>0</v>
      </c>
      <c r="I6" s="204">
        <f t="shared" si="3"/>
        <v>0</v>
      </c>
      <c r="J6" s="204">
        <f t="shared" si="3"/>
        <v>279.68742326410069</v>
      </c>
      <c r="K6" s="204">
        <f t="shared" si="3"/>
        <v>1445.0516868645202</v>
      </c>
      <c r="L6" s="204">
        <f t="shared" si="3"/>
        <v>268563.52450730215</v>
      </c>
      <c r="M6" s="204">
        <f t="shared" si="3"/>
        <v>0</v>
      </c>
      <c r="N6" s="204">
        <f t="shared" si="3"/>
        <v>854754.3964624143</v>
      </c>
      <c r="O6" s="204">
        <f t="shared" si="3"/>
        <v>559.37484652820137</v>
      </c>
      <c r="P6" s="204">
        <f t="shared" si="3"/>
        <v>419.531134896151</v>
      </c>
      <c r="Q6" s="204">
        <f t="shared" si="3"/>
        <v>3029.9470853610906</v>
      </c>
      <c r="R6" s="204">
        <f t="shared" si="3"/>
        <v>93.229141088033572</v>
      </c>
      <c r="S6" s="204">
        <f t="shared" si="3"/>
        <v>0</v>
      </c>
      <c r="T6" s="204">
        <f t="shared" si="1"/>
        <v>1140425.4683593707</v>
      </c>
    </row>
    <row r="7" spans="1:20" ht="18" customHeight="1">
      <c r="A7" s="288" t="s">
        <v>130</v>
      </c>
      <c r="B7" s="435" t="s">
        <v>37</v>
      </c>
      <c r="C7" s="204">
        <f t="shared" ref="C7:S7" si="4">+C37+C67</f>
        <v>10542.909632971552</v>
      </c>
      <c r="D7" s="204">
        <f t="shared" si="4"/>
        <v>141502.3827921279</v>
      </c>
      <c r="E7" s="204">
        <f t="shared" si="4"/>
        <v>64866.770013592613</v>
      </c>
      <c r="F7" s="204">
        <f t="shared" si="4"/>
        <v>9148.3625264350885</v>
      </c>
      <c r="G7" s="204">
        <f t="shared" si="4"/>
        <v>6488530.3289760416</v>
      </c>
      <c r="H7" s="204">
        <f t="shared" si="4"/>
        <v>21197.449788243968</v>
      </c>
      <c r="I7" s="204">
        <f t="shared" si="4"/>
        <v>3179.6341566810815</v>
      </c>
      <c r="J7" s="204">
        <f t="shared" si="4"/>
        <v>25288.455069640651</v>
      </c>
      <c r="K7" s="204">
        <f t="shared" si="4"/>
        <v>5522.5400494402857</v>
      </c>
      <c r="L7" s="204">
        <f t="shared" si="4"/>
        <v>1255.0923958828168</v>
      </c>
      <c r="M7" s="204">
        <f t="shared" si="4"/>
        <v>0</v>
      </c>
      <c r="N7" s="204">
        <f t="shared" si="4"/>
        <v>40344.982083657284</v>
      </c>
      <c r="O7" s="204">
        <f t="shared" si="4"/>
        <v>392781.2927305582</v>
      </c>
      <c r="P7" s="204">
        <f t="shared" si="4"/>
        <v>697.27355326823158</v>
      </c>
      <c r="Q7" s="204">
        <f t="shared" si="4"/>
        <v>37932.348835571254</v>
      </c>
      <c r="R7" s="204">
        <f t="shared" si="4"/>
        <v>14401.490396612162</v>
      </c>
      <c r="S7" s="204">
        <f t="shared" si="4"/>
        <v>113803.63085662932</v>
      </c>
      <c r="T7" s="204">
        <f t="shared" si="1"/>
        <v>7370994.9438573541</v>
      </c>
    </row>
    <row r="8" spans="1:20" ht="18" customHeight="1">
      <c r="A8" s="288" t="s">
        <v>131</v>
      </c>
      <c r="B8" s="435" t="s">
        <v>141</v>
      </c>
      <c r="C8" s="204">
        <f t="shared" ref="C8:S8" si="5">+C38+C68</f>
        <v>8857.9808944580727</v>
      </c>
      <c r="D8" s="204">
        <f t="shared" si="5"/>
        <v>90523.717781844549</v>
      </c>
      <c r="E8" s="204">
        <f t="shared" si="5"/>
        <v>5583.3908765733595</v>
      </c>
      <c r="F8" s="204">
        <f t="shared" si="5"/>
        <v>1071.9432558197288</v>
      </c>
      <c r="G8" s="204">
        <f t="shared" si="5"/>
        <v>10972.487280884767</v>
      </c>
      <c r="H8" s="204">
        <f t="shared" si="5"/>
        <v>3419891.9135253578</v>
      </c>
      <c r="I8" s="204">
        <f t="shared" si="5"/>
        <v>123.68576028689179</v>
      </c>
      <c r="J8" s="204">
        <f t="shared" si="5"/>
        <v>577.20021467216156</v>
      </c>
      <c r="K8" s="204">
        <f t="shared" si="5"/>
        <v>24771.73332738267</v>
      </c>
      <c r="L8" s="204">
        <f t="shared" si="5"/>
        <v>0</v>
      </c>
      <c r="M8" s="204">
        <f t="shared" si="5"/>
        <v>0</v>
      </c>
      <c r="N8" s="204">
        <f t="shared" si="5"/>
        <v>4111.0102146801919</v>
      </c>
      <c r="O8" s="204">
        <f t="shared" si="5"/>
        <v>0</v>
      </c>
      <c r="P8" s="204">
        <f t="shared" si="5"/>
        <v>123.68576028689179</v>
      </c>
      <c r="Q8" s="204">
        <f t="shared" si="5"/>
        <v>3410.1242397211386</v>
      </c>
      <c r="R8" s="204">
        <f t="shared" si="5"/>
        <v>0</v>
      </c>
      <c r="S8" s="204">
        <f t="shared" si="5"/>
        <v>6973.3143649419326</v>
      </c>
      <c r="T8" s="204">
        <f t="shared" si="1"/>
        <v>3576992.1874969113</v>
      </c>
    </row>
    <row r="9" spans="1:20" ht="18" customHeight="1">
      <c r="A9" s="288" t="s">
        <v>132</v>
      </c>
      <c r="B9" s="435" t="s">
        <v>142</v>
      </c>
      <c r="C9" s="204">
        <f t="shared" ref="C9:S9" si="6">+C39+C69</f>
        <v>0</v>
      </c>
      <c r="D9" s="204">
        <f t="shared" si="6"/>
        <v>28475.105484080323</v>
      </c>
      <c r="E9" s="204">
        <f t="shared" si="6"/>
        <v>733.70297887878201</v>
      </c>
      <c r="F9" s="204">
        <f t="shared" si="6"/>
        <v>2725992.5404278142</v>
      </c>
      <c r="G9" s="204">
        <f t="shared" si="6"/>
        <v>0</v>
      </c>
      <c r="H9" s="204">
        <f t="shared" si="6"/>
        <v>8758.5793103654596</v>
      </c>
      <c r="I9" s="204">
        <f t="shared" si="6"/>
        <v>0</v>
      </c>
      <c r="J9" s="204">
        <f t="shared" si="6"/>
        <v>0</v>
      </c>
      <c r="K9" s="204">
        <f t="shared" si="6"/>
        <v>7214.1654977572216</v>
      </c>
      <c r="L9" s="204">
        <f t="shared" si="6"/>
        <v>45.856436179923875</v>
      </c>
      <c r="M9" s="204">
        <f t="shared" si="6"/>
        <v>0</v>
      </c>
      <c r="N9" s="204">
        <f t="shared" si="6"/>
        <v>137.56930853977164</v>
      </c>
      <c r="O9" s="204">
        <f t="shared" si="6"/>
        <v>137.56930853977164</v>
      </c>
      <c r="P9" s="204">
        <f t="shared" si="6"/>
        <v>0</v>
      </c>
      <c r="Q9" s="204">
        <f t="shared" si="6"/>
        <v>596.13367033901034</v>
      </c>
      <c r="R9" s="204">
        <f t="shared" si="6"/>
        <v>0</v>
      </c>
      <c r="S9" s="204">
        <f t="shared" si="6"/>
        <v>7955.2209853905906</v>
      </c>
      <c r="T9" s="204">
        <f t="shared" si="1"/>
        <v>2780046.4434078853</v>
      </c>
    </row>
    <row r="10" spans="1:20" ht="18" customHeight="1">
      <c r="A10" s="288" t="s">
        <v>133</v>
      </c>
      <c r="B10" s="435" t="s">
        <v>143</v>
      </c>
      <c r="C10" s="204">
        <f t="shared" ref="C10:S10" si="7">+C40+C70</f>
        <v>84.408464108312216</v>
      </c>
      <c r="D10" s="204">
        <f t="shared" si="7"/>
        <v>26396.185316014042</v>
      </c>
      <c r="E10" s="204">
        <f t="shared" si="7"/>
        <v>886.28887313727842</v>
      </c>
      <c r="F10" s="204">
        <f t="shared" si="7"/>
        <v>1428166.3338724708</v>
      </c>
      <c r="G10" s="204">
        <f t="shared" si="7"/>
        <v>168.81692821662443</v>
      </c>
      <c r="H10" s="204">
        <f t="shared" si="7"/>
        <v>84.408464108312216</v>
      </c>
      <c r="I10" s="204">
        <f t="shared" si="7"/>
        <v>0</v>
      </c>
      <c r="J10" s="204">
        <f t="shared" si="7"/>
        <v>168.81692821662443</v>
      </c>
      <c r="K10" s="204">
        <f t="shared" si="7"/>
        <v>9110.9904559765018</v>
      </c>
      <c r="L10" s="204">
        <f t="shared" si="7"/>
        <v>1730.3735142204007</v>
      </c>
      <c r="M10" s="204">
        <f t="shared" si="7"/>
        <v>0</v>
      </c>
      <c r="N10" s="204">
        <f t="shared" si="7"/>
        <v>675.26771286649773</v>
      </c>
      <c r="O10" s="204">
        <f t="shared" si="7"/>
        <v>12566.613816696083</v>
      </c>
      <c r="P10" s="204">
        <f t="shared" si="7"/>
        <v>0</v>
      </c>
      <c r="Q10" s="204">
        <f t="shared" si="7"/>
        <v>1055.1058013539027</v>
      </c>
      <c r="R10" s="204">
        <f t="shared" si="7"/>
        <v>253.22539232493668</v>
      </c>
      <c r="S10" s="204">
        <f t="shared" si="7"/>
        <v>24289.142992309044</v>
      </c>
      <c r="T10" s="204">
        <f t="shared" si="1"/>
        <v>1505635.9785320193</v>
      </c>
    </row>
    <row r="11" spans="1:20" ht="18" customHeight="1">
      <c r="A11" s="288" t="s">
        <v>134</v>
      </c>
      <c r="B11" s="435" t="s">
        <v>40</v>
      </c>
      <c r="C11" s="204">
        <f t="shared" ref="C11:S11" si="8">+C41+C71</f>
        <v>0</v>
      </c>
      <c r="D11" s="204">
        <f t="shared" si="8"/>
        <v>9722.6680425874965</v>
      </c>
      <c r="E11" s="204">
        <f t="shared" si="8"/>
        <v>0</v>
      </c>
      <c r="F11" s="204">
        <f t="shared" si="8"/>
        <v>0</v>
      </c>
      <c r="G11" s="204">
        <f t="shared" si="8"/>
        <v>0</v>
      </c>
      <c r="H11" s="204">
        <f t="shared" si="8"/>
        <v>0</v>
      </c>
      <c r="I11" s="204">
        <f t="shared" si="8"/>
        <v>32772.87027893724</v>
      </c>
      <c r="J11" s="204">
        <f t="shared" si="8"/>
        <v>0</v>
      </c>
      <c r="K11" s="204">
        <f t="shared" si="8"/>
        <v>403.86467253824981</v>
      </c>
      <c r="L11" s="204">
        <f t="shared" si="8"/>
        <v>0</v>
      </c>
      <c r="M11" s="204">
        <f t="shared" si="8"/>
        <v>0</v>
      </c>
      <c r="N11" s="204">
        <f t="shared" si="8"/>
        <v>0</v>
      </c>
      <c r="O11" s="204">
        <f t="shared" si="8"/>
        <v>0</v>
      </c>
      <c r="P11" s="204">
        <f t="shared" si="8"/>
        <v>0</v>
      </c>
      <c r="Q11" s="204">
        <f t="shared" si="8"/>
        <v>179.49541001699993</v>
      </c>
      <c r="R11" s="204">
        <f t="shared" si="8"/>
        <v>0</v>
      </c>
      <c r="S11" s="204">
        <f t="shared" si="8"/>
        <v>0</v>
      </c>
      <c r="T11" s="204">
        <f t="shared" si="1"/>
        <v>43078.898404079984</v>
      </c>
    </row>
    <row r="12" spans="1:20" ht="18" customHeight="1">
      <c r="A12" s="288" t="s">
        <v>135</v>
      </c>
      <c r="B12" s="435" t="s">
        <v>70</v>
      </c>
      <c r="C12" s="204">
        <f t="shared" ref="C12:S12" si="9">+C42+C72</f>
        <v>0</v>
      </c>
      <c r="D12" s="204">
        <f t="shared" si="9"/>
        <v>23771.15444786755</v>
      </c>
      <c r="E12" s="204">
        <f t="shared" si="9"/>
        <v>0</v>
      </c>
      <c r="F12" s="204">
        <f t="shared" si="9"/>
        <v>1241.0039642635782</v>
      </c>
      <c r="G12" s="204">
        <f t="shared" si="9"/>
        <v>0</v>
      </c>
      <c r="H12" s="204">
        <f t="shared" si="9"/>
        <v>51.70849851098243</v>
      </c>
      <c r="I12" s="204">
        <f t="shared" si="9"/>
        <v>0</v>
      </c>
      <c r="J12" s="204">
        <f t="shared" si="9"/>
        <v>103.41699702196486</v>
      </c>
      <c r="K12" s="204">
        <f t="shared" si="9"/>
        <v>35838.243123515327</v>
      </c>
      <c r="L12" s="204">
        <f t="shared" si="9"/>
        <v>2443474.4629979637</v>
      </c>
      <c r="M12" s="204">
        <f t="shared" si="9"/>
        <v>0</v>
      </c>
      <c r="N12" s="204">
        <f t="shared" si="9"/>
        <v>17875.32220376443</v>
      </c>
      <c r="O12" s="204">
        <f t="shared" si="9"/>
        <v>775.62747766473649</v>
      </c>
      <c r="P12" s="204">
        <f t="shared" si="9"/>
        <v>0</v>
      </c>
      <c r="Q12" s="204">
        <f t="shared" si="9"/>
        <v>25063.866910642108</v>
      </c>
      <c r="R12" s="204">
        <f t="shared" si="9"/>
        <v>0</v>
      </c>
      <c r="S12" s="204">
        <f t="shared" si="9"/>
        <v>0</v>
      </c>
      <c r="T12" s="204">
        <f t="shared" si="1"/>
        <v>2548194.8066212144</v>
      </c>
    </row>
    <row r="13" spans="1:20" ht="18" customHeight="1">
      <c r="A13" s="288" t="s">
        <v>136</v>
      </c>
      <c r="B13" s="435" t="s">
        <v>144</v>
      </c>
      <c r="C13" s="204">
        <f t="shared" ref="C13:S13" si="10">+C43+C73</f>
        <v>294.14623396779604</v>
      </c>
      <c r="D13" s="204">
        <f t="shared" si="10"/>
        <v>25884.86858916605</v>
      </c>
      <c r="E13" s="204">
        <f t="shared" si="10"/>
        <v>637.31684026355799</v>
      </c>
      <c r="F13" s="204">
        <f t="shared" si="10"/>
        <v>147.07311698389802</v>
      </c>
      <c r="G13" s="204">
        <f t="shared" si="10"/>
        <v>2206.0967547584701</v>
      </c>
      <c r="H13" s="204">
        <f t="shared" si="10"/>
        <v>4203.1638136631946</v>
      </c>
      <c r="I13" s="204">
        <f t="shared" si="10"/>
        <v>392.19497862372805</v>
      </c>
      <c r="J13" s="204">
        <f t="shared" si="10"/>
        <v>0</v>
      </c>
      <c r="K13" s="204">
        <f t="shared" si="10"/>
        <v>392.19497862372805</v>
      </c>
      <c r="L13" s="204">
        <f t="shared" si="10"/>
        <v>49.024372327966006</v>
      </c>
      <c r="M13" s="204">
        <f t="shared" si="10"/>
        <v>147.07311698389802</v>
      </c>
      <c r="N13" s="204">
        <f t="shared" si="10"/>
        <v>49471.762750860682</v>
      </c>
      <c r="O13" s="204">
        <f t="shared" si="10"/>
        <v>833.41432957542202</v>
      </c>
      <c r="P13" s="204">
        <f t="shared" si="10"/>
        <v>2990.4867120059262</v>
      </c>
      <c r="Q13" s="204">
        <f t="shared" si="10"/>
        <v>2433368.9260258968</v>
      </c>
      <c r="R13" s="204">
        <f t="shared" si="10"/>
        <v>196.09748931186402</v>
      </c>
      <c r="S13" s="204">
        <f t="shared" si="10"/>
        <v>6237.6752652737832</v>
      </c>
      <c r="T13" s="204">
        <f t="shared" si="1"/>
        <v>2527451.515368287</v>
      </c>
    </row>
    <row r="14" spans="1:20" ht="18" customHeight="1">
      <c r="A14" s="288" t="s">
        <v>137</v>
      </c>
      <c r="B14" s="435" t="s">
        <v>49</v>
      </c>
      <c r="C14" s="204">
        <f t="shared" ref="C14:S14" si="11">+C44+C74</f>
        <v>6242.6133433402474</v>
      </c>
      <c r="D14" s="204">
        <f t="shared" si="11"/>
        <v>24930.764778438803</v>
      </c>
      <c r="E14" s="204">
        <f t="shared" si="11"/>
        <v>0</v>
      </c>
      <c r="F14" s="204">
        <f t="shared" si="11"/>
        <v>0</v>
      </c>
      <c r="G14" s="204">
        <f t="shared" si="11"/>
        <v>5448.8414448965414</v>
      </c>
      <c r="H14" s="204">
        <f t="shared" si="11"/>
        <v>238.13156953311181</v>
      </c>
      <c r="I14" s="204">
        <f t="shared" si="11"/>
        <v>79.377189844370605</v>
      </c>
      <c r="J14" s="204">
        <f t="shared" si="11"/>
        <v>357.19735429966772</v>
      </c>
      <c r="K14" s="204">
        <f t="shared" si="11"/>
        <v>13040.867015591088</v>
      </c>
      <c r="L14" s="204">
        <f t="shared" si="11"/>
        <v>16783.098878833662</v>
      </c>
      <c r="M14" s="204">
        <f t="shared" si="11"/>
        <v>5964.7931788849501</v>
      </c>
      <c r="N14" s="204">
        <f t="shared" si="11"/>
        <v>195616.55228220482</v>
      </c>
      <c r="O14" s="204">
        <f t="shared" si="11"/>
        <v>5766.3502042740238</v>
      </c>
      <c r="P14" s="204">
        <f t="shared" si="11"/>
        <v>436.57454414403833</v>
      </c>
      <c r="Q14" s="204">
        <f t="shared" si="11"/>
        <v>925620.47849268746</v>
      </c>
      <c r="R14" s="204">
        <f t="shared" si="11"/>
        <v>79.377189844370605</v>
      </c>
      <c r="S14" s="204">
        <f t="shared" si="11"/>
        <v>14163.651613969432</v>
      </c>
      <c r="T14" s="204">
        <f t="shared" si="1"/>
        <v>1214768.6690807864</v>
      </c>
    </row>
    <row r="15" spans="1:20" ht="18" customHeight="1">
      <c r="A15" s="288" t="s">
        <v>138</v>
      </c>
      <c r="B15" s="435" t="s">
        <v>157</v>
      </c>
      <c r="C15" s="204">
        <f t="shared" ref="C15:S15" si="12">+C45+C75</f>
        <v>1166729.4381870874</v>
      </c>
      <c r="D15" s="204">
        <f t="shared" si="12"/>
        <v>14825.940072884547</v>
      </c>
      <c r="E15" s="204">
        <f t="shared" si="12"/>
        <v>8010.2086604667138</v>
      </c>
      <c r="F15" s="204">
        <f t="shared" si="12"/>
        <v>0</v>
      </c>
      <c r="G15" s="204">
        <f t="shared" si="12"/>
        <v>13704.489920750129</v>
      </c>
      <c r="H15" s="204">
        <f t="shared" si="12"/>
        <v>21849.759446779066</v>
      </c>
      <c r="I15" s="204">
        <f t="shared" si="12"/>
        <v>0</v>
      </c>
      <c r="J15" s="204">
        <f t="shared" si="12"/>
        <v>0</v>
      </c>
      <c r="K15" s="204">
        <f t="shared" si="12"/>
        <v>39932.995917898363</v>
      </c>
      <c r="L15" s="204">
        <f t="shared" si="12"/>
        <v>177.07107665280301</v>
      </c>
      <c r="M15" s="204">
        <f t="shared" si="12"/>
        <v>0</v>
      </c>
      <c r="N15" s="204">
        <f t="shared" si="12"/>
        <v>2670.0695534889041</v>
      </c>
      <c r="O15" s="204">
        <f t="shared" si="12"/>
        <v>0</v>
      </c>
      <c r="P15" s="204">
        <f t="shared" si="12"/>
        <v>0</v>
      </c>
      <c r="Q15" s="204">
        <f t="shared" si="12"/>
        <v>2670.0695534889041</v>
      </c>
      <c r="R15" s="204">
        <f t="shared" si="12"/>
        <v>295.11846108800506</v>
      </c>
      <c r="S15" s="204">
        <f t="shared" si="12"/>
        <v>34738.911002749475</v>
      </c>
      <c r="T15" s="204">
        <f t="shared" si="1"/>
        <v>1305604.0718533343</v>
      </c>
    </row>
    <row r="16" spans="1:20" ht="18" customHeight="1">
      <c r="A16" s="288" t="s">
        <v>145</v>
      </c>
      <c r="B16" s="435" t="s">
        <v>146</v>
      </c>
      <c r="C16" s="204">
        <f t="shared" ref="C16:S16" si="13">+C46+C76</f>
        <v>1890514.3169538323</v>
      </c>
      <c r="D16" s="204">
        <f t="shared" si="13"/>
        <v>6741.7073375480722</v>
      </c>
      <c r="E16" s="204">
        <f t="shared" si="13"/>
        <v>9218.2528901167516</v>
      </c>
      <c r="F16" s="204">
        <f t="shared" si="13"/>
        <v>275.17172806318661</v>
      </c>
      <c r="G16" s="204">
        <f t="shared" si="13"/>
        <v>1238.2727762843397</v>
      </c>
      <c r="H16" s="204">
        <f t="shared" si="13"/>
        <v>1513.4445043475264</v>
      </c>
      <c r="I16" s="204">
        <f t="shared" si="13"/>
        <v>0</v>
      </c>
      <c r="J16" s="204">
        <f t="shared" si="13"/>
        <v>0</v>
      </c>
      <c r="K16" s="204">
        <f t="shared" si="13"/>
        <v>2751.7172806318663</v>
      </c>
      <c r="L16" s="204">
        <f t="shared" si="13"/>
        <v>0</v>
      </c>
      <c r="M16" s="204">
        <f t="shared" si="13"/>
        <v>0</v>
      </c>
      <c r="N16" s="204">
        <f t="shared" si="13"/>
        <v>0</v>
      </c>
      <c r="O16" s="204">
        <f t="shared" si="13"/>
        <v>0</v>
      </c>
      <c r="P16" s="204">
        <f t="shared" si="13"/>
        <v>0</v>
      </c>
      <c r="Q16" s="204">
        <f t="shared" si="13"/>
        <v>0</v>
      </c>
      <c r="R16" s="204">
        <f t="shared" si="13"/>
        <v>275.17172806318661</v>
      </c>
      <c r="S16" s="204">
        <f t="shared" si="13"/>
        <v>62173.058314555623</v>
      </c>
      <c r="T16" s="204">
        <f t="shared" si="1"/>
        <v>1974701.1135134427</v>
      </c>
    </row>
    <row r="17" spans="1:21" ht="18" customHeight="1">
      <c r="A17" s="288" t="s">
        <v>147</v>
      </c>
      <c r="B17" s="435" t="s">
        <v>165</v>
      </c>
      <c r="C17" s="204">
        <f t="shared" ref="C17:S17" si="14">+C47+C77</f>
        <v>0</v>
      </c>
      <c r="D17" s="204">
        <f t="shared" si="14"/>
        <v>231.60047447547163</v>
      </c>
      <c r="E17" s="204">
        <f t="shared" si="14"/>
        <v>0</v>
      </c>
      <c r="F17" s="204">
        <f t="shared" si="14"/>
        <v>0</v>
      </c>
      <c r="G17" s="204">
        <f t="shared" si="14"/>
        <v>119428.64467118488</v>
      </c>
      <c r="H17" s="204">
        <f t="shared" si="14"/>
        <v>0</v>
      </c>
      <c r="I17" s="204">
        <f t="shared" si="14"/>
        <v>0</v>
      </c>
      <c r="J17" s="204">
        <f t="shared" si="14"/>
        <v>0</v>
      </c>
      <c r="K17" s="204">
        <f t="shared" si="14"/>
        <v>0</v>
      </c>
      <c r="L17" s="204">
        <f t="shared" si="14"/>
        <v>0</v>
      </c>
      <c r="M17" s="204">
        <f t="shared" si="14"/>
        <v>0</v>
      </c>
      <c r="N17" s="204">
        <f t="shared" si="14"/>
        <v>2856.4058518641505</v>
      </c>
      <c r="O17" s="204">
        <f t="shared" si="14"/>
        <v>0</v>
      </c>
      <c r="P17" s="204">
        <f t="shared" si="14"/>
        <v>0</v>
      </c>
      <c r="Q17" s="204">
        <f t="shared" si="14"/>
        <v>231.60047447547163</v>
      </c>
      <c r="R17" s="204">
        <f t="shared" si="14"/>
        <v>0</v>
      </c>
      <c r="S17" s="204">
        <f t="shared" si="14"/>
        <v>0</v>
      </c>
      <c r="T17" s="204">
        <f t="shared" si="1"/>
        <v>122748.25147199999</v>
      </c>
    </row>
    <row r="18" spans="1:21" ht="18" customHeight="1">
      <c r="A18" s="288" t="s">
        <v>174</v>
      </c>
      <c r="B18" s="435" t="s">
        <v>167</v>
      </c>
      <c r="C18" s="204">
        <f t="shared" ref="C18:S18" si="15">+C48+C78</f>
        <v>0</v>
      </c>
      <c r="D18" s="204">
        <f t="shared" si="15"/>
        <v>0</v>
      </c>
      <c r="E18" s="204">
        <f t="shared" si="15"/>
        <v>0</v>
      </c>
      <c r="F18" s="204">
        <f t="shared" si="15"/>
        <v>0</v>
      </c>
      <c r="G18" s="204">
        <f t="shared" si="15"/>
        <v>86392.152000000002</v>
      </c>
      <c r="H18" s="204">
        <f t="shared" si="15"/>
        <v>0</v>
      </c>
      <c r="I18" s="204">
        <f t="shared" si="15"/>
        <v>0</v>
      </c>
      <c r="J18" s="204">
        <f t="shared" si="15"/>
        <v>0</v>
      </c>
      <c r="K18" s="204">
        <f t="shared" si="15"/>
        <v>0</v>
      </c>
      <c r="L18" s="204">
        <f t="shared" si="15"/>
        <v>0</v>
      </c>
      <c r="M18" s="204">
        <f t="shared" si="15"/>
        <v>0</v>
      </c>
      <c r="N18" s="204">
        <f t="shared" si="15"/>
        <v>0</v>
      </c>
      <c r="O18" s="204">
        <f t="shared" si="15"/>
        <v>0</v>
      </c>
      <c r="P18" s="204">
        <f t="shared" si="15"/>
        <v>0</v>
      </c>
      <c r="Q18" s="204">
        <f t="shared" si="15"/>
        <v>0</v>
      </c>
      <c r="R18" s="204">
        <f t="shared" si="15"/>
        <v>0</v>
      </c>
      <c r="S18" s="204">
        <f t="shared" si="15"/>
        <v>0</v>
      </c>
      <c r="T18" s="204">
        <f t="shared" si="1"/>
        <v>86392.152000000002</v>
      </c>
    </row>
    <row r="19" spans="1:21" ht="18" customHeight="1">
      <c r="A19" s="288" t="s">
        <v>158</v>
      </c>
      <c r="B19" s="435" t="s">
        <v>166</v>
      </c>
      <c r="C19" s="204">
        <f t="shared" ref="C19:S19" si="16">+C49+C79</f>
        <v>0</v>
      </c>
      <c r="D19" s="204">
        <f t="shared" si="16"/>
        <v>646.70334959999991</v>
      </c>
      <c r="E19" s="204">
        <f t="shared" si="16"/>
        <v>0</v>
      </c>
      <c r="F19" s="204">
        <f t="shared" si="16"/>
        <v>0</v>
      </c>
      <c r="G19" s="204">
        <f t="shared" si="16"/>
        <v>134837.6483916</v>
      </c>
      <c r="H19" s="204">
        <f t="shared" si="16"/>
        <v>0</v>
      </c>
      <c r="I19" s="204">
        <f t="shared" si="16"/>
        <v>0</v>
      </c>
      <c r="J19" s="204">
        <f t="shared" si="16"/>
        <v>0</v>
      </c>
      <c r="K19" s="204">
        <f t="shared" si="16"/>
        <v>0</v>
      </c>
      <c r="L19" s="204">
        <f t="shared" si="16"/>
        <v>0</v>
      </c>
      <c r="M19" s="204">
        <f t="shared" si="16"/>
        <v>0</v>
      </c>
      <c r="N19" s="204">
        <f t="shared" si="16"/>
        <v>323.35167479999996</v>
      </c>
      <c r="O19" s="204">
        <f t="shared" si="16"/>
        <v>0</v>
      </c>
      <c r="P19" s="204">
        <f t="shared" si="16"/>
        <v>0</v>
      </c>
      <c r="Q19" s="204">
        <f t="shared" si="16"/>
        <v>0</v>
      </c>
      <c r="R19" s="204">
        <f t="shared" si="16"/>
        <v>0</v>
      </c>
      <c r="S19" s="204">
        <f t="shared" si="16"/>
        <v>0</v>
      </c>
      <c r="T19" s="204">
        <f t="shared" si="1"/>
        <v>135807.703416</v>
      </c>
    </row>
    <row r="20" spans="1:21" ht="18" customHeight="1">
      <c r="A20" s="288" t="s">
        <v>148</v>
      </c>
      <c r="B20" s="435" t="s">
        <v>39</v>
      </c>
      <c r="C20" s="204">
        <f t="shared" ref="C20:S20" si="17">+C50+C80</f>
        <v>61596.588665252028</v>
      </c>
      <c r="D20" s="204">
        <f t="shared" si="17"/>
        <v>356408.8778059684</v>
      </c>
      <c r="E20" s="204">
        <f t="shared" si="17"/>
        <v>16582.219471104734</v>
      </c>
      <c r="F20" s="204">
        <f t="shared" si="17"/>
        <v>6256.0607381332802</v>
      </c>
      <c r="G20" s="204">
        <f t="shared" si="17"/>
        <v>812.19034144186446</v>
      </c>
      <c r="H20" s="204">
        <f t="shared" si="17"/>
        <v>174838.60505556746</v>
      </c>
      <c r="I20" s="204">
        <f t="shared" si="17"/>
        <v>24426.075741606346</v>
      </c>
      <c r="J20" s="204">
        <f t="shared" si="17"/>
        <v>3248.7613657674578</v>
      </c>
      <c r="K20" s="204">
        <f t="shared" si="17"/>
        <v>3604169.63970683</v>
      </c>
      <c r="L20" s="204">
        <f t="shared" si="17"/>
        <v>10240.183629260264</v>
      </c>
      <c r="M20" s="204">
        <f t="shared" si="17"/>
        <v>0</v>
      </c>
      <c r="N20" s="204">
        <f t="shared" si="17"/>
        <v>8624.9492340053839</v>
      </c>
      <c r="O20" s="204">
        <f t="shared" si="17"/>
        <v>0</v>
      </c>
      <c r="P20" s="204">
        <f t="shared" si="17"/>
        <v>0</v>
      </c>
      <c r="Q20" s="204">
        <f t="shared" si="17"/>
        <v>63800.843983804836</v>
      </c>
      <c r="R20" s="204">
        <f t="shared" si="17"/>
        <v>0</v>
      </c>
      <c r="S20" s="204">
        <f t="shared" si="17"/>
        <v>0</v>
      </c>
      <c r="T20" s="204">
        <f t="shared" si="1"/>
        <v>4331004.9957387419</v>
      </c>
    </row>
    <row r="21" spans="1:21" ht="18" customHeight="1">
      <c r="A21" s="286" t="s">
        <v>175</v>
      </c>
      <c r="B21" s="435" t="s">
        <v>168</v>
      </c>
      <c r="C21" s="204">
        <f t="shared" ref="C21:S21" si="18">+C51+C81</f>
        <v>0</v>
      </c>
      <c r="D21" s="204">
        <f t="shared" si="18"/>
        <v>981.75</v>
      </c>
      <c r="E21" s="204">
        <f t="shared" si="18"/>
        <v>0</v>
      </c>
      <c r="F21" s="204">
        <f t="shared" si="18"/>
        <v>0</v>
      </c>
      <c r="G21" s="204">
        <f t="shared" si="18"/>
        <v>0</v>
      </c>
      <c r="H21" s="204">
        <f t="shared" si="18"/>
        <v>981.75</v>
      </c>
      <c r="I21" s="204">
        <f t="shared" si="18"/>
        <v>0</v>
      </c>
      <c r="J21" s="204">
        <f t="shared" si="18"/>
        <v>0</v>
      </c>
      <c r="K21" s="204">
        <f t="shared" si="18"/>
        <v>108483.375</v>
      </c>
      <c r="L21" s="204">
        <f t="shared" si="18"/>
        <v>0</v>
      </c>
      <c r="M21" s="204">
        <f t="shared" si="18"/>
        <v>0</v>
      </c>
      <c r="N21" s="204">
        <f t="shared" si="18"/>
        <v>0</v>
      </c>
      <c r="O21" s="204">
        <f t="shared" si="18"/>
        <v>0</v>
      </c>
      <c r="P21" s="204">
        <f t="shared" si="18"/>
        <v>0</v>
      </c>
      <c r="Q21" s="204">
        <f t="shared" si="18"/>
        <v>0</v>
      </c>
      <c r="R21" s="204">
        <f t="shared" si="18"/>
        <v>0</v>
      </c>
      <c r="S21" s="204">
        <f t="shared" si="18"/>
        <v>0</v>
      </c>
      <c r="T21" s="204">
        <f t="shared" si="1"/>
        <v>110446.875</v>
      </c>
    </row>
    <row r="22" spans="1:21" ht="18" customHeight="1">
      <c r="A22" s="288" t="s">
        <v>149</v>
      </c>
      <c r="B22" s="435" t="s">
        <v>38</v>
      </c>
      <c r="C22" s="204">
        <f t="shared" ref="C22:S22" si="19">+C52+C82</f>
        <v>0</v>
      </c>
      <c r="D22" s="204">
        <f t="shared" si="19"/>
        <v>32017.693544081572</v>
      </c>
      <c r="E22" s="204">
        <f t="shared" si="19"/>
        <v>3627937.6888259836</v>
      </c>
      <c r="F22" s="204">
        <f t="shared" si="19"/>
        <v>232.58729606417688</v>
      </c>
      <c r="G22" s="204">
        <f t="shared" si="19"/>
        <v>310.11639475223581</v>
      </c>
      <c r="H22" s="204">
        <f t="shared" si="19"/>
        <v>10820.325855722864</v>
      </c>
      <c r="I22" s="204">
        <f t="shared" si="19"/>
        <v>0</v>
      </c>
      <c r="J22" s="204">
        <f t="shared" si="19"/>
        <v>27421.586152444761</v>
      </c>
      <c r="K22" s="204">
        <f t="shared" si="19"/>
        <v>46559.416136831263</v>
      </c>
      <c r="L22" s="204">
        <f t="shared" si="19"/>
        <v>0</v>
      </c>
      <c r="M22" s="204">
        <f t="shared" si="19"/>
        <v>0</v>
      </c>
      <c r="N22" s="204">
        <f t="shared" si="19"/>
        <v>465.17459212835377</v>
      </c>
      <c r="O22" s="204">
        <f t="shared" si="19"/>
        <v>232.58729606417688</v>
      </c>
      <c r="P22" s="204">
        <f t="shared" si="19"/>
        <v>0</v>
      </c>
      <c r="Q22" s="204">
        <f t="shared" si="19"/>
        <v>15571.491444735795</v>
      </c>
      <c r="R22" s="204">
        <f t="shared" si="19"/>
        <v>0</v>
      </c>
      <c r="S22" s="204">
        <f t="shared" si="19"/>
        <v>13323.147582782085</v>
      </c>
      <c r="T22" s="204">
        <f t="shared" si="1"/>
        <v>3774891.8151215897</v>
      </c>
    </row>
    <row r="23" spans="1:21" ht="18" customHeight="1">
      <c r="A23" s="288" t="s">
        <v>150</v>
      </c>
      <c r="B23" s="435" t="s">
        <v>31</v>
      </c>
      <c r="C23" s="204">
        <f t="shared" ref="C23:S23" si="20">+C53+C83</f>
        <v>15490.373663765018</v>
      </c>
      <c r="D23" s="204">
        <f t="shared" si="20"/>
        <v>68206.269925459215</v>
      </c>
      <c r="E23" s="204">
        <f t="shared" si="20"/>
        <v>74115.435079470233</v>
      </c>
      <c r="F23" s="204">
        <f t="shared" si="20"/>
        <v>1064.578723306</v>
      </c>
      <c r="G23" s="204">
        <f t="shared" si="20"/>
        <v>20298.971977251356</v>
      </c>
      <c r="H23" s="204">
        <f t="shared" si="20"/>
        <v>10504.345563061011</v>
      </c>
      <c r="I23" s="204">
        <f t="shared" si="20"/>
        <v>27555.599194566348</v>
      </c>
      <c r="J23" s="204">
        <f t="shared" si="20"/>
        <v>10461745.257003121</v>
      </c>
      <c r="K23" s="204">
        <f t="shared" si="20"/>
        <v>27148.012843740864</v>
      </c>
      <c r="L23" s="204">
        <f t="shared" si="20"/>
        <v>0</v>
      </c>
      <c r="M23" s="204">
        <f t="shared" si="20"/>
        <v>0</v>
      </c>
      <c r="N23" s="204">
        <f t="shared" si="20"/>
        <v>16200.092812635683</v>
      </c>
      <c r="O23" s="204">
        <f t="shared" si="20"/>
        <v>0</v>
      </c>
      <c r="P23" s="204">
        <f t="shared" si="20"/>
        <v>0</v>
      </c>
      <c r="Q23" s="204">
        <f t="shared" si="20"/>
        <v>36126.211156842364</v>
      </c>
      <c r="R23" s="204">
        <f t="shared" si="20"/>
        <v>0</v>
      </c>
      <c r="S23" s="204">
        <f t="shared" si="20"/>
        <v>0</v>
      </c>
      <c r="T23" s="204">
        <f t="shared" si="1"/>
        <v>10758455.147943219</v>
      </c>
    </row>
    <row r="24" spans="1:21" ht="18" customHeight="1">
      <c r="A24" s="288" t="s">
        <v>151</v>
      </c>
      <c r="B24" s="435" t="s">
        <v>152</v>
      </c>
      <c r="C24" s="204">
        <f t="shared" ref="C24:S24" si="21">+C54+C84</f>
        <v>95.508055131725513</v>
      </c>
      <c r="D24" s="204">
        <f t="shared" si="21"/>
        <v>4106.8463706641969</v>
      </c>
      <c r="E24" s="204">
        <f t="shared" si="21"/>
        <v>0</v>
      </c>
      <c r="F24" s="204">
        <f t="shared" si="21"/>
        <v>0</v>
      </c>
      <c r="G24" s="204">
        <f t="shared" si="21"/>
        <v>0</v>
      </c>
      <c r="H24" s="204">
        <f t="shared" si="21"/>
        <v>191.01611026345103</v>
      </c>
      <c r="I24" s="204">
        <f t="shared" si="21"/>
        <v>0</v>
      </c>
      <c r="J24" s="204">
        <f t="shared" si="21"/>
        <v>747350.53140575206</v>
      </c>
      <c r="K24" s="204">
        <f t="shared" si="21"/>
        <v>382.03222052690205</v>
      </c>
      <c r="L24" s="204">
        <f t="shared" si="21"/>
        <v>0</v>
      </c>
      <c r="M24" s="204">
        <f t="shared" si="21"/>
        <v>0</v>
      </c>
      <c r="N24" s="204">
        <f t="shared" si="21"/>
        <v>0</v>
      </c>
      <c r="O24" s="204">
        <f t="shared" si="21"/>
        <v>0</v>
      </c>
      <c r="P24" s="204">
        <f t="shared" si="21"/>
        <v>0</v>
      </c>
      <c r="Q24" s="204">
        <f t="shared" si="21"/>
        <v>0</v>
      </c>
      <c r="R24" s="204">
        <f t="shared" si="21"/>
        <v>0</v>
      </c>
      <c r="S24" s="204">
        <f t="shared" si="21"/>
        <v>0</v>
      </c>
      <c r="T24" s="204">
        <f t="shared" si="1"/>
        <v>752125.93416233838</v>
      </c>
    </row>
    <row r="25" spans="1:21" ht="18" customHeight="1">
      <c r="A25" s="288" t="s">
        <v>160</v>
      </c>
      <c r="B25" s="435" t="s">
        <v>161</v>
      </c>
      <c r="C25" s="204">
        <f t="shared" ref="C25:S25" si="22">+C55+C85</f>
        <v>0</v>
      </c>
      <c r="D25" s="204">
        <f t="shared" si="22"/>
        <v>18438.202595156286</v>
      </c>
      <c r="E25" s="204">
        <f t="shared" si="22"/>
        <v>0</v>
      </c>
      <c r="F25" s="204">
        <f t="shared" si="22"/>
        <v>0</v>
      </c>
      <c r="G25" s="204">
        <f t="shared" si="22"/>
        <v>0</v>
      </c>
      <c r="H25" s="204">
        <f t="shared" si="22"/>
        <v>0</v>
      </c>
      <c r="I25" s="204">
        <f t="shared" si="22"/>
        <v>0</v>
      </c>
      <c r="J25" s="204">
        <f t="shared" si="22"/>
        <v>190573.08240736264</v>
      </c>
      <c r="K25" s="204">
        <f t="shared" si="22"/>
        <v>1416.4254807455752</v>
      </c>
      <c r="L25" s="204">
        <f t="shared" si="22"/>
        <v>0</v>
      </c>
      <c r="M25" s="204">
        <f t="shared" si="22"/>
        <v>0</v>
      </c>
      <c r="N25" s="204">
        <f t="shared" si="22"/>
        <v>0</v>
      </c>
      <c r="O25" s="204">
        <f t="shared" si="22"/>
        <v>0</v>
      </c>
      <c r="P25" s="204">
        <f t="shared" si="22"/>
        <v>265.5797776397954</v>
      </c>
      <c r="Q25" s="204">
        <f t="shared" si="22"/>
        <v>0</v>
      </c>
      <c r="R25" s="204">
        <f t="shared" si="22"/>
        <v>0</v>
      </c>
      <c r="S25" s="204">
        <f t="shared" si="22"/>
        <v>0</v>
      </c>
      <c r="T25" s="205">
        <f t="shared" si="1"/>
        <v>210693.29026090432</v>
      </c>
    </row>
    <row r="26" spans="1:21" ht="18" customHeight="1">
      <c r="A26" s="288" t="s">
        <v>153</v>
      </c>
      <c r="B26" s="435" t="s">
        <v>100</v>
      </c>
      <c r="C26" s="204">
        <f t="shared" ref="C26:S26" si="23">+C56+C86</f>
        <v>0</v>
      </c>
      <c r="D26" s="204">
        <f t="shared" si="23"/>
        <v>8748.6818774393087</v>
      </c>
      <c r="E26" s="204">
        <f t="shared" si="23"/>
        <v>0</v>
      </c>
      <c r="F26" s="204">
        <f t="shared" si="23"/>
        <v>251.64645980714258</v>
      </c>
      <c r="G26" s="204">
        <f t="shared" si="23"/>
        <v>0</v>
      </c>
      <c r="H26" s="204">
        <f t="shared" si="23"/>
        <v>0</v>
      </c>
      <c r="I26" s="204">
        <f t="shared" si="23"/>
        <v>0</v>
      </c>
      <c r="J26" s="204">
        <f t="shared" si="23"/>
        <v>0</v>
      </c>
      <c r="K26" s="204">
        <f t="shared" si="23"/>
        <v>8245.3889578250237</v>
      </c>
      <c r="L26" s="204">
        <f t="shared" si="23"/>
        <v>1006.5858392285703</v>
      </c>
      <c r="M26" s="204">
        <f t="shared" si="23"/>
        <v>0</v>
      </c>
      <c r="N26" s="204">
        <f t="shared" si="23"/>
        <v>18659.244931916099</v>
      </c>
      <c r="O26" s="204">
        <f t="shared" si="23"/>
        <v>1071336.0602966046</v>
      </c>
      <c r="P26" s="204">
        <f t="shared" si="23"/>
        <v>8891.5082465190389</v>
      </c>
      <c r="Q26" s="204">
        <f t="shared" si="23"/>
        <v>35821.080073718527</v>
      </c>
      <c r="R26" s="204">
        <f t="shared" si="23"/>
        <v>0</v>
      </c>
      <c r="S26" s="204">
        <f t="shared" si="23"/>
        <v>0</v>
      </c>
      <c r="T26" s="204">
        <f t="shared" si="1"/>
        <v>1152960.1966830583</v>
      </c>
    </row>
    <row r="27" spans="1:21" ht="18" customHeight="1">
      <c r="A27" s="288" t="s">
        <v>155</v>
      </c>
      <c r="B27" s="435" t="s">
        <v>42</v>
      </c>
      <c r="C27" s="204">
        <f t="shared" ref="C27:S27" si="24">+C57+C87</f>
        <v>0</v>
      </c>
      <c r="D27" s="204">
        <f t="shared" si="24"/>
        <v>647.94895086088763</v>
      </c>
      <c r="E27" s="204">
        <f t="shared" si="24"/>
        <v>259.17958034435503</v>
      </c>
      <c r="F27" s="204">
        <f t="shared" si="24"/>
        <v>0</v>
      </c>
      <c r="G27" s="204">
        <f t="shared" si="24"/>
        <v>323.97447543044382</v>
      </c>
      <c r="H27" s="204">
        <f t="shared" si="24"/>
        <v>518.35916068871006</v>
      </c>
      <c r="I27" s="204">
        <f t="shared" si="24"/>
        <v>0</v>
      </c>
      <c r="J27" s="204">
        <f t="shared" si="24"/>
        <v>0</v>
      </c>
      <c r="K27" s="204">
        <f t="shared" si="24"/>
        <v>0</v>
      </c>
      <c r="L27" s="204">
        <f t="shared" si="24"/>
        <v>0</v>
      </c>
      <c r="M27" s="204">
        <f t="shared" si="24"/>
        <v>0</v>
      </c>
      <c r="N27" s="204">
        <f t="shared" si="24"/>
        <v>139730.19125315041</v>
      </c>
      <c r="O27" s="204">
        <f t="shared" si="24"/>
        <v>4017.2834953375032</v>
      </c>
      <c r="P27" s="204">
        <f t="shared" si="24"/>
        <v>5710438.8988320883</v>
      </c>
      <c r="Q27" s="204">
        <f t="shared" si="24"/>
        <v>7192.2333545558522</v>
      </c>
      <c r="R27" s="204">
        <f t="shared" si="24"/>
        <v>0</v>
      </c>
      <c r="S27" s="204">
        <f t="shared" si="24"/>
        <v>0</v>
      </c>
      <c r="T27" s="204">
        <f t="shared" si="1"/>
        <v>5863128.0691024559</v>
      </c>
    </row>
    <row r="28" spans="1:21" ht="18" customHeight="1">
      <c r="A28" s="288" t="s">
        <v>162</v>
      </c>
      <c r="B28" s="435" t="s">
        <v>76</v>
      </c>
      <c r="C28" s="204">
        <f t="shared" ref="C28:S28" si="25">+C58+C88</f>
        <v>0</v>
      </c>
      <c r="D28" s="204">
        <f t="shared" si="25"/>
        <v>1653.5091001694741</v>
      </c>
      <c r="E28" s="204">
        <f t="shared" si="25"/>
        <v>122.48215556810919</v>
      </c>
      <c r="F28" s="204">
        <f t="shared" si="25"/>
        <v>0</v>
      </c>
      <c r="G28" s="204">
        <f t="shared" si="25"/>
        <v>183.72323335216379</v>
      </c>
      <c r="H28" s="204">
        <f t="shared" si="25"/>
        <v>0</v>
      </c>
      <c r="I28" s="204">
        <f t="shared" si="25"/>
        <v>0</v>
      </c>
      <c r="J28" s="204">
        <f t="shared" si="25"/>
        <v>0</v>
      </c>
      <c r="K28" s="204">
        <f t="shared" si="25"/>
        <v>0</v>
      </c>
      <c r="L28" s="204">
        <f t="shared" si="25"/>
        <v>0</v>
      </c>
      <c r="M28" s="204">
        <f t="shared" si="25"/>
        <v>0</v>
      </c>
      <c r="N28" s="204">
        <f t="shared" si="25"/>
        <v>12834775.666874394</v>
      </c>
      <c r="O28" s="204">
        <f t="shared" si="25"/>
        <v>61.241077784054596</v>
      </c>
      <c r="P28" s="204">
        <f t="shared" si="25"/>
        <v>0</v>
      </c>
      <c r="Q28" s="204">
        <f t="shared" si="25"/>
        <v>91202.986216894918</v>
      </c>
      <c r="R28" s="204">
        <f t="shared" si="25"/>
        <v>0</v>
      </c>
      <c r="S28" s="204">
        <f t="shared" si="25"/>
        <v>129210.58568011956</v>
      </c>
      <c r="T28" s="204">
        <f t="shared" si="1"/>
        <v>13057210.194338283</v>
      </c>
    </row>
    <row r="29" spans="1:21" ht="18" customHeight="1">
      <c r="A29" s="288" t="s">
        <v>156</v>
      </c>
      <c r="B29" s="435" t="s">
        <v>77</v>
      </c>
      <c r="C29" s="204">
        <f t="shared" ref="C29:S29" si="26">+C59+C89</f>
        <v>0</v>
      </c>
      <c r="D29" s="204">
        <f t="shared" si="26"/>
        <v>0</v>
      </c>
      <c r="E29" s="204">
        <f t="shared" si="26"/>
        <v>0</v>
      </c>
      <c r="F29" s="204">
        <f t="shared" si="26"/>
        <v>0</v>
      </c>
      <c r="G29" s="204">
        <f t="shared" si="26"/>
        <v>0</v>
      </c>
      <c r="H29" s="204">
        <f t="shared" si="26"/>
        <v>0</v>
      </c>
      <c r="I29" s="204">
        <f t="shared" si="26"/>
        <v>0</v>
      </c>
      <c r="J29" s="204">
        <f t="shared" si="26"/>
        <v>0</v>
      </c>
      <c r="K29" s="204">
        <f t="shared" si="26"/>
        <v>0</v>
      </c>
      <c r="L29" s="204">
        <f t="shared" si="26"/>
        <v>0</v>
      </c>
      <c r="M29" s="204">
        <f t="shared" si="26"/>
        <v>4806946.7990595018</v>
      </c>
      <c r="N29" s="204">
        <f t="shared" si="26"/>
        <v>130258.28234600284</v>
      </c>
      <c r="O29" s="204">
        <f t="shared" si="26"/>
        <v>0</v>
      </c>
      <c r="P29" s="204">
        <f t="shared" si="26"/>
        <v>0</v>
      </c>
      <c r="Q29" s="204">
        <f t="shared" si="26"/>
        <v>124.23298268574425</v>
      </c>
      <c r="R29" s="204">
        <f t="shared" si="26"/>
        <v>0</v>
      </c>
      <c r="S29" s="204">
        <f t="shared" si="26"/>
        <v>0</v>
      </c>
      <c r="T29" s="204">
        <f t="shared" si="1"/>
        <v>4937329.3143881904</v>
      </c>
    </row>
    <row r="30" spans="1:21" ht="17.100000000000001" customHeight="1">
      <c r="A30" s="289" t="s">
        <v>163</v>
      </c>
      <c r="B30" s="436" t="s">
        <v>164</v>
      </c>
      <c r="C30" s="206">
        <f t="shared" ref="C30:S30" si="27">+C60+C90</f>
        <v>0</v>
      </c>
      <c r="D30" s="206">
        <f t="shared" si="27"/>
        <v>0</v>
      </c>
      <c r="E30" s="206">
        <f t="shared" si="27"/>
        <v>0</v>
      </c>
      <c r="F30" s="206">
        <f t="shared" si="27"/>
        <v>0</v>
      </c>
      <c r="G30" s="206">
        <f t="shared" si="27"/>
        <v>0</v>
      </c>
      <c r="H30" s="206">
        <f t="shared" si="27"/>
        <v>0</v>
      </c>
      <c r="I30" s="206">
        <f t="shared" si="27"/>
        <v>0</v>
      </c>
      <c r="J30" s="206">
        <f t="shared" si="27"/>
        <v>0</v>
      </c>
      <c r="K30" s="206">
        <f t="shared" si="27"/>
        <v>0</v>
      </c>
      <c r="L30" s="206">
        <f t="shared" si="27"/>
        <v>0</v>
      </c>
      <c r="M30" s="206">
        <f t="shared" si="27"/>
        <v>822631.66660143691</v>
      </c>
      <c r="N30" s="206">
        <f t="shared" si="27"/>
        <v>4269.17143622817</v>
      </c>
      <c r="O30" s="206">
        <f t="shared" si="27"/>
        <v>0</v>
      </c>
      <c r="P30" s="206">
        <f t="shared" si="27"/>
        <v>0</v>
      </c>
      <c r="Q30" s="206">
        <f t="shared" si="27"/>
        <v>1883.4579865712515</v>
      </c>
      <c r="R30" s="206">
        <f t="shared" si="27"/>
        <v>0</v>
      </c>
      <c r="S30" s="206">
        <f t="shared" si="27"/>
        <v>251.12773154283352</v>
      </c>
      <c r="T30" s="206">
        <f t="shared" si="1"/>
        <v>829035.42375577916</v>
      </c>
    </row>
    <row r="31" spans="1:21" ht="17.100000000000001" customHeight="1">
      <c r="B31" s="433" t="s">
        <v>17</v>
      </c>
      <c r="C31" s="290">
        <f t="shared" ref="C31:S31" si="28">SUM(C4:C30)</f>
        <v>7045525.0193991773</v>
      </c>
      <c r="D31" s="290">
        <f t="shared" si="28"/>
        <v>178230967.52469337</v>
      </c>
      <c r="E31" s="290">
        <f t="shared" si="28"/>
        <v>23442506.645551872</v>
      </c>
      <c r="F31" s="290">
        <f t="shared" si="28"/>
        <v>6863080.3193404516</v>
      </c>
      <c r="G31" s="290">
        <f t="shared" si="28"/>
        <v>28399714.955134548</v>
      </c>
      <c r="H31" s="290">
        <f t="shared" si="28"/>
        <v>15151895.89784929</v>
      </c>
      <c r="I31" s="290">
        <f t="shared" si="28"/>
        <v>2638548.5128266951</v>
      </c>
      <c r="J31" s="290">
        <f t="shared" si="28"/>
        <v>11470615.606732845</v>
      </c>
      <c r="K31" s="290">
        <f t="shared" si="28"/>
        <v>4059673.9732457385</v>
      </c>
      <c r="L31" s="290">
        <f t="shared" si="28"/>
        <v>3734498.7515704278</v>
      </c>
      <c r="M31" s="290">
        <f t="shared" si="28"/>
        <v>5648317.2727443213</v>
      </c>
      <c r="N31" s="290">
        <f t="shared" si="28"/>
        <v>22041763.655008189</v>
      </c>
      <c r="O31" s="290">
        <f t="shared" si="28"/>
        <v>4219996.5748996045</v>
      </c>
      <c r="P31" s="290">
        <f t="shared" si="28"/>
        <v>6032912.0705531016</v>
      </c>
      <c r="Q31" s="290">
        <f t="shared" si="28"/>
        <v>7116189.1729431907</v>
      </c>
      <c r="R31" s="291">
        <f t="shared" si="28"/>
        <v>2386752.3313133991</v>
      </c>
      <c r="S31" s="291">
        <f t="shared" si="28"/>
        <v>2418495.8617624957</v>
      </c>
      <c r="T31" s="290">
        <f t="shared" si="1"/>
        <v>330901454.14556861</v>
      </c>
    </row>
    <row r="32" spans="1:21" s="18" customFormat="1" ht="17.100000000000001" customHeight="1">
      <c r="A32" s="292"/>
      <c r="B32" s="292" t="s">
        <v>202</v>
      </c>
      <c r="C32" s="296"/>
      <c r="D32" s="296"/>
      <c r="E32" s="296"/>
      <c r="F32" s="296"/>
      <c r="G32" s="296"/>
      <c r="H32" s="296"/>
      <c r="I32" s="296"/>
      <c r="J32" s="296"/>
      <c r="K32" s="296"/>
      <c r="L32" s="296"/>
      <c r="M32" s="296"/>
      <c r="N32" s="296"/>
      <c r="O32" s="296"/>
      <c r="P32" s="296"/>
      <c r="Q32" s="296"/>
      <c r="R32" s="297"/>
      <c r="S32" s="298"/>
      <c r="T32" s="198"/>
      <c r="U32" s="3"/>
    </row>
    <row r="33" spans="1:20" ht="17.100000000000001" customHeight="1">
      <c r="A33" s="219" t="s">
        <v>203</v>
      </c>
      <c r="C33" s="36">
        <v>252</v>
      </c>
      <c r="D33" s="39">
        <v>254</v>
      </c>
      <c r="E33" s="39">
        <v>256</v>
      </c>
      <c r="F33" s="42">
        <v>258</v>
      </c>
      <c r="G33" s="39">
        <v>260</v>
      </c>
      <c r="H33" s="39">
        <v>263</v>
      </c>
      <c r="I33" s="39">
        <v>267</v>
      </c>
      <c r="J33" s="39">
        <v>268</v>
      </c>
      <c r="K33" s="39">
        <v>270</v>
      </c>
      <c r="L33" s="39">
        <v>272</v>
      </c>
      <c r="M33" s="39">
        <v>302</v>
      </c>
      <c r="N33" s="39">
        <v>304</v>
      </c>
      <c r="O33" s="39">
        <v>306</v>
      </c>
      <c r="P33" s="39">
        <v>308</v>
      </c>
      <c r="Q33" s="39">
        <v>310</v>
      </c>
      <c r="R33" s="39">
        <v>282</v>
      </c>
      <c r="S33" s="44">
        <v>266</v>
      </c>
    </row>
    <row r="34" spans="1:20" ht="17.100000000000001" customHeight="1">
      <c r="A34" s="276" t="s">
        <v>128</v>
      </c>
      <c r="B34" s="302" t="s">
        <v>21</v>
      </c>
      <c r="C34" s="80">
        <f>+UGpcntSCH*(VLOOKUP($A34,FY14ProjRev!$A$3:$K$29,11,FALSE))*VLOOKUP($A34,FY14ProjSCH!$A$3:$T$30,MATCH(C$33,FY14ProjSCH!$A$3:$T$3,0),FALSE)</f>
        <v>2371452.3901604461</v>
      </c>
      <c r="D34" s="80">
        <f>+UGpcntSCH*(VLOOKUP($A34,FY14ProjRev!$A$3:$K$29,11,FALSE))*VLOOKUP($A34,FY14ProjSCH!$A$3:$T$30,MATCH(D$33,FY14ProjSCH!$A$3:$T$3,0),FALSE)</f>
        <v>101793832.53644034</v>
      </c>
      <c r="E34" s="80">
        <f>+UGpcntSCH*(VLOOKUP($A34,FY14ProjRev!$A$3:$K$29,11,FALSE))*VLOOKUP($A34,FY14ProjSCH!$A$3:$T$30,MATCH(E$33,FY14ProjSCH!$A$3:$T$3,0),FALSE)</f>
        <v>9465209.3753166609</v>
      </c>
      <c r="F34" s="80">
        <f>+UGpcntSCH*(VLOOKUP($A34,FY14ProjRev!$A$3:$K$29,11,FALSE))*VLOOKUP($A34,FY14ProjSCH!$A$3:$T$30,MATCH(F$33,FY14ProjSCH!$A$3:$T$3,0),FALSE)</f>
        <v>1884341.1756713546</v>
      </c>
      <c r="G34" s="80">
        <f>+UGpcntSCH*(VLOOKUP($A34,FY14ProjRev!$A$3:$K$29,11,FALSE))*VLOOKUP($A34,FY14ProjSCH!$A$3:$T$30,MATCH(G$33,FY14ProjSCH!$A$3:$T$3,0),FALSE)</f>
        <v>12027629.321984846</v>
      </c>
      <c r="H34" s="80">
        <f>+UGpcntSCH*(VLOOKUP($A34,FY14ProjRev!$A$3:$K$29,11,FALSE))*VLOOKUP($A34,FY14ProjSCH!$A$3:$T$30,MATCH(H$33,FY14ProjSCH!$A$3:$T$3,0),FALSE)</f>
        <v>8401037.0688008294</v>
      </c>
      <c r="I34" s="80">
        <f>+UGpcntSCH*(VLOOKUP($A34,FY14ProjRev!$A$3:$K$29,11,FALSE))*VLOOKUP($A34,FY14ProjSCH!$A$3:$T$30,MATCH(I$33,FY14ProjSCH!$A$3:$T$3,0),FALSE)</f>
        <v>1507652.072583389</v>
      </c>
      <c r="J34" s="80">
        <f>+UGpcntSCH*(VLOOKUP($A34,FY14ProjRev!$A$3:$K$29,11,FALSE))*VLOOKUP($A34,FY14ProjSCH!$A$3:$T$30,MATCH(J$33,FY14ProjSCH!$A$3:$T$3,0),FALSE)</f>
        <v>6269.6216206896434</v>
      </c>
      <c r="K34" s="80">
        <f>+UGpcntSCH*(VLOOKUP($A34,FY14ProjRev!$A$3:$K$29,11,FALSE))*VLOOKUP($A34,FY14ProjSCH!$A$3:$T$30,MATCH(K$33,FY14ProjSCH!$A$3:$T$3,0),FALSE)</f>
        <v>11771.534471498922</v>
      </c>
      <c r="L34" s="80">
        <f>+UGpcntSCH*(VLOOKUP($A34,FY14ProjRev!$A$3:$K$29,11,FALSE))*VLOOKUP($A34,FY14ProjSCH!$A$3:$T$30,MATCH(L$33,FY14ProjSCH!$A$3:$T$3,0),FALSE)</f>
        <v>429533.05674806394</v>
      </c>
      <c r="M34" s="80">
        <f>+UGpcntSCH*(VLOOKUP($A34,FY14ProjRev!$A$3:$K$29,11,FALSE))*VLOOKUP($A34,FY14ProjSCH!$A$3:$T$30,MATCH(M$33,FY14ProjSCH!$A$3:$T$3,0),FALSE)</f>
        <v>12539.243241379287</v>
      </c>
      <c r="N34" s="80">
        <f>+UGpcntSCH*(VLOOKUP($A34,FY14ProjRev!$A$3:$K$29,11,FALSE))*VLOOKUP($A34,FY14ProjSCH!$A$3:$T$30,MATCH(N$33,FY14ProjSCH!$A$3:$T$3,0),FALSE)</f>
        <v>3946087.0529158968</v>
      </c>
      <c r="O34" s="80">
        <f>+UGpcntSCH*(VLOOKUP($A34,FY14ProjRev!$A$3:$K$29,11,FALSE))*VLOOKUP($A34,FY14ProjSCH!$A$3:$T$30,MATCH(O$33,FY14ProjSCH!$A$3:$T$3,0),FALSE)</f>
        <v>1202103.9821710039</v>
      </c>
      <c r="P34" s="80">
        <f>+UGpcntSCH*(VLOOKUP($A34,FY14ProjRev!$A$3:$K$29,11,FALSE))*VLOOKUP($A34,FY14ProjSCH!$A$3:$T$30,MATCH(P$33,FY14ProjSCH!$A$3:$T$3,0),FALSE)</f>
        <v>52076.244890218062</v>
      </c>
      <c r="Q34" s="80">
        <f>+UGpcntSCH*(VLOOKUP($A34,FY14ProjRev!$A$3:$K$29,11,FALSE))*VLOOKUP($A34,FY14ProjSCH!$A$3:$T$30,MATCH(Q$33,FY14ProjSCH!$A$3:$T$3,0),FALSE)</f>
        <v>1558448.8028571398</v>
      </c>
      <c r="R34" s="80">
        <f>+UGpcntSCH*(VLOOKUP($A34,FY14ProjRev!$A$3:$K$29,11,FALSE))*VLOOKUP($A34,FY14ProjSCH!$A$3:$T$30,MATCH(R$33,FY14ProjSCH!$A$3:$T$3,0),FALSE)</f>
        <v>1908779.9048458794</v>
      </c>
      <c r="S34" s="80">
        <f>+UGpcntSCH*(VLOOKUP($A34,FY14ProjRev!$A$3:$K$29,11,FALSE))*VLOOKUP($A34,FY14ProjSCH!$A$3:$T$30,MATCH(S$33,FY14ProjSCH!$A$3:$T$3,0),FALSE)</f>
        <v>215726.16433638244</v>
      </c>
      <c r="T34" s="80">
        <f t="shared" ref="T34:T60" si="29">SUM(C34:Q34)+R34+S34</f>
        <v>146794489.54905599</v>
      </c>
    </row>
    <row r="35" spans="1:20" ht="17.100000000000001" customHeight="1">
      <c r="A35" s="277" t="s">
        <v>129</v>
      </c>
      <c r="B35" s="303" t="s">
        <v>71</v>
      </c>
      <c r="C35" s="83">
        <f>+GPpcntSCH*(VLOOKUP($A35,FY14ProjRev!$A$3:$K$29,11,FALSE))*VLOOKUP($A35,FY14ProjSCH!$A$3:$T$30,MATCH(C$33,FY14ProjSCH!$A$3:$T$3,0),FALSE)</f>
        <v>24964.568132735829</v>
      </c>
      <c r="D35" s="83">
        <f>+GPpcntSCH*(VLOOKUP($A35,FY14ProjRev!$A$3:$K$29,11,FALSE))*VLOOKUP($A35,FY14ProjSCH!$A$3:$T$30,MATCH(D$33,FY14ProjSCH!$A$3:$T$3,0),FALSE)</f>
        <v>1933847.8223103115</v>
      </c>
      <c r="E35" s="83">
        <f>+GPpcntSCH*(VLOOKUP($A35,FY14ProjRev!$A$3:$K$29,11,FALSE))*VLOOKUP($A35,FY14ProjSCH!$A$3:$T$30,MATCH(E$33,FY14ProjSCH!$A$3:$T$3,0),FALSE)</f>
        <v>57091.102533059806</v>
      </c>
      <c r="F35" s="83">
        <f>+GPpcntSCH*(VLOOKUP($A35,FY14ProjRev!$A$3:$K$29,11,FALSE))*VLOOKUP($A35,FY14ProjSCH!$A$3:$T$30,MATCH(F$33,FY14ProjSCH!$A$3:$T$3,0),FALSE)</f>
        <v>8331.26688270458</v>
      </c>
      <c r="G35" s="83">
        <f>+GPpcntSCH*(VLOOKUP($A35,FY14ProjRev!$A$3:$K$29,11,FALSE))*VLOOKUP($A35,FY14ProjSCH!$A$3:$T$30,MATCH(G$33,FY14ProjSCH!$A$3:$T$3,0),FALSE)</f>
        <v>117514.71181920143</v>
      </c>
      <c r="H35" s="83">
        <f>+GPpcntSCH*(VLOOKUP($A35,FY14ProjRev!$A$3:$K$29,11,FALSE))*VLOOKUP($A35,FY14ProjSCH!$A$3:$T$30,MATCH(H$33,FY14ProjSCH!$A$3:$T$3,0),FALSE)</f>
        <v>14207.00247366465</v>
      </c>
      <c r="I35" s="83">
        <f>+GPpcntSCH*(VLOOKUP($A35,FY14ProjRev!$A$3:$K$29,11,FALSE))*VLOOKUP($A35,FY14ProjSCH!$A$3:$T$30,MATCH(I$33,FY14ProjSCH!$A$3:$T$3,0),FALSE)</f>
        <v>37651.479806749114</v>
      </c>
      <c r="J35" s="83">
        <f>+GPpcntSCH*(VLOOKUP($A35,FY14ProjRev!$A$3:$K$29,11,FALSE))*VLOOKUP($A35,FY14ProjSCH!$A$3:$T$30,MATCH(J$33,FY14ProjSCH!$A$3:$T$3,0),FALSE)</f>
        <v>2455.5312917445076</v>
      </c>
      <c r="K35" s="83">
        <f>+GPpcntSCH*(VLOOKUP($A35,FY14ProjRev!$A$3:$K$29,11,FALSE))*VLOOKUP($A35,FY14ProjSCH!$A$3:$T$30,MATCH(K$33,FY14ProjSCH!$A$3:$T$3,0),FALSE)</f>
        <v>21515.131318142354</v>
      </c>
      <c r="L35" s="83">
        <f>+GPpcntSCH*(VLOOKUP($A35,FY14ProjRev!$A$3:$K$29,11,FALSE))*VLOOKUP($A35,FY14ProjSCH!$A$3:$T$30,MATCH(L$33,FY14ProjSCH!$A$3:$T$3,0),FALSE)</f>
        <v>2484.7638071224187</v>
      </c>
      <c r="M35" s="83">
        <f>+GPpcntSCH*(VLOOKUP($A35,FY14ProjRev!$A$3:$K$29,11,FALSE))*VLOOKUP($A35,FY14ProjSCH!$A$3:$T$30,MATCH(M$33,FY14ProjSCH!$A$3:$T$3,0),FALSE)</f>
        <v>87.697546133732416</v>
      </c>
      <c r="N35" s="83">
        <f>+GPpcntSCH*(VLOOKUP($A35,FY14ProjRev!$A$3:$K$29,11,FALSE))*VLOOKUP($A35,FY14ProjSCH!$A$3:$T$30,MATCH(N$33,FY14ProjSCH!$A$3:$T$3,0),FALSE)</f>
        <v>355262.75938775006</v>
      </c>
      <c r="O35" s="83">
        <f>+GPpcntSCH*(VLOOKUP($A35,FY14ProjRev!$A$3:$K$29,11,FALSE))*VLOOKUP($A35,FY14ProjSCH!$A$3:$T$30,MATCH(O$33,FY14ProjSCH!$A$3:$T$3,0),FALSE)</f>
        <v>1900.1134995642024</v>
      </c>
      <c r="P35" s="83">
        <f>+GPpcntSCH*(VLOOKUP($A35,FY14ProjRev!$A$3:$K$29,11,FALSE))*VLOOKUP($A35,FY14ProjSCH!$A$3:$T$30,MATCH(P$33,FY14ProjSCH!$A$3:$T$3,0),FALSE)</f>
        <v>42825.635028639328</v>
      </c>
      <c r="Q35" s="83">
        <f>+GPpcntSCH*(VLOOKUP($A35,FY14ProjRev!$A$3:$K$29,11,FALSE))*VLOOKUP($A35,FY14ProjSCH!$A$3:$T$30,MATCH(Q$33,FY14ProjSCH!$A$3:$T$3,0),FALSE)</f>
        <v>23356.779786950734</v>
      </c>
      <c r="R35" s="83">
        <f>+GPpcntSCH*(VLOOKUP($A35,FY14ProjRev!$A$3:$K$29,11,FALSE))*VLOOKUP($A35,FY14ProjSCH!$A$3:$T$30,MATCH(R$33,FY14ProjSCH!$A$3:$T$3,0),FALSE)</f>
        <v>0</v>
      </c>
      <c r="S35" s="83">
        <f>+GPpcntSCH*(VLOOKUP($A35,FY14ProjRev!$A$3:$K$29,11,FALSE))*VLOOKUP($A35,FY14ProjSCH!$A$3:$T$30,MATCH(S$33,FY14ProjSCH!$A$3:$T$3,0),FALSE)</f>
        <v>183273.25516181177</v>
      </c>
      <c r="T35" s="83">
        <f t="shared" si="29"/>
        <v>2826769.620786286</v>
      </c>
    </row>
    <row r="36" spans="1:20" ht="17.100000000000001" customHeight="1">
      <c r="A36" s="277" t="s">
        <v>140</v>
      </c>
      <c r="B36" s="303" t="s">
        <v>72</v>
      </c>
      <c r="C36" s="83">
        <f>+GPpcntSCH*(VLOOKUP($A36,FY14ProjRev!$A$3:$K$29,11,FALSE))*VLOOKUP($A36,FY14ProjSCH!$A$3:$T$30,MATCH(C$33,FY14ProjSCH!$A$3:$T$3,0),FALSE)</f>
        <v>0</v>
      </c>
      <c r="D36" s="83">
        <f>+GPpcntSCH*(VLOOKUP($A36,FY14ProjRev!$A$3:$K$29,11,FALSE))*VLOOKUP($A36,FY14ProjSCH!$A$3:$T$30,MATCH(D$33,FY14ProjSCH!$A$3:$T$3,0),FALSE)</f>
        <v>9928.9035258755757</v>
      </c>
      <c r="E36" s="83">
        <f>+GPpcntSCH*(VLOOKUP($A36,FY14ProjRev!$A$3:$K$29,11,FALSE))*VLOOKUP($A36,FY14ProjSCH!$A$3:$T$30,MATCH(E$33,FY14ProjSCH!$A$3:$T$3,0),FALSE)</f>
        <v>0</v>
      </c>
      <c r="F36" s="83">
        <f>+GPpcntSCH*(VLOOKUP($A36,FY14ProjRev!$A$3:$K$29,11,FALSE))*VLOOKUP($A36,FY14ProjSCH!$A$3:$T$30,MATCH(F$33,FY14ProjSCH!$A$3:$T$3,0),FALSE)</f>
        <v>839.062269792302</v>
      </c>
      <c r="G36" s="83">
        <f>+GPpcntSCH*(VLOOKUP($A36,FY14ProjRev!$A$3:$K$29,11,FALSE))*VLOOKUP($A36,FY14ProjSCH!$A$3:$T$30,MATCH(G$33,FY14ProjSCH!$A$3:$T$3,0),FALSE)</f>
        <v>512.76027598418455</v>
      </c>
      <c r="H36" s="83">
        <f>+GPpcntSCH*(VLOOKUP($A36,FY14ProjRev!$A$3:$K$29,11,FALSE))*VLOOKUP($A36,FY14ProjSCH!$A$3:$T$30,MATCH(H$33,FY14ProjSCH!$A$3:$T$3,0),FALSE)</f>
        <v>0</v>
      </c>
      <c r="I36" s="83">
        <f>+GPpcntSCH*(VLOOKUP($A36,FY14ProjRev!$A$3:$K$29,11,FALSE))*VLOOKUP($A36,FY14ProjSCH!$A$3:$T$30,MATCH(I$33,FY14ProjSCH!$A$3:$T$3,0),FALSE)</f>
        <v>0</v>
      </c>
      <c r="J36" s="83">
        <f>+GPpcntSCH*(VLOOKUP($A36,FY14ProjRev!$A$3:$K$29,11,FALSE))*VLOOKUP($A36,FY14ProjSCH!$A$3:$T$30,MATCH(J$33,FY14ProjSCH!$A$3:$T$3,0),FALSE)</f>
        <v>279.68742326410069</v>
      </c>
      <c r="K36" s="83">
        <f>+GPpcntSCH*(VLOOKUP($A36,FY14ProjRev!$A$3:$K$29,11,FALSE))*VLOOKUP($A36,FY14ProjSCH!$A$3:$T$30,MATCH(K$33,FY14ProjSCH!$A$3:$T$3,0),FALSE)</f>
        <v>1445.0516868645202</v>
      </c>
      <c r="L36" s="83">
        <f>+GPpcntSCH*(VLOOKUP($A36,FY14ProjRev!$A$3:$K$29,11,FALSE))*VLOOKUP($A36,FY14ProjSCH!$A$3:$T$30,MATCH(L$33,FY14ProjSCH!$A$3:$T$3,0),FALSE)</f>
        <v>32816.657662987811</v>
      </c>
      <c r="M36" s="83">
        <f>+GPpcntSCH*(VLOOKUP($A36,FY14ProjRev!$A$3:$K$29,11,FALSE))*VLOOKUP($A36,FY14ProjSCH!$A$3:$T$30,MATCH(M$33,FY14ProjSCH!$A$3:$T$3,0),FALSE)</f>
        <v>0</v>
      </c>
      <c r="N36" s="83">
        <f>+GPpcntSCH*(VLOOKUP($A36,FY14ProjRev!$A$3:$K$29,11,FALSE))*VLOOKUP($A36,FY14ProjSCH!$A$3:$T$30,MATCH(N$33,FY14ProjSCH!$A$3:$T$3,0),FALSE)</f>
        <v>178160.88861923214</v>
      </c>
      <c r="O36" s="83">
        <f>+GPpcntSCH*(VLOOKUP($A36,FY14ProjRev!$A$3:$K$29,11,FALSE))*VLOOKUP($A36,FY14ProjSCH!$A$3:$T$30,MATCH(O$33,FY14ProjSCH!$A$3:$T$3,0),FALSE)</f>
        <v>559.37484652820137</v>
      </c>
      <c r="P36" s="83">
        <f>+GPpcntSCH*(VLOOKUP($A36,FY14ProjRev!$A$3:$K$29,11,FALSE))*VLOOKUP($A36,FY14ProjSCH!$A$3:$T$30,MATCH(P$33,FY14ProjSCH!$A$3:$T$3,0),FALSE)</f>
        <v>419.531134896151</v>
      </c>
      <c r="Q36" s="83">
        <f>+GPpcntSCH*(VLOOKUP($A36,FY14ProjRev!$A$3:$K$29,11,FALSE))*VLOOKUP($A36,FY14ProjSCH!$A$3:$T$30,MATCH(Q$33,FY14ProjSCH!$A$3:$T$3,0),FALSE)</f>
        <v>3029.9470853610906</v>
      </c>
      <c r="R36" s="83">
        <f>+GPpcntSCH*(VLOOKUP($A36,FY14ProjRev!$A$3:$K$29,11,FALSE))*VLOOKUP($A36,FY14ProjSCH!$A$3:$T$30,MATCH(R$33,FY14ProjSCH!$A$3:$T$3,0),FALSE)</f>
        <v>93.229141088033572</v>
      </c>
      <c r="S36" s="83">
        <f>+GPpcntSCH*(VLOOKUP($A36,FY14ProjRev!$A$3:$K$29,11,FALSE))*VLOOKUP($A36,FY14ProjSCH!$A$3:$T$30,MATCH(S$33,FY14ProjSCH!$A$3:$T$3,0),FALSE)</f>
        <v>0</v>
      </c>
      <c r="T36" s="83">
        <f t="shared" si="29"/>
        <v>228085.09367187408</v>
      </c>
    </row>
    <row r="37" spans="1:20" ht="17.100000000000001" customHeight="1">
      <c r="A37" s="222" t="s">
        <v>130</v>
      </c>
      <c r="B37" s="303" t="s">
        <v>73</v>
      </c>
      <c r="C37" s="83">
        <f>+GPpcntSCH*(VLOOKUP($A37,FY14ProjRev!$A$3:$K$29,11,FALSE))*VLOOKUP($A37,FY14ProjSCH!$A$3:$T$30,MATCH(C$33,FY14ProjSCH!$A$3:$T$3,0),FALSE)</f>
        <v>6693.8261113750232</v>
      </c>
      <c r="D37" s="83">
        <f>+GPpcntSCH*(VLOOKUP($A37,FY14ProjRev!$A$3:$K$29,11,FALSE))*VLOOKUP($A37,FY14ProjSCH!$A$3:$T$30,MATCH(D$33,FY14ProjSCH!$A$3:$T$3,0),FALSE)</f>
        <v>74143.421164188621</v>
      </c>
      <c r="E37" s="83">
        <f>+GPpcntSCH*(VLOOKUP($A37,FY14ProjRev!$A$3:$K$29,11,FALSE))*VLOOKUP($A37,FY14ProjSCH!$A$3:$T$30,MATCH(E$33,FY14ProjSCH!$A$3:$T$3,0),FALSE)</f>
        <v>14828.684232837724</v>
      </c>
      <c r="F37" s="83">
        <f>+GPpcntSCH*(VLOOKUP($A37,FY14ProjRev!$A$3:$K$29,11,FALSE))*VLOOKUP($A37,FY14ProjSCH!$A$3:$T$30,MATCH(F$33,FY14ProjSCH!$A$3:$T$3,0),FALSE)</f>
        <v>5299.2790048385596</v>
      </c>
      <c r="G37" s="83">
        <f>+GPpcntSCH*(VLOOKUP($A37,FY14ProjRev!$A$3:$K$29,11,FALSE))*VLOOKUP($A37,FY14ProjSCH!$A$3:$T$30,MATCH(G$33,FY14ProjSCH!$A$3:$T$3,0),FALSE)</f>
        <v>1257625.823126358</v>
      </c>
      <c r="H37" s="83">
        <f>+GPpcntSCH*(VLOOKUP($A37,FY14ProjRev!$A$3:$K$29,11,FALSE))*VLOOKUP($A37,FY14ProjSCH!$A$3:$T$30,MATCH(H$33,FY14ProjSCH!$A$3:$T$3,0),FALSE)</f>
        <v>11574.740984252645</v>
      </c>
      <c r="I37" s="83">
        <f>+GPpcntSCH*(VLOOKUP($A37,FY14ProjRev!$A$3:$K$29,11,FALSE))*VLOOKUP($A37,FY14ProjSCH!$A$3:$T$30,MATCH(I$33,FY14ProjSCH!$A$3:$T$3,0),FALSE)</f>
        <v>1255.0923958828168</v>
      </c>
      <c r="J37" s="83">
        <f>+GPpcntSCH*(VLOOKUP($A37,FY14ProjRev!$A$3:$K$29,11,FALSE))*VLOOKUP($A37,FY14ProjSCH!$A$3:$T$30,MATCH(J$33,FY14ProjSCH!$A$3:$T$3,0),FALSE)</f>
        <v>6043.0374616580066</v>
      </c>
      <c r="K37" s="83">
        <f>+GPpcntSCH*(VLOOKUP($A37,FY14ProjRev!$A$3:$K$29,11,FALSE))*VLOOKUP($A37,FY14ProjSCH!$A$3:$T$30,MATCH(K$33,FY14ProjSCH!$A$3:$T$3,0),FALSE)</f>
        <v>1673.4565278437558</v>
      </c>
      <c r="L37" s="83">
        <f>+GPpcntSCH*(VLOOKUP($A37,FY14ProjRev!$A$3:$K$29,11,FALSE))*VLOOKUP($A37,FY14ProjSCH!$A$3:$T$30,MATCH(L$33,FY14ProjSCH!$A$3:$T$3,0),FALSE)</f>
        <v>1255.0923958828168</v>
      </c>
      <c r="M37" s="83">
        <f>+GPpcntSCH*(VLOOKUP($A37,FY14ProjRev!$A$3:$K$29,11,FALSE))*VLOOKUP($A37,FY14ProjSCH!$A$3:$T$30,MATCH(M$33,FY14ProjSCH!$A$3:$T$3,0),FALSE)</f>
        <v>0</v>
      </c>
      <c r="N37" s="83">
        <f>+GPpcntSCH*(VLOOKUP($A37,FY14ProjRev!$A$3:$K$29,11,FALSE))*VLOOKUP($A37,FY14ProjSCH!$A$3:$T$30,MATCH(N$33,FY14ProjSCH!$A$3:$T$3,0),FALSE)</f>
        <v>19175.02271487637</v>
      </c>
      <c r="O37" s="83">
        <f>+GPpcntSCH*(VLOOKUP($A37,FY14ProjRev!$A$3:$K$29,11,FALSE))*VLOOKUP($A37,FY14ProjSCH!$A$3:$T$30,MATCH(O$33,FY14ProjSCH!$A$3:$T$3,0),FALSE)</f>
        <v>54061.942830063548</v>
      </c>
      <c r="P37" s="83">
        <f>+GPpcntSCH*(VLOOKUP($A37,FY14ProjRev!$A$3:$K$29,11,FALSE))*VLOOKUP($A37,FY14ProjSCH!$A$3:$T$30,MATCH(P$33,FY14ProjSCH!$A$3:$T$3,0),FALSE)</f>
        <v>697.27355326823158</v>
      </c>
      <c r="Q37" s="83">
        <f>+GPpcntSCH*(VLOOKUP($A37,FY14ProjRev!$A$3:$K$29,11,FALSE))*VLOOKUP($A37,FY14ProjSCH!$A$3:$T$30,MATCH(Q$33,FY14ProjSCH!$A$3:$T$3,0),FALSE)</f>
        <v>18686.931227588608</v>
      </c>
      <c r="R37" s="83">
        <f>+GPpcntSCH*(VLOOKUP($A37,FY14ProjRev!$A$3:$K$29,11,FALSE))*VLOOKUP($A37,FY14ProjSCH!$A$3:$T$30,MATCH(R$33,FY14ProjSCH!$A$3:$T$3,0),FALSE)</f>
        <v>929.69807102430866</v>
      </c>
      <c r="S37" s="83">
        <f>+GPpcntSCH*(VLOOKUP($A37,FY14ProjRev!$A$3:$K$29,11,FALSE))*VLOOKUP($A37,FY14ProjSCH!$A$3:$T$30,MATCH(S$33,FY14ProjSCH!$A$3:$T$3,0),FALSE)</f>
        <v>255.66696953168491</v>
      </c>
      <c r="T37" s="83">
        <f t="shared" si="29"/>
        <v>1474198.988771471</v>
      </c>
    </row>
    <row r="38" spans="1:20" ht="17.100000000000001" customHeight="1">
      <c r="A38" s="222" t="s">
        <v>131</v>
      </c>
      <c r="B38" s="303" t="s">
        <v>141</v>
      </c>
      <c r="C38" s="83">
        <f>+GPpcntSCH*(VLOOKUP($A38,FY14ProjRev!$A$3:$K$29,11,FALSE))*VLOOKUP($A38,FY14ProjSCH!$A$3:$T$30,MATCH(C$33,FY14ProjSCH!$A$3:$T$3,0),FALSE)</f>
        <v>1814.0578175410794</v>
      </c>
      <c r="D38" s="83">
        <f>+GPpcntSCH*(VLOOKUP($A38,FY14ProjRev!$A$3:$K$29,11,FALSE))*VLOOKUP($A38,FY14ProjSCH!$A$3:$T$30,MATCH(D$33,FY14ProjSCH!$A$3:$T$3,0),FALSE)</f>
        <v>27128.410089591594</v>
      </c>
      <c r="E38" s="83">
        <f>+GPpcntSCH*(VLOOKUP($A38,FY14ProjRev!$A$3:$K$29,11,FALSE))*VLOOKUP($A38,FY14ProjSCH!$A$3:$T$30,MATCH(E$33,FY14ProjSCH!$A$3:$T$3,0),FALSE)</f>
        <v>2061.4293381148632</v>
      </c>
      <c r="F38" s="83">
        <f>+GPpcntSCH*(VLOOKUP($A38,FY14ProjRev!$A$3:$K$29,11,FALSE))*VLOOKUP($A38,FY14ProjSCH!$A$3:$T$30,MATCH(F$33,FY14ProjSCH!$A$3:$T$3,0),FALSE)</f>
        <v>1071.9432558197288</v>
      </c>
      <c r="G38" s="83">
        <f>+GPpcntSCH*(VLOOKUP($A38,FY14ProjRev!$A$3:$K$29,11,FALSE))*VLOOKUP($A38,FY14ProjSCH!$A$3:$T$30,MATCH(G$33,FY14ProjSCH!$A$3:$T$3,0),FALSE)</f>
        <v>5689.544973197022</v>
      </c>
      <c r="H38" s="83">
        <f>+GPpcntSCH*(VLOOKUP($A38,FY14ProjRev!$A$3:$K$29,11,FALSE))*VLOOKUP($A38,FY14ProjSCH!$A$3:$T$30,MATCH(H$33,FY14ProjSCH!$A$3:$T$3,0),FALSE)</f>
        <v>665717.9904508139</v>
      </c>
      <c r="I38" s="83">
        <f>+GPpcntSCH*(VLOOKUP($A38,FY14ProjRev!$A$3:$K$29,11,FALSE))*VLOOKUP($A38,FY14ProjSCH!$A$3:$T$30,MATCH(I$33,FY14ProjSCH!$A$3:$T$3,0),FALSE)</f>
        <v>123.68576028689179</v>
      </c>
      <c r="J38" s="83">
        <f>+GPpcntSCH*(VLOOKUP($A38,FY14ProjRev!$A$3:$K$29,11,FALSE))*VLOOKUP($A38,FY14ProjSCH!$A$3:$T$30,MATCH(J$33,FY14ProjSCH!$A$3:$T$3,0),FALSE)</f>
        <v>577.20021467216156</v>
      </c>
      <c r="K38" s="83">
        <f>+GPpcntSCH*(VLOOKUP($A38,FY14ProjRev!$A$3:$K$29,11,FALSE))*VLOOKUP($A38,FY14ProjSCH!$A$3:$T$30,MATCH(K$33,FY14ProjSCH!$A$3:$T$3,0),FALSE)</f>
        <v>5400.9448658609408</v>
      </c>
      <c r="L38" s="83">
        <f>+GPpcntSCH*(VLOOKUP($A38,FY14ProjRev!$A$3:$K$29,11,FALSE))*VLOOKUP($A38,FY14ProjSCH!$A$3:$T$30,MATCH(L$33,FY14ProjSCH!$A$3:$T$3,0),FALSE)</f>
        <v>0</v>
      </c>
      <c r="M38" s="83">
        <f>+GPpcntSCH*(VLOOKUP($A38,FY14ProjRev!$A$3:$K$29,11,FALSE))*VLOOKUP($A38,FY14ProjSCH!$A$3:$T$30,MATCH(M$33,FY14ProjSCH!$A$3:$T$3,0),FALSE)</f>
        <v>0</v>
      </c>
      <c r="N38" s="83">
        <f>+GPpcntSCH*(VLOOKUP($A38,FY14ProjRev!$A$3:$K$29,11,FALSE))*VLOOKUP($A38,FY14ProjSCH!$A$3:$T$30,MATCH(N$33,FY14ProjSCH!$A$3:$T$3,0),FALSE)</f>
        <v>2350.029445450944</v>
      </c>
      <c r="O38" s="83">
        <f>+GPpcntSCH*(VLOOKUP($A38,FY14ProjRev!$A$3:$K$29,11,FALSE))*VLOOKUP($A38,FY14ProjSCH!$A$3:$T$30,MATCH(O$33,FY14ProjSCH!$A$3:$T$3,0),FALSE)</f>
        <v>0</v>
      </c>
      <c r="P38" s="83">
        <f>+GPpcntSCH*(VLOOKUP($A38,FY14ProjRev!$A$3:$K$29,11,FALSE))*VLOOKUP($A38,FY14ProjSCH!$A$3:$T$30,MATCH(P$33,FY14ProjSCH!$A$3:$T$3,0),FALSE)</f>
        <v>123.68576028689179</v>
      </c>
      <c r="Q38" s="83">
        <f>+GPpcntSCH*(VLOOKUP($A38,FY14ProjRev!$A$3:$K$29,11,FALSE))*VLOOKUP($A38,FY14ProjSCH!$A$3:$T$30,MATCH(Q$33,FY14ProjSCH!$A$3:$T$3,0),FALSE)</f>
        <v>1649.1434704918904</v>
      </c>
      <c r="R38" s="83">
        <f>+GPpcntSCH*(VLOOKUP($A38,FY14ProjRev!$A$3:$K$29,11,FALSE))*VLOOKUP($A38,FY14ProjSCH!$A$3:$T$30,MATCH(R$33,FY14ProjSCH!$A$3:$T$3,0),FALSE)</f>
        <v>0</v>
      </c>
      <c r="S38" s="83">
        <f>+GPpcntSCH*(VLOOKUP($A38,FY14ProjRev!$A$3:$K$29,11,FALSE))*VLOOKUP($A38,FY14ProjSCH!$A$3:$T$30,MATCH(S$33,FY14ProjSCH!$A$3:$T$3,0),FALSE)</f>
        <v>1690.3720572541877</v>
      </c>
      <c r="T38" s="83">
        <f t="shared" si="29"/>
        <v>715398.43749938207</v>
      </c>
    </row>
    <row r="39" spans="1:20" ht="17.100000000000001" customHeight="1">
      <c r="A39" s="222" t="s">
        <v>132</v>
      </c>
      <c r="B39" s="303" t="s">
        <v>142</v>
      </c>
      <c r="C39" s="83">
        <f>+GPpcntSCH*(VLOOKUP($A39,FY14ProjRev!$A$3:$K$29,11,FALSE))*VLOOKUP($A39,FY14ProjSCH!$A$3:$T$30,MATCH(C$33,FY14ProjSCH!$A$3:$T$3,0),FALSE)</f>
        <v>0</v>
      </c>
      <c r="D39" s="83">
        <f>+GPpcntSCH*(VLOOKUP($A39,FY14ProjRev!$A$3:$K$29,11,FALSE))*VLOOKUP($A39,FY14ProjSCH!$A$3:$T$30,MATCH(D$33,FY14ProjSCH!$A$3:$T$3,0),FALSE)</f>
        <v>14398.920960496096</v>
      </c>
      <c r="E39" s="83">
        <f>+GPpcntSCH*(VLOOKUP($A39,FY14ProjRev!$A$3:$K$29,11,FALSE))*VLOOKUP($A39,FY14ProjSCH!$A$3:$T$30,MATCH(E$33,FY14ProjSCH!$A$3:$T$3,0),FALSE)</f>
        <v>733.70297887878201</v>
      </c>
      <c r="F39" s="83">
        <f>+GPpcntSCH*(VLOOKUP($A39,FY14ProjRev!$A$3:$K$29,11,FALSE))*VLOOKUP($A39,FY14ProjSCH!$A$3:$T$30,MATCH(F$33,FY14ProjSCH!$A$3:$T$3,0),FALSE)</f>
        <v>527761.72399474378</v>
      </c>
      <c r="G39" s="83">
        <f>+GPpcntSCH*(VLOOKUP($A39,FY14ProjRev!$A$3:$K$29,11,FALSE))*VLOOKUP($A39,FY14ProjSCH!$A$3:$T$30,MATCH(G$33,FY14ProjSCH!$A$3:$T$3,0),FALSE)</f>
        <v>0</v>
      </c>
      <c r="H39" s="83">
        <f>+GPpcntSCH*(VLOOKUP($A39,FY14ProjRev!$A$3:$K$29,11,FALSE))*VLOOKUP($A39,FY14ProjSCH!$A$3:$T$30,MATCH(H$33,FY14ProjSCH!$A$3:$T$3,0),FALSE)</f>
        <v>8758.5793103654596</v>
      </c>
      <c r="I39" s="83">
        <f>+GPpcntSCH*(VLOOKUP($A39,FY14ProjRev!$A$3:$K$29,11,FALSE))*VLOOKUP($A39,FY14ProjSCH!$A$3:$T$30,MATCH(I$33,FY14ProjSCH!$A$3:$T$3,0),FALSE)</f>
        <v>0</v>
      </c>
      <c r="J39" s="83">
        <f>+GPpcntSCH*(VLOOKUP($A39,FY14ProjRev!$A$3:$K$29,11,FALSE))*VLOOKUP($A39,FY14ProjSCH!$A$3:$T$30,MATCH(J$33,FY14ProjSCH!$A$3:$T$3,0),FALSE)</f>
        <v>0</v>
      </c>
      <c r="K39" s="83">
        <f>+GPpcntSCH*(VLOOKUP($A39,FY14ProjRev!$A$3:$K$29,11,FALSE))*VLOOKUP($A39,FY14ProjSCH!$A$3:$T$30,MATCH(K$33,FY14ProjSCH!$A$3:$T$3,0),FALSE)</f>
        <v>2522.1039898958129</v>
      </c>
      <c r="L39" s="83">
        <f>+GPpcntSCH*(VLOOKUP($A39,FY14ProjRev!$A$3:$K$29,11,FALSE))*VLOOKUP($A39,FY14ProjSCH!$A$3:$T$30,MATCH(L$33,FY14ProjSCH!$A$3:$T$3,0),FALSE)</f>
        <v>45.856436179923875</v>
      </c>
      <c r="M39" s="83">
        <f>+GPpcntSCH*(VLOOKUP($A39,FY14ProjRev!$A$3:$K$29,11,FALSE))*VLOOKUP($A39,FY14ProjSCH!$A$3:$T$30,MATCH(M$33,FY14ProjSCH!$A$3:$T$3,0),FALSE)</f>
        <v>0</v>
      </c>
      <c r="N39" s="83">
        <f>+GPpcntSCH*(VLOOKUP($A39,FY14ProjRev!$A$3:$K$29,11,FALSE))*VLOOKUP($A39,FY14ProjSCH!$A$3:$T$30,MATCH(N$33,FY14ProjSCH!$A$3:$T$3,0),FALSE)</f>
        <v>137.56930853977164</v>
      </c>
      <c r="O39" s="83">
        <f>+GPpcntSCH*(VLOOKUP($A39,FY14ProjRev!$A$3:$K$29,11,FALSE))*VLOOKUP($A39,FY14ProjSCH!$A$3:$T$30,MATCH(O$33,FY14ProjSCH!$A$3:$T$3,0),FALSE)</f>
        <v>137.56930853977164</v>
      </c>
      <c r="P39" s="83">
        <f>+GPpcntSCH*(VLOOKUP($A39,FY14ProjRev!$A$3:$K$29,11,FALSE))*VLOOKUP($A39,FY14ProjSCH!$A$3:$T$30,MATCH(P$33,FY14ProjSCH!$A$3:$T$3,0),FALSE)</f>
        <v>0</v>
      </c>
      <c r="Q39" s="83">
        <f>+GPpcntSCH*(VLOOKUP($A39,FY14ProjRev!$A$3:$K$29,11,FALSE))*VLOOKUP($A39,FY14ProjSCH!$A$3:$T$30,MATCH(Q$33,FY14ProjSCH!$A$3:$T$3,0),FALSE)</f>
        <v>596.13367033901034</v>
      </c>
      <c r="R39" s="83">
        <f>+GPpcntSCH*(VLOOKUP($A39,FY14ProjRev!$A$3:$K$29,11,FALSE))*VLOOKUP($A39,FY14ProjSCH!$A$3:$T$30,MATCH(R$33,FY14ProjSCH!$A$3:$T$3,0),FALSE)</f>
        <v>0</v>
      </c>
      <c r="S39" s="83">
        <f>+GPpcntSCH*(VLOOKUP($A39,FY14ProjRev!$A$3:$K$29,11,FALSE))*VLOOKUP($A39,FY14ProjSCH!$A$3:$T$30,MATCH(S$33,FY14ProjSCH!$A$3:$T$3,0),FALSE)</f>
        <v>917.12872359847745</v>
      </c>
      <c r="T39" s="83">
        <f t="shared" si="29"/>
        <v>556009.28868157684</v>
      </c>
    </row>
    <row r="40" spans="1:20" ht="17.100000000000001" customHeight="1">
      <c r="A40" s="222" t="s">
        <v>133</v>
      </c>
      <c r="B40" s="303" t="s">
        <v>143</v>
      </c>
      <c r="C40" s="83">
        <f>+GPpcntSCH*(VLOOKUP($A40,FY14ProjRev!$A$3:$K$29,11,FALSE))*VLOOKUP($A40,FY14ProjSCH!$A$3:$T$30,MATCH(C$33,FY14ProjSCH!$A$3:$T$3,0),FALSE)</f>
        <v>84.408464108312216</v>
      </c>
      <c r="D40" s="83">
        <f>+GPpcntSCH*(VLOOKUP($A40,FY14ProjRev!$A$3:$K$29,11,FALSE))*VLOOKUP($A40,FY14ProjSCH!$A$3:$T$30,MATCH(D$33,FY14ProjSCH!$A$3:$T$3,0),FALSE)</f>
        <v>23381.144558002488</v>
      </c>
      <c r="E40" s="83">
        <f>+GPpcntSCH*(VLOOKUP($A40,FY14ProjRev!$A$3:$K$29,11,FALSE))*VLOOKUP($A40,FY14ProjSCH!$A$3:$T$30,MATCH(E$33,FY14ProjSCH!$A$3:$T$3,0),FALSE)</f>
        <v>886.28887313727842</v>
      </c>
      <c r="F40" s="83">
        <f>+GPpcntSCH*(VLOOKUP($A40,FY14ProjRev!$A$3:$K$29,11,FALSE))*VLOOKUP($A40,FY14ProjSCH!$A$3:$T$30,MATCH(F$33,FY14ProjSCH!$A$3:$T$3,0),FALSE)</f>
        <v>268883.16241702862</v>
      </c>
      <c r="G40" s="83">
        <f>+GPpcntSCH*(VLOOKUP($A40,FY14ProjRev!$A$3:$K$29,11,FALSE))*VLOOKUP($A40,FY14ProjSCH!$A$3:$T$30,MATCH(G$33,FY14ProjSCH!$A$3:$T$3,0),FALSE)</f>
        <v>168.81692821662443</v>
      </c>
      <c r="H40" s="83">
        <f>+GPpcntSCH*(VLOOKUP($A40,FY14ProjRev!$A$3:$K$29,11,FALSE))*VLOOKUP($A40,FY14ProjSCH!$A$3:$T$30,MATCH(H$33,FY14ProjSCH!$A$3:$T$3,0),FALSE)</f>
        <v>84.408464108312216</v>
      </c>
      <c r="I40" s="83">
        <f>+GPpcntSCH*(VLOOKUP($A40,FY14ProjRev!$A$3:$K$29,11,FALSE))*VLOOKUP($A40,FY14ProjSCH!$A$3:$T$30,MATCH(I$33,FY14ProjSCH!$A$3:$T$3,0),FALSE)</f>
        <v>0</v>
      </c>
      <c r="J40" s="83">
        <f>+GPpcntSCH*(VLOOKUP($A40,FY14ProjRev!$A$3:$K$29,11,FALSE))*VLOOKUP($A40,FY14ProjSCH!$A$3:$T$30,MATCH(J$33,FY14ProjSCH!$A$3:$T$3,0),FALSE)</f>
        <v>168.81692821662443</v>
      </c>
      <c r="K40" s="83">
        <f>+GPpcntSCH*(VLOOKUP($A40,FY14ProjRev!$A$3:$K$29,11,FALSE))*VLOOKUP($A40,FY14ProjSCH!$A$3:$T$30,MATCH(K$33,FY14ProjSCH!$A$3:$T$3,0),FALSE)</f>
        <v>3080.9089399533964</v>
      </c>
      <c r="L40" s="83">
        <f>+GPpcntSCH*(VLOOKUP($A40,FY14ProjRev!$A$3:$K$29,11,FALSE))*VLOOKUP($A40,FY14ProjSCH!$A$3:$T$30,MATCH(L$33,FY14ProjSCH!$A$3:$T$3,0),FALSE)</f>
        <v>1730.3735142204007</v>
      </c>
      <c r="M40" s="83">
        <f>+GPpcntSCH*(VLOOKUP($A40,FY14ProjRev!$A$3:$K$29,11,FALSE))*VLOOKUP($A40,FY14ProjSCH!$A$3:$T$30,MATCH(M$33,FY14ProjSCH!$A$3:$T$3,0),FALSE)</f>
        <v>0</v>
      </c>
      <c r="N40" s="83">
        <f>+GPpcntSCH*(VLOOKUP($A40,FY14ProjRev!$A$3:$K$29,11,FALSE))*VLOOKUP($A40,FY14ProjSCH!$A$3:$T$30,MATCH(N$33,FY14ProjSCH!$A$3:$T$3,0),FALSE)</f>
        <v>675.26771286649773</v>
      </c>
      <c r="O40" s="83">
        <f>+GPpcntSCH*(VLOOKUP($A40,FY14ProjRev!$A$3:$K$29,11,FALSE))*VLOOKUP($A40,FY14ProjSCH!$A$3:$T$30,MATCH(O$33,FY14ProjSCH!$A$3:$T$3,0),FALSE)</f>
        <v>506.45078464987336</v>
      </c>
      <c r="P40" s="83">
        <f>+GPpcntSCH*(VLOOKUP($A40,FY14ProjRev!$A$3:$K$29,11,FALSE))*VLOOKUP($A40,FY14ProjSCH!$A$3:$T$30,MATCH(P$33,FY14ProjSCH!$A$3:$T$3,0),FALSE)</f>
        <v>0</v>
      </c>
      <c r="Q40" s="83">
        <f>+GPpcntSCH*(VLOOKUP($A40,FY14ProjRev!$A$3:$K$29,11,FALSE))*VLOOKUP($A40,FY14ProjSCH!$A$3:$T$30,MATCH(Q$33,FY14ProjSCH!$A$3:$T$3,0),FALSE)</f>
        <v>1055.1058013539027</v>
      </c>
      <c r="R40" s="83">
        <f>+GPpcntSCH*(VLOOKUP($A40,FY14ProjRev!$A$3:$K$29,11,FALSE))*VLOOKUP($A40,FY14ProjSCH!$A$3:$T$30,MATCH(R$33,FY14ProjSCH!$A$3:$T$3,0),FALSE)</f>
        <v>253.22539232493668</v>
      </c>
      <c r="S40" s="83">
        <f>+GPpcntSCH*(VLOOKUP($A40,FY14ProjRev!$A$3:$K$29,11,FALSE))*VLOOKUP($A40,FY14ProjSCH!$A$3:$T$30,MATCH(S$33,FY14ProjSCH!$A$3:$T$3,0),FALSE)</f>
        <v>168.81692821662443</v>
      </c>
      <c r="T40" s="83">
        <f t="shared" si="29"/>
        <v>301127.19570640381</v>
      </c>
    </row>
    <row r="41" spans="1:20" ht="27" customHeight="1">
      <c r="A41" s="222" t="s">
        <v>134</v>
      </c>
      <c r="B41" s="303" t="s">
        <v>40</v>
      </c>
      <c r="C41" s="83">
        <f>+GPpcntSCH*(VLOOKUP($A41,FY14ProjRev!$A$3:$K$29,11,FALSE))*VLOOKUP($A41,FY14ProjSCH!$A$3:$T$30,MATCH(C$33,FY14ProjSCH!$A$3:$T$3,0),FALSE)</f>
        <v>0</v>
      </c>
      <c r="D41" s="83">
        <f>+GPpcntSCH*(VLOOKUP($A41,FY14ProjRev!$A$3:$K$29,11,FALSE))*VLOOKUP($A41,FY14ProjSCH!$A$3:$T$30,MATCH(D$33,FY14ProjSCH!$A$3:$T$3,0),FALSE)</f>
        <v>2064.1972151954992</v>
      </c>
      <c r="E41" s="83">
        <f>+GPpcntSCH*(VLOOKUP($A41,FY14ProjRev!$A$3:$K$29,11,FALSE))*VLOOKUP($A41,FY14ProjSCH!$A$3:$T$30,MATCH(E$33,FY14ProjSCH!$A$3:$T$3,0),FALSE)</f>
        <v>0</v>
      </c>
      <c r="F41" s="83">
        <f>+GPpcntSCH*(VLOOKUP($A41,FY14ProjRev!$A$3:$K$29,11,FALSE))*VLOOKUP($A41,FY14ProjSCH!$A$3:$T$30,MATCH(F$33,FY14ProjSCH!$A$3:$T$3,0),FALSE)</f>
        <v>0</v>
      </c>
      <c r="G41" s="83">
        <f>+GPpcntSCH*(VLOOKUP($A41,FY14ProjRev!$A$3:$K$29,11,FALSE))*VLOOKUP($A41,FY14ProjSCH!$A$3:$T$30,MATCH(G$33,FY14ProjSCH!$A$3:$T$3,0),FALSE)</f>
        <v>0</v>
      </c>
      <c r="H41" s="83">
        <f>+GPpcntSCH*(VLOOKUP($A41,FY14ProjRev!$A$3:$K$29,11,FALSE))*VLOOKUP($A41,FY14ProjSCH!$A$3:$T$30,MATCH(H$33,FY14ProjSCH!$A$3:$T$3,0),FALSE)</f>
        <v>0</v>
      </c>
      <c r="I41" s="83">
        <f>+GPpcntSCH*(VLOOKUP($A41,FY14ProjRev!$A$3:$K$29,11,FALSE))*VLOOKUP($A41,FY14ProjSCH!$A$3:$T$30,MATCH(I$33,FY14ProjSCH!$A$3:$T$3,0),FALSE)</f>
        <v>5968.2223830652483</v>
      </c>
      <c r="J41" s="83">
        <f>+GPpcntSCH*(VLOOKUP($A41,FY14ProjRev!$A$3:$K$29,11,FALSE))*VLOOKUP($A41,FY14ProjSCH!$A$3:$T$30,MATCH(J$33,FY14ProjSCH!$A$3:$T$3,0),FALSE)</f>
        <v>0</v>
      </c>
      <c r="K41" s="83">
        <f>+GPpcntSCH*(VLOOKUP($A41,FY14ProjRev!$A$3:$K$29,11,FALSE))*VLOOKUP($A41,FY14ProjSCH!$A$3:$T$30,MATCH(K$33,FY14ProjSCH!$A$3:$T$3,0),FALSE)</f>
        <v>403.86467253824981</v>
      </c>
      <c r="L41" s="83">
        <f>+GPpcntSCH*(VLOOKUP($A41,FY14ProjRev!$A$3:$K$29,11,FALSE))*VLOOKUP($A41,FY14ProjSCH!$A$3:$T$30,MATCH(L$33,FY14ProjSCH!$A$3:$T$3,0),FALSE)</f>
        <v>0</v>
      </c>
      <c r="M41" s="83">
        <f>+GPpcntSCH*(VLOOKUP($A41,FY14ProjRev!$A$3:$K$29,11,FALSE))*VLOOKUP($A41,FY14ProjSCH!$A$3:$T$30,MATCH(M$33,FY14ProjSCH!$A$3:$T$3,0),FALSE)</f>
        <v>0</v>
      </c>
      <c r="N41" s="83">
        <f>+GPpcntSCH*(VLOOKUP($A41,FY14ProjRev!$A$3:$K$29,11,FALSE))*VLOOKUP($A41,FY14ProjSCH!$A$3:$T$30,MATCH(N$33,FY14ProjSCH!$A$3:$T$3,0),FALSE)</f>
        <v>0</v>
      </c>
      <c r="O41" s="83">
        <f>+GPpcntSCH*(VLOOKUP($A41,FY14ProjRev!$A$3:$K$29,11,FALSE))*VLOOKUP($A41,FY14ProjSCH!$A$3:$T$30,MATCH(O$33,FY14ProjSCH!$A$3:$T$3,0),FALSE)</f>
        <v>0</v>
      </c>
      <c r="P41" s="83">
        <f>+GPpcntSCH*(VLOOKUP($A41,FY14ProjRev!$A$3:$K$29,11,FALSE))*VLOOKUP($A41,FY14ProjSCH!$A$3:$T$30,MATCH(P$33,FY14ProjSCH!$A$3:$T$3,0),FALSE)</f>
        <v>0</v>
      </c>
      <c r="Q41" s="83">
        <f>+GPpcntSCH*(VLOOKUP($A41,FY14ProjRev!$A$3:$K$29,11,FALSE))*VLOOKUP($A41,FY14ProjSCH!$A$3:$T$30,MATCH(Q$33,FY14ProjSCH!$A$3:$T$3,0),FALSE)</f>
        <v>179.49541001699993</v>
      </c>
      <c r="R41" s="83">
        <f>+GPpcntSCH*(VLOOKUP($A41,FY14ProjRev!$A$3:$K$29,11,FALSE))*VLOOKUP($A41,FY14ProjSCH!$A$3:$T$30,MATCH(R$33,FY14ProjSCH!$A$3:$T$3,0),FALSE)</f>
        <v>0</v>
      </c>
      <c r="S41" s="83">
        <f>+GPpcntSCH*(VLOOKUP($A41,FY14ProjRev!$A$3:$K$29,11,FALSE))*VLOOKUP($A41,FY14ProjSCH!$A$3:$T$30,MATCH(S$33,FY14ProjSCH!$A$3:$T$3,0),FALSE)</f>
        <v>0</v>
      </c>
      <c r="T41" s="83">
        <f t="shared" si="29"/>
        <v>8615.7796808159965</v>
      </c>
    </row>
    <row r="42" spans="1:20" ht="15.95" customHeight="1">
      <c r="A42" s="222" t="s">
        <v>135</v>
      </c>
      <c r="B42" s="303" t="s">
        <v>70</v>
      </c>
      <c r="C42" s="83">
        <f>+GPpcntSCH*(VLOOKUP($A42,FY14ProjRev!$A$3:$K$29,11,FALSE))*VLOOKUP($A42,FY14ProjSCH!$A$3:$T$30,MATCH(C$33,FY14ProjSCH!$A$3:$T$3,0),FALSE)</f>
        <v>0</v>
      </c>
      <c r="D42" s="83">
        <f>+GPpcntSCH*(VLOOKUP($A42,FY14ProjRev!$A$3:$K$29,11,FALSE))*VLOOKUP($A42,FY14ProjSCH!$A$3:$T$30,MATCH(D$33,FY14ProjSCH!$A$3:$T$3,0),FALSE)</f>
        <v>5429.392343653155</v>
      </c>
      <c r="E42" s="83">
        <f>+GPpcntSCH*(VLOOKUP($A42,FY14ProjRev!$A$3:$K$29,11,FALSE))*VLOOKUP($A42,FY14ProjSCH!$A$3:$T$30,MATCH(E$33,FY14ProjSCH!$A$3:$T$3,0),FALSE)</f>
        <v>0</v>
      </c>
      <c r="F42" s="83">
        <f>+GPpcntSCH*(VLOOKUP($A42,FY14ProjRev!$A$3:$K$29,11,FALSE))*VLOOKUP($A42,FY14ProjSCH!$A$3:$T$30,MATCH(F$33,FY14ProjSCH!$A$3:$T$3,0),FALSE)</f>
        <v>1241.0039642635782</v>
      </c>
      <c r="G42" s="83">
        <f>+GPpcntSCH*(VLOOKUP($A42,FY14ProjRev!$A$3:$K$29,11,FALSE))*VLOOKUP($A42,FY14ProjSCH!$A$3:$T$30,MATCH(G$33,FY14ProjSCH!$A$3:$T$3,0),FALSE)</f>
        <v>0</v>
      </c>
      <c r="H42" s="83">
        <f>+GPpcntSCH*(VLOOKUP($A42,FY14ProjRev!$A$3:$K$29,11,FALSE))*VLOOKUP($A42,FY14ProjSCH!$A$3:$T$30,MATCH(H$33,FY14ProjSCH!$A$3:$T$3,0),FALSE)</f>
        <v>51.70849851098243</v>
      </c>
      <c r="I42" s="83">
        <f>+GPpcntSCH*(VLOOKUP($A42,FY14ProjRev!$A$3:$K$29,11,FALSE))*VLOOKUP($A42,FY14ProjSCH!$A$3:$T$30,MATCH(I$33,FY14ProjSCH!$A$3:$T$3,0),FALSE)</f>
        <v>0</v>
      </c>
      <c r="J42" s="83">
        <f>+GPpcntSCH*(VLOOKUP($A42,FY14ProjRev!$A$3:$K$29,11,FALSE))*VLOOKUP($A42,FY14ProjSCH!$A$3:$T$30,MATCH(J$33,FY14ProjSCH!$A$3:$T$3,0),FALSE)</f>
        <v>103.41699702196486</v>
      </c>
      <c r="K42" s="83">
        <f>+GPpcntSCH*(VLOOKUP($A42,FY14ProjRev!$A$3:$K$29,11,FALSE))*VLOOKUP($A42,FY14ProjSCH!$A$3:$T$30,MATCH(K$33,FY14ProjSCH!$A$3:$T$3,0),FALSE)</f>
        <v>4395.2223734335066</v>
      </c>
      <c r="L42" s="83">
        <f>+GPpcntSCH*(VLOOKUP($A42,FY14ProjRev!$A$3:$K$29,11,FALSE))*VLOOKUP($A42,FY14ProjSCH!$A$3:$T$30,MATCH(L$33,FY14ProjSCH!$A$3:$T$3,0),FALSE)</f>
        <v>483526.1695761967</v>
      </c>
      <c r="M42" s="83">
        <f>+GPpcntSCH*(VLOOKUP($A42,FY14ProjRev!$A$3:$K$29,11,FALSE))*VLOOKUP($A42,FY14ProjSCH!$A$3:$T$30,MATCH(M$33,FY14ProjSCH!$A$3:$T$3,0),FALSE)</f>
        <v>0</v>
      </c>
      <c r="N42" s="83">
        <f>+GPpcntSCH*(VLOOKUP($A42,FY14ProjRev!$A$3:$K$29,11,FALSE))*VLOOKUP($A42,FY14ProjSCH!$A$3:$T$30,MATCH(N$33,FY14ProjSCH!$A$3:$T$3,0),FALSE)</f>
        <v>7394.3152870704871</v>
      </c>
      <c r="O42" s="83">
        <f>+GPpcntSCH*(VLOOKUP($A42,FY14ProjRev!$A$3:$K$29,11,FALSE))*VLOOKUP($A42,FY14ProjSCH!$A$3:$T$30,MATCH(O$33,FY14ProjSCH!$A$3:$T$3,0),FALSE)</f>
        <v>775.62747766473649</v>
      </c>
      <c r="P42" s="83">
        <f>+GPpcntSCH*(VLOOKUP($A42,FY14ProjRev!$A$3:$K$29,11,FALSE))*VLOOKUP($A42,FY14ProjSCH!$A$3:$T$30,MATCH(P$33,FY14ProjSCH!$A$3:$T$3,0),FALSE)</f>
        <v>0</v>
      </c>
      <c r="Q42" s="83">
        <f>+GPpcntSCH*(VLOOKUP($A42,FY14ProjRev!$A$3:$K$29,11,FALSE))*VLOOKUP($A42,FY14ProjSCH!$A$3:$T$30,MATCH(Q$33,FY14ProjSCH!$A$3:$T$3,0),FALSE)</f>
        <v>6722.1048064277156</v>
      </c>
      <c r="R42" s="83">
        <f>+GPpcntSCH*(VLOOKUP($A42,FY14ProjRev!$A$3:$K$29,11,FALSE))*VLOOKUP($A42,FY14ProjSCH!$A$3:$T$30,MATCH(R$33,FY14ProjSCH!$A$3:$T$3,0),FALSE)</f>
        <v>0</v>
      </c>
      <c r="S42" s="83">
        <f>+GPpcntSCH*(VLOOKUP($A42,FY14ProjRev!$A$3:$K$29,11,FALSE))*VLOOKUP($A42,FY14ProjSCH!$A$3:$T$30,MATCH(S$33,FY14ProjSCH!$A$3:$T$3,0),FALSE)</f>
        <v>0</v>
      </c>
      <c r="T42" s="83">
        <f t="shared" si="29"/>
        <v>509638.96132424282</v>
      </c>
    </row>
    <row r="43" spans="1:20" ht="15.95" customHeight="1">
      <c r="A43" s="222" t="s">
        <v>136</v>
      </c>
      <c r="B43" s="303" t="s">
        <v>144</v>
      </c>
      <c r="C43" s="83">
        <f>+GPpcntSCH*(VLOOKUP($A43,FY14ProjRev!$A$3:$K$29,11,FALSE))*VLOOKUP($A43,FY14ProjSCH!$A$3:$T$30,MATCH(C$33,FY14ProjSCH!$A$3:$T$3,0),FALSE)</f>
        <v>294.14623396779604</v>
      </c>
      <c r="D43" s="83">
        <f>+GPpcntSCH*(VLOOKUP($A43,FY14ProjRev!$A$3:$K$29,11,FALSE))*VLOOKUP($A43,FY14ProjSCH!$A$3:$T$30,MATCH(D$33,FY14ProjSCH!$A$3:$T$3,0),FALSE)</f>
        <v>25884.86858916605</v>
      </c>
      <c r="E43" s="83">
        <f>+GPpcntSCH*(VLOOKUP($A43,FY14ProjRev!$A$3:$K$29,11,FALSE))*VLOOKUP($A43,FY14ProjSCH!$A$3:$T$30,MATCH(E$33,FY14ProjSCH!$A$3:$T$3,0),FALSE)</f>
        <v>637.31684026355799</v>
      </c>
      <c r="F43" s="83">
        <f>+GPpcntSCH*(VLOOKUP($A43,FY14ProjRev!$A$3:$K$29,11,FALSE))*VLOOKUP($A43,FY14ProjSCH!$A$3:$T$30,MATCH(F$33,FY14ProjSCH!$A$3:$T$3,0),FALSE)</f>
        <v>147.07311698389802</v>
      </c>
      <c r="G43" s="83">
        <f>+GPpcntSCH*(VLOOKUP($A43,FY14ProjRev!$A$3:$K$29,11,FALSE))*VLOOKUP($A43,FY14ProjSCH!$A$3:$T$30,MATCH(G$33,FY14ProjSCH!$A$3:$T$3,0),FALSE)</f>
        <v>2206.0967547584701</v>
      </c>
      <c r="H43" s="83">
        <f>+GPpcntSCH*(VLOOKUP($A43,FY14ProjRev!$A$3:$K$29,11,FALSE))*VLOOKUP($A43,FY14ProjSCH!$A$3:$T$30,MATCH(H$33,FY14ProjSCH!$A$3:$T$3,0),FALSE)</f>
        <v>147.07311698389802</v>
      </c>
      <c r="I43" s="83">
        <f>+GPpcntSCH*(VLOOKUP($A43,FY14ProjRev!$A$3:$K$29,11,FALSE))*VLOOKUP($A43,FY14ProjSCH!$A$3:$T$30,MATCH(I$33,FY14ProjSCH!$A$3:$T$3,0),FALSE)</f>
        <v>392.19497862372805</v>
      </c>
      <c r="J43" s="83">
        <f>+GPpcntSCH*(VLOOKUP($A43,FY14ProjRev!$A$3:$K$29,11,FALSE))*VLOOKUP($A43,FY14ProjSCH!$A$3:$T$30,MATCH(J$33,FY14ProjSCH!$A$3:$T$3,0),FALSE)</f>
        <v>0</v>
      </c>
      <c r="K43" s="83">
        <f>+GPpcntSCH*(VLOOKUP($A43,FY14ProjRev!$A$3:$K$29,11,FALSE))*VLOOKUP($A43,FY14ProjSCH!$A$3:$T$30,MATCH(K$33,FY14ProjSCH!$A$3:$T$3,0),FALSE)</f>
        <v>392.19497862372805</v>
      </c>
      <c r="L43" s="83">
        <f>+GPpcntSCH*(VLOOKUP($A43,FY14ProjRev!$A$3:$K$29,11,FALSE))*VLOOKUP($A43,FY14ProjSCH!$A$3:$T$30,MATCH(L$33,FY14ProjSCH!$A$3:$T$3,0),FALSE)</f>
        <v>49.024372327966006</v>
      </c>
      <c r="M43" s="83">
        <f>+GPpcntSCH*(VLOOKUP($A43,FY14ProjRev!$A$3:$K$29,11,FALSE))*VLOOKUP($A43,FY14ProjSCH!$A$3:$T$30,MATCH(M$33,FY14ProjSCH!$A$3:$T$3,0),FALSE)</f>
        <v>147.07311698389802</v>
      </c>
      <c r="N43" s="83">
        <f>+GPpcntSCH*(VLOOKUP($A43,FY14ProjRev!$A$3:$K$29,11,FALSE))*VLOOKUP($A43,FY14ProjSCH!$A$3:$T$30,MATCH(N$33,FY14ProjSCH!$A$3:$T$3,0),FALSE)</f>
        <v>12966.946480747007</v>
      </c>
      <c r="O43" s="83">
        <f>+GPpcntSCH*(VLOOKUP($A43,FY14ProjRev!$A$3:$K$29,11,FALSE))*VLOOKUP($A43,FY14ProjSCH!$A$3:$T$30,MATCH(O$33,FY14ProjSCH!$A$3:$T$3,0),FALSE)</f>
        <v>833.41432957542202</v>
      </c>
      <c r="P43" s="83">
        <f>+GPpcntSCH*(VLOOKUP($A43,FY14ProjRev!$A$3:$K$29,11,FALSE))*VLOOKUP($A43,FY14ProjSCH!$A$3:$T$30,MATCH(P$33,FY14ProjSCH!$A$3:$T$3,0),FALSE)</f>
        <v>2990.4867120059262</v>
      </c>
      <c r="Q43" s="83">
        <f>+GPpcntSCH*(VLOOKUP($A43,FY14ProjRev!$A$3:$K$29,11,FALSE))*VLOOKUP($A43,FY14ProjSCH!$A$3:$T$30,MATCH(Q$33,FY14ProjSCH!$A$3:$T$3,0),FALSE)</f>
        <v>456024.71139473974</v>
      </c>
      <c r="R43" s="83">
        <f>+GPpcntSCH*(VLOOKUP($A43,FY14ProjRev!$A$3:$K$29,11,FALSE))*VLOOKUP($A43,FY14ProjSCH!$A$3:$T$30,MATCH(R$33,FY14ProjSCH!$A$3:$T$3,0),FALSE)</f>
        <v>196.09748931186402</v>
      </c>
      <c r="S43" s="83">
        <f>+GPpcntSCH*(VLOOKUP($A43,FY14ProjRev!$A$3:$K$29,11,FALSE))*VLOOKUP($A43,FY14ProjSCH!$A$3:$T$30,MATCH(S$33,FY14ProjSCH!$A$3:$T$3,0),FALSE)</f>
        <v>2181.5845685944869</v>
      </c>
      <c r="T43" s="83">
        <f t="shared" si="29"/>
        <v>505490.30307365744</v>
      </c>
    </row>
    <row r="44" spans="1:20" ht="15.95" customHeight="1">
      <c r="A44" s="222" t="s">
        <v>137</v>
      </c>
      <c r="B44" s="303" t="s">
        <v>49</v>
      </c>
      <c r="C44" s="83">
        <f>+GPpcntSCH*(VLOOKUP($A44,FY14ProjRev!$A$3:$K$29,11,FALSE))*VLOOKUP($A44,FY14ProjSCH!$A$3:$T$30,MATCH(C$33,FY14ProjSCH!$A$3:$T$3,0),FALSE)</f>
        <v>1547.8552019652268</v>
      </c>
      <c r="D44" s="83">
        <f>+GPpcntSCH*(VLOOKUP($A44,FY14ProjRev!$A$3:$K$29,11,FALSE))*VLOOKUP($A44,FY14ProjSCH!$A$3:$T$30,MATCH(D$33,FY14ProjSCH!$A$3:$T$3,0),FALSE)</f>
        <v>6151.7322129387221</v>
      </c>
      <c r="E44" s="83">
        <f>+GPpcntSCH*(VLOOKUP($A44,FY14ProjRev!$A$3:$K$29,11,FALSE))*VLOOKUP($A44,FY14ProjSCH!$A$3:$T$30,MATCH(E$33,FY14ProjSCH!$A$3:$T$3,0),FALSE)</f>
        <v>0</v>
      </c>
      <c r="F44" s="83">
        <f>+GPpcntSCH*(VLOOKUP($A44,FY14ProjRev!$A$3:$K$29,11,FALSE))*VLOOKUP($A44,FY14ProjSCH!$A$3:$T$30,MATCH(F$33,FY14ProjSCH!$A$3:$T$3,0),FALSE)</f>
        <v>0</v>
      </c>
      <c r="G44" s="83">
        <f>+GPpcntSCH*(VLOOKUP($A44,FY14ProjRev!$A$3:$K$29,11,FALSE))*VLOOKUP($A44,FY14ProjSCH!$A$3:$T$30,MATCH(G$33,FY14ProjSCH!$A$3:$T$3,0),FALSE)</f>
        <v>754.08330352152075</v>
      </c>
      <c r="H44" s="83">
        <f>+GPpcntSCH*(VLOOKUP($A44,FY14ProjRev!$A$3:$K$29,11,FALSE))*VLOOKUP($A44,FY14ProjSCH!$A$3:$T$30,MATCH(H$33,FY14ProjSCH!$A$3:$T$3,0),FALSE)</f>
        <v>238.13156953311181</v>
      </c>
      <c r="I44" s="83">
        <f>+GPpcntSCH*(VLOOKUP($A44,FY14ProjRev!$A$3:$K$29,11,FALSE))*VLOOKUP($A44,FY14ProjSCH!$A$3:$T$30,MATCH(I$33,FY14ProjSCH!$A$3:$T$3,0),FALSE)</f>
        <v>79.377189844370605</v>
      </c>
      <c r="J44" s="83">
        <f>+GPpcntSCH*(VLOOKUP($A44,FY14ProjRev!$A$3:$K$29,11,FALSE))*VLOOKUP($A44,FY14ProjSCH!$A$3:$T$30,MATCH(J$33,FY14ProjSCH!$A$3:$T$3,0),FALSE)</f>
        <v>357.19735429966772</v>
      </c>
      <c r="K44" s="83">
        <f>+GPpcntSCH*(VLOOKUP($A44,FY14ProjRev!$A$3:$K$29,11,FALSE))*VLOOKUP($A44,FY14ProjSCH!$A$3:$T$30,MATCH(K$33,FY14ProjSCH!$A$3:$T$3,0),FALSE)</f>
        <v>3651.3507328410478</v>
      </c>
      <c r="L44" s="83">
        <f>+GPpcntSCH*(VLOOKUP($A44,FY14ProjRev!$A$3:$K$29,11,FALSE))*VLOOKUP($A44,FY14ProjSCH!$A$3:$T$30,MATCH(L$33,FY14ProjSCH!$A$3:$T$3,0),FALSE)</f>
        <v>2698.8244547086006</v>
      </c>
      <c r="M44" s="83">
        <f>+GPpcntSCH*(VLOOKUP($A44,FY14ProjRev!$A$3:$K$29,11,FALSE))*VLOOKUP($A44,FY14ProjSCH!$A$3:$T$30,MATCH(M$33,FY14ProjSCH!$A$3:$T$3,0),FALSE)</f>
        <v>1270.0350375099297</v>
      </c>
      <c r="N44" s="83">
        <f>+GPpcntSCH*(VLOOKUP($A44,FY14ProjRev!$A$3:$K$29,11,FALSE))*VLOOKUP($A44,FY14ProjSCH!$A$3:$T$30,MATCH(N$33,FY14ProjSCH!$A$3:$T$3,0),FALSE)</f>
        <v>34429.856094995746</v>
      </c>
      <c r="O44" s="83">
        <f>+GPpcntSCH*(VLOOKUP($A44,FY14ProjRev!$A$3:$K$29,11,FALSE))*VLOOKUP($A44,FY14ProjSCH!$A$3:$T$30,MATCH(O$33,FY14ProjSCH!$A$3:$T$3,0),FALSE)</f>
        <v>1071.5920628990032</v>
      </c>
      <c r="P44" s="83">
        <f>+GPpcntSCH*(VLOOKUP($A44,FY14ProjRev!$A$3:$K$29,11,FALSE))*VLOOKUP($A44,FY14ProjSCH!$A$3:$T$30,MATCH(P$33,FY14ProjSCH!$A$3:$T$3,0),FALSE)</f>
        <v>436.57454414403833</v>
      </c>
      <c r="Q44" s="83">
        <f>+GPpcntSCH*(VLOOKUP($A44,FY14ProjRev!$A$3:$K$29,11,FALSE))*VLOOKUP($A44,FY14ProjSCH!$A$3:$T$30,MATCH(Q$33,FY14ProjSCH!$A$3:$T$3,0),FALSE)</f>
        <v>190108.36967726759</v>
      </c>
      <c r="R44" s="83">
        <f>+GPpcntSCH*(VLOOKUP($A44,FY14ProjRev!$A$3:$K$29,11,FALSE))*VLOOKUP($A44,FY14ProjSCH!$A$3:$T$30,MATCH(R$33,FY14ProjSCH!$A$3:$T$3,0),FALSE)</f>
        <v>79.377189844370605</v>
      </c>
      <c r="S44" s="83">
        <f>+GPpcntSCH*(VLOOKUP($A44,FY14ProjRev!$A$3:$K$29,11,FALSE))*VLOOKUP($A44,FY14ProjSCH!$A$3:$T$30,MATCH(S$33,FY14ProjSCH!$A$3:$T$3,0),FALSE)</f>
        <v>79.377189844370605</v>
      </c>
      <c r="T44" s="83">
        <f t="shared" si="29"/>
        <v>242953.73381615733</v>
      </c>
    </row>
    <row r="45" spans="1:20" ht="15.95" customHeight="1">
      <c r="A45" s="222" t="s">
        <v>138</v>
      </c>
      <c r="B45" s="303" t="s">
        <v>157</v>
      </c>
      <c r="C45" s="83">
        <f>+GPpcntSCH*(VLOOKUP($A45,FY14ProjRev!$A$3:$K$29,11,FALSE))*VLOOKUP($A45,FY14ProjSCH!$A$3:$T$30,MATCH(C$33,FY14ProjSCH!$A$3:$T$3,0),FALSE)</f>
        <v>238042.55071358487</v>
      </c>
      <c r="D45" s="83">
        <f>+GPpcntSCH*(VLOOKUP($A45,FY14ProjRev!$A$3:$K$29,11,FALSE))*VLOOKUP($A45,FY14ProjSCH!$A$3:$T$30,MATCH(D$33,FY14ProjSCH!$A$3:$T$3,0),FALSE)</f>
        <v>3246.3030719680555</v>
      </c>
      <c r="E45" s="83">
        <f>+GPpcntSCH*(VLOOKUP($A45,FY14ProjRev!$A$3:$K$29,11,FALSE))*VLOOKUP($A45,FY14ProjSCH!$A$3:$T$30,MATCH(E$33,FY14ProjSCH!$A$3:$T$3,0),FALSE)</f>
        <v>1062.4264599168182</v>
      </c>
      <c r="F45" s="83">
        <f>+GPpcntSCH*(VLOOKUP($A45,FY14ProjRev!$A$3:$K$29,11,FALSE))*VLOOKUP($A45,FY14ProjSCH!$A$3:$T$30,MATCH(F$33,FY14ProjSCH!$A$3:$T$3,0),FALSE)</f>
        <v>0</v>
      </c>
      <c r="G45" s="83">
        <f>+GPpcntSCH*(VLOOKUP($A45,FY14ProjRev!$A$3:$K$29,11,FALSE))*VLOOKUP($A45,FY14ProjSCH!$A$3:$T$30,MATCH(G$33,FY14ProjSCH!$A$3:$T$3,0),FALSE)</f>
        <v>2124.8529198336364</v>
      </c>
      <c r="H45" s="83">
        <f>+GPpcntSCH*(VLOOKUP($A45,FY14ProjRev!$A$3:$K$29,11,FALSE))*VLOOKUP($A45,FY14ProjSCH!$A$3:$T$30,MATCH(H$33,FY14ProjSCH!$A$3:$T$3,0),FALSE)</f>
        <v>10270.122445862575</v>
      </c>
      <c r="I45" s="83">
        <f>+GPpcntSCH*(VLOOKUP($A45,FY14ProjRev!$A$3:$K$29,11,FALSE))*VLOOKUP($A45,FY14ProjSCH!$A$3:$T$30,MATCH(I$33,FY14ProjSCH!$A$3:$T$3,0),FALSE)</f>
        <v>0</v>
      </c>
      <c r="J45" s="83">
        <f>+GPpcntSCH*(VLOOKUP($A45,FY14ProjRev!$A$3:$K$29,11,FALSE))*VLOOKUP($A45,FY14ProjSCH!$A$3:$T$30,MATCH(J$33,FY14ProjSCH!$A$3:$T$3,0),FALSE)</f>
        <v>0</v>
      </c>
      <c r="K45" s="83">
        <f>+GPpcntSCH*(VLOOKUP($A45,FY14ProjRev!$A$3:$K$29,11,FALSE))*VLOOKUP($A45,FY14ProjSCH!$A$3:$T$30,MATCH(K$33,FY14ProjSCH!$A$3:$T$3,0),FALSE)</f>
        <v>5194.0849151488892</v>
      </c>
      <c r="L45" s="83">
        <f>+GPpcntSCH*(VLOOKUP($A45,FY14ProjRev!$A$3:$K$29,11,FALSE))*VLOOKUP($A45,FY14ProjSCH!$A$3:$T$30,MATCH(L$33,FY14ProjSCH!$A$3:$T$3,0),FALSE)</f>
        <v>177.07107665280301</v>
      </c>
      <c r="M45" s="83">
        <f>+GPpcntSCH*(VLOOKUP($A45,FY14ProjRev!$A$3:$K$29,11,FALSE))*VLOOKUP($A45,FY14ProjSCH!$A$3:$T$30,MATCH(M$33,FY14ProjSCH!$A$3:$T$3,0),FALSE)</f>
        <v>0</v>
      </c>
      <c r="N45" s="83">
        <f>+GPpcntSCH*(VLOOKUP($A45,FY14ProjRev!$A$3:$K$29,11,FALSE))*VLOOKUP($A45,FY14ProjSCH!$A$3:$T$30,MATCH(N$33,FY14ProjSCH!$A$3:$T$3,0),FALSE)</f>
        <v>354.14215330560603</v>
      </c>
      <c r="O45" s="83">
        <f>+GPpcntSCH*(VLOOKUP($A45,FY14ProjRev!$A$3:$K$29,11,FALSE))*VLOOKUP($A45,FY14ProjSCH!$A$3:$T$30,MATCH(O$33,FY14ProjSCH!$A$3:$T$3,0),FALSE)</f>
        <v>0</v>
      </c>
      <c r="P45" s="83">
        <f>+GPpcntSCH*(VLOOKUP($A45,FY14ProjRev!$A$3:$K$29,11,FALSE))*VLOOKUP($A45,FY14ProjSCH!$A$3:$T$30,MATCH(P$33,FY14ProjSCH!$A$3:$T$3,0),FALSE)</f>
        <v>0</v>
      </c>
      <c r="Q45" s="83">
        <f>+GPpcntSCH*(VLOOKUP($A45,FY14ProjRev!$A$3:$K$29,11,FALSE))*VLOOKUP($A45,FY14ProjSCH!$A$3:$T$30,MATCH(Q$33,FY14ProjSCH!$A$3:$T$3,0),FALSE)</f>
        <v>354.14215330560603</v>
      </c>
      <c r="R45" s="83">
        <f>+GPpcntSCH*(VLOOKUP($A45,FY14ProjRev!$A$3:$K$29,11,FALSE))*VLOOKUP($A45,FY14ProjSCH!$A$3:$T$30,MATCH(R$33,FY14ProjSCH!$A$3:$T$3,0),FALSE)</f>
        <v>295.11846108800506</v>
      </c>
      <c r="S45" s="83">
        <f>+GPpcntSCH*(VLOOKUP($A45,FY14ProjRev!$A$3:$K$29,11,FALSE))*VLOOKUP($A45,FY14ProjSCH!$A$3:$T$30,MATCH(S$33,FY14ProjSCH!$A$3:$T$3,0),FALSE)</f>
        <v>0</v>
      </c>
      <c r="T45" s="83">
        <f t="shared" si="29"/>
        <v>261120.81437066686</v>
      </c>
    </row>
    <row r="46" spans="1:20" ht="15.95" customHeight="1">
      <c r="A46" s="222" t="s">
        <v>145</v>
      </c>
      <c r="B46" s="303" t="s">
        <v>146</v>
      </c>
      <c r="C46" s="83">
        <f>+GPpcntSCH*(VLOOKUP($A46,FY14ProjRev!$A$3:$K$29,11,FALSE))*VLOOKUP($A46,FY14ProjSCH!$A$3:$T$30,MATCH(C$33,FY14ProjSCH!$A$3:$T$3,0),FALSE)</f>
        <v>372926.48445763369</v>
      </c>
      <c r="D46" s="83">
        <f>+GPpcntSCH*(VLOOKUP($A46,FY14ProjRev!$A$3:$K$29,11,FALSE))*VLOOKUP($A46,FY14ProjSCH!$A$3:$T$30,MATCH(D$33,FY14ProjSCH!$A$3:$T$3,0),FALSE)</f>
        <v>6741.7073375480722</v>
      </c>
      <c r="E46" s="83">
        <f>+GPpcntSCH*(VLOOKUP($A46,FY14ProjRev!$A$3:$K$29,11,FALSE))*VLOOKUP($A46,FY14ProjSCH!$A$3:$T$30,MATCH(E$33,FY14ProjSCH!$A$3:$T$3,0),FALSE)</f>
        <v>9218.2528901167516</v>
      </c>
      <c r="F46" s="83">
        <f>+GPpcntSCH*(VLOOKUP($A46,FY14ProjRev!$A$3:$K$29,11,FALSE))*VLOOKUP($A46,FY14ProjSCH!$A$3:$T$30,MATCH(F$33,FY14ProjSCH!$A$3:$T$3,0),FALSE)</f>
        <v>275.17172806318661</v>
      </c>
      <c r="G46" s="83">
        <f>+GPpcntSCH*(VLOOKUP($A46,FY14ProjRev!$A$3:$K$29,11,FALSE))*VLOOKUP($A46,FY14ProjSCH!$A$3:$T$30,MATCH(G$33,FY14ProjSCH!$A$3:$T$3,0),FALSE)</f>
        <v>1238.2727762843397</v>
      </c>
      <c r="H46" s="83">
        <f>+GPpcntSCH*(VLOOKUP($A46,FY14ProjRev!$A$3:$K$29,11,FALSE))*VLOOKUP($A46,FY14ProjSCH!$A$3:$T$30,MATCH(H$33,FY14ProjSCH!$A$3:$T$3,0),FALSE)</f>
        <v>1513.4445043475264</v>
      </c>
      <c r="I46" s="83">
        <f>+GPpcntSCH*(VLOOKUP($A46,FY14ProjRev!$A$3:$K$29,11,FALSE))*VLOOKUP($A46,FY14ProjSCH!$A$3:$T$30,MATCH(I$33,FY14ProjSCH!$A$3:$T$3,0),FALSE)</f>
        <v>0</v>
      </c>
      <c r="J46" s="83">
        <f>+GPpcntSCH*(VLOOKUP($A46,FY14ProjRev!$A$3:$K$29,11,FALSE))*VLOOKUP($A46,FY14ProjSCH!$A$3:$T$30,MATCH(J$33,FY14ProjSCH!$A$3:$T$3,0),FALSE)</f>
        <v>0</v>
      </c>
      <c r="K46" s="83">
        <f>+GPpcntSCH*(VLOOKUP($A46,FY14ProjRev!$A$3:$K$29,11,FALSE))*VLOOKUP($A46,FY14ProjSCH!$A$3:$T$30,MATCH(K$33,FY14ProjSCH!$A$3:$T$3,0),FALSE)</f>
        <v>2751.7172806318663</v>
      </c>
      <c r="L46" s="83">
        <f>+GPpcntSCH*(VLOOKUP($A46,FY14ProjRev!$A$3:$K$29,11,FALSE))*VLOOKUP($A46,FY14ProjSCH!$A$3:$T$30,MATCH(L$33,FY14ProjSCH!$A$3:$T$3,0),FALSE)</f>
        <v>0</v>
      </c>
      <c r="M46" s="83">
        <f>+GPpcntSCH*(VLOOKUP($A46,FY14ProjRev!$A$3:$K$29,11,FALSE))*VLOOKUP($A46,FY14ProjSCH!$A$3:$T$30,MATCH(M$33,FY14ProjSCH!$A$3:$T$3,0),FALSE)</f>
        <v>0</v>
      </c>
      <c r="N46" s="83">
        <f>+GPpcntSCH*(VLOOKUP($A46,FY14ProjRev!$A$3:$K$29,11,FALSE))*VLOOKUP($A46,FY14ProjSCH!$A$3:$T$30,MATCH(N$33,FY14ProjSCH!$A$3:$T$3,0),FALSE)</f>
        <v>0</v>
      </c>
      <c r="O46" s="83">
        <f>+GPpcntSCH*(VLOOKUP($A46,FY14ProjRev!$A$3:$K$29,11,FALSE))*VLOOKUP($A46,FY14ProjSCH!$A$3:$T$30,MATCH(O$33,FY14ProjSCH!$A$3:$T$3,0),FALSE)</f>
        <v>0</v>
      </c>
      <c r="P46" s="83">
        <f>+GPpcntSCH*(VLOOKUP($A46,FY14ProjRev!$A$3:$K$29,11,FALSE))*VLOOKUP($A46,FY14ProjSCH!$A$3:$T$30,MATCH(P$33,FY14ProjSCH!$A$3:$T$3,0),FALSE)</f>
        <v>0</v>
      </c>
      <c r="Q46" s="83">
        <f>+GPpcntSCH*(VLOOKUP($A46,FY14ProjRev!$A$3:$K$29,11,FALSE))*VLOOKUP($A46,FY14ProjSCH!$A$3:$T$30,MATCH(Q$33,FY14ProjSCH!$A$3:$T$3,0),FALSE)</f>
        <v>0</v>
      </c>
      <c r="R46" s="83">
        <f>+GPpcntSCH*(VLOOKUP($A46,FY14ProjRev!$A$3:$K$29,11,FALSE))*VLOOKUP($A46,FY14ProjSCH!$A$3:$T$30,MATCH(R$33,FY14ProjSCH!$A$3:$T$3,0),FALSE)</f>
        <v>275.17172806318661</v>
      </c>
      <c r="S46" s="83">
        <f>+GPpcntSCH*(VLOOKUP($A46,FY14ProjRev!$A$3:$K$29,11,FALSE))*VLOOKUP($A46,FY14ProjSCH!$A$3:$T$30,MATCH(S$33,FY14ProjSCH!$A$3:$T$3,0),FALSE)</f>
        <v>0</v>
      </c>
      <c r="T46" s="83">
        <f t="shared" si="29"/>
        <v>394940.22270268865</v>
      </c>
    </row>
    <row r="47" spans="1:20" ht="15.95" customHeight="1">
      <c r="A47" s="222" t="s">
        <v>147</v>
      </c>
      <c r="B47" s="303" t="s">
        <v>165</v>
      </c>
      <c r="C47" s="83">
        <f>+GPpcntSCH*(VLOOKUP($A47,FY14ProjRev!$A$3:$K$29,11,FALSE))*VLOOKUP($A47,FY14ProjSCH!$A$3:$T$30,MATCH(C$33,FY14ProjSCH!$A$3:$T$3,0),FALSE)</f>
        <v>0</v>
      </c>
      <c r="D47" s="83">
        <f>+GPpcntSCH*(VLOOKUP($A47,FY14ProjRev!$A$3:$K$29,11,FALSE))*VLOOKUP($A47,FY14ProjSCH!$A$3:$T$30,MATCH(D$33,FY14ProjSCH!$A$3:$T$3,0),FALSE)</f>
        <v>231.60047447547163</v>
      </c>
      <c r="E47" s="83">
        <f>+GPpcntSCH*(VLOOKUP($A47,FY14ProjRev!$A$3:$K$29,11,FALSE))*VLOOKUP($A47,FY14ProjSCH!$A$3:$T$30,MATCH(E$33,FY14ProjSCH!$A$3:$T$3,0),FALSE)</f>
        <v>0</v>
      </c>
      <c r="F47" s="83">
        <f>+GPpcntSCH*(VLOOKUP($A47,FY14ProjRev!$A$3:$K$29,11,FALSE))*VLOOKUP($A47,FY14ProjSCH!$A$3:$T$30,MATCH(F$33,FY14ProjSCH!$A$3:$T$3,0),FALSE)</f>
        <v>0</v>
      </c>
      <c r="G47" s="83">
        <f>+GPpcntSCH*(VLOOKUP($A47,FY14ProjRev!$A$3:$K$29,11,FALSE))*VLOOKUP($A47,FY14ProjSCH!$A$3:$T$30,MATCH(G$33,FY14ProjSCH!$A$3:$T$3,0),FALSE)</f>
        <v>21230.043493584901</v>
      </c>
      <c r="H47" s="83">
        <f>+GPpcntSCH*(VLOOKUP($A47,FY14ProjRev!$A$3:$K$29,11,FALSE))*VLOOKUP($A47,FY14ProjSCH!$A$3:$T$30,MATCH(H$33,FY14ProjSCH!$A$3:$T$3,0),FALSE)</f>
        <v>0</v>
      </c>
      <c r="I47" s="83">
        <f>+GPpcntSCH*(VLOOKUP($A47,FY14ProjRev!$A$3:$K$29,11,FALSE))*VLOOKUP($A47,FY14ProjSCH!$A$3:$T$30,MATCH(I$33,FY14ProjSCH!$A$3:$T$3,0),FALSE)</f>
        <v>0</v>
      </c>
      <c r="J47" s="83">
        <f>+GPpcntSCH*(VLOOKUP($A47,FY14ProjRev!$A$3:$K$29,11,FALSE))*VLOOKUP($A47,FY14ProjSCH!$A$3:$T$30,MATCH(J$33,FY14ProjSCH!$A$3:$T$3,0),FALSE)</f>
        <v>0</v>
      </c>
      <c r="K47" s="83">
        <f>+GPpcntSCH*(VLOOKUP($A47,FY14ProjRev!$A$3:$K$29,11,FALSE))*VLOOKUP($A47,FY14ProjSCH!$A$3:$T$30,MATCH(K$33,FY14ProjSCH!$A$3:$T$3,0),FALSE)</f>
        <v>0</v>
      </c>
      <c r="L47" s="83">
        <f>+GPpcntSCH*(VLOOKUP($A47,FY14ProjRev!$A$3:$K$29,11,FALSE))*VLOOKUP($A47,FY14ProjSCH!$A$3:$T$30,MATCH(L$33,FY14ProjSCH!$A$3:$T$3,0),FALSE)</f>
        <v>0</v>
      </c>
      <c r="M47" s="83">
        <f>+GPpcntSCH*(VLOOKUP($A47,FY14ProjRev!$A$3:$K$29,11,FALSE))*VLOOKUP($A47,FY14ProjSCH!$A$3:$T$30,MATCH(M$33,FY14ProjSCH!$A$3:$T$3,0),FALSE)</f>
        <v>0</v>
      </c>
      <c r="N47" s="83">
        <f>+GPpcntSCH*(VLOOKUP($A47,FY14ProjRev!$A$3:$K$29,11,FALSE))*VLOOKUP($A47,FY14ProjSCH!$A$3:$T$30,MATCH(N$33,FY14ProjSCH!$A$3:$T$3,0),FALSE)</f>
        <v>2856.4058518641505</v>
      </c>
      <c r="O47" s="83">
        <f>+GPpcntSCH*(VLOOKUP($A47,FY14ProjRev!$A$3:$K$29,11,FALSE))*VLOOKUP($A47,FY14ProjSCH!$A$3:$T$30,MATCH(O$33,FY14ProjSCH!$A$3:$T$3,0),FALSE)</f>
        <v>0</v>
      </c>
      <c r="P47" s="83">
        <f>+GPpcntSCH*(VLOOKUP($A47,FY14ProjRev!$A$3:$K$29,11,FALSE))*VLOOKUP($A47,FY14ProjSCH!$A$3:$T$30,MATCH(P$33,FY14ProjSCH!$A$3:$T$3,0),FALSE)</f>
        <v>0</v>
      </c>
      <c r="Q47" s="83">
        <f>+GPpcntSCH*(VLOOKUP($A47,FY14ProjRev!$A$3:$K$29,11,FALSE))*VLOOKUP($A47,FY14ProjSCH!$A$3:$T$30,MATCH(Q$33,FY14ProjSCH!$A$3:$T$3,0),FALSE)</f>
        <v>231.60047447547163</v>
      </c>
      <c r="R47" s="83">
        <f>+GPpcntSCH*(VLOOKUP($A47,FY14ProjRev!$A$3:$K$29,11,FALSE))*VLOOKUP($A47,FY14ProjSCH!$A$3:$T$30,MATCH(R$33,FY14ProjSCH!$A$3:$T$3,0),FALSE)</f>
        <v>0</v>
      </c>
      <c r="S47" s="83">
        <f>+GPpcntSCH*(VLOOKUP($A47,FY14ProjRev!$A$3:$K$29,11,FALSE))*VLOOKUP($A47,FY14ProjSCH!$A$3:$T$30,MATCH(S$33,FY14ProjSCH!$A$3:$T$3,0),FALSE)</f>
        <v>0</v>
      </c>
      <c r="T47" s="83">
        <f t="shared" si="29"/>
        <v>24549.650294399995</v>
      </c>
    </row>
    <row r="48" spans="1:20" ht="15.95" customHeight="1">
      <c r="A48" s="222" t="s">
        <v>174</v>
      </c>
      <c r="B48" s="303" t="s">
        <v>172</v>
      </c>
      <c r="C48" s="83">
        <f>+GPpcntSCH*(VLOOKUP($A48,FY14ProjRev!$A$3:$K$29,11,FALSE))*VLOOKUP($A48,FY14ProjSCH!$A$3:$T$30,MATCH(C$33,FY14ProjSCH!$A$3:$T$3,0),FALSE)</f>
        <v>0</v>
      </c>
      <c r="D48" s="83">
        <f>+GPpcntSCH*(VLOOKUP($A48,FY14ProjRev!$A$3:$K$29,11,FALSE))*VLOOKUP($A48,FY14ProjSCH!$A$3:$T$30,MATCH(D$33,FY14ProjSCH!$A$3:$T$3,0),FALSE)</f>
        <v>0</v>
      </c>
      <c r="E48" s="83">
        <f>+GPpcntSCH*(VLOOKUP($A48,FY14ProjRev!$A$3:$K$29,11,FALSE))*VLOOKUP($A48,FY14ProjSCH!$A$3:$T$30,MATCH(E$33,FY14ProjSCH!$A$3:$T$3,0),FALSE)</f>
        <v>0</v>
      </c>
      <c r="F48" s="83">
        <f>+GPpcntSCH*(VLOOKUP($A48,FY14ProjRev!$A$3:$K$29,11,FALSE))*VLOOKUP($A48,FY14ProjSCH!$A$3:$T$30,MATCH(F$33,FY14ProjSCH!$A$3:$T$3,0),FALSE)</f>
        <v>0</v>
      </c>
      <c r="G48" s="83">
        <f>+GPpcntSCH*(VLOOKUP($A48,FY14ProjRev!$A$3:$K$29,11,FALSE))*VLOOKUP($A48,FY14ProjSCH!$A$3:$T$30,MATCH(G$33,FY14ProjSCH!$A$3:$T$3,0),FALSE)</f>
        <v>17278.430400000001</v>
      </c>
      <c r="H48" s="83">
        <f>+GPpcntSCH*(VLOOKUP($A48,FY14ProjRev!$A$3:$K$29,11,FALSE))*VLOOKUP($A48,FY14ProjSCH!$A$3:$T$30,MATCH(H$33,FY14ProjSCH!$A$3:$T$3,0),FALSE)</f>
        <v>0</v>
      </c>
      <c r="I48" s="83">
        <f>+GPpcntSCH*(VLOOKUP($A48,FY14ProjRev!$A$3:$K$29,11,FALSE))*VLOOKUP($A48,FY14ProjSCH!$A$3:$T$30,MATCH(I$33,FY14ProjSCH!$A$3:$T$3,0),FALSE)</f>
        <v>0</v>
      </c>
      <c r="J48" s="83">
        <f>+GPpcntSCH*(VLOOKUP($A48,FY14ProjRev!$A$3:$K$29,11,FALSE))*VLOOKUP($A48,FY14ProjSCH!$A$3:$T$30,MATCH(J$33,FY14ProjSCH!$A$3:$T$3,0),FALSE)</f>
        <v>0</v>
      </c>
      <c r="K48" s="83">
        <f>+GPpcntSCH*(VLOOKUP($A48,FY14ProjRev!$A$3:$K$29,11,FALSE))*VLOOKUP($A48,FY14ProjSCH!$A$3:$T$30,MATCH(K$33,FY14ProjSCH!$A$3:$T$3,0),FALSE)</f>
        <v>0</v>
      </c>
      <c r="L48" s="83">
        <f>+GPpcntSCH*(VLOOKUP($A48,FY14ProjRev!$A$3:$K$29,11,FALSE))*VLOOKUP($A48,FY14ProjSCH!$A$3:$T$30,MATCH(L$33,FY14ProjSCH!$A$3:$T$3,0),FALSE)</f>
        <v>0</v>
      </c>
      <c r="M48" s="83">
        <f>+GPpcntSCH*(VLOOKUP($A48,FY14ProjRev!$A$3:$K$29,11,FALSE))*VLOOKUP($A48,FY14ProjSCH!$A$3:$T$30,MATCH(M$33,FY14ProjSCH!$A$3:$T$3,0),FALSE)</f>
        <v>0</v>
      </c>
      <c r="N48" s="83">
        <f>+GPpcntSCH*(VLOOKUP($A48,FY14ProjRev!$A$3:$K$29,11,FALSE))*VLOOKUP($A48,FY14ProjSCH!$A$3:$T$30,MATCH(N$33,FY14ProjSCH!$A$3:$T$3,0),FALSE)</f>
        <v>0</v>
      </c>
      <c r="O48" s="83">
        <f>+GPpcntSCH*(VLOOKUP($A48,FY14ProjRev!$A$3:$K$29,11,FALSE))*VLOOKUP($A48,FY14ProjSCH!$A$3:$T$30,MATCH(O$33,FY14ProjSCH!$A$3:$T$3,0),FALSE)</f>
        <v>0</v>
      </c>
      <c r="P48" s="83">
        <f>+GPpcntSCH*(VLOOKUP($A48,FY14ProjRev!$A$3:$K$29,11,FALSE))*VLOOKUP($A48,FY14ProjSCH!$A$3:$T$30,MATCH(P$33,FY14ProjSCH!$A$3:$T$3,0),FALSE)</f>
        <v>0</v>
      </c>
      <c r="Q48" s="83">
        <f>+GPpcntSCH*(VLOOKUP($A48,FY14ProjRev!$A$3:$K$29,11,FALSE))*VLOOKUP($A48,FY14ProjSCH!$A$3:$T$30,MATCH(Q$33,FY14ProjSCH!$A$3:$T$3,0),FALSE)</f>
        <v>0</v>
      </c>
      <c r="R48" s="83">
        <f>+GPpcntSCH*(VLOOKUP($A48,FY14ProjRev!$A$3:$K$29,11,FALSE))*VLOOKUP($A48,FY14ProjSCH!$A$3:$T$30,MATCH(R$33,FY14ProjSCH!$A$3:$T$3,0),FALSE)</f>
        <v>0</v>
      </c>
      <c r="S48" s="83">
        <f>+GPpcntSCH*(VLOOKUP($A48,FY14ProjRev!$A$3:$K$29,11,FALSE))*VLOOKUP($A48,FY14ProjSCH!$A$3:$T$30,MATCH(S$33,FY14ProjSCH!$A$3:$T$3,0),FALSE)</f>
        <v>0</v>
      </c>
      <c r="T48" s="83">
        <f t="shared" si="29"/>
        <v>17278.430400000001</v>
      </c>
    </row>
    <row r="49" spans="1:20" ht="15.95" customHeight="1">
      <c r="A49" s="222" t="s">
        <v>158</v>
      </c>
      <c r="B49" s="303" t="s">
        <v>166</v>
      </c>
      <c r="C49" s="83">
        <f>+GPpcntSCH*(VLOOKUP($A49,FY14ProjRev!$A$3:$K$29,11,FALSE))*VLOOKUP($A49,FY14ProjSCH!$A$3:$T$30,MATCH(C$33,FY14ProjSCH!$A$3:$T$3,0),FALSE)</f>
        <v>0</v>
      </c>
      <c r="D49" s="83">
        <f>+GPpcntSCH*(VLOOKUP($A49,FY14ProjRev!$A$3:$K$29,11,FALSE))*VLOOKUP($A49,FY14ProjSCH!$A$3:$T$30,MATCH(D$33,FY14ProjSCH!$A$3:$T$3,0),FALSE)</f>
        <v>646.70334959999991</v>
      </c>
      <c r="E49" s="83">
        <f>+GPpcntSCH*(VLOOKUP($A49,FY14ProjRev!$A$3:$K$29,11,FALSE))*VLOOKUP($A49,FY14ProjSCH!$A$3:$T$30,MATCH(E$33,FY14ProjSCH!$A$3:$T$3,0),FALSE)</f>
        <v>0</v>
      </c>
      <c r="F49" s="83">
        <f>+GPpcntSCH*(VLOOKUP($A49,FY14ProjRev!$A$3:$K$29,11,FALSE))*VLOOKUP($A49,FY14ProjSCH!$A$3:$T$30,MATCH(F$33,FY14ProjSCH!$A$3:$T$3,0),FALSE)</f>
        <v>0</v>
      </c>
      <c r="G49" s="83">
        <f>+GPpcntSCH*(VLOOKUP($A49,FY14ProjRev!$A$3:$K$29,11,FALSE))*VLOOKUP($A49,FY14ProjSCH!$A$3:$T$30,MATCH(G$33,FY14ProjSCH!$A$3:$T$3,0),FALSE)</f>
        <v>26191.485658799997</v>
      </c>
      <c r="H49" s="83">
        <f>+GPpcntSCH*(VLOOKUP($A49,FY14ProjRev!$A$3:$K$29,11,FALSE))*VLOOKUP($A49,FY14ProjSCH!$A$3:$T$30,MATCH(H$33,FY14ProjSCH!$A$3:$T$3,0),FALSE)</f>
        <v>0</v>
      </c>
      <c r="I49" s="83">
        <f>+GPpcntSCH*(VLOOKUP($A49,FY14ProjRev!$A$3:$K$29,11,FALSE))*VLOOKUP($A49,FY14ProjSCH!$A$3:$T$30,MATCH(I$33,FY14ProjSCH!$A$3:$T$3,0),FALSE)</f>
        <v>0</v>
      </c>
      <c r="J49" s="83">
        <f>+GPpcntSCH*(VLOOKUP($A49,FY14ProjRev!$A$3:$K$29,11,FALSE))*VLOOKUP($A49,FY14ProjSCH!$A$3:$T$30,MATCH(J$33,FY14ProjSCH!$A$3:$T$3,0),FALSE)</f>
        <v>0</v>
      </c>
      <c r="K49" s="83">
        <f>+GPpcntSCH*(VLOOKUP($A49,FY14ProjRev!$A$3:$K$29,11,FALSE))*VLOOKUP($A49,FY14ProjSCH!$A$3:$T$30,MATCH(K$33,FY14ProjSCH!$A$3:$T$3,0),FALSE)</f>
        <v>0</v>
      </c>
      <c r="L49" s="83">
        <f>+GPpcntSCH*(VLOOKUP($A49,FY14ProjRev!$A$3:$K$29,11,FALSE))*VLOOKUP($A49,FY14ProjSCH!$A$3:$T$30,MATCH(L$33,FY14ProjSCH!$A$3:$T$3,0),FALSE)</f>
        <v>0</v>
      </c>
      <c r="M49" s="83">
        <f>+GPpcntSCH*(VLOOKUP($A49,FY14ProjRev!$A$3:$K$29,11,FALSE))*VLOOKUP($A49,FY14ProjSCH!$A$3:$T$30,MATCH(M$33,FY14ProjSCH!$A$3:$T$3,0),FALSE)</f>
        <v>0</v>
      </c>
      <c r="N49" s="83">
        <f>+GPpcntSCH*(VLOOKUP($A49,FY14ProjRev!$A$3:$K$29,11,FALSE))*VLOOKUP($A49,FY14ProjSCH!$A$3:$T$30,MATCH(N$33,FY14ProjSCH!$A$3:$T$3,0),FALSE)</f>
        <v>323.35167479999996</v>
      </c>
      <c r="O49" s="83">
        <f>+GPpcntSCH*(VLOOKUP($A49,FY14ProjRev!$A$3:$K$29,11,FALSE))*VLOOKUP($A49,FY14ProjSCH!$A$3:$T$30,MATCH(O$33,FY14ProjSCH!$A$3:$T$3,0),FALSE)</f>
        <v>0</v>
      </c>
      <c r="P49" s="83">
        <f>+GPpcntSCH*(VLOOKUP($A49,FY14ProjRev!$A$3:$K$29,11,FALSE))*VLOOKUP($A49,FY14ProjSCH!$A$3:$T$30,MATCH(P$33,FY14ProjSCH!$A$3:$T$3,0),FALSE)</f>
        <v>0</v>
      </c>
      <c r="Q49" s="83">
        <f>+GPpcntSCH*(VLOOKUP($A49,FY14ProjRev!$A$3:$K$29,11,FALSE))*VLOOKUP($A49,FY14ProjSCH!$A$3:$T$30,MATCH(Q$33,FY14ProjSCH!$A$3:$T$3,0),FALSE)</f>
        <v>0</v>
      </c>
      <c r="R49" s="83">
        <f>+GPpcntSCH*(VLOOKUP($A49,FY14ProjRev!$A$3:$K$29,11,FALSE))*VLOOKUP($A49,FY14ProjSCH!$A$3:$T$30,MATCH(R$33,FY14ProjSCH!$A$3:$T$3,0),FALSE)</f>
        <v>0</v>
      </c>
      <c r="S49" s="83">
        <f>+GPpcntSCH*(VLOOKUP($A49,FY14ProjRev!$A$3:$K$29,11,FALSE))*VLOOKUP($A49,FY14ProjSCH!$A$3:$T$30,MATCH(S$33,FY14ProjSCH!$A$3:$T$3,0),FALSE)</f>
        <v>0</v>
      </c>
      <c r="T49" s="83">
        <f t="shared" si="29"/>
        <v>27161.540683199997</v>
      </c>
    </row>
    <row r="50" spans="1:20" ht="15.95" customHeight="1">
      <c r="A50" s="277" t="s">
        <v>148</v>
      </c>
      <c r="B50" s="303" t="s">
        <v>39</v>
      </c>
      <c r="C50" s="83">
        <f>+GPpcntSCH*(VLOOKUP($A50,FY14ProjRev!$A$3:$K$29,11,FALSE))*VLOOKUP($A50,FY14ProjSCH!$A$3:$T$30,MATCH(C$33,FY14ProjSCH!$A$3:$T$3,0),FALSE)</f>
        <v>6971.3004307093379</v>
      </c>
      <c r="D50" s="83">
        <f>+GPpcntSCH*(VLOOKUP($A50,FY14ProjRev!$A$3:$K$29,11,FALSE))*VLOOKUP($A50,FY14ProjSCH!$A$3:$T$30,MATCH(D$33,FY14ProjSCH!$A$3:$T$3,0),FALSE)</f>
        <v>44264.373608581613</v>
      </c>
      <c r="E50" s="83">
        <f>+GPpcntSCH*(VLOOKUP($A50,FY14ProjRev!$A$3:$K$29,11,FALSE))*VLOOKUP($A50,FY14ProjSCH!$A$3:$T$30,MATCH(E$33,FY14ProjSCH!$A$3:$T$3,0),FALSE)</f>
        <v>16582.219471104734</v>
      </c>
      <c r="F50" s="83">
        <f>+GPpcntSCH*(VLOOKUP($A50,FY14ProjRev!$A$3:$K$29,11,FALSE))*VLOOKUP($A50,FY14ProjSCH!$A$3:$T$30,MATCH(F$33,FY14ProjSCH!$A$3:$T$3,0),FALSE)</f>
        <v>3654.8565364883898</v>
      </c>
      <c r="G50" s="83">
        <f>+GPpcntSCH*(VLOOKUP($A50,FY14ProjRev!$A$3:$K$29,11,FALSE))*VLOOKUP($A50,FY14ProjSCH!$A$3:$T$30,MATCH(G$33,FY14ProjSCH!$A$3:$T$3,0),FALSE)</f>
        <v>812.19034144186446</v>
      </c>
      <c r="H50" s="83">
        <f>+GPpcntSCH*(VLOOKUP($A50,FY14ProjRev!$A$3:$K$29,11,FALSE))*VLOOKUP($A50,FY14ProjSCH!$A$3:$T$30,MATCH(H$33,FY14ProjSCH!$A$3:$T$3,0),FALSE)</f>
        <v>29171.169763453632</v>
      </c>
      <c r="I50" s="83">
        <f>+GPpcntSCH*(VLOOKUP($A50,FY14ProjRev!$A$3:$K$29,11,FALSE))*VLOOKUP($A50,FY14ProjSCH!$A$3:$T$30,MATCH(I$33,FY14ProjSCH!$A$3:$T$3,0),FALSE)</f>
        <v>1015.2379268023307</v>
      </c>
      <c r="J50" s="83">
        <f>+GPpcntSCH*(VLOOKUP($A50,FY14ProjRev!$A$3:$K$29,11,FALSE))*VLOOKUP($A50,FY14ProjSCH!$A$3:$T$30,MATCH(J$33,FY14ProjSCH!$A$3:$T$3,0),FALSE)</f>
        <v>3248.7613657674578</v>
      </c>
      <c r="K50" s="83">
        <f>+GPpcntSCH*(VLOOKUP($A50,FY14ProjRev!$A$3:$K$29,11,FALSE))*VLOOKUP($A50,FY14ProjSCH!$A$3:$T$30,MATCH(K$33,FY14ProjSCH!$A$3:$T$3,0),FALSE)</f>
        <v>740243.81369580596</v>
      </c>
      <c r="L50" s="83">
        <f>+GPpcntSCH*(VLOOKUP($A50,FY14ProjRev!$A$3:$K$29,11,FALSE))*VLOOKUP($A50,FY14ProjSCH!$A$3:$T$30,MATCH(L$33,FY14ProjSCH!$A$3:$T$3,0),FALSE)</f>
        <v>2436.5710243255935</v>
      </c>
      <c r="M50" s="83">
        <f>+GPpcntSCH*(VLOOKUP($A50,FY14ProjRev!$A$3:$K$29,11,FALSE))*VLOOKUP($A50,FY14ProjSCH!$A$3:$T$30,MATCH(M$33,FY14ProjSCH!$A$3:$T$3,0),FALSE)</f>
        <v>0</v>
      </c>
      <c r="N50" s="83">
        <f>+GPpcntSCH*(VLOOKUP($A50,FY14ProjRev!$A$3:$K$29,11,FALSE))*VLOOKUP($A50,FY14ProjSCH!$A$3:$T$30,MATCH(N$33,FY14ProjSCH!$A$3:$T$3,0),FALSE)</f>
        <v>6023.7450323604944</v>
      </c>
      <c r="O50" s="83">
        <f>+GPpcntSCH*(VLOOKUP($A50,FY14ProjRev!$A$3:$K$29,11,FALSE))*VLOOKUP($A50,FY14ProjSCH!$A$3:$T$30,MATCH(O$33,FY14ProjSCH!$A$3:$T$3,0),FALSE)</f>
        <v>0</v>
      </c>
      <c r="P50" s="83">
        <f>+GPpcntSCH*(VLOOKUP($A50,FY14ProjRev!$A$3:$K$29,11,FALSE))*VLOOKUP($A50,FY14ProjSCH!$A$3:$T$30,MATCH(P$33,FY14ProjSCH!$A$3:$T$3,0),FALSE)</f>
        <v>0</v>
      </c>
      <c r="Q50" s="83">
        <f>+GPpcntSCH*(VLOOKUP($A50,FY14ProjRev!$A$3:$K$29,11,FALSE))*VLOOKUP($A50,FY14ProjSCH!$A$3:$T$30,MATCH(Q$33,FY14ProjSCH!$A$3:$T$3,0),FALSE)</f>
        <v>11776.759950907035</v>
      </c>
      <c r="R50" s="83">
        <f>+GPpcntSCH*(VLOOKUP($A50,FY14ProjRev!$A$3:$K$29,11,FALSE))*VLOOKUP($A50,FY14ProjSCH!$A$3:$T$30,MATCH(R$33,FY14ProjSCH!$A$3:$T$3,0),FALSE)</f>
        <v>0</v>
      </c>
      <c r="S50" s="83">
        <f>+GPpcntSCH*(VLOOKUP($A50,FY14ProjRev!$A$3:$K$29,11,FALSE))*VLOOKUP($A50,FY14ProjSCH!$A$3:$T$30,MATCH(S$33,FY14ProjSCH!$A$3:$T$3,0),FALSE)</f>
        <v>0</v>
      </c>
      <c r="T50" s="83">
        <f t="shared" si="29"/>
        <v>866200.99914774857</v>
      </c>
    </row>
    <row r="51" spans="1:20" ht="15.95" customHeight="1">
      <c r="A51" s="266" t="s">
        <v>175</v>
      </c>
      <c r="B51" s="303" t="s">
        <v>168</v>
      </c>
      <c r="C51" s="83">
        <f>+GPpcntSCH*(VLOOKUP($A51,FY14ProjRev!$A$3:$K$29,11,FALSE))*VLOOKUP($A51,FY14ProjSCH!$A$3:$T$30,MATCH(C$33,FY14ProjSCH!$A$3:$T$3,0),FALSE)</f>
        <v>0</v>
      </c>
      <c r="D51" s="83">
        <f>+GPpcntSCH*(VLOOKUP($A51,FY14ProjRev!$A$3:$K$29,11,FALSE))*VLOOKUP($A51,FY14ProjSCH!$A$3:$T$30,MATCH(D$33,FY14ProjSCH!$A$3:$T$3,0),FALSE)</f>
        <v>981.75</v>
      </c>
      <c r="E51" s="83">
        <f>+GPpcntSCH*(VLOOKUP($A51,FY14ProjRev!$A$3:$K$29,11,FALSE))*VLOOKUP($A51,FY14ProjSCH!$A$3:$T$30,MATCH(E$33,FY14ProjSCH!$A$3:$T$3,0),FALSE)</f>
        <v>0</v>
      </c>
      <c r="F51" s="83">
        <f>+GPpcntSCH*(VLOOKUP($A51,FY14ProjRev!$A$3:$K$29,11,FALSE))*VLOOKUP($A51,FY14ProjSCH!$A$3:$T$30,MATCH(F$33,FY14ProjSCH!$A$3:$T$3,0),FALSE)</f>
        <v>0</v>
      </c>
      <c r="G51" s="83">
        <f>+GPpcntSCH*(VLOOKUP($A51,FY14ProjRev!$A$3:$K$29,11,FALSE))*VLOOKUP($A51,FY14ProjSCH!$A$3:$T$30,MATCH(G$33,FY14ProjSCH!$A$3:$T$3,0),FALSE)</f>
        <v>0</v>
      </c>
      <c r="H51" s="83">
        <f>+GPpcntSCH*(VLOOKUP($A51,FY14ProjRev!$A$3:$K$29,11,FALSE))*VLOOKUP($A51,FY14ProjSCH!$A$3:$T$30,MATCH(H$33,FY14ProjSCH!$A$3:$T$3,0),FALSE)</f>
        <v>981.75</v>
      </c>
      <c r="I51" s="83">
        <f>+GPpcntSCH*(VLOOKUP($A51,FY14ProjRev!$A$3:$K$29,11,FALSE))*VLOOKUP($A51,FY14ProjSCH!$A$3:$T$30,MATCH(I$33,FY14ProjSCH!$A$3:$T$3,0),FALSE)</f>
        <v>0</v>
      </c>
      <c r="J51" s="83">
        <f>+GPpcntSCH*(VLOOKUP($A51,FY14ProjRev!$A$3:$K$29,11,FALSE))*VLOOKUP($A51,FY14ProjSCH!$A$3:$T$30,MATCH(J$33,FY14ProjSCH!$A$3:$T$3,0),FALSE)</f>
        <v>0</v>
      </c>
      <c r="K51" s="83">
        <f>+GPpcntSCH*(VLOOKUP($A51,FY14ProjRev!$A$3:$K$29,11,FALSE))*VLOOKUP($A51,FY14ProjSCH!$A$3:$T$30,MATCH(K$33,FY14ProjSCH!$A$3:$T$3,0),FALSE)</f>
        <v>20125.875</v>
      </c>
      <c r="L51" s="83">
        <f>+GPpcntSCH*(VLOOKUP($A51,FY14ProjRev!$A$3:$K$29,11,FALSE))*VLOOKUP($A51,FY14ProjSCH!$A$3:$T$30,MATCH(L$33,FY14ProjSCH!$A$3:$T$3,0),FALSE)</f>
        <v>0</v>
      </c>
      <c r="M51" s="83">
        <f>+GPpcntSCH*(VLOOKUP($A51,FY14ProjRev!$A$3:$K$29,11,FALSE))*VLOOKUP($A51,FY14ProjSCH!$A$3:$T$30,MATCH(M$33,FY14ProjSCH!$A$3:$T$3,0),FALSE)</f>
        <v>0</v>
      </c>
      <c r="N51" s="83">
        <f>+GPpcntSCH*(VLOOKUP($A51,FY14ProjRev!$A$3:$K$29,11,FALSE))*VLOOKUP($A51,FY14ProjSCH!$A$3:$T$30,MATCH(N$33,FY14ProjSCH!$A$3:$T$3,0),FALSE)</f>
        <v>0</v>
      </c>
      <c r="O51" s="83">
        <f>+GPpcntSCH*(VLOOKUP($A51,FY14ProjRev!$A$3:$K$29,11,FALSE))*VLOOKUP($A51,FY14ProjSCH!$A$3:$T$30,MATCH(O$33,FY14ProjSCH!$A$3:$T$3,0),FALSE)</f>
        <v>0</v>
      </c>
      <c r="P51" s="83">
        <f>+GPpcntSCH*(VLOOKUP($A51,FY14ProjRev!$A$3:$K$29,11,FALSE))*VLOOKUP($A51,FY14ProjSCH!$A$3:$T$30,MATCH(P$33,FY14ProjSCH!$A$3:$T$3,0),FALSE)</f>
        <v>0</v>
      </c>
      <c r="Q51" s="83">
        <f>+GPpcntSCH*(VLOOKUP($A51,FY14ProjRev!$A$3:$K$29,11,FALSE))*VLOOKUP($A51,FY14ProjSCH!$A$3:$T$30,MATCH(Q$33,FY14ProjSCH!$A$3:$T$3,0),FALSE)</f>
        <v>0</v>
      </c>
      <c r="R51" s="83">
        <f>+GPpcntSCH*(VLOOKUP($A51,FY14ProjRev!$A$3:$K$29,11,FALSE))*VLOOKUP($A51,FY14ProjSCH!$A$3:$T$30,MATCH(R$33,FY14ProjSCH!$A$3:$T$3,0),FALSE)</f>
        <v>0</v>
      </c>
      <c r="S51" s="83">
        <f>+GPpcntSCH*(VLOOKUP($A51,FY14ProjRev!$A$3:$K$29,11,FALSE))*VLOOKUP($A51,FY14ProjSCH!$A$3:$T$30,MATCH(S$33,FY14ProjSCH!$A$3:$T$3,0),FALSE)</f>
        <v>0</v>
      </c>
      <c r="T51" s="83">
        <f t="shared" si="29"/>
        <v>22089.375</v>
      </c>
    </row>
    <row r="52" spans="1:20" ht="15.95" customHeight="1">
      <c r="A52" s="222" t="s">
        <v>149</v>
      </c>
      <c r="B52" s="303" t="s">
        <v>38</v>
      </c>
      <c r="C52" s="83">
        <f>+GPpcntSCH*(VLOOKUP($A52,FY14ProjRev!$A$3:$K$29,11,FALSE))*VLOOKUP($A52,FY14ProjSCH!$A$3:$T$30,MATCH(C$33,FY14ProjSCH!$A$3:$T$3,0),FALSE)</f>
        <v>0</v>
      </c>
      <c r="D52" s="83">
        <f>+GPpcntSCH*(VLOOKUP($A52,FY14ProjRev!$A$3:$K$29,11,FALSE))*VLOOKUP($A52,FY14ProjSCH!$A$3:$T$30,MATCH(D$33,FY14ProjSCH!$A$3:$T$3,0),FALSE)</f>
        <v>930.34918425670753</v>
      </c>
      <c r="E52" s="83">
        <f>+GPpcntSCH*(VLOOKUP($A52,FY14ProjRev!$A$3:$K$29,11,FALSE))*VLOOKUP($A52,FY14ProjSCH!$A$3:$T$30,MATCH(E$33,FY14ProjSCH!$A$3:$T$3,0),FALSE)</f>
        <v>741255.71255653165</v>
      </c>
      <c r="F52" s="83">
        <f>+GPpcntSCH*(VLOOKUP($A52,FY14ProjRev!$A$3:$K$29,11,FALSE))*VLOOKUP($A52,FY14ProjSCH!$A$3:$T$30,MATCH(F$33,FY14ProjSCH!$A$3:$T$3,0),FALSE)</f>
        <v>232.58729606417688</v>
      </c>
      <c r="G52" s="83">
        <f>+GPpcntSCH*(VLOOKUP($A52,FY14ProjRev!$A$3:$K$29,11,FALSE))*VLOOKUP($A52,FY14ProjSCH!$A$3:$T$30,MATCH(G$33,FY14ProjSCH!$A$3:$T$3,0),FALSE)</f>
        <v>310.11639475223581</v>
      </c>
      <c r="H52" s="83">
        <f>+GPpcntSCH*(VLOOKUP($A52,FY14ProjRev!$A$3:$K$29,11,FALSE))*VLOOKUP($A52,FY14ProjSCH!$A$3:$T$30,MATCH(H$33,FY14ProjSCH!$A$3:$T$3,0),FALSE)</f>
        <v>1938.2274672014739</v>
      </c>
      <c r="I52" s="83">
        <f>+GPpcntSCH*(VLOOKUP($A52,FY14ProjRev!$A$3:$K$29,11,FALSE))*VLOOKUP($A52,FY14ProjSCH!$A$3:$T$30,MATCH(I$33,FY14ProjSCH!$A$3:$T$3,0),FALSE)</f>
        <v>0</v>
      </c>
      <c r="J52" s="83">
        <f>+GPpcntSCH*(VLOOKUP($A52,FY14ProjRev!$A$3:$K$29,11,FALSE))*VLOOKUP($A52,FY14ProjSCH!$A$3:$T$30,MATCH(J$33,FY14ProjSCH!$A$3:$T$3,0),FALSE)</f>
        <v>775.29098688058957</v>
      </c>
      <c r="K52" s="83">
        <f>+GPpcntSCH*(VLOOKUP($A52,FY14ProjRev!$A$3:$K$29,11,FALSE))*VLOOKUP($A52,FY14ProjSCH!$A$3:$T$30,MATCH(K$33,FY14ProjSCH!$A$3:$T$3,0),FALSE)</f>
        <v>6589.973388485012</v>
      </c>
      <c r="L52" s="83">
        <f>+GPpcntSCH*(VLOOKUP($A52,FY14ProjRev!$A$3:$K$29,11,FALSE))*VLOOKUP($A52,FY14ProjSCH!$A$3:$T$30,MATCH(L$33,FY14ProjSCH!$A$3:$T$3,0),FALSE)</f>
        <v>0</v>
      </c>
      <c r="M52" s="83">
        <f>+GPpcntSCH*(VLOOKUP($A52,FY14ProjRev!$A$3:$K$29,11,FALSE))*VLOOKUP($A52,FY14ProjSCH!$A$3:$T$30,MATCH(M$33,FY14ProjSCH!$A$3:$T$3,0),FALSE)</f>
        <v>0</v>
      </c>
      <c r="N52" s="83">
        <f>+GPpcntSCH*(VLOOKUP($A52,FY14ProjRev!$A$3:$K$29,11,FALSE))*VLOOKUP($A52,FY14ProjSCH!$A$3:$T$30,MATCH(N$33,FY14ProjSCH!$A$3:$T$3,0),FALSE)</f>
        <v>465.17459212835377</v>
      </c>
      <c r="O52" s="83">
        <f>+GPpcntSCH*(VLOOKUP($A52,FY14ProjRev!$A$3:$K$29,11,FALSE))*VLOOKUP($A52,FY14ProjSCH!$A$3:$T$30,MATCH(O$33,FY14ProjSCH!$A$3:$T$3,0),FALSE)</f>
        <v>232.58729606417688</v>
      </c>
      <c r="P52" s="83">
        <f>+GPpcntSCH*(VLOOKUP($A52,FY14ProjRev!$A$3:$K$29,11,FALSE))*VLOOKUP($A52,FY14ProjSCH!$A$3:$T$30,MATCH(P$33,FY14ProjSCH!$A$3:$T$3,0),FALSE)</f>
        <v>0</v>
      </c>
      <c r="Q52" s="83">
        <f>+GPpcntSCH*(VLOOKUP($A52,FY14ProjRev!$A$3:$K$29,11,FALSE))*VLOOKUP($A52,FY14ProjSCH!$A$3:$T$30,MATCH(Q$33,FY14ProjSCH!$A$3:$T$3,0),FALSE)</f>
        <v>2248.3438619537096</v>
      </c>
      <c r="R52" s="83">
        <f>+GPpcntSCH*(VLOOKUP($A52,FY14ProjRev!$A$3:$K$29,11,FALSE))*VLOOKUP($A52,FY14ProjSCH!$A$3:$T$30,MATCH(R$33,FY14ProjSCH!$A$3:$T$3,0),FALSE)</f>
        <v>0</v>
      </c>
      <c r="S52" s="83">
        <f>+GPpcntSCH*(VLOOKUP($A52,FY14ProjRev!$A$3:$K$29,11,FALSE))*VLOOKUP($A52,FY14ProjSCH!$A$3:$T$30,MATCH(S$33,FY14ProjSCH!$A$3:$T$3,0),FALSE)</f>
        <v>0</v>
      </c>
      <c r="T52" s="83">
        <f t="shared" si="29"/>
        <v>754978.36302431801</v>
      </c>
    </row>
    <row r="53" spans="1:20" ht="15.95" customHeight="1">
      <c r="A53" s="222" t="s">
        <v>150</v>
      </c>
      <c r="B53" s="303" t="s">
        <v>31</v>
      </c>
      <c r="C53" s="83">
        <f>+GPpcntSCH*(VLOOKUP($A53,FY14ProjRev!$A$3:$K$29,11,FALSE))*VLOOKUP($A53,FY14ProjSCH!$A$3:$T$30,MATCH(C$33,FY14ProjSCH!$A$3:$T$3,0),FALSE)</f>
        <v>266.14468082650001</v>
      </c>
      <c r="D53" s="83">
        <f>+GPpcntSCH*(VLOOKUP($A53,FY14ProjRev!$A$3:$K$29,11,FALSE))*VLOOKUP($A53,FY14ProjSCH!$A$3:$T$30,MATCH(D$33,FY14ProjSCH!$A$3:$T$3,0),FALSE)</f>
        <v>22533.582976643665</v>
      </c>
      <c r="E53" s="83">
        <f>+GPpcntSCH*(VLOOKUP($A53,FY14ProjRev!$A$3:$K$29,11,FALSE))*VLOOKUP($A53,FY14ProjSCH!$A$3:$T$30,MATCH(E$33,FY14ProjSCH!$A$3:$T$3,0),FALSE)</f>
        <v>13218.519147716164</v>
      </c>
      <c r="F53" s="83">
        <f>+GPpcntSCH*(VLOOKUP($A53,FY14ProjRev!$A$3:$K$29,11,FALSE))*VLOOKUP($A53,FY14ProjSCH!$A$3:$T$30,MATCH(F$33,FY14ProjSCH!$A$3:$T$3,0),FALSE)</f>
        <v>1064.578723306</v>
      </c>
      <c r="G53" s="83">
        <f>+GPpcntSCH*(VLOOKUP($A53,FY14ProjRev!$A$3:$K$29,11,FALSE))*VLOOKUP($A53,FY14ProjSCH!$A$3:$T$30,MATCH(G$33,FY14ProjSCH!$A$3:$T$3,0),FALSE)</f>
        <v>0</v>
      </c>
      <c r="H53" s="83">
        <f>+GPpcntSCH*(VLOOKUP($A53,FY14ProjRev!$A$3:$K$29,11,FALSE))*VLOOKUP($A53,FY14ProjSCH!$A$3:$T$30,MATCH(H$33,FY14ProjSCH!$A$3:$T$3,0),FALSE)</f>
        <v>354.85957443533329</v>
      </c>
      <c r="I53" s="83">
        <f>+GPpcntSCH*(VLOOKUP($A53,FY14ProjRev!$A$3:$K$29,11,FALSE))*VLOOKUP($A53,FY14ProjSCH!$A$3:$T$30,MATCH(I$33,FY14ProjSCH!$A$3:$T$3,0),FALSE)</f>
        <v>12331.370211627833</v>
      </c>
      <c r="J53" s="83">
        <f>+GPpcntSCH*(VLOOKUP($A53,FY14ProjRev!$A$3:$K$29,11,FALSE))*VLOOKUP($A53,FY14ProjSCH!$A$3:$T$30,MATCH(J$33,FY14ProjSCH!$A$3:$T$3,0),FALSE)</f>
        <v>2093494.0593812487</v>
      </c>
      <c r="K53" s="83">
        <f>+GPpcntSCH*(VLOOKUP($A53,FY14ProjRev!$A$3:$K$29,11,FALSE))*VLOOKUP($A53,FY14ProjSCH!$A$3:$T$30,MATCH(K$33,FY14ProjSCH!$A$3:$T$3,0),FALSE)</f>
        <v>1774.2978721766665</v>
      </c>
      <c r="L53" s="83">
        <f>+GPpcntSCH*(VLOOKUP($A53,FY14ProjRev!$A$3:$K$29,11,FALSE))*VLOOKUP($A53,FY14ProjSCH!$A$3:$T$30,MATCH(L$33,FY14ProjSCH!$A$3:$T$3,0),FALSE)</f>
        <v>0</v>
      </c>
      <c r="M53" s="83">
        <f>+GPpcntSCH*(VLOOKUP($A53,FY14ProjRev!$A$3:$K$29,11,FALSE))*VLOOKUP($A53,FY14ProjSCH!$A$3:$T$30,MATCH(M$33,FY14ProjSCH!$A$3:$T$3,0),FALSE)</f>
        <v>0</v>
      </c>
      <c r="N53" s="83">
        <f>+GPpcntSCH*(VLOOKUP($A53,FY14ProjRev!$A$3:$K$29,11,FALSE))*VLOOKUP($A53,FY14ProjSCH!$A$3:$T$30,MATCH(N$33,FY14ProjSCH!$A$3:$T$3,0),FALSE)</f>
        <v>975.86382969716658</v>
      </c>
      <c r="O53" s="83">
        <f>+GPpcntSCH*(VLOOKUP($A53,FY14ProjRev!$A$3:$K$29,11,FALSE))*VLOOKUP($A53,FY14ProjSCH!$A$3:$T$30,MATCH(O$33,FY14ProjSCH!$A$3:$T$3,0),FALSE)</f>
        <v>0</v>
      </c>
      <c r="P53" s="83">
        <f>+GPpcntSCH*(VLOOKUP($A53,FY14ProjRev!$A$3:$K$29,11,FALSE))*VLOOKUP($A53,FY14ProjSCH!$A$3:$T$30,MATCH(P$33,FY14ProjSCH!$A$3:$T$3,0),FALSE)</f>
        <v>0</v>
      </c>
      <c r="Q53" s="83">
        <f>+GPpcntSCH*(VLOOKUP($A53,FY14ProjRev!$A$3:$K$29,11,FALSE))*VLOOKUP($A53,FY14ProjSCH!$A$3:$T$30,MATCH(Q$33,FY14ProjSCH!$A$3:$T$3,0),FALSE)</f>
        <v>5677.7531909653326</v>
      </c>
      <c r="R53" s="83">
        <f>+GPpcntSCH*(VLOOKUP($A53,FY14ProjRev!$A$3:$K$29,11,FALSE))*VLOOKUP($A53,FY14ProjSCH!$A$3:$T$30,MATCH(R$33,FY14ProjSCH!$A$3:$T$3,0),FALSE)</f>
        <v>0</v>
      </c>
      <c r="S53" s="83">
        <f>+GPpcntSCH*(VLOOKUP($A53,FY14ProjRev!$A$3:$K$29,11,FALSE))*VLOOKUP($A53,FY14ProjSCH!$A$3:$T$30,MATCH(S$33,FY14ProjSCH!$A$3:$T$3,0),FALSE)</f>
        <v>0</v>
      </c>
      <c r="T53" s="83">
        <f t="shared" si="29"/>
        <v>2151691.0295886435</v>
      </c>
    </row>
    <row r="54" spans="1:20" ht="15.95" customHeight="1">
      <c r="A54" s="222" t="s">
        <v>151</v>
      </c>
      <c r="B54" s="303" t="s">
        <v>152</v>
      </c>
      <c r="C54" s="83">
        <f>+GPpcntSCH*(VLOOKUP($A54,FY14ProjRev!$A$3:$K$29,11,FALSE))*VLOOKUP($A54,FY14ProjSCH!$A$3:$T$30,MATCH(C$33,FY14ProjSCH!$A$3:$T$3,0),FALSE)</f>
        <v>95.508055131725513</v>
      </c>
      <c r="D54" s="83">
        <f>+GPpcntSCH*(VLOOKUP($A54,FY14ProjRev!$A$3:$K$29,11,FALSE))*VLOOKUP($A54,FY14ProjSCH!$A$3:$T$30,MATCH(D$33,FY14ProjSCH!$A$3:$T$3,0),FALSE)</f>
        <v>4106.8463706641969</v>
      </c>
      <c r="E54" s="83">
        <f>+GPpcntSCH*(VLOOKUP($A54,FY14ProjRev!$A$3:$K$29,11,FALSE))*VLOOKUP($A54,FY14ProjSCH!$A$3:$T$30,MATCH(E$33,FY14ProjSCH!$A$3:$T$3,0),FALSE)</f>
        <v>0</v>
      </c>
      <c r="F54" s="83">
        <f>+GPpcntSCH*(VLOOKUP($A54,FY14ProjRev!$A$3:$K$29,11,FALSE))*VLOOKUP($A54,FY14ProjSCH!$A$3:$T$30,MATCH(F$33,FY14ProjSCH!$A$3:$T$3,0),FALSE)</f>
        <v>0</v>
      </c>
      <c r="G54" s="83">
        <f>+GPpcntSCH*(VLOOKUP($A54,FY14ProjRev!$A$3:$K$29,11,FALSE))*VLOOKUP($A54,FY14ProjSCH!$A$3:$T$30,MATCH(G$33,FY14ProjSCH!$A$3:$T$3,0),FALSE)</f>
        <v>0</v>
      </c>
      <c r="H54" s="83">
        <f>+GPpcntSCH*(VLOOKUP($A54,FY14ProjRev!$A$3:$K$29,11,FALSE))*VLOOKUP($A54,FY14ProjSCH!$A$3:$T$30,MATCH(H$33,FY14ProjSCH!$A$3:$T$3,0),FALSE)</f>
        <v>191.01611026345103</v>
      </c>
      <c r="I54" s="83">
        <f>+GPpcntSCH*(VLOOKUP($A54,FY14ProjRev!$A$3:$K$29,11,FALSE))*VLOOKUP($A54,FY14ProjSCH!$A$3:$T$30,MATCH(I$33,FY14ProjSCH!$A$3:$T$3,0),FALSE)</f>
        <v>0</v>
      </c>
      <c r="J54" s="83">
        <f>+GPpcntSCH*(VLOOKUP($A54,FY14ProjRev!$A$3:$K$29,11,FALSE))*VLOOKUP($A54,FY14ProjSCH!$A$3:$T$30,MATCH(J$33,FY14ProjSCH!$A$3:$T$3,0),FALSE)</f>
        <v>145649.78407588141</v>
      </c>
      <c r="K54" s="83">
        <f>+GPpcntSCH*(VLOOKUP($A54,FY14ProjRev!$A$3:$K$29,11,FALSE))*VLOOKUP($A54,FY14ProjSCH!$A$3:$T$30,MATCH(K$33,FY14ProjSCH!$A$3:$T$3,0),FALSE)</f>
        <v>382.03222052690205</v>
      </c>
      <c r="L54" s="83">
        <f>+GPpcntSCH*(VLOOKUP($A54,FY14ProjRev!$A$3:$K$29,11,FALSE))*VLOOKUP($A54,FY14ProjSCH!$A$3:$T$30,MATCH(L$33,FY14ProjSCH!$A$3:$T$3,0),FALSE)</f>
        <v>0</v>
      </c>
      <c r="M54" s="83">
        <f>+GPpcntSCH*(VLOOKUP($A54,FY14ProjRev!$A$3:$K$29,11,FALSE))*VLOOKUP($A54,FY14ProjSCH!$A$3:$T$30,MATCH(M$33,FY14ProjSCH!$A$3:$T$3,0),FALSE)</f>
        <v>0</v>
      </c>
      <c r="N54" s="83">
        <f>+GPpcntSCH*(VLOOKUP($A54,FY14ProjRev!$A$3:$K$29,11,FALSE))*VLOOKUP($A54,FY14ProjSCH!$A$3:$T$30,MATCH(N$33,FY14ProjSCH!$A$3:$T$3,0),FALSE)</f>
        <v>0</v>
      </c>
      <c r="O54" s="83">
        <f>+GPpcntSCH*(VLOOKUP($A54,FY14ProjRev!$A$3:$K$29,11,FALSE))*VLOOKUP($A54,FY14ProjSCH!$A$3:$T$30,MATCH(O$33,FY14ProjSCH!$A$3:$T$3,0),FALSE)</f>
        <v>0</v>
      </c>
      <c r="P54" s="83">
        <f>+GPpcntSCH*(VLOOKUP($A54,FY14ProjRev!$A$3:$K$29,11,FALSE))*VLOOKUP($A54,FY14ProjSCH!$A$3:$T$30,MATCH(P$33,FY14ProjSCH!$A$3:$T$3,0),FALSE)</f>
        <v>0</v>
      </c>
      <c r="Q54" s="83">
        <f>+GPpcntSCH*(VLOOKUP($A54,FY14ProjRev!$A$3:$K$29,11,FALSE))*VLOOKUP($A54,FY14ProjSCH!$A$3:$T$30,MATCH(Q$33,FY14ProjSCH!$A$3:$T$3,0),FALSE)</f>
        <v>0</v>
      </c>
      <c r="R54" s="83">
        <f>+GPpcntSCH*(VLOOKUP($A54,FY14ProjRev!$A$3:$K$29,11,FALSE))*VLOOKUP($A54,FY14ProjSCH!$A$3:$T$30,MATCH(R$33,FY14ProjSCH!$A$3:$T$3,0),FALSE)</f>
        <v>0</v>
      </c>
      <c r="S54" s="83">
        <f>+GPpcntSCH*(VLOOKUP($A54,FY14ProjRev!$A$3:$K$29,11,FALSE))*VLOOKUP($A54,FY14ProjSCH!$A$3:$T$30,MATCH(S$33,FY14ProjSCH!$A$3:$T$3,0),FALSE)</f>
        <v>0</v>
      </c>
      <c r="T54" s="83">
        <f t="shared" si="29"/>
        <v>150425.18683246768</v>
      </c>
    </row>
    <row r="55" spans="1:20" ht="15.95" customHeight="1">
      <c r="A55" s="222" t="s">
        <v>160</v>
      </c>
      <c r="B55" s="304" t="s">
        <v>161</v>
      </c>
      <c r="C55" s="83">
        <f>+GPpcntSCH*(VLOOKUP($A55,FY14ProjRev!$A$3:$K$29,11,FALSE))*VLOOKUP($A55,FY14ProjSCH!$A$3:$T$30,MATCH(C$33,FY14ProjSCH!$A$3:$T$3,0),FALSE)</f>
        <v>0</v>
      </c>
      <c r="D55" s="83">
        <f>+GPpcntSCH*(VLOOKUP($A55,FY14ProjRev!$A$3:$K$29,11,FALSE))*VLOOKUP($A55,FY14ProjSCH!$A$3:$T$30,MATCH(D$33,FY14ProjSCH!$A$3:$T$3,0),FALSE)</f>
        <v>1859.0584434785676</v>
      </c>
      <c r="E55" s="83">
        <f>+GPpcntSCH*(VLOOKUP($A55,FY14ProjRev!$A$3:$K$29,11,FALSE))*VLOOKUP($A55,FY14ProjSCH!$A$3:$T$30,MATCH(E$33,FY14ProjSCH!$A$3:$T$3,0),FALSE)</f>
        <v>0</v>
      </c>
      <c r="F55" s="83">
        <f>+GPpcntSCH*(VLOOKUP($A55,FY14ProjRev!$A$3:$K$29,11,FALSE))*VLOOKUP($A55,FY14ProjSCH!$A$3:$T$30,MATCH(F$33,FY14ProjSCH!$A$3:$T$3,0),FALSE)</f>
        <v>0</v>
      </c>
      <c r="G55" s="83">
        <f>+GPpcntSCH*(VLOOKUP($A55,FY14ProjRev!$A$3:$K$29,11,FALSE))*VLOOKUP($A55,FY14ProjSCH!$A$3:$T$30,MATCH(G$33,FY14ProjSCH!$A$3:$T$3,0),FALSE)</f>
        <v>0</v>
      </c>
      <c r="H55" s="83">
        <f>+GPpcntSCH*(VLOOKUP($A55,FY14ProjRev!$A$3:$K$29,11,FALSE))*VLOOKUP($A55,FY14ProjSCH!$A$3:$T$30,MATCH(H$33,FY14ProjSCH!$A$3:$T$3,0),FALSE)</f>
        <v>0</v>
      </c>
      <c r="I55" s="83">
        <f>+GPpcntSCH*(VLOOKUP($A55,FY14ProjRev!$A$3:$K$29,11,FALSE))*VLOOKUP($A55,FY14ProjSCH!$A$3:$T$30,MATCH(I$33,FY14ProjSCH!$A$3:$T$3,0),FALSE)</f>
        <v>0</v>
      </c>
      <c r="J55" s="83">
        <f>+GPpcntSCH*(VLOOKUP($A55,FY14ProjRev!$A$3:$K$29,11,FALSE))*VLOOKUP($A55,FY14ProjSCH!$A$3:$T$30,MATCH(J$33,FY14ProjSCH!$A$3:$T$3,0),FALSE)</f>
        <v>38597.594350316926</v>
      </c>
      <c r="K55" s="83">
        <f>+GPpcntSCH*(VLOOKUP($A55,FY14ProjRev!$A$3:$K$29,11,FALSE))*VLOOKUP($A55,FY14ProjSCH!$A$3:$T$30,MATCH(K$33,FY14ProjSCH!$A$3:$T$3,0),FALSE)</f>
        <v>1416.4254807455752</v>
      </c>
      <c r="L55" s="83">
        <f>+GPpcntSCH*(VLOOKUP($A55,FY14ProjRev!$A$3:$K$29,11,FALSE))*VLOOKUP($A55,FY14ProjSCH!$A$3:$T$30,MATCH(L$33,FY14ProjSCH!$A$3:$T$3,0),FALSE)</f>
        <v>0</v>
      </c>
      <c r="M55" s="83">
        <f>+GPpcntSCH*(VLOOKUP($A55,FY14ProjRev!$A$3:$K$29,11,FALSE))*VLOOKUP($A55,FY14ProjSCH!$A$3:$T$30,MATCH(M$33,FY14ProjSCH!$A$3:$T$3,0),FALSE)</f>
        <v>0</v>
      </c>
      <c r="N55" s="83">
        <f>+GPpcntSCH*(VLOOKUP($A55,FY14ProjRev!$A$3:$K$29,11,FALSE))*VLOOKUP($A55,FY14ProjSCH!$A$3:$T$30,MATCH(N$33,FY14ProjSCH!$A$3:$T$3,0),FALSE)</f>
        <v>0</v>
      </c>
      <c r="O55" s="83">
        <f>+GPpcntSCH*(VLOOKUP($A55,FY14ProjRev!$A$3:$K$29,11,FALSE))*VLOOKUP($A55,FY14ProjSCH!$A$3:$T$30,MATCH(O$33,FY14ProjSCH!$A$3:$T$3,0),FALSE)</f>
        <v>0</v>
      </c>
      <c r="P55" s="83">
        <f>+GPpcntSCH*(VLOOKUP($A55,FY14ProjRev!$A$3:$K$29,11,FALSE))*VLOOKUP($A55,FY14ProjSCH!$A$3:$T$30,MATCH(P$33,FY14ProjSCH!$A$3:$T$3,0),FALSE)</f>
        <v>265.5797776397954</v>
      </c>
      <c r="Q55" s="83">
        <f>+GPpcntSCH*(VLOOKUP($A55,FY14ProjRev!$A$3:$K$29,11,FALSE))*VLOOKUP($A55,FY14ProjSCH!$A$3:$T$30,MATCH(Q$33,FY14ProjSCH!$A$3:$T$3,0),FALSE)</f>
        <v>0</v>
      </c>
      <c r="R55" s="83">
        <f>+GPpcntSCH*(VLOOKUP($A55,FY14ProjRev!$A$3:$K$29,11,FALSE))*VLOOKUP($A55,FY14ProjSCH!$A$3:$T$30,MATCH(R$33,FY14ProjSCH!$A$3:$T$3,0),FALSE)</f>
        <v>0</v>
      </c>
      <c r="S55" s="83">
        <f>+GPpcntSCH*(VLOOKUP($A55,FY14ProjRev!$A$3:$K$29,11,FALSE))*VLOOKUP($A55,FY14ProjSCH!$A$3:$T$30,MATCH(S$33,FY14ProjSCH!$A$3:$T$3,0),FALSE)</f>
        <v>0</v>
      </c>
      <c r="T55" s="84">
        <f t="shared" si="29"/>
        <v>42138.658052180865</v>
      </c>
    </row>
    <row r="56" spans="1:20" ht="15.95" customHeight="1">
      <c r="A56" s="222" t="s">
        <v>153</v>
      </c>
      <c r="B56" s="305" t="s">
        <v>100</v>
      </c>
      <c r="C56" s="83">
        <f>+GPpcntSCH*(VLOOKUP($A56,FY14ProjRev!$A$3:$K$29,11,FALSE))*VLOOKUP($A56,FY14ProjSCH!$A$3:$T$30,MATCH(C$33,FY14ProjSCH!$A$3:$T$3,0),FALSE)</f>
        <v>0</v>
      </c>
      <c r="D56" s="83">
        <f>+GPpcntSCH*(VLOOKUP($A56,FY14ProjRev!$A$3:$K$29,11,FALSE))*VLOOKUP($A56,FY14ProjSCH!$A$3:$T$30,MATCH(D$33,FY14ProjSCH!$A$3:$T$3,0),FALSE)</f>
        <v>2516.4645980714258</v>
      </c>
      <c r="E56" s="83">
        <f>+GPpcntSCH*(VLOOKUP($A56,FY14ProjRev!$A$3:$K$29,11,FALSE))*VLOOKUP($A56,FY14ProjSCH!$A$3:$T$30,MATCH(E$33,FY14ProjSCH!$A$3:$T$3,0),FALSE)</f>
        <v>0</v>
      </c>
      <c r="F56" s="83">
        <f>+GPpcntSCH*(VLOOKUP($A56,FY14ProjRev!$A$3:$K$29,11,FALSE))*VLOOKUP($A56,FY14ProjSCH!$A$3:$T$30,MATCH(F$33,FY14ProjSCH!$A$3:$T$3,0),FALSE)</f>
        <v>251.64645980714258</v>
      </c>
      <c r="G56" s="83">
        <f>+GPpcntSCH*(VLOOKUP($A56,FY14ProjRev!$A$3:$K$29,11,FALSE))*VLOOKUP($A56,FY14ProjSCH!$A$3:$T$30,MATCH(G$33,FY14ProjSCH!$A$3:$T$3,0),FALSE)</f>
        <v>0</v>
      </c>
      <c r="H56" s="83">
        <f>+GPpcntSCH*(VLOOKUP($A56,FY14ProjRev!$A$3:$K$29,11,FALSE))*VLOOKUP($A56,FY14ProjSCH!$A$3:$T$30,MATCH(H$33,FY14ProjSCH!$A$3:$T$3,0),FALSE)</f>
        <v>0</v>
      </c>
      <c r="I56" s="83">
        <f>+GPpcntSCH*(VLOOKUP($A56,FY14ProjRev!$A$3:$K$29,11,FALSE))*VLOOKUP($A56,FY14ProjSCH!$A$3:$T$30,MATCH(I$33,FY14ProjSCH!$A$3:$T$3,0),FALSE)</f>
        <v>0</v>
      </c>
      <c r="J56" s="83">
        <f>+GPpcntSCH*(VLOOKUP($A56,FY14ProjRev!$A$3:$K$29,11,FALSE))*VLOOKUP($A56,FY14ProjSCH!$A$3:$T$30,MATCH(J$33,FY14ProjSCH!$A$3:$T$3,0),FALSE)</f>
        <v>0</v>
      </c>
      <c r="K56" s="83">
        <f>+GPpcntSCH*(VLOOKUP($A56,FY14ProjRev!$A$3:$K$29,11,FALSE))*VLOOKUP($A56,FY14ProjSCH!$A$3:$T$30,MATCH(K$33,FY14ProjSCH!$A$3:$T$3,0),FALSE)</f>
        <v>2013.1716784571406</v>
      </c>
      <c r="L56" s="83">
        <f>+GPpcntSCH*(VLOOKUP($A56,FY14ProjRev!$A$3:$K$29,11,FALSE))*VLOOKUP($A56,FY14ProjSCH!$A$3:$T$30,MATCH(L$33,FY14ProjSCH!$A$3:$T$3,0),FALSE)</f>
        <v>1006.5858392285703</v>
      </c>
      <c r="M56" s="83">
        <f>+GPpcntSCH*(VLOOKUP($A56,FY14ProjRev!$A$3:$K$29,11,FALSE))*VLOOKUP($A56,FY14ProjSCH!$A$3:$T$30,MATCH(M$33,FY14ProjSCH!$A$3:$T$3,0),FALSE)</f>
        <v>0</v>
      </c>
      <c r="N56" s="83">
        <f>+GPpcntSCH*(VLOOKUP($A56,FY14ProjRev!$A$3:$K$29,11,FALSE))*VLOOKUP($A56,FY14ProjSCH!$A$3:$T$30,MATCH(N$33,FY14ProjSCH!$A$3:$T$3,0),FALSE)</f>
        <v>9310.9190128642749</v>
      </c>
      <c r="O56" s="83">
        <f>+GPpcntSCH*(VLOOKUP($A56,FY14ProjRev!$A$3:$K$29,11,FALSE))*VLOOKUP($A56,FY14ProjSCH!$A$3:$T$30,MATCH(O$33,FY14ProjSCH!$A$3:$T$3,0),FALSE)</f>
        <v>192593.42390573313</v>
      </c>
      <c r="P56" s="83">
        <f>+GPpcntSCH*(VLOOKUP($A56,FY14ProjRev!$A$3:$K$29,11,FALSE))*VLOOKUP($A56,FY14ProjSCH!$A$3:$T$30,MATCH(P$33,FY14ProjSCH!$A$3:$T$3,0),FALSE)</f>
        <v>8891.5082465190389</v>
      </c>
      <c r="Q56" s="83">
        <f>+GPpcntSCH*(VLOOKUP($A56,FY14ProjRev!$A$3:$K$29,11,FALSE))*VLOOKUP($A56,FY14ProjSCH!$A$3:$T$30,MATCH(Q$33,FY14ProjSCH!$A$3:$T$3,0),FALSE)</f>
        <v>14008.319595930938</v>
      </c>
      <c r="R56" s="83">
        <f>+GPpcntSCH*(VLOOKUP($A56,FY14ProjRev!$A$3:$K$29,11,FALSE))*VLOOKUP($A56,FY14ProjSCH!$A$3:$T$30,MATCH(R$33,FY14ProjSCH!$A$3:$T$3,0),FALSE)</f>
        <v>0</v>
      </c>
      <c r="S56" s="83">
        <f>+GPpcntSCH*(VLOOKUP($A56,FY14ProjRev!$A$3:$K$29,11,FALSE))*VLOOKUP($A56,FY14ProjSCH!$A$3:$T$30,MATCH(S$33,FY14ProjSCH!$A$3:$T$3,0),FALSE)</f>
        <v>0</v>
      </c>
      <c r="T56" s="83">
        <f t="shared" si="29"/>
        <v>230592.03933661169</v>
      </c>
    </row>
    <row r="57" spans="1:20" ht="15.95" customHeight="1">
      <c r="A57" s="222" t="s">
        <v>155</v>
      </c>
      <c r="B57" s="305" t="s">
        <v>42</v>
      </c>
      <c r="C57" s="83">
        <f>+GPpcntSCH*(VLOOKUP($A57,FY14ProjRev!$A$3:$K$29,11,FALSE))*VLOOKUP($A57,FY14ProjSCH!$A$3:$T$30,MATCH(C$33,FY14ProjSCH!$A$3:$T$3,0),FALSE)</f>
        <v>0</v>
      </c>
      <c r="D57" s="83">
        <f>+GPpcntSCH*(VLOOKUP($A57,FY14ProjRev!$A$3:$K$29,11,FALSE))*VLOOKUP($A57,FY14ProjSCH!$A$3:$T$30,MATCH(D$33,FY14ProjSCH!$A$3:$T$3,0),FALSE)</f>
        <v>647.94895086088763</v>
      </c>
      <c r="E57" s="83">
        <f>+GPpcntSCH*(VLOOKUP($A57,FY14ProjRev!$A$3:$K$29,11,FALSE))*VLOOKUP($A57,FY14ProjSCH!$A$3:$T$30,MATCH(E$33,FY14ProjSCH!$A$3:$T$3,0),FALSE)</f>
        <v>259.17958034435503</v>
      </c>
      <c r="F57" s="83">
        <f>+GPpcntSCH*(VLOOKUP($A57,FY14ProjRev!$A$3:$K$29,11,FALSE))*VLOOKUP($A57,FY14ProjSCH!$A$3:$T$30,MATCH(F$33,FY14ProjSCH!$A$3:$T$3,0),FALSE)</f>
        <v>0</v>
      </c>
      <c r="G57" s="83">
        <f>+GPpcntSCH*(VLOOKUP($A57,FY14ProjRev!$A$3:$K$29,11,FALSE))*VLOOKUP($A57,FY14ProjSCH!$A$3:$T$30,MATCH(G$33,FY14ProjSCH!$A$3:$T$3,0),FALSE)</f>
        <v>323.97447543044382</v>
      </c>
      <c r="H57" s="83">
        <f>+GPpcntSCH*(VLOOKUP($A57,FY14ProjRev!$A$3:$K$29,11,FALSE))*VLOOKUP($A57,FY14ProjSCH!$A$3:$T$30,MATCH(H$33,FY14ProjSCH!$A$3:$T$3,0),FALSE)</f>
        <v>518.35916068871006</v>
      </c>
      <c r="I57" s="83">
        <f>+GPpcntSCH*(VLOOKUP($A57,FY14ProjRev!$A$3:$K$29,11,FALSE))*VLOOKUP($A57,FY14ProjSCH!$A$3:$T$30,MATCH(I$33,FY14ProjSCH!$A$3:$T$3,0),FALSE)</f>
        <v>0</v>
      </c>
      <c r="J57" s="83">
        <f>+GPpcntSCH*(VLOOKUP($A57,FY14ProjRev!$A$3:$K$29,11,FALSE))*VLOOKUP($A57,FY14ProjSCH!$A$3:$T$30,MATCH(J$33,FY14ProjSCH!$A$3:$T$3,0),FALSE)</f>
        <v>0</v>
      </c>
      <c r="K57" s="83">
        <f>+GPpcntSCH*(VLOOKUP($A57,FY14ProjRev!$A$3:$K$29,11,FALSE))*VLOOKUP($A57,FY14ProjSCH!$A$3:$T$30,MATCH(K$33,FY14ProjSCH!$A$3:$T$3,0),FALSE)</f>
        <v>0</v>
      </c>
      <c r="L57" s="83">
        <f>+GPpcntSCH*(VLOOKUP($A57,FY14ProjRev!$A$3:$K$29,11,FALSE))*VLOOKUP($A57,FY14ProjSCH!$A$3:$T$30,MATCH(L$33,FY14ProjSCH!$A$3:$T$3,0),FALSE)</f>
        <v>0</v>
      </c>
      <c r="M57" s="83">
        <f>+GPpcntSCH*(VLOOKUP($A57,FY14ProjRev!$A$3:$K$29,11,FALSE))*VLOOKUP($A57,FY14ProjSCH!$A$3:$T$30,MATCH(M$33,FY14ProjSCH!$A$3:$T$3,0),FALSE)</f>
        <v>0</v>
      </c>
      <c r="N57" s="83">
        <f>+GPpcntSCH*(VLOOKUP($A57,FY14ProjRev!$A$3:$K$29,11,FALSE))*VLOOKUP($A57,FY14ProjSCH!$A$3:$T$30,MATCH(N$33,FY14ProjSCH!$A$3:$T$3,0),FALSE)</f>
        <v>139730.19125315041</v>
      </c>
      <c r="O57" s="83">
        <f>+GPpcntSCH*(VLOOKUP($A57,FY14ProjRev!$A$3:$K$29,11,FALSE))*VLOOKUP($A57,FY14ProjSCH!$A$3:$T$30,MATCH(O$33,FY14ProjSCH!$A$3:$T$3,0),FALSE)</f>
        <v>4017.2834953375032</v>
      </c>
      <c r="P57" s="83">
        <f>+GPpcntSCH*(VLOOKUP($A57,FY14ProjRev!$A$3:$K$29,11,FALSE))*VLOOKUP($A57,FY14ProjSCH!$A$3:$T$30,MATCH(P$33,FY14ProjSCH!$A$3:$T$3,0),FALSE)</f>
        <v>1019936.4435501233</v>
      </c>
      <c r="Q57" s="83">
        <f>+GPpcntSCH*(VLOOKUP($A57,FY14ProjRev!$A$3:$K$29,11,FALSE))*VLOOKUP($A57,FY14ProjSCH!$A$3:$T$30,MATCH(Q$33,FY14ProjSCH!$A$3:$T$3,0),FALSE)</f>
        <v>7192.2333545558522</v>
      </c>
      <c r="R57" s="83">
        <f>+GPpcntSCH*(VLOOKUP($A57,FY14ProjRev!$A$3:$K$29,11,FALSE))*VLOOKUP($A57,FY14ProjSCH!$A$3:$T$30,MATCH(R$33,FY14ProjSCH!$A$3:$T$3,0),FALSE)</f>
        <v>0</v>
      </c>
      <c r="S57" s="83">
        <f>+GPpcntSCH*(VLOOKUP($A57,FY14ProjRev!$A$3:$K$29,11,FALSE))*VLOOKUP($A57,FY14ProjSCH!$A$3:$T$30,MATCH(S$33,FY14ProjSCH!$A$3:$T$3,0),FALSE)</f>
        <v>0</v>
      </c>
      <c r="T57" s="83">
        <f t="shared" si="29"/>
        <v>1172625.6138204914</v>
      </c>
    </row>
    <row r="58" spans="1:20" ht="15.95" customHeight="1">
      <c r="A58" s="222" t="s">
        <v>162</v>
      </c>
      <c r="B58" s="305" t="s">
        <v>76</v>
      </c>
      <c r="C58" s="83">
        <f>+GPpcntSCH*(VLOOKUP($A58,FY14ProjRev!$A$3:$K$29,11,FALSE))*VLOOKUP($A58,FY14ProjSCH!$A$3:$T$30,MATCH(C$33,FY14ProjSCH!$A$3:$T$3,0),FALSE)</f>
        <v>0</v>
      </c>
      <c r="D58" s="83">
        <f>+GPpcntSCH*(VLOOKUP($A58,FY14ProjRev!$A$3:$K$29,11,FALSE))*VLOOKUP($A58,FY14ProjSCH!$A$3:$T$30,MATCH(D$33,FY14ProjSCH!$A$3:$T$3,0),FALSE)</f>
        <v>1653.5091001694741</v>
      </c>
      <c r="E58" s="83">
        <f>+GPpcntSCH*(VLOOKUP($A58,FY14ProjRev!$A$3:$K$29,11,FALSE))*VLOOKUP($A58,FY14ProjSCH!$A$3:$T$30,MATCH(E$33,FY14ProjSCH!$A$3:$T$3,0),FALSE)</f>
        <v>122.48215556810919</v>
      </c>
      <c r="F58" s="83">
        <f>+GPpcntSCH*(VLOOKUP($A58,FY14ProjRev!$A$3:$K$29,11,FALSE))*VLOOKUP($A58,FY14ProjSCH!$A$3:$T$30,MATCH(F$33,FY14ProjSCH!$A$3:$T$3,0),FALSE)</f>
        <v>0</v>
      </c>
      <c r="G58" s="83">
        <f>+GPpcntSCH*(VLOOKUP($A58,FY14ProjRev!$A$3:$K$29,11,FALSE))*VLOOKUP($A58,FY14ProjSCH!$A$3:$T$30,MATCH(G$33,FY14ProjSCH!$A$3:$T$3,0),FALSE)</f>
        <v>183.72323335216379</v>
      </c>
      <c r="H58" s="83">
        <f>+GPpcntSCH*(VLOOKUP($A58,FY14ProjRev!$A$3:$K$29,11,FALSE))*VLOOKUP($A58,FY14ProjSCH!$A$3:$T$30,MATCH(H$33,FY14ProjSCH!$A$3:$T$3,0),FALSE)</f>
        <v>0</v>
      </c>
      <c r="I58" s="83">
        <f>+GPpcntSCH*(VLOOKUP($A58,FY14ProjRev!$A$3:$K$29,11,FALSE))*VLOOKUP($A58,FY14ProjSCH!$A$3:$T$30,MATCH(I$33,FY14ProjSCH!$A$3:$T$3,0),FALSE)</f>
        <v>0</v>
      </c>
      <c r="J58" s="83">
        <f>+GPpcntSCH*(VLOOKUP($A58,FY14ProjRev!$A$3:$K$29,11,FALSE))*VLOOKUP($A58,FY14ProjSCH!$A$3:$T$30,MATCH(J$33,FY14ProjSCH!$A$3:$T$3,0),FALSE)</f>
        <v>0</v>
      </c>
      <c r="K58" s="83">
        <f>+GPpcntSCH*(VLOOKUP($A58,FY14ProjRev!$A$3:$K$29,11,FALSE))*VLOOKUP($A58,FY14ProjSCH!$A$3:$T$30,MATCH(K$33,FY14ProjSCH!$A$3:$T$3,0),FALSE)</f>
        <v>0</v>
      </c>
      <c r="L58" s="83">
        <f>+GPpcntSCH*(VLOOKUP($A58,FY14ProjRev!$A$3:$K$29,11,FALSE))*VLOOKUP($A58,FY14ProjSCH!$A$3:$T$30,MATCH(L$33,FY14ProjSCH!$A$3:$T$3,0),FALSE)</f>
        <v>0</v>
      </c>
      <c r="M58" s="83">
        <f>+GPpcntSCH*(VLOOKUP($A58,FY14ProjRev!$A$3:$K$29,11,FALSE))*VLOOKUP($A58,FY14ProjSCH!$A$3:$T$30,MATCH(M$33,FY14ProjSCH!$A$3:$T$3,0),FALSE)</f>
        <v>0</v>
      </c>
      <c r="N58" s="83">
        <f>+GPpcntSCH*(VLOOKUP($A58,FY14ProjRev!$A$3:$K$29,11,FALSE))*VLOOKUP($A58,FY14ProjSCH!$A$3:$T$30,MATCH(N$33,FY14ProjSCH!$A$3:$T$3,0),FALSE)</f>
        <v>2603235.7344445931</v>
      </c>
      <c r="O58" s="83">
        <f>+GPpcntSCH*(VLOOKUP($A58,FY14ProjRev!$A$3:$K$29,11,FALSE))*VLOOKUP($A58,FY14ProjSCH!$A$3:$T$30,MATCH(O$33,FY14ProjSCH!$A$3:$T$3,0),FALSE)</f>
        <v>61.241077784054596</v>
      </c>
      <c r="P58" s="83">
        <f>+GPpcntSCH*(VLOOKUP($A58,FY14ProjRev!$A$3:$K$29,11,FALSE))*VLOOKUP($A58,FY14ProjSCH!$A$3:$T$30,MATCH(P$33,FY14ProjSCH!$A$3:$T$3,0),FALSE)</f>
        <v>0</v>
      </c>
      <c r="Q58" s="83">
        <f>+GPpcntSCH*(VLOOKUP($A58,FY14ProjRev!$A$3:$K$29,11,FALSE))*VLOOKUP($A58,FY14ProjSCH!$A$3:$T$30,MATCH(Q$33,FY14ProjSCH!$A$3:$T$3,0),FALSE)</f>
        <v>5511.6970005649146</v>
      </c>
      <c r="R58" s="83">
        <f>+GPpcntSCH*(VLOOKUP($A58,FY14ProjRev!$A$3:$K$29,11,FALSE))*VLOOKUP($A58,FY14ProjSCH!$A$3:$T$30,MATCH(R$33,FY14ProjSCH!$A$3:$T$3,0),FALSE)</f>
        <v>0</v>
      </c>
      <c r="S58" s="83">
        <f>+GPpcntSCH*(VLOOKUP($A58,FY14ProjRev!$A$3:$K$29,11,FALSE))*VLOOKUP($A58,FY14ProjSCH!$A$3:$T$30,MATCH(S$33,FY14ProjSCH!$A$3:$T$3,0),FALSE)</f>
        <v>673.65185562460067</v>
      </c>
      <c r="T58" s="83">
        <f t="shared" si="29"/>
        <v>2611442.0388676566</v>
      </c>
    </row>
    <row r="59" spans="1:20" ht="15.95" customHeight="1">
      <c r="A59" s="222" t="s">
        <v>156</v>
      </c>
      <c r="B59" s="305" t="s">
        <v>77</v>
      </c>
      <c r="C59" s="83">
        <f>+GPpcntSCH*(VLOOKUP($A59,FY14ProjRev!$A$3:$K$29,11,FALSE))*VLOOKUP($A59,FY14ProjSCH!$A$3:$T$30,MATCH(C$33,FY14ProjSCH!$A$3:$T$3,0),FALSE)</f>
        <v>0</v>
      </c>
      <c r="D59" s="83">
        <f>+GPpcntSCH*(VLOOKUP($A59,FY14ProjRev!$A$3:$K$29,11,FALSE))*VLOOKUP($A59,FY14ProjSCH!$A$3:$T$30,MATCH(D$33,FY14ProjSCH!$A$3:$T$3,0),FALSE)</f>
        <v>0</v>
      </c>
      <c r="E59" s="83">
        <f>+GPpcntSCH*(VLOOKUP($A59,FY14ProjRev!$A$3:$K$29,11,FALSE))*VLOOKUP($A59,FY14ProjSCH!$A$3:$T$30,MATCH(E$33,FY14ProjSCH!$A$3:$T$3,0),FALSE)</f>
        <v>0</v>
      </c>
      <c r="F59" s="83">
        <f>+GPpcntSCH*(VLOOKUP($A59,FY14ProjRev!$A$3:$K$29,11,FALSE))*VLOOKUP($A59,FY14ProjSCH!$A$3:$T$30,MATCH(F$33,FY14ProjSCH!$A$3:$T$3,0),FALSE)</f>
        <v>0</v>
      </c>
      <c r="G59" s="83">
        <f>+GPpcntSCH*(VLOOKUP($A59,FY14ProjRev!$A$3:$K$29,11,FALSE))*VLOOKUP($A59,FY14ProjSCH!$A$3:$T$30,MATCH(G$33,FY14ProjSCH!$A$3:$T$3,0),FALSE)</f>
        <v>0</v>
      </c>
      <c r="H59" s="83">
        <f>+GPpcntSCH*(VLOOKUP($A59,FY14ProjRev!$A$3:$K$29,11,FALSE))*VLOOKUP($A59,FY14ProjSCH!$A$3:$T$30,MATCH(H$33,FY14ProjSCH!$A$3:$T$3,0),FALSE)</f>
        <v>0</v>
      </c>
      <c r="I59" s="83">
        <f>+GPpcntSCH*(VLOOKUP($A59,FY14ProjRev!$A$3:$K$29,11,FALSE))*VLOOKUP($A59,FY14ProjSCH!$A$3:$T$30,MATCH(I$33,FY14ProjSCH!$A$3:$T$3,0),FALSE)</f>
        <v>0</v>
      </c>
      <c r="J59" s="83">
        <f>+GPpcntSCH*(VLOOKUP($A59,FY14ProjRev!$A$3:$K$29,11,FALSE))*VLOOKUP($A59,FY14ProjSCH!$A$3:$T$30,MATCH(J$33,FY14ProjSCH!$A$3:$T$3,0),FALSE)</f>
        <v>0</v>
      </c>
      <c r="K59" s="83">
        <f>+GPpcntSCH*(VLOOKUP($A59,FY14ProjRev!$A$3:$K$29,11,FALSE))*VLOOKUP($A59,FY14ProjSCH!$A$3:$T$30,MATCH(K$33,FY14ProjSCH!$A$3:$T$3,0),FALSE)</f>
        <v>0</v>
      </c>
      <c r="L59" s="83">
        <f>+GPpcntSCH*(VLOOKUP($A59,FY14ProjRev!$A$3:$K$29,11,FALSE))*VLOOKUP($A59,FY14ProjSCH!$A$3:$T$30,MATCH(L$33,FY14ProjSCH!$A$3:$T$3,0),FALSE)</f>
        <v>0</v>
      </c>
      <c r="M59" s="83">
        <f>+GPpcntSCH*(VLOOKUP($A59,FY14ProjRev!$A$3:$K$29,11,FALSE))*VLOOKUP($A59,FY14ProjSCH!$A$3:$T$30,MATCH(M$33,FY14ProjSCH!$A$3:$T$3,0),FALSE)</f>
        <v>857083.34754894953</v>
      </c>
      <c r="N59" s="83">
        <f>+GPpcntSCH*(VLOOKUP($A59,FY14ProjRev!$A$3:$K$29,11,FALSE))*VLOOKUP($A59,FY14ProjSCH!$A$3:$T$30,MATCH(N$33,FY14ProjSCH!$A$3:$T$3,0),FALSE)</f>
        <v>130258.28234600284</v>
      </c>
      <c r="O59" s="83">
        <f>+GPpcntSCH*(VLOOKUP($A59,FY14ProjRev!$A$3:$K$29,11,FALSE))*VLOOKUP($A59,FY14ProjSCH!$A$3:$T$30,MATCH(O$33,FY14ProjSCH!$A$3:$T$3,0),FALSE)</f>
        <v>0</v>
      </c>
      <c r="P59" s="83">
        <f>+GPpcntSCH*(VLOOKUP($A59,FY14ProjRev!$A$3:$K$29,11,FALSE))*VLOOKUP($A59,FY14ProjSCH!$A$3:$T$30,MATCH(P$33,FY14ProjSCH!$A$3:$T$3,0),FALSE)</f>
        <v>0</v>
      </c>
      <c r="Q59" s="83">
        <f>+GPpcntSCH*(VLOOKUP($A59,FY14ProjRev!$A$3:$K$29,11,FALSE))*VLOOKUP($A59,FY14ProjSCH!$A$3:$T$30,MATCH(Q$33,FY14ProjSCH!$A$3:$T$3,0),FALSE)</f>
        <v>124.23298268574425</v>
      </c>
      <c r="R59" s="83">
        <f>+GPpcntSCH*(VLOOKUP($A59,FY14ProjRev!$A$3:$K$29,11,FALSE))*VLOOKUP($A59,FY14ProjSCH!$A$3:$T$30,MATCH(R$33,FY14ProjSCH!$A$3:$T$3,0),FALSE)</f>
        <v>0</v>
      </c>
      <c r="S59" s="83">
        <f>+GPpcntSCH*(VLOOKUP($A59,FY14ProjRev!$A$3:$K$29,11,FALSE))*VLOOKUP($A59,FY14ProjSCH!$A$3:$T$30,MATCH(S$33,FY14ProjSCH!$A$3:$T$3,0),FALSE)</f>
        <v>0</v>
      </c>
      <c r="T59" s="83">
        <f t="shared" si="29"/>
        <v>987465.8628776382</v>
      </c>
    </row>
    <row r="60" spans="1:20" ht="15.95" customHeight="1">
      <c r="A60" s="299" t="s">
        <v>163</v>
      </c>
      <c r="B60" s="306" t="s">
        <v>164</v>
      </c>
      <c r="C60" s="88">
        <f>+GPpcntSCH*(VLOOKUP($A60,FY14ProjRev!$A$3:$K$29,11,FALSE))*VLOOKUP($A60,FY14ProjSCH!$A$3:$T$30,MATCH(C$33,FY14ProjSCH!$A$3:$T$3,0),FALSE)</f>
        <v>0</v>
      </c>
      <c r="D60" s="88">
        <f>+GPpcntSCH*(VLOOKUP($A60,FY14ProjRev!$A$3:$K$29,11,FALSE))*VLOOKUP($A60,FY14ProjSCH!$A$3:$T$30,MATCH(D$33,FY14ProjSCH!$A$3:$T$3,0),FALSE)</f>
        <v>0</v>
      </c>
      <c r="E60" s="88">
        <f>+GPpcntSCH*(VLOOKUP($A60,FY14ProjRev!$A$3:$K$29,11,FALSE))*VLOOKUP($A60,FY14ProjSCH!$A$3:$T$30,MATCH(E$33,FY14ProjSCH!$A$3:$T$3,0),FALSE)</f>
        <v>0</v>
      </c>
      <c r="F60" s="88">
        <f>+GPpcntSCH*(VLOOKUP($A60,FY14ProjRev!$A$3:$K$29,11,FALSE))*VLOOKUP($A60,FY14ProjSCH!$A$3:$T$30,MATCH(F$33,FY14ProjSCH!$A$3:$T$3,0),FALSE)</f>
        <v>0</v>
      </c>
      <c r="G60" s="88">
        <f>+GPpcntSCH*(VLOOKUP($A60,FY14ProjRev!$A$3:$K$29,11,FALSE))*VLOOKUP($A60,FY14ProjSCH!$A$3:$T$30,MATCH(G$33,FY14ProjSCH!$A$3:$T$3,0),FALSE)</f>
        <v>0</v>
      </c>
      <c r="H60" s="88">
        <f>+GPpcntSCH*(VLOOKUP($A60,FY14ProjRev!$A$3:$K$29,11,FALSE))*VLOOKUP($A60,FY14ProjSCH!$A$3:$T$30,MATCH(H$33,FY14ProjSCH!$A$3:$T$3,0),FALSE)</f>
        <v>0</v>
      </c>
      <c r="I60" s="88">
        <f>+GPpcntSCH*(VLOOKUP($A60,FY14ProjRev!$A$3:$K$29,11,FALSE))*VLOOKUP($A60,FY14ProjSCH!$A$3:$T$30,MATCH(I$33,FY14ProjSCH!$A$3:$T$3,0),FALSE)</f>
        <v>0</v>
      </c>
      <c r="J60" s="88">
        <f>+GPpcntSCH*(VLOOKUP($A60,FY14ProjRev!$A$3:$K$29,11,FALSE))*VLOOKUP($A60,FY14ProjSCH!$A$3:$T$30,MATCH(J$33,FY14ProjSCH!$A$3:$T$3,0),FALSE)</f>
        <v>0</v>
      </c>
      <c r="K60" s="88">
        <f>+GPpcntSCH*(VLOOKUP($A60,FY14ProjRev!$A$3:$K$29,11,FALSE))*VLOOKUP($A60,FY14ProjSCH!$A$3:$T$30,MATCH(K$33,FY14ProjSCH!$A$3:$T$3,0),FALSE)</f>
        <v>0</v>
      </c>
      <c r="L60" s="88">
        <f>+GPpcntSCH*(VLOOKUP($A60,FY14ProjRev!$A$3:$K$29,11,FALSE))*VLOOKUP($A60,FY14ProjSCH!$A$3:$T$30,MATCH(L$33,FY14ProjSCH!$A$3:$T$3,0),FALSE)</f>
        <v>0</v>
      </c>
      <c r="M60" s="88">
        <f>+GPpcntSCH*(VLOOKUP($A60,FY14ProjRev!$A$3:$K$29,11,FALSE))*VLOOKUP($A60,FY14ProjSCH!$A$3:$T$30,MATCH(M$33,FY14ProjSCH!$A$3:$T$3,0),FALSE)</f>
        <v>159403.32759681359</v>
      </c>
      <c r="N60" s="88">
        <f>+GPpcntSCH*(VLOOKUP($A60,FY14ProjRev!$A$3:$K$29,11,FALSE))*VLOOKUP($A60,FY14ProjSCH!$A$3:$T$30,MATCH(N$33,FY14ProjSCH!$A$3:$T$3,0),FALSE)</f>
        <v>4269.17143622817</v>
      </c>
      <c r="O60" s="88">
        <f>+GPpcntSCH*(VLOOKUP($A60,FY14ProjRev!$A$3:$K$29,11,FALSE))*VLOOKUP($A60,FY14ProjSCH!$A$3:$T$30,MATCH(O$33,FY14ProjSCH!$A$3:$T$3,0),FALSE)</f>
        <v>0</v>
      </c>
      <c r="P60" s="88">
        <f>+GPpcntSCH*(VLOOKUP($A60,FY14ProjRev!$A$3:$K$29,11,FALSE))*VLOOKUP($A60,FY14ProjSCH!$A$3:$T$30,MATCH(P$33,FY14ProjSCH!$A$3:$T$3,0),FALSE)</f>
        <v>0</v>
      </c>
      <c r="Q60" s="88">
        <f>+GPpcntSCH*(VLOOKUP($A60,FY14ProjRev!$A$3:$K$29,11,FALSE))*VLOOKUP($A60,FY14ProjSCH!$A$3:$T$30,MATCH(Q$33,FY14ProjSCH!$A$3:$T$3,0),FALSE)</f>
        <v>1883.4579865712515</v>
      </c>
      <c r="R60" s="88">
        <f>+GPpcntSCH*(VLOOKUP($A60,FY14ProjRev!$A$3:$K$29,11,FALSE))*VLOOKUP($A60,FY14ProjSCH!$A$3:$T$30,MATCH(R$33,FY14ProjSCH!$A$3:$T$3,0),FALSE)</f>
        <v>0</v>
      </c>
      <c r="S60" s="88">
        <f>+GPpcntSCH*(VLOOKUP($A60,FY14ProjRev!$A$3:$K$29,11,FALSE))*VLOOKUP($A60,FY14ProjSCH!$A$3:$T$30,MATCH(S$33,FY14ProjSCH!$A$3:$T$3,0),FALSE)</f>
        <v>251.12773154283352</v>
      </c>
      <c r="T60" s="88">
        <f t="shared" si="29"/>
        <v>165807.08475115584</v>
      </c>
    </row>
    <row r="61" spans="1:20" ht="15.95" customHeight="1">
      <c r="B61" s="301" t="s">
        <v>17</v>
      </c>
      <c r="C61" s="300">
        <f t="shared" ref="C61:S61" si="30">SUM(C34:C60)</f>
        <v>3025153.2404600256</v>
      </c>
      <c r="D61" s="300">
        <f t="shared" si="30"/>
        <v>104006551.54687607</v>
      </c>
      <c r="E61" s="300">
        <f t="shared" si="30"/>
        <v>10323166.692374252</v>
      </c>
      <c r="F61" s="300">
        <f t="shared" si="30"/>
        <v>2703394.5313212578</v>
      </c>
      <c r="G61" s="300">
        <f t="shared" si="30"/>
        <v>13481794.248859566</v>
      </c>
      <c r="H61" s="300">
        <f t="shared" si="30"/>
        <v>9146755.652695315</v>
      </c>
      <c r="I61" s="300">
        <f t="shared" si="30"/>
        <v>1566468.7332362712</v>
      </c>
      <c r="J61" s="300">
        <f t="shared" si="30"/>
        <v>2298019.9994516619</v>
      </c>
      <c r="K61" s="300">
        <f t="shared" si="30"/>
        <v>836743.15608947433</v>
      </c>
      <c r="L61" s="300">
        <f t="shared" si="30"/>
        <v>957760.04690789769</v>
      </c>
      <c r="M61" s="300">
        <f t="shared" si="30"/>
        <v>1030530.72408777</v>
      </c>
      <c r="N61" s="300">
        <f t="shared" si="30"/>
        <v>7454442.6895944206</v>
      </c>
      <c r="O61" s="300">
        <f t="shared" si="30"/>
        <v>1458854.6030854075</v>
      </c>
      <c r="P61" s="300">
        <f t="shared" si="30"/>
        <v>1128662.9631977407</v>
      </c>
      <c r="Q61" s="300">
        <f t="shared" si="30"/>
        <v>2308866.065739593</v>
      </c>
      <c r="R61" s="300">
        <f t="shared" si="30"/>
        <v>1910901.822318624</v>
      </c>
      <c r="S61" s="300">
        <f t="shared" si="30"/>
        <v>405217.14552240149</v>
      </c>
      <c r="T61" s="194">
        <f>SUM(C61:S61)</f>
        <v>164043283.86181778</v>
      </c>
    </row>
    <row r="62" spans="1:20" ht="15.95" customHeight="1">
      <c r="B62" s="654" t="s">
        <v>204</v>
      </c>
      <c r="C62" s="654"/>
      <c r="D62" s="654"/>
    </row>
    <row r="63" spans="1:20" ht="45" hidden="1" customHeight="1">
      <c r="B63" s="292"/>
      <c r="C63" s="93" t="s">
        <v>0</v>
      </c>
      <c r="D63" s="96" t="s">
        <v>1</v>
      </c>
      <c r="E63" s="96" t="s">
        <v>6</v>
      </c>
      <c r="F63" s="99" t="s">
        <v>2</v>
      </c>
      <c r="G63" s="96" t="s">
        <v>3</v>
      </c>
      <c r="H63" s="96" t="s">
        <v>4</v>
      </c>
      <c r="I63" s="96" t="s">
        <v>14</v>
      </c>
      <c r="J63" s="96" t="s">
        <v>9</v>
      </c>
      <c r="K63" s="96" t="s">
        <v>5</v>
      </c>
      <c r="L63" s="96" t="s">
        <v>13</v>
      </c>
      <c r="M63" s="96" t="s">
        <v>8</v>
      </c>
      <c r="N63" s="96" t="s">
        <v>10</v>
      </c>
      <c r="O63" s="96" t="s">
        <v>11</v>
      </c>
      <c r="P63" s="96" t="s">
        <v>12</v>
      </c>
      <c r="Q63" s="96" t="s">
        <v>7</v>
      </c>
      <c r="R63" s="96" t="s">
        <v>16</v>
      </c>
      <c r="S63" s="101" t="s">
        <v>15</v>
      </c>
      <c r="T63" s="104" t="s">
        <v>34</v>
      </c>
    </row>
    <row r="64" spans="1:20" ht="15.95" customHeight="1">
      <c r="A64" s="276" t="s">
        <v>128</v>
      </c>
      <c r="B64" s="302" t="s">
        <v>21</v>
      </c>
      <c r="C64" s="94">
        <f>+UGpcntDeg*(VLOOKUP($A64,FY14ProjRev!$A$3:$K$29,11,FALSE))*VLOOKUP($A64,FY14ProjMajors!$A$4:$T$31,MATCH(C$33,FY14ProjMajors!$A$3:$T$3,0),FALSE)</f>
        <v>1430148.123651207</v>
      </c>
      <c r="D64" s="94">
        <f>+UGpcntDeg*(VLOOKUP($A64,FY14ProjRev!$A$3:$K$29,11,FALSE))*VLOOKUP($A64,FY14ProjMajors!$A$4:$T$31,MATCH(D$33,FY14ProjMajors!$A$3:$T$3,0),FALSE)</f>
        <v>66195427.437570155</v>
      </c>
      <c r="E64" s="94">
        <f>+UGpcntDeg*(VLOOKUP($A64,FY14ProjRev!$A$3:$K$29,11,FALSE))*VLOOKUP($A64,FY14ProjMajors!$A$4:$T$31,MATCH(E$33,FY14ProjMajors!$A$3:$T$3,0),FALSE)</f>
        <v>9849741.9643947799</v>
      </c>
      <c r="F64" s="94">
        <f>+UGpcntDeg*(VLOOKUP($A64,FY14ProjRev!$A$3:$K$29,11,FALSE))*VLOOKUP($A64,FY14ProjMajors!$A$4:$T$31,MATCH(F$33,FY14ProjMajors!$A$3:$T$3,0),FALSE)</f>
        <v>795721.51240743848</v>
      </c>
      <c r="G64" s="94">
        <f>+UGpcntDeg*(VLOOKUP($A64,FY14ProjRev!$A$3:$K$29,11,FALSE))*VLOOKUP($A64,FY14ProjMajors!$A$4:$T$31,MATCH(G$33,FY14ProjMajors!$A$3:$T$3,0),FALSE)</f>
        <v>8935737.5244673155</v>
      </c>
      <c r="H64" s="94">
        <f>+UGpcntDeg*(VLOOKUP($A64,FY14ProjRev!$A$3:$K$29,11,FALSE))*VLOOKUP($A64,FY14ProjMajors!$A$4:$T$31,MATCH(H$33,FY14ProjMajors!$A$3:$T$3,0),FALSE)</f>
        <v>3043097.135287907</v>
      </c>
      <c r="I64" s="94">
        <f>+UGpcntDeg*(VLOOKUP($A64,FY14ProjRev!$A$3:$K$29,11,FALSE))*VLOOKUP($A64,FY14ProjMajors!$A$4:$T$31,MATCH(I$33,FY14ProjMajors!$A$3:$T$3,0),FALSE)</f>
        <v>838733.48605108378</v>
      </c>
      <c r="J64" s="94">
        <f>+UGpcntDeg*(VLOOKUP($A64,FY14ProjRev!$A$3:$K$29,11,FALSE))*VLOOKUP($A64,FY14ProjMajors!$A$4:$T$31,MATCH(J$33,FY14ProjMajors!$A$3:$T$3,0),FALSE)</f>
        <v>0</v>
      </c>
      <c r="K64" s="94">
        <f>+UGpcntDeg*(VLOOKUP($A64,FY14ProjRev!$A$3:$K$29,11,FALSE))*VLOOKUP($A64,FY14ProjMajors!$A$4:$T$31,MATCH(K$33,FY14ProjMajors!$A$3:$T$3,0),FALSE)</f>
        <v>0</v>
      </c>
      <c r="L64" s="94">
        <f>+UGpcntDeg*(VLOOKUP($A64,FY14ProjRev!$A$3:$K$29,11,FALSE))*VLOOKUP($A64,FY14ProjMajors!$A$4:$T$31,MATCH(L$33,FY14ProjMajors!$A$3:$T$3,0),FALSE)</f>
        <v>559155.6573673893</v>
      </c>
      <c r="M64" s="94">
        <f>+UGpcntDeg*(VLOOKUP($A64,FY14ProjRev!$A$3:$K$29,11,FALSE))*VLOOKUP($A64,FY14ProjMajors!$A$4:$T$31,MATCH(M$33,FY14ProjMajors!$A$3:$T$3,0),FALSE)</f>
        <v>0</v>
      </c>
      <c r="N64" s="94">
        <f>+UGpcntDeg*(VLOOKUP($A64,FY14ProjRev!$A$3:$K$29,11,FALSE))*VLOOKUP($A64,FY14ProjMajors!$A$4:$T$31,MATCH(N$33,FY14ProjMajors!$A$3:$T$3,0),FALSE)</f>
        <v>1871020.8534985718</v>
      </c>
      <c r="O64" s="94">
        <f>+UGpcntDeg*(VLOOKUP($A64,FY14ProjRev!$A$3:$K$29,11,FALSE))*VLOOKUP($A64,FY14ProjMajors!$A$4:$T$31,MATCH(O$33,FY14ProjMajors!$A$3:$T$3,0),FALSE)</f>
        <v>1526925.064349409</v>
      </c>
      <c r="P64" s="94">
        <f>+UGpcntDeg*(VLOOKUP($A64,FY14ProjRev!$A$3:$K$29,11,FALSE))*VLOOKUP($A64,FY14ProjMajors!$A$4:$T$31,MATCH(P$33,FY14ProjMajors!$A$3:$T$3,0),FALSE)</f>
        <v>0</v>
      </c>
      <c r="Q64" s="94">
        <f>+UGpcntDeg*(VLOOKUP($A64,FY14ProjRev!$A$3:$K$29,11,FALSE))*VLOOKUP($A64,FY14ProjMajors!$A$4:$T$31,MATCH(Q$33,FY14ProjMajors!$A$3:$T$3,0),FALSE)</f>
        <v>1828008.8798549264</v>
      </c>
      <c r="R64" s="94">
        <f>+UGpcntDeg*(VLOOKUP($A64,FY14ProjRev!$A$3:$K$29,11,FALSE))*VLOOKUP($A64,FY14ProjMajors!$A$4:$T$31,MATCH(R$33,FY14ProjMajors!$A$3:$T$3,0),FALSE)</f>
        <v>462378.71666918718</v>
      </c>
      <c r="S64" s="94">
        <f>+UGpcntDeg*(VLOOKUP($A64,FY14ProjRev!$A$3:$K$29,11,FALSE))*VLOOKUP($A64,FY14ProjMajors!$A$4:$T$31,MATCH(S$33,FY14ProjMajors!$A$3:$T$3,0),FALSE)</f>
        <v>526896.67713465518</v>
      </c>
      <c r="T64" s="94">
        <f t="shared" ref="T64:T91" si="31">SUM(C64:Q64)+R64+S64</f>
        <v>97862993.03270404</v>
      </c>
    </row>
    <row r="65" spans="1:20" ht="15.95" customHeight="1">
      <c r="A65" s="277" t="s">
        <v>129</v>
      </c>
      <c r="B65" s="303" t="s">
        <v>71</v>
      </c>
      <c r="C65" s="97">
        <f>GPpcntMjr*(VLOOKUP($A65,FY14ProjRev!$A$3:$K$29,11,FALSE))*VLOOKUP($A65,FY14ProjMajors!$A$4:$T$31,MATCH(C$33,FY14ProjMajors!$A$3:$T$3,0),FALSE)</f>
        <v>58511.653360873584</v>
      </c>
      <c r="D65" s="97">
        <f>GPpcntMjr*(VLOOKUP($A65,FY14ProjRev!$A$3:$K$29,11,FALSE))*VLOOKUP($A65,FY14ProjMajors!$A$4:$T$31,MATCH(D$33,FY14ProjMajors!$A$3:$T$3,0),FALSE)</f>
        <v>7413068.2462102696</v>
      </c>
      <c r="E65" s="97">
        <f>GPpcntMjr*(VLOOKUP($A65,FY14ProjRev!$A$3:$K$29,11,FALSE))*VLOOKUP($A65,FY14ProjMajors!$A$4:$T$31,MATCH(E$33,FY14ProjMajors!$A$3:$T$3,0),FALSE)</f>
        <v>261511.26706186359</v>
      </c>
      <c r="F65" s="97">
        <f>GPpcntMjr*(VLOOKUP($A65,FY14ProjRev!$A$3:$K$29,11,FALSE))*VLOOKUP($A65,FY14ProjMajors!$A$4:$T$31,MATCH(F$33,FY14ProjMajors!$A$3:$T$3,0),FALSE)</f>
        <v>0</v>
      </c>
      <c r="G65" s="97">
        <f>GPpcntMjr*(VLOOKUP($A65,FY14ProjRev!$A$3:$K$29,11,FALSE))*VLOOKUP($A65,FY14ProjMajors!$A$4:$T$31,MATCH(G$33,FY14ProjMajors!$A$3:$T$3,0),FALSE)</f>
        <v>433463.88102034928</v>
      </c>
      <c r="H65" s="97">
        <f>GPpcntMjr*(VLOOKUP($A65,FY14ProjRev!$A$3:$K$29,11,FALSE))*VLOOKUP($A65,FY14ProjMajors!$A$4:$T$31,MATCH(H$33,FY14ProjMajors!$A$3:$T$3,0),FALSE)</f>
        <v>17911.730620675589</v>
      </c>
      <c r="I65" s="97">
        <f>GPpcntMjr*(VLOOKUP($A65,FY14ProjRev!$A$3:$K$29,11,FALSE))*VLOOKUP($A65,FY14ProjMajors!$A$4:$T$31,MATCH(I$33,FY14ProjMajors!$A$3:$T$3,0),FALSE)</f>
        <v>165982.03708492711</v>
      </c>
      <c r="J65" s="97">
        <f>GPpcntMjr*(VLOOKUP($A65,FY14ProjRev!$A$3:$K$29,11,FALSE))*VLOOKUP($A65,FY14ProjMajors!$A$4:$T$31,MATCH(J$33,FY14ProjMajors!$A$3:$T$3,0),FALSE)</f>
        <v>4776.4614988468229</v>
      </c>
      <c r="K65" s="97">
        <f>GPpcntMjr*(VLOOKUP($A65,FY14ProjRev!$A$3:$K$29,11,FALSE))*VLOOKUP($A65,FY14ProjMajors!$A$4:$T$31,MATCH(K$33,FY14ProjMajors!$A$3:$T$3,0),FALSE)</f>
        <v>89558.653103377932</v>
      </c>
      <c r="L65" s="97">
        <f>GPpcntMjr*(VLOOKUP($A65,FY14ProjRev!$A$3:$K$29,11,FALSE))*VLOOKUP($A65,FY14ProjMajors!$A$4:$T$31,MATCH(L$33,FY14ProjMajors!$A$3:$T$3,0),FALSE)</f>
        <v>0</v>
      </c>
      <c r="M65" s="97">
        <f>GPpcntMjr*(VLOOKUP($A65,FY14ProjRev!$A$3:$K$29,11,FALSE))*VLOOKUP($A65,FY14ProjMajors!$A$4:$T$31,MATCH(M$33,FY14ProjMajors!$A$3:$T$3,0),FALSE)</f>
        <v>0</v>
      </c>
      <c r="N65" s="97">
        <f>GPpcntMjr*(VLOOKUP($A65,FY14ProjRev!$A$3:$K$29,11,FALSE))*VLOOKUP($A65,FY14ProjMajors!$A$4:$T$31,MATCH(N$33,FY14ProjMajors!$A$3:$T$3,0),FALSE)</f>
        <v>1547573.5256263711</v>
      </c>
      <c r="O65" s="97">
        <f>GPpcntMjr*(VLOOKUP($A65,FY14ProjRev!$A$3:$K$29,11,FALSE))*VLOOKUP($A65,FY14ProjMajors!$A$4:$T$31,MATCH(O$33,FY14ProjMajors!$A$3:$T$3,0),FALSE)</f>
        <v>0</v>
      </c>
      <c r="P65" s="97">
        <f>GPpcntMjr*(VLOOKUP($A65,FY14ProjRev!$A$3:$K$29,11,FALSE))*VLOOKUP($A65,FY14ProjMajors!$A$4:$T$31,MATCH(P$33,FY14ProjMajors!$A$3:$T$3,0),FALSE)</f>
        <v>213746.65207339538</v>
      </c>
      <c r="Q65" s="97">
        <f>GPpcntMjr*(VLOOKUP($A65,FY14ProjRev!$A$3:$K$29,11,FALSE))*VLOOKUP($A65,FY14ProjMajors!$A$4:$T$31,MATCH(Q$33,FY14ProjMajors!$A$3:$T$3,0),FALSE)</f>
        <v>21494.076744810707</v>
      </c>
      <c r="R65" s="97">
        <f>GPpcntMjr*(VLOOKUP($A65,FY14ProjRev!$A$3:$K$29,11,FALSE))*VLOOKUP($A65,FY14ProjMajors!$A$4:$T$31,MATCH(R$33,FY14ProjMajors!$A$3:$T$3,0),FALSE)</f>
        <v>0</v>
      </c>
      <c r="S65" s="97">
        <f>GPpcntMjr*(VLOOKUP($A65,FY14ProjRev!$A$3:$K$29,11,FALSE))*VLOOKUP($A65,FY14ProjMajors!$A$4:$T$31,MATCH(S$33,FY14ProjMajors!$A$3:$T$3,0),FALSE)</f>
        <v>1079480.2987393821</v>
      </c>
      <c r="T65" s="97">
        <f t="shared" si="31"/>
        <v>11307078.483145144</v>
      </c>
    </row>
    <row r="66" spans="1:20" ht="15.95" customHeight="1">
      <c r="A66" s="277" t="s">
        <v>140</v>
      </c>
      <c r="B66" s="303" t="s">
        <v>72</v>
      </c>
      <c r="C66" s="97">
        <f>GPpcntMjr*(VLOOKUP($A66,FY14ProjRev!$A$3:$K$29,11,FALSE))*VLOOKUP($A66,FY14ProjMajors!$A$4:$T$31,MATCH(C$33,FY14ProjMajors!$A$3:$T$3,0),FALSE)</f>
        <v>0</v>
      </c>
      <c r="D66" s="97">
        <f>GPpcntMjr*(VLOOKUP($A66,FY14ProjRev!$A$3:$K$29,11,FALSE))*VLOOKUP($A66,FY14ProjMajors!$A$4:$T$31,MATCH(D$33,FY14ProjMajors!$A$3:$T$3,0),FALSE)</f>
        <v>0</v>
      </c>
      <c r="E66" s="97">
        <f>GPpcntMjr*(VLOOKUP($A66,FY14ProjRev!$A$3:$K$29,11,FALSE))*VLOOKUP($A66,FY14ProjMajors!$A$4:$T$31,MATCH(E$33,FY14ProjMajors!$A$3:$T$3,0),FALSE)</f>
        <v>0</v>
      </c>
      <c r="F66" s="97">
        <f>GPpcntMjr*(VLOOKUP($A66,FY14ProjRev!$A$3:$K$29,11,FALSE))*VLOOKUP($A66,FY14ProjMajors!$A$4:$T$31,MATCH(F$33,FY14ProjMajors!$A$3:$T$3,0),FALSE)</f>
        <v>0</v>
      </c>
      <c r="G66" s="97">
        <f>GPpcntMjr*(VLOOKUP($A66,FY14ProjRev!$A$3:$K$29,11,FALSE))*VLOOKUP($A66,FY14ProjMajors!$A$4:$T$31,MATCH(G$33,FY14ProjMajors!$A$3:$T$3,0),FALSE)</f>
        <v>0</v>
      </c>
      <c r="H66" s="97">
        <f>GPpcntMjr*(VLOOKUP($A66,FY14ProjRev!$A$3:$K$29,11,FALSE))*VLOOKUP($A66,FY14ProjMajors!$A$4:$T$31,MATCH(H$33,FY14ProjMajors!$A$3:$T$3,0),FALSE)</f>
        <v>0</v>
      </c>
      <c r="I66" s="97">
        <f>GPpcntMjr*(VLOOKUP($A66,FY14ProjRev!$A$3:$K$29,11,FALSE))*VLOOKUP($A66,FY14ProjMajors!$A$4:$T$31,MATCH(I$33,FY14ProjMajors!$A$3:$T$3,0),FALSE)</f>
        <v>0</v>
      </c>
      <c r="J66" s="97">
        <f>GPpcntMjr*(VLOOKUP($A66,FY14ProjRev!$A$3:$K$29,11,FALSE))*VLOOKUP($A66,FY14ProjMajors!$A$4:$T$31,MATCH(J$33,FY14ProjMajors!$A$3:$T$3,0),FALSE)</f>
        <v>0</v>
      </c>
      <c r="K66" s="97">
        <f>GPpcntMjr*(VLOOKUP($A66,FY14ProjRev!$A$3:$K$29,11,FALSE))*VLOOKUP($A66,FY14ProjMajors!$A$4:$T$31,MATCH(K$33,FY14ProjMajors!$A$3:$T$3,0),FALSE)</f>
        <v>0</v>
      </c>
      <c r="L66" s="97">
        <f>GPpcntMjr*(VLOOKUP($A66,FY14ProjRev!$A$3:$K$29,11,FALSE))*VLOOKUP($A66,FY14ProjMajors!$A$4:$T$31,MATCH(L$33,FY14ProjMajors!$A$3:$T$3,0),FALSE)</f>
        <v>235746.86684431435</v>
      </c>
      <c r="M66" s="97">
        <f>GPpcntMjr*(VLOOKUP($A66,FY14ProjRev!$A$3:$K$29,11,FALSE))*VLOOKUP($A66,FY14ProjMajors!$A$4:$T$31,MATCH(M$33,FY14ProjMajors!$A$3:$T$3,0),FALSE)</f>
        <v>0</v>
      </c>
      <c r="N66" s="97">
        <f>GPpcntMjr*(VLOOKUP($A66,FY14ProjRev!$A$3:$K$29,11,FALSE))*VLOOKUP($A66,FY14ProjMajors!$A$4:$T$31,MATCH(N$33,FY14ProjMajors!$A$3:$T$3,0),FALSE)</f>
        <v>676593.50784318219</v>
      </c>
      <c r="O66" s="97">
        <f>GPpcntMjr*(VLOOKUP($A66,FY14ProjRev!$A$3:$K$29,11,FALSE))*VLOOKUP($A66,FY14ProjMajors!$A$4:$T$31,MATCH(O$33,FY14ProjMajors!$A$3:$T$3,0),FALSE)</f>
        <v>0</v>
      </c>
      <c r="P66" s="97">
        <f>GPpcntMjr*(VLOOKUP($A66,FY14ProjRev!$A$3:$K$29,11,FALSE))*VLOOKUP($A66,FY14ProjMajors!$A$4:$T$31,MATCH(P$33,FY14ProjMajors!$A$3:$T$3,0),FALSE)</f>
        <v>0</v>
      </c>
      <c r="Q66" s="97">
        <f>GPpcntMjr*(VLOOKUP($A66,FY14ProjRev!$A$3:$K$29,11,FALSE))*VLOOKUP($A66,FY14ProjMajors!$A$4:$T$31,MATCH(Q$33,FY14ProjMajors!$A$3:$T$3,0),FALSE)</f>
        <v>0</v>
      </c>
      <c r="R66" s="97">
        <f>GPpcntMjr*(VLOOKUP($A66,FY14ProjRev!$A$3:$K$29,11,FALSE))*VLOOKUP($A66,FY14ProjMajors!$A$4:$T$31,MATCH(R$33,FY14ProjMajors!$A$3:$T$3,0),FALSE)</f>
        <v>0</v>
      </c>
      <c r="S66" s="97">
        <f>GPpcntMjr*(VLOOKUP($A66,FY14ProjRev!$A$3:$K$29,11,FALSE))*VLOOKUP($A66,FY14ProjMajors!$A$4:$T$31,MATCH(S$33,FY14ProjMajors!$A$3:$T$3,0),FALSE)</f>
        <v>0</v>
      </c>
      <c r="T66" s="97">
        <f t="shared" si="31"/>
        <v>912340.37468749657</v>
      </c>
    </row>
    <row r="67" spans="1:20" ht="15.95" customHeight="1">
      <c r="A67" s="222" t="s">
        <v>130</v>
      </c>
      <c r="B67" s="303" t="s">
        <v>73</v>
      </c>
      <c r="C67" s="97">
        <f>GPpcntMjr*(VLOOKUP($A67,FY14ProjRev!$A$3:$K$29,11,FALSE))*VLOOKUP($A67,FY14ProjMajors!$A$4:$T$31,MATCH(C$33,FY14ProjMajors!$A$3:$T$3,0),FALSE)</f>
        <v>3849.0835215965294</v>
      </c>
      <c r="D67" s="97">
        <f>GPpcntMjr*(VLOOKUP($A67,FY14ProjRev!$A$3:$K$29,11,FALSE))*VLOOKUP($A67,FY14ProjMajors!$A$4:$T$31,MATCH(D$33,FY14ProjMajors!$A$3:$T$3,0),FALSE)</f>
        <v>67358.961627939279</v>
      </c>
      <c r="E67" s="97">
        <f>GPpcntMjr*(VLOOKUP($A67,FY14ProjRev!$A$3:$K$29,11,FALSE))*VLOOKUP($A67,FY14ProjMajors!$A$4:$T$31,MATCH(E$33,FY14ProjMajors!$A$3:$T$3,0),FALSE)</f>
        <v>50038.085780754889</v>
      </c>
      <c r="F67" s="97">
        <f>GPpcntMjr*(VLOOKUP($A67,FY14ProjRev!$A$3:$K$29,11,FALSE))*VLOOKUP($A67,FY14ProjMajors!$A$4:$T$31,MATCH(F$33,FY14ProjMajors!$A$3:$T$3,0),FALSE)</f>
        <v>3849.0835215965294</v>
      </c>
      <c r="G67" s="97">
        <f>GPpcntMjr*(VLOOKUP($A67,FY14ProjRev!$A$3:$K$29,11,FALSE))*VLOOKUP($A67,FY14ProjMajors!$A$4:$T$31,MATCH(G$33,FY14ProjMajors!$A$3:$T$3,0),FALSE)</f>
        <v>5230904.5058496837</v>
      </c>
      <c r="H67" s="97">
        <f>GPpcntMjr*(VLOOKUP($A67,FY14ProjRev!$A$3:$K$29,11,FALSE))*VLOOKUP($A67,FY14ProjMajors!$A$4:$T$31,MATCH(H$33,FY14ProjMajors!$A$3:$T$3,0),FALSE)</f>
        <v>9622.7088039913233</v>
      </c>
      <c r="I67" s="97">
        <f>GPpcntMjr*(VLOOKUP($A67,FY14ProjRev!$A$3:$K$29,11,FALSE))*VLOOKUP($A67,FY14ProjMajors!$A$4:$T$31,MATCH(I$33,FY14ProjMajors!$A$3:$T$3,0),FALSE)</f>
        <v>1924.5417607982647</v>
      </c>
      <c r="J67" s="97">
        <f>GPpcntMjr*(VLOOKUP($A67,FY14ProjRev!$A$3:$K$29,11,FALSE))*VLOOKUP($A67,FY14ProjMajors!$A$4:$T$31,MATCH(J$33,FY14ProjMajors!$A$3:$T$3,0),FALSE)</f>
        <v>19245.417607982647</v>
      </c>
      <c r="K67" s="97">
        <f>GPpcntMjr*(VLOOKUP($A67,FY14ProjRev!$A$3:$K$29,11,FALSE))*VLOOKUP($A67,FY14ProjMajors!$A$4:$T$31,MATCH(K$33,FY14ProjMajors!$A$3:$T$3,0),FALSE)</f>
        <v>3849.0835215965294</v>
      </c>
      <c r="L67" s="97">
        <f>GPpcntMjr*(VLOOKUP($A67,FY14ProjRev!$A$3:$K$29,11,FALSE))*VLOOKUP($A67,FY14ProjMajors!$A$4:$T$31,MATCH(L$33,FY14ProjMajors!$A$3:$T$3,0),FALSE)</f>
        <v>0</v>
      </c>
      <c r="M67" s="97">
        <f>GPpcntMjr*(VLOOKUP($A67,FY14ProjRev!$A$3:$K$29,11,FALSE))*VLOOKUP($A67,FY14ProjMajors!$A$4:$T$31,MATCH(M$33,FY14ProjMajors!$A$3:$T$3,0),FALSE)</f>
        <v>0</v>
      </c>
      <c r="N67" s="97">
        <f>GPpcntMjr*(VLOOKUP($A67,FY14ProjRev!$A$3:$K$29,11,FALSE))*VLOOKUP($A67,FY14ProjMajors!$A$4:$T$31,MATCH(N$33,FY14ProjMajors!$A$3:$T$3,0),FALSE)</f>
        <v>21169.959368780914</v>
      </c>
      <c r="O67" s="97">
        <f>GPpcntMjr*(VLOOKUP($A67,FY14ProjRev!$A$3:$K$29,11,FALSE))*VLOOKUP($A67,FY14ProjMajors!$A$4:$T$31,MATCH(O$33,FY14ProjMajors!$A$3:$T$3,0),FALSE)</f>
        <v>338719.34990049462</v>
      </c>
      <c r="P67" s="97">
        <f>GPpcntMjr*(VLOOKUP($A67,FY14ProjRev!$A$3:$K$29,11,FALSE))*VLOOKUP($A67,FY14ProjMajors!$A$4:$T$31,MATCH(P$33,FY14ProjMajors!$A$3:$T$3,0),FALSE)</f>
        <v>0</v>
      </c>
      <c r="Q67" s="97">
        <f>GPpcntMjr*(VLOOKUP($A67,FY14ProjRev!$A$3:$K$29,11,FALSE))*VLOOKUP($A67,FY14ProjMajors!$A$4:$T$31,MATCH(Q$33,FY14ProjMajors!$A$3:$T$3,0),FALSE)</f>
        <v>19245.417607982647</v>
      </c>
      <c r="R67" s="97">
        <f>GPpcntMjr*(VLOOKUP($A67,FY14ProjRev!$A$3:$K$29,11,FALSE))*VLOOKUP($A67,FY14ProjMajors!$A$4:$T$31,MATCH(R$33,FY14ProjMajors!$A$3:$T$3,0),FALSE)</f>
        <v>13471.792325587854</v>
      </c>
      <c r="S67" s="97">
        <f>GPpcntMjr*(VLOOKUP($A67,FY14ProjRev!$A$3:$K$29,11,FALSE))*VLOOKUP($A67,FY14ProjMajors!$A$4:$T$31,MATCH(S$33,FY14ProjMajors!$A$3:$T$3,0),FALSE)</f>
        <v>113547.96388709763</v>
      </c>
      <c r="T67" s="97">
        <f t="shared" si="31"/>
        <v>5896795.9550858838</v>
      </c>
    </row>
    <row r="68" spans="1:20" ht="15.95" customHeight="1">
      <c r="A68" s="222" t="s">
        <v>131</v>
      </c>
      <c r="B68" s="303" t="s">
        <v>141</v>
      </c>
      <c r="C68" s="97">
        <f>GPpcntMjr*(VLOOKUP($A68,FY14ProjRev!$A$3:$K$29,11,FALSE))*VLOOKUP($A68,FY14ProjMajors!$A$4:$T$31,MATCH(C$33,FY14ProjMajors!$A$3:$T$3,0),FALSE)</f>
        <v>7043.9230769169926</v>
      </c>
      <c r="D68" s="97">
        <f>GPpcntMjr*(VLOOKUP($A68,FY14ProjRev!$A$3:$K$29,11,FALSE))*VLOOKUP($A68,FY14ProjMajors!$A$4:$T$31,MATCH(D$33,FY14ProjMajors!$A$3:$T$3,0),FALSE)</f>
        <v>63395.307692252951</v>
      </c>
      <c r="E68" s="97">
        <f>GPpcntMjr*(VLOOKUP($A68,FY14ProjRev!$A$3:$K$29,11,FALSE))*VLOOKUP($A68,FY14ProjMajors!$A$4:$T$31,MATCH(E$33,FY14ProjMajors!$A$3:$T$3,0),FALSE)</f>
        <v>3521.9615384584963</v>
      </c>
      <c r="F68" s="97">
        <f>GPpcntMjr*(VLOOKUP($A68,FY14ProjRev!$A$3:$K$29,11,FALSE))*VLOOKUP($A68,FY14ProjMajors!$A$4:$T$31,MATCH(F$33,FY14ProjMajors!$A$3:$T$3,0),FALSE)</f>
        <v>0</v>
      </c>
      <c r="G68" s="97">
        <f>GPpcntMjr*(VLOOKUP($A68,FY14ProjRev!$A$3:$K$29,11,FALSE))*VLOOKUP($A68,FY14ProjMajors!$A$4:$T$31,MATCH(G$33,FY14ProjMajors!$A$3:$T$3,0),FALSE)</f>
        <v>5282.9423076877447</v>
      </c>
      <c r="H68" s="97">
        <f>GPpcntMjr*(VLOOKUP($A68,FY14ProjRev!$A$3:$K$29,11,FALSE))*VLOOKUP($A68,FY14ProjMajors!$A$4:$T$31,MATCH(H$33,FY14ProjMajors!$A$3:$T$3,0),FALSE)</f>
        <v>2754173.9230745439</v>
      </c>
      <c r="I68" s="97">
        <f>GPpcntMjr*(VLOOKUP($A68,FY14ProjRev!$A$3:$K$29,11,FALSE))*VLOOKUP($A68,FY14ProjMajors!$A$4:$T$31,MATCH(I$33,FY14ProjMajors!$A$3:$T$3,0),FALSE)</f>
        <v>0</v>
      </c>
      <c r="J68" s="97">
        <f>GPpcntMjr*(VLOOKUP($A68,FY14ProjRev!$A$3:$K$29,11,FALSE))*VLOOKUP($A68,FY14ProjMajors!$A$4:$T$31,MATCH(J$33,FY14ProjMajors!$A$3:$T$3,0),FALSE)</f>
        <v>0</v>
      </c>
      <c r="K68" s="97">
        <f>GPpcntMjr*(VLOOKUP($A68,FY14ProjRev!$A$3:$K$29,11,FALSE))*VLOOKUP($A68,FY14ProjMajors!$A$4:$T$31,MATCH(K$33,FY14ProjMajors!$A$3:$T$3,0),FALSE)</f>
        <v>19370.78846152173</v>
      </c>
      <c r="L68" s="97">
        <f>GPpcntMjr*(VLOOKUP($A68,FY14ProjRev!$A$3:$K$29,11,FALSE))*VLOOKUP($A68,FY14ProjMajors!$A$4:$T$31,MATCH(L$33,FY14ProjMajors!$A$3:$T$3,0),FALSE)</f>
        <v>0</v>
      </c>
      <c r="M68" s="97">
        <f>GPpcntMjr*(VLOOKUP($A68,FY14ProjRev!$A$3:$K$29,11,FALSE))*VLOOKUP($A68,FY14ProjMajors!$A$4:$T$31,MATCH(M$33,FY14ProjMajors!$A$3:$T$3,0),FALSE)</f>
        <v>0</v>
      </c>
      <c r="N68" s="97">
        <f>GPpcntMjr*(VLOOKUP($A68,FY14ProjRev!$A$3:$K$29,11,FALSE))*VLOOKUP($A68,FY14ProjMajors!$A$4:$T$31,MATCH(N$33,FY14ProjMajors!$A$3:$T$3,0),FALSE)</f>
        <v>1760.9807692292482</v>
      </c>
      <c r="O68" s="97">
        <f>GPpcntMjr*(VLOOKUP($A68,FY14ProjRev!$A$3:$K$29,11,FALSE))*VLOOKUP($A68,FY14ProjMajors!$A$4:$T$31,MATCH(O$33,FY14ProjMajors!$A$3:$T$3,0),FALSE)</f>
        <v>0</v>
      </c>
      <c r="P68" s="97">
        <f>GPpcntMjr*(VLOOKUP($A68,FY14ProjRev!$A$3:$K$29,11,FALSE))*VLOOKUP($A68,FY14ProjMajors!$A$4:$T$31,MATCH(P$33,FY14ProjMajors!$A$3:$T$3,0),FALSE)</f>
        <v>0</v>
      </c>
      <c r="Q68" s="97">
        <f>GPpcntMjr*(VLOOKUP($A68,FY14ProjRev!$A$3:$K$29,11,FALSE))*VLOOKUP($A68,FY14ProjMajors!$A$4:$T$31,MATCH(Q$33,FY14ProjMajors!$A$3:$T$3,0),FALSE)</f>
        <v>1760.9807692292482</v>
      </c>
      <c r="R68" s="97">
        <f>GPpcntMjr*(VLOOKUP($A68,FY14ProjRev!$A$3:$K$29,11,FALSE))*VLOOKUP($A68,FY14ProjMajors!$A$4:$T$31,MATCH(R$33,FY14ProjMajors!$A$3:$T$3,0),FALSE)</f>
        <v>0</v>
      </c>
      <c r="S68" s="97">
        <f>GPpcntMjr*(VLOOKUP($A68,FY14ProjRev!$A$3:$K$29,11,FALSE))*VLOOKUP($A68,FY14ProjMajors!$A$4:$T$31,MATCH(S$33,FY14ProjMajors!$A$3:$T$3,0),FALSE)</f>
        <v>5282.9423076877447</v>
      </c>
      <c r="T68" s="97">
        <f t="shared" si="31"/>
        <v>2861593.7499975278</v>
      </c>
    </row>
    <row r="69" spans="1:20" ht="15.95" customHeight="1">
      <c r="A69" s="222" t="s">
        <v>132</v>
      </c>
      <c r="B69" s="303" t="s">
        <v>142</v>
      </c>
      <c r="C69" s="97">
        <f>GPpcntMjr*(VLOOKUP($A69,FY14ProjRev!$A$3:$K$29,11,FALSE))*VLOOKUP($A69,FY14ProjMajors!$A$4:$T$31,MATCH(C$33,FY14ProjMajors!$A$3:$T$3,0),FALSE)</f>
        <v>0</v>
      </c>
      <c r="D69" s="97">
        <f>GPpcntMjr*(VLOOKUP($A69,FY14ProjRev!$A$3:$K$29,11,FALSE))*VLOOKUP($A69,FY14ProjMajors!$A$4:$T$31,MATCH(D$33,FY14ProjMajors!$A$3:$T$3,0),FALSE)</f>
        <v>14076.184523584227</v>
      </c>
      <c r="E69" s="97">
        <f>GPpcntMjr*(VLOOKUP($A69,FY14ProjRev!$A$3:$K$29,11,FALSE))*VLOOKUP($A69,FY14ProjMajors!$A$4:$T$31,MATCH(E$33,FY14ProjMajors!$A$3:$T$3,0),FALSE)</f>
        <v>0</v>
      </c>
      <c r="F69" s="97">
        <f>GPpcntMjr*(VLOOKUP($A69,FY14ProjRev!$A$3:$K$29,11,FALSE))*VLOOKUP($A69,FY14ProjMajors!$A$4:$T$31,MATCH(F$33,FY14ProjMajors!$A$3:$T$3,0),FALSE)</f>
        <v>2198230.8164330702</v>
      </c>
      <c r="G69" s="97">
        <f>GPpcntMjr*(VLOOKUP($A69,FY14ProjRev!$A$3:$K$29,11,FALSE))*VLOOKUP($A69,FY14ProjMajors!$A$4:$T$31,MATCH(G$33,FY14ProjMajors!$A$3:$T$3,0),FALSE)</f>
        <v>0</v>
      </c>
      <c r="H69" s="97">
        <f>GPpcntMjr*(VLOOKUP($A69,FY14ProjRev!$A$3:$K$29,11,FALSE))*VLOOKUP($A69,FY14ProjMajors!$A$4:$T$31,MATCH(H$33,FY14ProjMajors!$A$3:$T$3,0),FALSE)</f>
        <v>0</v>
      </c>
      <c r="I69" s="97">
        <f>GPpcntMjr*(VLOOKUP($A69,FY14ProjRev!$A$3:$K$29,11,FALSE))*VLOOKUP($A69,FY14ProjMajors!$A$4:$T$31,MATCH(I$33,FY14ProjMajors!$A$3:$T$3,0),FALSE)</f>
        <v>0</v>
      </c>
      <c r="J69" s="97">
        <f>GPpcntMjr*(VLOOKUP($A69,FY14ProjRev!$A$3:$K$29,11,FALSE))*VLOOKUP($A69,FY14ProjMajors!$A$4:$T$31,MATCH(J$33,FY14ProjMajors!$A$3:$T$3,0),FALSE)</f>
        <v>0</v>
      </c>
      <c r="K69" s="97">
        <f>GPpcntMjr*(VLOOKUP($A69,FY14ProjRev!$A$3:$K$29,11,FALSE))*VLOOKUP($A69,FY14ProjMajors!$A$4:$T$31,MATCH(K$33,FY14ProjMajors!$A$3:$T$3,0),FALSE)</f>
        <v>4692.0615078614082</v>
      </c>
      <c r="L69" s="97">
        <f>GPpcntMjr*(VLOOKUP($A69,FY14ProjRev!$A$3:$K$29,11,FALSE))*VLOOKUP($A69,FY14ProjMajors!$A$4:$T$31,MATCH(L$33,FY14ProjMajors!$A$3:$T$3,0),FALSE)</f>
        <v>0</v>
      </c>
      <c r="M69" s="97">
        <f>GPpcntMjr*(VLOOKUP($A69,FY14ProjRev!$A$3:$K$29,11,FALSE))*VLOOKUP($A69,FY14ProjMajors!$A$4:$T$31,MATCH(M$33,FY14ProjMajors!$A$3:$T$3,0),FALSE)</f>
        <v>0</v>
      </c>
      <c r="N69" s="97">
        <f>GPpcntMjr*(VLOOKUP($A69,FY14ProjRev!$A$3:$K$29,11,FALSE))*VLOOKUP($A69,FY14ProjMajors!$A$4:$T$31,MATCH(N$33,FY14ProjMajors!$A$3:$T$3,0),FALSE)</f>
        <v>0</v>
      </c>
      <c r="O69" s="97">
        <f>GPpcntMjr*(VLOOKUP($A69,FY14ProjRev!$A$3:$K$29,11,FALSE))*VLOOKUP($A69,FY14ProjMajors!$A$4:$T$31,MATCH(O$33,FY14ProjMajors!$A$3:$T$3,0),FALSE)</f>
        <v>0</v>
      </c>
      <c r="P69" s="97">
        <f>GPpcntMjr*(VLOOKUP($A69,FY14ProjRev!$A$3:$K$29,11,FALSE))*VLOOKUP($A69,FY14ProjMajors!$A$4:$T$31,MATCH(P$33,FY14ProjMajors!$A$3:$T$3,0),FALSE)</f>
        <v>0</v>
      </c>
      <c r="Q69" s="97">
        <f>GPpcntMjr*(VLOOKUP($A69,FY14ProjRev!$A$3:$K$29,11,FALSE))*VLOOKUP($A69,FY14ProjMajors!$A$4:$T$31,MATCH(Q$33,FY14ProjMajors!$A$3:$T$3,0),FALSE)</f>
        <v>0</v>
      </c>
      <c r="R69" s="97">
        <f>GPpcntMjr*(VLOOKUP($A69,FY14ProjRev!$A$3:$K$29,11,FALSE))*VLOOKUP($A69,FY14ProjMajors!$A$4:$T$31,MATCH(R$33,FY14ProjMajors!$A$3:$T$3,0),FALSE)</f>
        <v>0</v>
      </c>
      <c r="S69" s="97">
        <f>GPpcntMjr*(VLOOKUP($A69,FY14ProjRev!$A$3:$K$29,11,FALSE))*VLOOKUP($A69,FY14ProjMajors!$A$4:$T$31,MATCH(S$33,FY14ProjMajors!$A$3:$T$3,0),FALSE)</f>
        <v>7038.0922617921133</v>
      </c>
      <c r="T69" s="97">
        <f t="shared" si="31"/>
        <v>2224037.1547263083</v>
      </c>
    </row>
    <row r="70" spans="1:20" ht="15.95" customHeight="1">
      <c r="A70" s="222" t="s">
        <v>133</v>
      </c>
      <c r="B70" s="303" t="s">
        <v>143</v>
      </c>
      <c r="C70" s="97">
        <f>GPpcntMjr*(VLOOKUP($A70,FY14ProjRev!$A$3:$K$29,11,FALSE))*VLOOKUP($A70,FY14ProjMajors!$A$4:$T$31,MATCH(C$33,FY14ProjMajors!$A$3:$T$3,0),FALSE)</f>
        <v>0</v>
      </c>
      <c r="D70" s="97">
        <f>GPpcntMjr*(VLOOKUP($A70,FY14ProjRev!$A$3:$K$29,11,FALSE))*VLOOKUP($A70,FY14ProjMajors!$A$4:$T$31,MATCH(D$33,FY14ProjMajors!$A$3:$T$3,0),FALSE)</f>
        <v>3015.0407580115525</v>
      </c>
      <c r="E70" s="97">
        <f>GPpcntMjr*(VLOOKUP($A70,FY14ProjRev!$A$3:$K$29,11,FALSE))*VLOOKUP($A70,FY14ProjMajors!$A$4:$T$31,MATCH(E$33,FY14ProjMajors!$A$3:$T$3,0),FALSE)</f>
        <v>0</v>
      </c>
      <c r="F70" s="97">
        <f>GPpcntMjr*(VLOOKUP($A70,FY14ProjRev!$A$3:$K$29,11,FALSE))*VLOOKUP($A70,FY14ProjMajors!$A$4:$T$31,MATCH(F$33,FY14ProjMajors!$A$3:$T$3,0),FALSE)</f>
        <v>1159283.1714554422</v>
      </c>
      <c r="G70" s="97">
        <f>GPpcntMjr*(VLOOKUP($A70,FY14ProjRev!$A$3:$K$29,11,FALSE))*VLOOKUP($A70,FY14ProjMajors!$A$4:$T$31,MATCH(G$33,FY14ProjMajors!$A$3:$T$3,0),FALSE)</f>
        <v>0</v>
      </c>
      <c r="H70" s="97">
        <f>GPpcntMjr*(VLOOKUP($A70,FY14ProjRev!$A$3:$K$29,11,FALSE))*VLOOKUP($A70,FY14ProjMajors!$A$4:$T$31,MATCH(H$33,FY14ProjMajors!$A$3:$T$3,0),FALSE)</f>
        <v>0</v>
      </c>
      <c r="I70" s="97">
        <f>GPpcntMjr*(VLOOKUP($A70,FY14ProjRev!$A$3:$K$29,11,FALSE))*VLOOKUP($A70,FY14ProjMajors!$A$4:$T$31,MATCH(I$33,FY14ProjMajors!$A$3:$T$3,0),FALSE)</f>
        <v>0</v>
      </c>
      <c r="J70" s="97">
        <f>GPpcntMjr*(VLOOKUP($A70,FY14ProjRev!$A$3:$K$29,11,FALSE))*VLOOKUP($A70,FY14ProjMajors!$A$4:$T$31,MATCH(J$33,FY14ProjMajors!$A$3:$T$3,0),FALSE)</f>
        <v>0</v>
      </c>
      <c r="K70" s="97">
        <f>GPpcntMjr*(VLOOKUP($A70,FY14ProjRev!$A$3:$K$29,11,FALSE))*VLOOKUP($A70,FY14ProjMajors!$A$4:$T$31,MATCH(K$33,FY14ProjMajors!$A$3:$T$3,0),FALSE)</f>
        <v>6030.081516023105</v>
      </c>
      <c r="L70" s="97">
        <f>GPpcntMjr*(VLOOKUP($A70,FY14ProjRev!$A$3:$K$29,11,FALSE))*VLOOKUP($A70,FY14ProjMajors!$A$4:$T$31,MATCH(L$33,FY14ProjMajors!$A$3:$T$3,0),FALSE)</f>
        <v>0</v>
      </c>
      <c r="M70" s="97">
        <f>GPpcntMjr*(VLOOKUP($A70,FY14ProjRev!$A$3:$K$29,11,FALSE))*VLOOKUP($A70,FY14ProjMajors!$A$4:$T$31,MATCH(M$33,FY14ProjMajors!$A$3:$T$3,0),FALSE)</f>
        <v>0</v>
      </c>
      <c r="N70" s="97">
        <f>GPpcntMjr*(VLOOKUP($A70,FY14ProjRev!$A$3:$K$29,11,FALSE))*VLOOKUP($A70,FY14ProjMajors!$A$4:$T$31,MATCH(N$33,FY14ProjMajors!$A$3:$T$3,0),FALSE)</f>
        <v>0</v>
      </c>
      <c r="O70" s="97">
        <f>GPpcntMjr*(VLOOKUP($A70,FY14ProjRev!$A$3:$K$29,11,FALSE))*VLOOKUP($A70,FY14ProjMajors!$A$4:$T$31,MATCH(O$33,FY14ProjMajors!$A$3:$T$3,0),FALSE)</f>
        <v>12060.16303204621</v>
      </c>
      <c r="P70" s="97">
        <f>GPpcntMjr*(VLOOKUP($A70,FY14ProjRev!$A$3:$K$29,11,FALSE))*VLOOKUP($A70,FY14ProjMajors!$A$4:$T$31,MATCH(P$33,FY14ProjMajors!$A$3:$T$3,0),FALSE)</f>
        <v>0</v>
      </c>
      <c r="Q70" s="97">
        <f>GPpcntMjr*(VLOOKUP($A70,FY14ProjRev!$A$3:$K$29,11,FALSE))*VLOOKUP($A70,FY14ProjMajors!$A$4:$T$31,MATCH(Q$33,FY14ProjMajors!$A$3:$T$3,0),FALSE)</f>
        <v>0</v>
      </c>
      <c r="R70" s="97">
        <f>GPpcntMjr*(VLOOKUP($A70,FY14ProjRev!$A$3:$K$29,11,FALSE))*VLOOKUP($A70,FY14ProjMajors!$A$4:$T$31,MATCH(R$33,FY14ProjMajors!$A$3:$T$3,0),FALSE)</f>
        <v>0</v>
      </c>
      <c r="S70" s="97">
        <f>GPpcntMjr*(VLOOKUP($A70,FY14ProjRev!$A$3:$K$29,11,FALSE))*VLOOKUP($A70,FY14ProjMajors!$A$4:$T$31,MATCH(S$33,FY14ProjMajors!$A$3:$T$3,0),FALSE)</f>
        <v>24120.32606409242</v>
      </c>
      <c r="T70" s="97">
        <f t="shared" si="31"/>
        <v>1204508.7828256155</v>
      </c>
    </row>
    <row r="71" spans="1:20" ht="15.95" customHeight="1">
      <c r="A71" s="222" t="s">
        <v>134</v>
      </c>
      <c r="B71" s="303" t="s">
        <v>40</v>
      </c>
      <c r="C71" s="97">
        <f>GPpcntMjr*(VLOOKUP($A71,FY14ProjRev!$A$3:$K$29,11,FALSE))*VLOOKUP($A71,FY14ProjMajors!$A$4:$T$31,MATCH(C$33,FY14ProjMajors!$A$3:$T$3,0),FALSE)</f>
        <v>0</v>
      </c>
      <c r="D71" s="97">
        <f>GPpcntMjr*(VLOOKUP($A71,FY14ProjRev!$A$3:$K$29,11,FALSE))*VLOOKUP($A71,FY14ProjMajors!$A$4:$T$31,MATCH(D$33,FY14ProjMajors!$A$3:$T$3,0),FALSE)</f>
        <v>7658.4708273919969</v>
      </c>
      <c r="E71" s="97">
        <f>GPpcntMjr*(VLOOKUP($A71,FY14ProjRev!$A$3:$K$29,11,FALSE))*VLOOKUP($A71,FY14ProjMajors!$A$4:$T$31,MATCH(E$33,FY14ProjMajors!$A$3:$T$3,0),FALSE)</f>
        <v>0</v>
      </c>
      <c r="F71" s="97">
        <f>GPpcntMjr*(VLOOKUP($A71,FY14ProjRev!$A$3:$K$29,11,FALSE))*VLOOKUP($A71,FY14ProjMajors!$A$4:$T$31,MATCH(F$33,FY14ProjMajors!$A$3:$T$3,0),FALSE)</f>
        <v>0</v>
      </c>
      <c r="G71" s="97">
        <f>GPpcntMjr*(VLOOKUP($A71,FY14ProjRev!$A$3:$K$29,11,FALSE))*VLOOKUP($A71,FY14ProjMajors!$A$4:$T$31,MATCH(G$33,FY14ProjMajors!$A$3:$T$3,0),FALSE)</f>
        <v>0</v>
      </c>
      <c r="H71" s="97">
        <f>GPpcntMjr*(VLOOKUP($A71,FY14ProjRev!$A$3:$K$29,11,FALSE))*VLOOKUP($A71,FY14ProjMajors!$A$4:$T$31,MATCH(H$33,FY14ProjMajors!$A$3:$T$3,0),FALSE)</f>
        <v>0</v>
      </c>
      <c r="I71" s="97">
        <f>GPpcntMjr*(VLOOKUP($A71,FY14ProjRev!$A$3:$K$29,11,FALSE))*VLOOKUP($A71,FY14ProjMajors!$A$4:$T$31,MATCH(I$33,FY14ProjMajors!$A$3:$T$3,0),FALSE)</f>
        <v>26804.647895871989</v>
      </c>
      <c r="J71" s="97">
        <f>GPpcntMjr*(VLOOKUP($A71,FY14ProjRev!$A$3:$K$29,11,FALSE))*VLOOKUP($A71,FY14ProjMajors!$A$4:$T$31,MATCH(J$33,FY14ProjMajors!$A$3:$T$3,0),FALSE)</f>
        <v>0</v>
      </c>
      <c r="K71" s="97">
        <f>GPpcntMjr*(VLOOKUP($A71,FY14ProjRev!$A$3:$K$29,11,FALSE))*VLOOKUP($A71,FY14ProjMajors!$A$4:$T$31,MATCH(K$33,FY14ProjMajors!$A$3:$T$3,0),FALSE)</f>
        <v>0</v>
      </c>
      <c r="L71" s="97">
        <f>GPpcntMjr*(VLOOKUP($A71,FY14ProjRev!$A$3:$K$29,11,FALSE))*VLOOKUP($A71,FY14ProjMajors!$A$4:$T$31,MATCH(L$33,FY14ProjMajors!$A$3:$T$3,0),FALSE)</f>
        <v>0</v>
      </c>
      <c r="M71" s="97">
        <f>GPpcntMjr*(VLOOKUP($A71,FY14ProjRev!$A$3:$K$29,11,FALSE))*VLOOKUP($A71,FY14ProjMajors!$A$4:$T$31,MATCH(M$33,FY14ProjMajors!$A$3:$T$3,0),FALSE)</f>
        <v>0</v>
      </c>
      <c r="N71" s="97">
        <f>GPpcntMjr*(VLOOKUP($A71,FY14ProjRev!$A$3:$K$29,11,FALSE))*VLOOKUP($A71,FY14ProjMajors!$A$4:$T$31,MATCH(N$33,FY14ProjMajors!$A$3:$T$3,0),FALSE)</f>
        <v>0</v>
      </c>
      <c r="O71" s="97">
        <f>GPpcntMjr*(VLOOKUP($A71,FY14ProjRev!$A$3:$K$29,11,FALSE))*VLOOKUP($A71,FY14ProjMajors!$A$4:$T$31,MATCH(O$33,FY14ProjMajors!$A$3:$T$3,0),FALSE)</f>
        <v>0</v>
      </c>
      <c r="P71" s="97">
        <f>GPpcntMjr*(VLOOKUP($A71,FY14ProjRev!$A$3:$K$29,11,FALSE))*VLOOKUP($A71,FY14ProjMajors!$A$4:$T$31,MATCH(P$33,FY14ProjMajors!$A$3:$T$3,0),FALSE)</f>
        <v>0</v>
      </c>
      <c r="Q71" s="97">
        <f>GPpcntMjr*(VLOOKUP($A71,FY14ProjRev!$A$3:$K$29,11,FALSE))*VLOOKUP($A71,FY14ProjMajors!$A$4:$T$31,MATCH(Q$33,FY14ProjMajors!$A$3:$T$3,0),FALSE)</f>
        <v>0</v>
      </c>
      <c r="R71" s="97">
        <f>GPpcntMjr*(VLOOKUP($A71,FY14ProjRev!$A$3:$K$29,11,FALSE))*VLOOKUP($A71,FY14ProjMajors!$A$4:$T$31,MATCH(R$33,FY14ProjMajors!$A$3:$T$3,0),FALSE)</f>
        <v>0</v>
      </c>
      <c r="S71" s="97">
        <f>GPpcntMjr*(VLOOKUP($A71,FY14ProjRev!$A$3:$K$29,11,FALSE))*VLOOKUP($A71,FY14ProjMajors!$A$4:$T$31,MATCH(S$33,FY14ProjMajors!$A$3:$T$3,0),FALSE)</f>
        <v>0</v>
      </c>
      <c r="T71" s="97">
        <f t="shared" si="31"/>
        <v>34463.118723263986</v>
      </c>
    </row>
    <row r="72" spans="1:20" ht="15.95" customHeight="1">
      <c r="A72" s="222" t="s">
        <v>135</v>
      </c>
      <c r="B72" s="303" t="s">
        <v>70</v>
      </c>
      <c r="C72" s="97">
        <f>GPpcntMjr*(VLOOKUP($A72,FY14ProjRev!$A$3:$K$29,11,FALSE))*VLOOKUP($A72,FY14ProjMajors!$A$4:$T$31,MATCH(C$33,FY14ProjMajors!$A$3:$T$3,0),FALSE)</f>
        <v>0</v>
      </c>
      <c r="D72" s="97">
        <f>GPpcntMjr*(VLOOKUP($A72,FY14ProjRev!$A$3:$K$29,11,FALSE))*VLOOKUP($A72,FY14ProjMajors!$A$4:$T$31,MATCH(D$33,FY14ProjMajors!$A$3:$T$3,0),FALSE)</f>
        <v>18341.762104214395</v>
      </c>
      <c r="E72" s="97">
        <f>GPpcntMjr*(VLOOKUP($A72,FY14ProjRev!$A$3:$K$29,11,FALSE))*VLOOKUP($A72,FY14ProjMajors!$A$4:$T$31,MATCH(E$33,FY14ProjMajors!$A$3:$T$3,0),FALSE)</f>
        <v>0</v>
      </c>
      <c r="F72" s="97">
        <f>GPpcntMjr*(VLOOKUP($A72,FY14ProjRev!$A$3:$K$29,11,FALSE))*VLOOKUP($A72,FY14ProjMajors!$A$4:$T$31,MATCH(F$33,FY14ProjMajors!$A$3:$T$3,0),FALSE)</f>
        <v>0</v>
      </c>
      <c r="G72" s="97">
        <f>GPpcntMjr*(VLOOKUP($A72,FY14ProjRev!$A$3:$K$29,11,FALSE))*VLOOKUP($A72,FY14ProjMajors!$A$4:$T$31,MATCH(G$33,FY14ProjMajors!$A$3:$T$3,0),FALSE)</f>
        <v>0</v>
      </c>
      <c r="H72" s="97">
        <f>GPpcntMjr*(VLOOKUP($A72,FY14ProjRev!$A$3:$K$29,11,FALSE))*VLOOKUP($A72,FY14ProjMajors!$A$4:$T$31,MATCH(H$33,FY14ProjMajors!$A$3:$T$3,0),FALSE)</f>
        <v>0</v>
      </c>
      <c r="I72" s="97">
        <f>GPpcntMjr*(VLOOKUP($A72,FY14ProjRev!$A$3:$K$29,11,FALSE))*VLOOKUP($A72,FY14ProjMajors!$A$4:$T$31,MATCH(I$33,FY14ProjMajors!$A$3:$T$3,0),FALSE)</f>
        <v>0</v>
      </c>
      <c r="J72" s="97">
        <f>GPpcntMjr*(VLOOKUP($A72,FY14ProjRev!$A$3:$K$29,11,FALSE))*VLOOKUP($A72,FY14ProjMajors!$A$4:$T$31,MATCH(J$33,FY14ProjMajors!$A$3:$T$3,0),FALSE)</f>
        <v>0</v>
      </c>
      <c r="K72" s="97">
        <f>GPpcntMjr*(VLOOKUP($A72,FY14ProjRev!$A$3:$K$29,11,FALSE))*VLOOKUP($A72,FY14ProjMajors!$A$4:$T$31,MATCH(K$33,FY14ProjMajors!$A$3:$T$3,0),FALSE)</f>
        <v>31443.020750081821</v>
      </c>
      <c r="L72" s="97">
        <f>GPpcntMjr*(VLOOKUP($A72,FY14ProjRev!$A$3:$K$29,11,FALSE))*VLOOKUP($A72,FY14ProjMajors!$A$4:$T$31,MATCH(L$33,FY14ProjMajors!$A$3:$T$3,0),FALSE)</f>
        <v>1959948.293421767</v>
      </c>
      <c r="M72" s="97">
        <f>GPpcntMjr*(VLOOKUP($A72,FY14ProjRev!$A$3:$K$29,11,FALSE))*VLOOKUP($A72,FY14ProjMajors!$A$4:$T$31,MATCH(M$33,FY14ProjMajors!$A$3:$T$3,0),FALSE)</f>
        <v>0</v>
      </c>
      <c r="N72" s="97">
        <f>GPpcntMjr*(VLOOKUP($A72,FY14ProjRev!$A$3:$K$29,11,FALSE))*VLOOKUP($A72,FY14ProjMajors!$A$4:$T$31,MATCH(N$33,FY14ProjMajors!$A$3:$T$3,0),FALSE)</f>
        <v>10481.006916693941</v>
      </c>
      <c r="O72" s="97">
        <f>GPpcntMjr*(VLOOKUP($A72,FY14ProjRev!$A$3:$K$29,11,FALSE))*VLOOKUP($A72,FY14ProjMajors!$A$4:$T$31,MATCH(O$33,FY14ProjMajors!$A$3:$T$3,0),FALSE)</f>
        <v>0</v>
      </c>
      <c r="P72" s="97">
        <f>GPpcntMjr*(VLOOKUP($A72,FY14ProjRev!$A$3:$K$29,11,FALSE))*VLOOKUP($A72,FY14ProjMajors!$A$4:$T$31,MATCH(P$33,FY14ProjMajors!$A$3:$T$3,0),FALSE)</f>
        <v>0</v>
      </c>
      <c r="Q72" s="97">
        <f>GPpcntMjr*(VLOOKUP($A72,FY14ProjRev!$A$3:$K$29,11,FALSE))*VLOOKUP($A72,FY14ProjMajors!$A$4:$T$31,MATCH(Q$33,FY14ProjMajors!$A$3:$T$3,0),FALSE)</f>
        <v>18341.762104214391</v>
      </c>
      <c r="R72" s="97">
        <f>GPpcntMjr*(VLOOKUP($A72,FY14ProjRev!$A$3:$K$29,11,FALSE))*VLOOKUP($A72,FY14ProjMajors!$A$4:$T$31,MATCH(R$33,FY14ProjMajors!$A$3:$T$3,0),FALSE)</f>
        <v>0</v>
      </c>
      <c r="S72" s="97">
        <f>GPpcntMjr*(VLOOKUP($A72,FY14ProjRev!$A$3:$K$29,11,FALSE))*VLOOKUP($A72,FY14ProjMajors!$A$4:$T$31,MATCH(S$33,FY14ProjMajors!$A$3:$T$3,0),FALSE)</f>
        <v>0</v>
      </c>
      <c r="T72" s="97">
        <f t="shared" si="31"/>
        <v>2038555.8452969715</v>
      </c>
    </row>
    <row r="73" spans="1:20" ht="15.95" customHeight="1">
      <c r="A73" s="222" t="s">
        <v>136</v>
      </c>
      <c r="B73" s="303" t="s">
        <v>144</v>
      </c>
      <c r="C73" s="97">
        <f>GPpcntMjr*(VLOOKUP($A73,FY14ProjRev!$A$3:$K$29,11,FALSE))*VLOOKUP($A73,FY14ProjMajors!$A$4:$T$31,MATCH(C$33,FY14ProjMajors!$A$3:$T$3,0),FALSE)</f>
        <v>0</v>
      </c>
      <c r="D73" s="97">
        <f>GPpcntMjr*(VLOOKUP($A73,FY14ProjRev!$A$3:$K$29,11,FALSE))*VLOOKUP($A73,FY14ProjMajors!$A$4:$T$31,MATCH(D$33,FY14ProjMajors!$A$3:$T$3,0),FALSE)</f>
        <v>0</v>
      </c>
      <c r="E73" s="97">
        <f>GPpcntMjr*(VLOOKUP($A73,FY14ProjRev!$A$3:$K$29,11,FALSE))*VLOOKUP($A73,FY14ProjMajors!$A$4:$T$31,MATCH(E$33,FY14ProjMajors!$A$3:$T$3,0),FALSE)</f>
        <v>0</v>
      </c>
      <c r="F73" s="97">
        <f>GPpcntMjr*(VLOOKUP($A73,FY14ProjRev!$A$3:$K$29,11,FALSE))*VLOOKUP($A73,FY14ProjMajors!$A$4:$T$31,MATCH(F$33,FY14ProjMajors!$A$3:$T$3,0),FALSE)</f>
        <v>0</v>
      </c>
      <c r="G73" s="97">
        <f>GPpcntMjr*(VLOOKUP($A73,FY14ProjRev!$A$3:$K$29,11,FALSE))*VLOOKUP($A73,FY14ProjMajors!$A$4:$T$31,MATCH(G$33,FY14ProjMajors!$A$3:$T$3,0),FALSE)</f>
        <v>0</v>
      </c>
      <c r="H73" s="97">
        <f>GPpcntMjr*(VLOOKUP($A73,FY14ProjRev!$A$3:$K$29,11,FALSE))*VLOOKUP($A73,FY14ProjMajors!$A$4:$T$31,MATCH(H$33,FY14ProjMajors!$A$3:$T$3,0),FALSE)</f>
        <v>4056.0906966792968</v>
      </c>
      <c r="I73" s="97">
        <f>GPpcntMjr*(VLOOKUP($A73,FY14ProjRev!$A$3:$K$29,11,FALSE))*VLOOKUP($A73,FY14ProjMajors!$A$4:$T$31,MATCH(I$33,FY14ProjMajors!$A$3:$T$3,0),FALSE)</f>
        <v>0</v>
      </c>
      <c r="J73" s="97">
        <f>GPpcntMjr*(VLOOKUP($A73,FY14ProjRev!$A$3:$K$29,11,FALSE))*VLOOKUP($A73,FY14ProjMajors!$A$4:$T$31,MATCH(J$33,FY14ProjMajors!$A$3:$T$3,0),FALSE)</f>
        <v>0</v>
      </c>
      <c r="K73" s="97">
        <f>GPpcntMjr*(VLOOKUP($A73,FY14ProjRev!$A$3:$K$29,11,FALSE))*VLOOKUP($A73,FY14ProjMajors!$A$4:$T$31,MATCH(K$33,FY14ProjMajors!$A$3:$T$3,0),FALSE)</f>
        <v>0</v>
      </c>
      <c r="L73" s="97">
        <f>GPpcntMjr*(VLOOKUP($A73,FY14ProjRev!$A$3:$K$29,11,FALSE))*VLOOKUP($A73,FY14ProjMajors!$A$4:$T$31,MATCH(L$33,FY14ProjMajors!$A$3:$T$3,0),FALSE)</f>
        <v>0</v>
      </c>
      <c r="M73" s="97">
        <f>GPpcntMjr*(VLOOKUP($A73,FY14ProjRev!$A$3:$K$29,11,FALSE))*VLOOKUP($A73,FY14ProjMajors!$A$4:$T$31,MATCH(M$33,FY14ProjMajors!$A$3:$T$3,0),FALSE)</f>
        <v>0</v>
      </c>
      <c r="N73" s="97">
        <f>GPpcntMjr*(VLOOKUP($A73,FY14ProjRev!$A$3:$K$29,11,FALSE))*VLOOKUP($A73,FY14ProjMajors!$A$4:$T$31,MATCH(N$33,FY14ProjMajors!$A$3:$T$3,0),FALSE)</f>
        <v>36504.816270113675</v>
      </c>
      <c r="O73" s="97">
        <f>GPpcntMjr*(VLOOKUP($A73,FY14ProjRev!$A$3:$K$29,11,FALSE))*VLOOKUP($A73,FY14ProjMajors!$A$4:$T$31,MATCH(O$33,FY14ProjMajors!$A$3:$T$3,0),FALSE)</f>
        <v>0</v>
      </c>
      <c r="P73" s="97">
        <f>GPpcntMjr*(VLOOKUP($A73,FY14ProjRev!$A$3:$K$29,11,FALSE))*VLOOKUP($A73,FY14ProjMajors!$A$4:$T$31,MATCH(P$33,FY14ProjMajors!$A$3:$T$3,0),FALSE)</f>
        <v>0</v>
      </c>
      <c r="Q73" s="97">
        <f>GPpcntMjr*(VLOOKUP($A73,FY14ProjRev!$A$3:$K$29,11,FALSE))*VLOOKUP($A73,FY14ProjMajors!$A$4:$T$31,MATCH(Q$33,FY14ProjMajors!$A$3:$T$3,0),FALSE)</f>
        <v>1977344.2146311572</v>
      </c>
      <c r="R73" s="97">
        <f>GPpcntMjr*(VLOOKUP($A73,FY14ProjRev!$A$3:$K$29,11,FALSE))*VLOOKUP($A73,FY14ProjMajors!$A$4:$T$31,MATCH(R$33,FY14ProjMajors!$A$3:$T$3,0),FALSE)</f>
        <v>0</v>
      </c>
      <c r="S73" s="97">
        <f>GPpcntMjr*(VLOOKUP($A73,FY14ProjRev!$A$3:$K$29,11,FALSE))*VLOOKUP($A73,FY14ProjMajors!$A$4:$T$31,MATCH(S$33,FY14ProjMajors!$A$3:$T$3,0),FALSE)</f>
        <v>4056.0906966792968</v>
      </c>
      <c r="T73" s="97">
        <f t="shared" si="31"/>
        <v>2021961.2122946293</v>
      </c>
    </row>
    <row r="74" spans="1:20" ht="15.95" customHeight="1">
      <c r="A74" s="222" t="s">
        <v>137</v>
      </c>
      <c r="B74" s="303" t="s">
        <v>49</v>
      </c>
      <c r="C74" s="97">
        <f>GPpcntMjr*(VLOOKUP($A74,FY14ProjRev!$A$3:$K$29,11,FALSE))*VLOOKUP($A74,FY14ProjMajors!$A$4:$T$31,MATCH(C$33,FY14ProjMajors!$A$3:$T$3,0),FALSE)</f>
        <v>4694.7581413750204</v>
      </c>
      <c r="D74" s="97">
        <f>GPpcntMjr*(VLOOKUP($A74,FY14ProjRev!$A$3:$K$29,11,FALSE))*VLOOKUP($A74,FY14ProjMajors!$A$4:$T$31,MATCH(D$33,FY14ProjMajors!$A$3:$T$3,0),FALSE)</f>
        <v>18779.032565500082</v>
      </c>
      <c r="E74" s="97">
        <f>GPpcntMjr*(VLOOKUP($A74,FY14ProjRev!$A$3:$K$29,11,FALSE))*VLOOKUP($A74,FY14ProjMajors!$A$4:$T$31,MATCH(E$33,FY14ProjMajors!$A$3:$T$3,0),FALSE)</f>
        <v>0</v>
      </c>
      <c r="F74" s="97">
        <f>GPpcntMjr*(VLOOKUP($A74,FY14ProjRev!$A$3:$K$29,11,FALSE))*VLOOKUP($A74,FY14ProjMajors!$A$4:$T$31,MATCH(F$33,FY14ProjMajors!$A$3:$T$3,0),FALSE)</f>
        <v>0</v>
      </c>
      <c r="G74" s="97">
        <f>GPpcntMjr*(VLOOKUP($A74,FY14ProjRev!$A$3:$K$29,11,FALSE))*VLOOKUP($A74,FY14ProjMajors!$A$4:$T$31,MATCH(G$33,FY14ProjMajors!$A$3:$T$3,0),FALSE)</f>
        <v>4694.7581413750204</v>
      </c>
      <c r="H74" s="97">
        <f>GPpcntMjr*(VLOOKUP($A74,FY14ProjRev!$A$3:$K$29,11,FALSE))*VLOOKUP($A74,FY14ProjMajors!$A$4:$T$31,MATCH(H$33,FY14ProjMajors!$A$3:$T$3,0),FALSE)</f>
        <v>0</v>
      </c>
      <c r="I74" s="97">
        <f>GPpcntMjr*(VLOOKUP($A74,FY14ProjRev!$A$3:$K$29,11,FALSE))*VLOOKUP($A74,FY14ProjMajors!$A$4:$T$31,MATCH(I$33,FY14ProjMajors!$A$3:$T$3,0),FALSE)</f>
        <v>0</v>
      </c>
      <c r="J74" s="97">
        <f>GPpcntMjr*(VLOOKUP($A74,FY14ProjRev!$A$3:$K$29,11,FALSE))*VLOOKUP($A74,FY14ProjMajors!$A$4:$T$31,MATCH(J$33,FY14ProjMajors!$A$3:$T$3,0),FALSE)</f>
        <v>0</v>
      </c>
      <c r="K74" s="97">
        <f>GPpcntMjr*(VLOOKUP($A74,FY14ProjRev!$A$3:$K$29,11,FALSE))*VLOOKUP($A74,FY14ProjMajors!$A$4:$T$31,MATCH(K$33,FY14ProjMajors!$A$3:$T$3,0),FALSE)</f>
        <v>9389.5162827500408</v>
      </c>
      <c r="L74" s="97">
        <f>GPpcntMjr*(VLOOKUP($A74,FY14ProjRev!$A$3:$K$29,11,FALSE))*VLOOKUP($A74,FY14ProjMajors!$A$4:$T$31,MATCH(L$33,FY14ProjMajors!$A$3:$T$3,0),FALSE)</f>
        <v>14084.274424125062</v>
      </c>
      <c r="M74" s="97">
        <f>GPpcntMjr*(VLOOKUP($A74,FY14ProjRev!$A$3:$K$29,11,FALSE))*VLOOKUP($A74,FY14ProjMajors!$A$4:$T$31,MATCH(M$33,FY14ProjMajors!$A$3:$T$3,0),FALSE)</f>
        <v>4694.7581413750204</v>
      </c>
      <c r="N74" s="97">
        <f>GPpcntMjr*(VLOOKUP($A74,FY14ProjRev!$A$3:$K$29,11,FALSE))*VLOOKUP($A74,FY14ProjMajors!$A$4:$T$31,MATCH(N$33,FY14ProjMajors!$A$3:$T$3,0),FALSE)</f>
        <v>161186.69618720908</v>
      </c>
      <c r="O74" s="97">
        <f>GPpcntMjr*(VLOOKUP($A74,FY14ProjRev!$A$3:$K$29,11,FALSE))*VLOOKUP($A74,FY14ProjMajors!$A$4:$T$31,MATCH(O$33,FY14ProjMajors!$A$3:$T$3,0),FALSE)</f>
        <v>4694.7581413750204</v>
      </c>
      <c r="P74" s="97">
        <f>GPpcntMjr*(VLOOKUP($A74,FY14ProjRev!$A$3:$K$29,11,FALSE))*VLOOKUP($A74,FY14ProjMajors!$A$4:$T$31,MATCH(P$33,FY14ProjMajors!$A$3:$T$3,0),FALSE)</f>
        <v>0</v>
      </c>
      <c r="Q74" s="97">
        <f>GPpcntMjr*(VLOOKUP($A74,FY14ProjRev!$A$3:$K$29,11,FALSE))*VLOOKUP($A74,FY14ProjMajors!$A$4:$T$31,MATCH(Q$33,FY14ProjMajors!$A$3:$T$3,0),FALSE)</f>
        <v>735512.10881541984</v>
      </c>
      <c r="R74" s="97">
        <f>GPpcntMjr*(VLOOKUP($A74,FY14ProjRev!$A$3:$K$29,11,FALSE))*VLOOKUP($A74,FY14ProjMajors!$A$4:$T$31,MATCH(R$33,FY14ProjMajors!$A$3:$T$3,0),FALSE)</f>
        <v>0</v>
      </c>
      <c r="S74" s="97">
        <f>GPpcntMjr*(VLOOKUP($A74,FY14ProjRev!$A$3:$K$29,11,FALSE))*VLOOKUP($A74,FY14ProjMajors!$A$4:$T$31,MATCH(S$33,FY14ProjMajors!$A$3:$T$3,0),FALSE)</f>
        <v>14084.274424125062</v>
      </c>
      <c r="T74" s="97">
        <f t="shared" si="31"/>
        <v>971814.93526462931</v>
      </c>
    </row>
    <row r="75" spans="1:20" ht="15.95" customHeight="1">
      <c r="A75" s="222" t="s">
        <v>138</v>
      </c>
      <c r="B75" s="303" t="s">
        <v>157</v>
      </c>
      <c r="C75" s="97">
        <f>GPpcntMjr*(VLOOKUP($A75,FY14ProjRev!$A$3:$K$29,11,FALSE))*VLOOKUP($A75,FY14ProjMajors!$A$4:$T$31,MATCH(C$33,FY14ProjMajors!$A$3:$T$3,0),FALSE)</f>
        <v>928686.88747350255</v>
      </c>
      <c r="D75" s="97">
        <f>GPpcntMjr*(VLOOKUP($A75,FY14ProjRev!$A$3:$K$29,11,FALSE))*VLOOKUP($A75,FY14ProjMajors!$A$4:$T$31,MATCH(D$33,FY14ProjMajors!$A$3:$T$3,0),FALSE)</f>
        <v>11579.637000916491</v>
      </c>
      <c r="E75" s="97">
        <f>GPpcntMjr*(VLOOKUP($A75,FY14ProjRev!$A$3:$K$29,11,FALSE))*VLOOKUP($A75,FY14ProjMajors!$A$4:$T$31,MATCH(E$33,FY14ProjMajors!$A$3:$T$3,0),FALSE)</f>
        <v>6947.7822005498956</v>
      </c>
      <c r="F75" s="97">
        <f>GPpcntMjr*(VLOOKUP($A75,FY14ProjRev!$A$3:$K$29,11,FALSE))*VLOOKUP($A75,FY14ProjMajors!$A$4:$T$31,MATCH(F$33,FY14ProjMajors!$A$3:$T$3,0),FALSE)</f>
        <v>0</v>
      </c>
      <c r="G75" s="97">
        <f>GPpcntMjr*(VLOOKUP($A75,FY14ProjRev!$A$3:$K$29,11,FALSE))*VLOOKUP($A75,FY14ProjMajors!$A$4:$T$31,MATCH(G$33,FY14ProjMajors!$A$3:$T$3,0),FALSE)</f>
        <v>11579.637000916493</v>
      </c>
      <c r="H75" s="97">
        <f>GPpcntMjr*(VLOOKUP($A75,FY14ProjRev!$A$3:$K$29,11,FALSE))*VLOOKUP($A75,FY14ProjMajors!$A$4:$T$31,MATCH(H$33,FY14ProjMajors!$A$3:$T$3,0),FALSE)</f>
        <v>11579.637000916491</v>
      </c>
      <c r="I75" s="97">
        <f>GPpcntMjr*(VLOOKUP($A75,FY14ProjRev!$A$3:$K$29,11,FALSE))*VLOOKUP($A75,FY14ProjMajors!$A$4:$T$31,MATCH(I$33,FY14ProjMajors!$A$3:$T$3,0),FALSE)</f>
        <v>0</v>
      </c>
      <c r="J75" s="97">
        <f>GPpcntMjr*(VLOOKUP($A75,FY14ProjRev!$A$3:$K$29,11,FALSE))*VLOOKUP($A75,FY14ProjMajors!$A$4:$T$31,MATCH(J$33,FY14ProjMajors!$A$3:$T$3,0),FALSE)</f>
        <v>0</v>
      </c>
      <c r="K75" s="97">
        <f>GPpcntMjr*(VLOOKUP($A75,FY14ProjRev!$A$3:$K$29,11,FALSE))*VLOOKUP($A75,FY14ProjMajors!$A$4:$T$31,MATCH(K$33,FY14ProjMajors!$A$3:$T$3,0),FALSE)</f>
        <v>34738.911002749475</v>
      </c>
      <c r="L75" s="97">
        <f>GPpcntMjr*(VLOOKUP($A75,FY14ProjRev!$A$3:$K$29,11,FALSE))*VLOOKUP($A75,FY14ProjMajors!$A$4:$T$31,MATCH(L$33,FY14ProjMajors!$A$3:$T$3,0),FALSE)</f>
        <v>0</v>
      </c>
      <c r="M75" s="97">
        <f>GPpcntMjr*(VLOOKUP($A75,FY14ProjRev!$A$3:$K$29,11,FALSE))*VLOOKUP($A75,FY14ProjMajors!$A$4:$T$31,MATCH(M$33,FY14ProjMajors!$A$3:$T$3,0),FALSE)</f>
        <v>0</v>
      </c>
      <c r="N75" s="97">
        <f>GPpcntMjr*(VLOOKUP($A75,FY14ProjRev!$A$3:$K$29,11,FALSE))*VLOOKUP($A75,FY14ProjMajors!$A$4:$T$31,MATCH(N$33,FY14ProjMajors!$A$3:$T$3,0),FALSE)</f>
        <v>2315.9274001832982</v>
      </c>
      <c r="O75" s="97">
        <f>GPpcntMjr*(VLOOKUP($A75,FY14ProjRev!$A$3:$K$29,11,FALSE))*VLOOKUP($A75,FY14ProjMajors!$A$4:$T$31,MATCH(O$33,FY14ProjMajors!$A$3:$T$3,0),FALSE)</f>
        <v>0</v>
      </c>
      <c r="P75" s="97">
        <f>GPpcntMjr*(VLOOKUP($A75,FY14ProjRev!$A$3:$K$29,11,FALSE))*VLOOKUP($A75,FY14ProjMajors!$A$4:$T$31,MATCH(P$33,FY14ProjMajors!$A$3:$T$3,0),FALSE)</f>
        <v>0</v>
      </c>
      <c r="Q75" s="97">
        <f>GPpcntMjr*(VLOOKUP($A75,FY14ProjRev!$A$3:$K$29,11,FALSE))*VLOOKUP($A75,FY14ProjMajors!$A$4:$T$31,MATCH(Q$33,FY14ProjMajors!$A$3:$T$3,0),FALSE)</f>
        <v>2315.9274001832982</v>
      </c>
      <c r="R75" s="97">
        <f>GPpcntMjr*(VLOOKUP($A75,FY14ProjRev!$A$3:$K$29,11,FALSE))*VLOOKUP($A75,FY14ProjMajors!$A$4:$T$31,MATCH(R$33,FY14ProjMajors!$A$3:$T$3,0),FALSE)</f>
        <v>0</v>
      </c>
      <c r="S75" s="97">
        <f>GPpcntMjr*(VLOOKUP($A75,FY14ProjRev!$A$3:$K$29,11,FALSE))*VLOOKUP($A75,FY14ProjMajors!$A$4:$T$31,MATCH(S$33,FY14ProjMajors!$A$3:$T$3,0),FALSE)</f>
        <v>34738.911002749475</v>
      </c>
      <c r="T75" s="97">
        <f t="shared" si="31"/>
        <v>1044483.2574826675</v>
      </c>
    </row>
    <row r="76" spans="1:20" ht="15.95" customHeight="1">
      <c r="A76" s="222" t="s">
        <v>145</v>
      </c>
      <c r="B76" s="303" t="s">
        <v>146</v>
      </c>
      <c r="C76" s="97">
        <f>GPpcntMjr*(VLOOKUP($A76,FY14ProjRev!$A$3:$K$29,11,FALSE))*VLOOKUP($A76,FY14ProjMajors!$A$4:$T$31,MATCH(C$33,FY14ProjMajors!$A$3:$T$3,0),FALSE)</f>
        <v>1517587.8324961986</v>
      </c>
      <c r="D76" s="97">
        <f>GPpcntMjr*(VLOOKUP($A76,FY14ProjRev!$A$3:$K$29,11,FALSE))*VLOOKUP($A76,FY14ProjMajors!$A$4:$T$31,MATCH(D$33,FY14ProjMajors!$A$3:$T$3,0),FALSE)</f>
        <v>0</v>
      </c>
      <c r="E76" s="97">
        <f>GPpcntMjr*(VLOOKUP($A76,FY14ProjRev!$A$3:$K$29,11,FALSE))*VLOOKUP($A76,FY14ProjMajors!$A$4:$T$31,MATCH(E$33,FY14ProjMajors!$A$3:$T$3,0),FALSE)</f>
        <v>0</v>
      </c>
      <c r="F76" s="97">
        <f>GPpcntMjr*(VLOOKUP($A76,FY14ProjRev!$A$3:$K$29,11,FALSE))*VLOOKUP($A76,FY14ProjMajors!$A$4:$T$31,MATCH(F$33,FY14ProjMajors!$A$3:$T$3,0),FALSE)</f>
        <v>0</v>
      </c>
      <c r="G76" s="97">
        <f>GPpcntMjr*(VLOOKUP($A76,FY14ProjRev!$A$3:$K$29,11,FALSE))*VLOOKUP($A76,FY14ProjMajors!$A$4:$T$31,MATCH(G$33,FY14ProjMajors!$A$3:$T$3,0),FALSE)</f>
        <v>0</v>
      </c>
      <c r="H76" s="97">
        <f>GPpcntMjr*(VLOOKUP($A76,FY14ProjRev!$A$3:$K$29,11,FALSE))*VLOOKUP($A76,FY14ProjMajors!$A$4:$T$31,MATCH(H$33,FY14ProjMajors!$A$3:$T$3,0),FALSE)</f>
        <v>0</v>
      </c>
      <c r="I76" s="97">
        <f>GPpcntMjr*(VLOOKUP($A76,FY14ProjRev!$A$3:$K$29,11,FALSE))*VLOOKUP($A76,FY14ProjMajors!$A$4:$T$31,MATCH(I$33,FY14ProjMajors!$A$3:$T$3,0),FALSE)</f>
        <v>0</v>
      </c>
      <c r="J76" s="97">
        <f>GPpcntMjr*(VLOOKUP($A76,FY14ProjRev!$A$3:$K$29,11,FALSE))*VLOOKUP($A76,FY14ProjMajors!$A$4:$T$31,MATCH(J$33,FY14ProjMajors!$A$3:$T$3,0),FALSE)</f>
        <v>0</v>
      </c>
      <c r="K76" s="97">
        <f>GPpcntMjr*(VLOOKUP($A76,FY14ProjRev!$A$3:$K$29,11,FALSE))*VLOOKUP($A76,FY14ProjMajors!$A$4:$T$31,MATCH(K$33,FY14ProjMajors!$A$3:$T$3,0),FALSE)</f>
        <v>0</v>
      </c>
      <c r="L76" s="97">
        <f>GPpcntMjr*(VLOOKUP($A76,FY14ProjRev!$A$3:$K$29,11,FALSE))*VLOOKUP($A76,FY14ProjMajors!$A$4:$T$31,MATCH(L$33,FY14ProjMajors!$A$3:$T$3,0),FALSE)</f>
        <v>0</v>
      </c>
      <c r="M76" s="97">
        <f>GPpcntMjr*(VLOOKUP($A76,FY14ProjRev!$A$3:$K$29,11,FALSE))*VLOOKUP($A76,FY14ProjMajors!$A$4:$T$31,MATCH(M$33,FY14ProjMajors!$A$3:$T$3,0),FALSE)</f>
        <v>0</v>
      </c>
      <c r="N76" s="97">
        <f>GPpcntMjr*(VLOOKUP($A76,FY14ProjRev!$A$3:$K$29,11,FALSE))*VLOOKUP($A76,FY14ProjMajors!$A$4:$T$31,MATCH(N$33,FY14ProjMajors!$A$3:$T$3,0),FALSE)</f>
        <v>0</v>
      </c>
      <c r="O76" s="97">
        <f>GPpcntMjr*(VLOOKUP($A76,FY14ProjRev!$A$3:$K$29,11,FALSE))*VLOOKUP($A76,FY14ProjMajors!$A$4:$T$31,MATCH(O$33,FY14ProjMajors!$A$3:$T$3,0),FALSE)</f>
        <v>0</v>
      </c>
      <c r="P76" s="97">
        <f>GPpcntMjr*(VLOOKUP($A76,FY14ProjRev!$A$3:$K$29,11,FALSE))*VLOOKUP($A76,FY14ProjMajors!$A$4:$T$31,MATCH(P$33,FY14ProjMajors!$A$3:$T$3,0),FALSE)</f>
        <v>0</v>
      </c>
      <c r="Q76" s="97">
        <f>GPpcntMjr*(VLOOKUP($A76,FY14ProjRev!$A$3:$K$29,11,FALSE))*VLOOKUP($A76,FY14ProjMajors!$A$4:$T$31,MATCH(Q$33,FY14ProjMajors!$A$3:$T$3,0),FALSE)</f>
        <v>0</v>
      </c>
      <c r="R76" s="97">
        <f>GPpcntMjr*(VLOOKUP($A76,FY14ProjRev!$A$3:$K$29,11,FALSE))*VLOOKUP($A76,FY14ProjMajors!$A$4:$T$31,MATCH(R$33,FY14ProjMajors!$A$3:$T$3,0),FALSE)</f>
        <v>0</v>
      </c>
      <c r="S76" s="97">
        <f>GPpcntMjr*(VLOOKUP($A76,FY14ProjRev!$A$3:$K$29,11,FALSE))*VLOOKUP($A76,FY14ProjMajors!$A$4:$T$31,MATCH(S$33,FY14ProjMajors!$A$3:$T$3,0),FALSE)</f>
        <v>62173.058314555623</v>
      </c>
      <c r="T76" s="97">
        <f t="shared" si="31"/>
        <v>1579760.8908107542</v>
      </c>
    </row>
    <row r="77" spans="1:20" ht="15.95" customHeight="1">
      <c r="A77" s="222" t="s">
        <v>147</v>
      </c>
      <c r="B77" s="303" t="s">
        <v>165</v>
      </c>
      <c r="C77" s="97">
        <f>GPpcntMjr*(VLOOKUP($A77,FY14ProjRev!$A$3:$K$29,11,FALSE))*VLOOKUP($A77,FY14ProjMajors!$A$4:$T$31,MATCH(C$33,FY14ProjMajors!$A$3:$T$3,0),FALSE)</f>
        <v>0</v>
      </c>
      <c r="D77" s="97">
        <f>GPpcntMjr*(VLOOKUP($A77,FY14ProjRev!$A$3:$K$29,11,FALSE))*VLOOKUP($A77,FY14ProjMajors!$A$4:$T$31,MATCH(D$33,FY14ProjMajors!$A$3:$T$3,0),FALSE)</f>
        <v>0</v>
      </c>
      <c r="E77" s="97">
        <f>GPpcntMjr*(VLOOKUP($A77,FY14ProjRev!$A$3:$K$29,11,FALSE))*VLOOKUP($A77,FY14ProjMajors!$A$4:$T$31,MATCH(E$33,FY14ProjMajors!$A$3:$T$3,0),FALSE)</f>
        <v>0</v>
      </c>
      <c r="F77" s="97">
        <f>GPpcntMjr*(VLOOKUP($A77,FY14ProjRev!$A$3:$K$29,11,FALSE))*VLOOKUP($A77,FY14ProjMajors!$A$4:$T$31,MATCH(F$33,FY14ProjMajors!$A$3:$T$3,0),FALSE)</f>
        <v>0</v>
      </c>
      <c r="G77" s="97">
        <f>GPpcntMjr*(VLOOKUP($A77,FY14ProjRev!$A$3:$K$29,11,FALSE))*VLOOKUP($A77,FY14ProjMajors!$A$4:$T$31,MATCH(G$33,FY14ProjMajors!$A$3:$T$3,0),FALSE)</f>
        <v>98198.60117759998</v>
      </c>
      <c r="H77" s="97">
        <f>GPpcntMjr*(VLOOKUP($A77,FY14ProjRev!$A$3:$K$29,11,FALSE))*VLOOKUP($A77,FY14ProjMajors!$A$4:$T$31,MATCH(H$33,FY14ProjMajors!$A$3:$T$3,0),FALSE)</f>
        <v>0</v>
      </c>
      <c r="I77" s="97">
        <f>GPpcntMjr*(VLOOKUP($A77,FY14ProjRev!$A$3:$K$29,11,FALSE))*VLOOKUP($A77,FY14ProjMajors!$A$4:$T$31,MATCH(I$33,FY14ProjMajors!$A$3:$T$3,0),FALSE)</f>
        <v>0</v>
      </c>
      <c r="J77" s="97">
        <f>GPpcntMjr*(VLOOKUP($A77,FY14ProjRev!$A$3:$K$29,11,FALSE))*VLOOKUP($A77,FY14ProjMajors!$A$4:$T$31,MATCH(J$33,FY14ProjMajors!$A$3:$T$3,0),FALSE)</f>
        <v>0</v>
      </c>
      <c r="K77" s="97">
        <f>GPpcntMjr*(VLOOKUP($A77,FY14ProjRev!$A$3:$K$29,11,FALSE))*VLOOKUP($A77,FY14ProjMajors!$A$4:$T$31,MATCH(K$33,FY14ProjMajors!$A$3:$T$3,0),FALSE)</f>
        <v>0</v>
      </c>
      <c r="L77" s="97">
        <f>GPpcntMjr*(VLOOKUP($A77,FY14ProjRev!$A$3:$K$29,11,FALSE))*VLOOKUP($A77,FY14ProjMajors!$A$4:$T$31,MATCH(L$33,FY14ProjMajors!$A$3:$T$3,0),FALSE)</f>
        <v>0</v>
      </c>
      <c r="M77" s="97">
        <f>GPpcntMjr*(VLOOKUP($A77,FY14ProjRev!$A$3:$K$29,11,FALSE))*VLOOKUP($A77,FY14ProjMajors!$A$4:$T$31,MATCH(M$33,FY14ProjMajors!$A$3:$T$3,0),FALSE)</f>
        <v>0</v>
      </c>
      <c r="N77" s="97">
        <f>GPpcntMjr*(VLOOKUP($A77,FY14ProjRev!$A$3:$K$29,11,FALSE))*VLOOKUP($A77,FY14ProjMajors!$A$4:$T$31,MATCH(N$33,FY14ProjMajors!$A$3:$T$3,0),FALSE)</f>
        <v>0</v>
      </c>
      <c r="O77" s="97">
        <f>GPpcntMjr*(VLOOKUP($A77,FY14ProjRev!$A$3:$K$29,11,FALSE))*VLOOKUP($A77,FY14ProjMajors!$A$4:$T$31,MATCH(O$33,FY14ProjMajors!$A$3:$T$3,0),FALSE)</f>
        <v>0</v>
      </c>
      <c r="P77" s="97">
        <f>GPpcntMjr*(VLOOKUP($A77,FY14ProjRev!$A$3:$K$29,11,FALSE))*VLOOKUP($A77,FY14ProjMajors!$A$4:$T$31,MATCH(P$33,FY14ProjMajors!$A$3:$T$3,0),FALSE)</f>
        <v>0</v>
      </c>
      <c r="Q77" s="97">
        <f>GPpcntMjr*(VLOOKUP($A77,FY14ProjRev!$A$3:$K$29,11,FALSE))*VLOOKUP($A77,FY14ProjMajors!$A$4:$T$31,MATCH(Q$33,FY14ProjMajors!$A$3:$T$3,0),FALSE)</f>
        <v>0</v>
      </c>
      <c r="R77" s="97">
        <f>GPpcntMjr*(VLOOKUP($A77,FY14ProjRev!$A$3:$K$29,11,FALSE))*VLOOKUP($A77,FY14ProjMajors!$A$4:$T$31,MATCH(R$33,FY14ProjMajors!$A$3:$T$3,0),FALSE)</f>
        <v>0</v>
      </c>
      <c r="S77" s="97">
        <f>GPpcntMjr*(VLOOKUP($A77,FY14ProjRev!$A$3:$K$29,11,FALSE))*VLOOKUP($A77,FY14ProjMajors!$A$4:$T$31,MATCH(S$33,FY14ProjMajors!$A$3:$T$3,0),FALSE)</f>
        <v>0</v>
      </c>
      <c r="T77" s="97">
        <f t="shared" si="31"/>
        <v>98198.60117759998</v>
      </c>
    </row>
    <row r="78" spans="1:20" ht="15.95" customHeight="1">
      <c r="A78" s="222" t="s">
        <v>174</v>
      </c>
      <c r="B78" s="303" t="s">
        <v>172</v>
      </c>
      <c r="C78" s="97">
        <f>GPpcntMjr*(VLOOKUP($A78,FY14ProjRev!$A$3:$K$29,11,FALSE))*VLOOKUP($A78,FY14ProjMajors!$A$4:$T$31,MATCH(C$33,FY14ProjMajors!$A$3:$T$3,0),FALSE)</f>
        <v>0</v>
      </c>
      <c r="D78" s="97">
        <f>GPpcntMjr*(VLOOKUP($A78,FY14ProjRev!$A$3:$K$29,11,FALSE))*VLOOKUP($A78,FY14ProjMajors!$A$4:$T$31,MATCH(D$33,FY14ProjMajors!$A$3:$T$3,0),FALSE)</f>
        <v>0</v>
      </c>
      <c r="E78" s="97">
        <f>GPpcntMjr*(VLOOKUP($A78,FY14ProjRev!$A$3:$K$29,11,FALSE))*VLOOKUP($A78,FY14ProjMajors!$A$4:$T$31,MATCH(E$33,FY14ProjMajors!$A$3:$T$3,0),FALSE)</f>
        <v>0</v>
      </c>
      <c r="F78" s="97">
        <f>GPpcntMjr*(VLOOKUP($A78,FY14ProjRev!$A$3:$K$29,11,FALSE))*VLOOKUP($A78,FY14ProjMajors!$A$4:$T$31,MATCH(F$33,FY14ProjMajors!$A$3:$T$3,0),FALSE)</f>
        <v>0</v>
      </c>
      <c r="G78" s="97">
        <f>GPpcntMjr*(VLOOKUP($A78,FY14ProjRev!$A$3:$K$29,11,FALSE))*VLOOKUP($A78,FY14ProjMajors!$A$4:$T$31,MATCH(G$33,FY14ProjMajors!$A$3:$T$3,0),FALSE)</f>
        <v>69113.721600000004</v>
      </c>
      <c r="H78" s="97">
        <f>GPpcntMjr*(VLOOKUP($A78,FY14ProjRev!$A$3:$K$29,11,FALSE))*VLOOKUP($A78,FY14ProjMajors!$A$4:$T$31,MATCH(H$33,FY14ProjMajors!$A$3:$T$3,0),FALSE)</f>
        <v>0</v>
      </c>
      <c r="I78" s="97">
        <f>GPpcntMjr*(VLOOKUP($A78,FY14ProjRev!$A$3:$K$29,11,FALSE))*VLOOKUP($A78,FY14ProjMajors!$A$4:$T$31,MATCH(I$33,FY14ProjMajors!$A$3:$T$3,0),FALSE)</f>
        <v>0</v>
      </c>
      <c r="J78" s="97">
        <f>GPpcntMjr*(VLOOKUP($A78,FY14ProjRev!$A$3:$K$29,11,FALSE))*VLOOKUP($A78,FY14ProjMajors!$A$4:$T$31,MATCH(J$33,FY14ProjMajors!$A$3:$T$3,0),FALSE)</f>
        <v>0</v>
      </c>
      <c r="K78" s="97">
        <f>GPpcntMjr*(VLOOKUP($A78,FY14ProjRev!$A$3:$K$29,11,FALSE))*VLOOKUP($A78,FY14ProjMajors!$A$4:$T$31,MATCH(K$33,FY14ProjMajors!$A$3:$T$3,0),FALSE)</f>
        <v>0</v>
      </c>
      <c r="L78" s="97">
        <f>GPpcntMjr*(VLOOKUP($A78,FY14ProjRev!$A$3:$K$29,11,FALSE))*VLOOKUP($A78,FY14ProjMajors!$A$4:$T$31,MATCH(L$33,FY14ProjMajors!$A$3:$T$3,0),FALSE)</f>
        <v>0</v>
      </c>
      <c r="M78" s="97">
        <f>GPpcntMjr*(VLOOKUP($A78,FY14ProjRev!$A$3:$K$29,11,FALSE))*VLOOKUP($A78,FY14ProjMajors!$A$4:$T$31,MATCH(M$33,FY14ProjMajors!$A$3:$T$3,0),FALSE)</f>
        <v>0</v>
      </c>
      <c r="N78" s="97">
        <f>GPpcntMjr*(VLOOKUP($A78,FY14ProjRev!$A$3:$K$29,11,FALSE))*VLOOKUP($A78,FY14ProjMajors!$A$4:$T$31,MATCH(N$33,FY14ProjMajors!$A$3:$T$3,0),FALSE)</f>
        <v>0</v>
      </c>
      <c r="O78" s="97">
        <f>GPpcntMjr*(VLOOKUP($A78,FY14ProjRev!$A$3:$K$29,11,FALSE))*VLOOKUP($A78,FY14ProjMajors!$A$4:$T$31,MATCH(O$33,FY14ProjMajors!$A$3:$T$3,0),FALSE)</f>
        <v>0</v>
      </c>
      <c r="P78" s="97">
        <f>GPpcntMjr*(VLOOKUP($A78,FY14ProjRev!$A$3:$K$29,11,FALSE))*VLOOKUP($A78,FY14ProjMajors!$A$4:$T$31,MATCH(P$33,FY14ProjMajors!$A$3:$T$3,0),FALSE)</f>
        <v>0</v>
      </c>
      <c r="Q78" s="97">
        <f>GPpcntMjr*(VLOOKUP($A78,FY14ProjRev!$A$3:$K$29,11,FALSE))*VLOOKUP($A78,FY14ProjMajors!$A$4:$T$31,MATCH(Q$33,FY14ProjMajors!$A$3:$T$3,0),FALSE)</f>
        <v>0</v>
      </c>
      <c r="R78" s="97">
        <f>GPpcntMjr*(VLOOKUP($A78,FY14ProjRev!$A$3:$K$29,11,FALSE))*VLOOKUP($A78,FY14ProjMajors!$A$4:$T$31,MATCH(R$33,FY14ProjMajors!$A$3:$T$3,0),FALSE)</f>
        <v>0</v>
      </c>
      <c r="S78" s="97">
        <f>GPpcntMjr*(VLOOKUP($A78,FY14ProjRev!$A$3:$K$29,11,FALSE))*VLOOKUP($A78,FY14ProjMajors!$A$4:$T$31,MATCH(S$33,FY14ProjMajors!$A$3:$T$3,0),FALSE)</f>
        <v>0</v>
      </c>
      <c r="T78" s="97">
        <f t="shared" si="31"/>
        <v>69113.721600000004</v>
      </c>
    </row>
    <row r="79" spans="1:20" ht="15.95" customHeight="1">
      <c r="A79" s="222" t="s">
        <v>158</v>
      </c>
      <c r="B79" s="303" t="s">
        <v>166</v>
      </c>
      <c r="C79" s="97">
        <f>GPpcntMjr*(VLOOKUP($A79,FY14ProjRev!$A$3:$K$29,11,FALSE))*VLOOKUP($A79,FY14ProjMajors!$A$4:$T$31,MATCH(C$33,FY14ProjMajors!$A$3:$T$3,0),FALSE)</f>
        <v>0</v>
      </c>
      <c r="D79" s="97">
        <f>GPpcntMjr*(VLOOKUP($A79,FY14ProjRev!$A$3:$K$29,11,FALSE))*VLOOKUP($A79,FY14ProjMajors!$A$4:$T$31,MATCH(D$33,FY14ProjMajors!$A$3:$T$3,0),FALSE)</f>
        <v>0</v>
      </c>
      <c r="E79" s="97">
        <f>GPpcntMjr*(VLOOKUP($A79,FY14ProjRev!$A$3:$K$29,11,FALSE))*VLOOKUP($A79,FY14ProjMajors!$A$4:$T$31,MATCH(E$33,FY14ProjMajors!$A$3:$T$3,0),FALSE)</f>
        <v>0</v>
      </c>
      <c r="F79" s="97">
        <f>GPpcntMjr*(VLOOKUP($A79,FY14ProjRev!$A$3:$K$29,11,FALSE))*VLOOKUP($A79,FY14ProjMajors!$A$4:$T$31,MATCH(F$33,FY14ProjMajors!$A$3:$T$3,0),FALSE)</f>
        <v>0</v>
      </c>
      <c r="G79" s="97">
        <f>GPpcntMjr*(VLOOKUP($A79,FY14ProjRev!$A$3:$K$29,11,FALSE))*VLOOKUP($A79,FY14ProjMajors!$A$4:$T$31,MATCH(G$33,FY14ProjMajors!$A$3:$T$3,0),FALSE)</f>
        <v>108646.16273279999</v>
      </c>
      <c r="H79" s="97">
        <f>GPpcntMjr*(VLOOKUP($A79,FY14ProjRev!$A$3:$K$29,11,FALSE))*VLOOKUP($A79,FY14ProjMajors!$A$4:$T$31,MATCH(H$33,FY14ProjMajors!$A$3:$T$3,0),FALSE)</f>
        <v>0</v>
      </c>
      <c r="I79" s="97">
        <f>GPpcntMjr*(VLOOKUP($A79,FY14ProjRev!$A$3:$K$29,11,FALSE))*VLOOKUP($A79,FY14ProjMajors!$A$4:$T$31,MATCH(I$33,FY14ProjMajors!$A$3:$T$3,0),FALSE)</f>
        <v>0</v>
      </c>
      <c r="J79" s="97">
        <f>GPpcntMjr*(VLOOKUP($A79,FY14ProjRev!$A$3:$K$29,11,FALSE))*VLOOKUP($A79,FY14ProjMajors!$A$4:$T$31,MATCH(J$33,FY14ProjMajors!$A$3:$T$3,0),FALSE)</f>
        <v>0</v>
      </c>
      <c r="K79" s="97">
        <f>GPpcntMjr*(VLOOKUP($A79,FY14ProjRev!$A$3:$K$29,11,FALSE))*VLOOKUP($A79,FY14ProjMajors!$A$4:$T$31,MATCH(K$33,FY14ProjMajors!$A$3:$T$3,0),FALSE)</f>
        <v>0</v>
      </c>
      <c r="L79" s="97">
        <f>GPpcntMjr*(VLOOKUP($A79,FY14ProjRev!$A$3:$K$29,11,FALSE))*VLOOKUP($A79,FY14ProjMajors!$A$4:$T$31,MATCH(L$33,FY14ProjMajors!$A$3:$T$3,0),FALSE)</f>
        <v>0</v>
      </c>
      <c r="M79" s="97">
        <f>GPpcntMjr*(VLOOKUP($A79,FY14ProjRev!$A$3:$K$29,11,FALSE))*VLOOKUP($A79,FY14ProjMajors!$A$4:$T$31,MATCH(M$33,FY14ProjMajors!$A$3:$T$3,0),FALSE)</f>
        <v>0</v>
      </c>
      <c r="N79" s="97">
        <f>GPpcntMjr*(VLOOKUP($A79,FY14ProjRev!$A$3:$K$29,11,FALSE))*VLOOKUP($A79,FY14ProjMajors!$A$4:$T$31,MATCH(N$33,FY14ProjMajors!$A$3:$T$3,0),FALSE)</f>
        <v>0</v>
      </c>
      <c r="O79" s="97">
        <f>GPpcntMjr*(VLOOKUP($A79,FY14ProjRev!$A$3:$K$29,11,FALSE))*VLOOKUP($A79,FY14ProjMajors!$A$4:$T$31,MATCH(O$33,FY14ProjMajors!$A$3:$T$3,0),FALSE)</f>
        <v>0</v>
      </c>
      <c r="P79" s="97">
        <f>GPpcntMjr*(VLOOKUP($A79,FY14ProjRev!$A$3:$K$29,11,FALSE))*VLOOKUP($A79,FY14ProjMajors!$A$4:$T$31,MATCH(P$33,FY14ProjMajors!$A$3:$T$3,0),FALSE)</f>
        <v>0</v>
      </c>
      <c r="Q79" s="97">
        <f>GPpcntMjr*(VLOOKUP($A79,FY14ProjRev!$A$3:$K$29,11,FALSE))*VLOOKUP($A79,FY14ProjMajors!$A$4:$T$31,MATCH(Q$33,FY14ProjMajors!$A$3:$T$3,0),FALSE)</f>
        <v>0</v>
      </c>
      <c r="R79" s="97">
        <f>GPpcntMjr*(VLOOKUP($A79,FY14ProjRev!$A$3:$K$29,11,FALSE))*VLOOKUP($A79,FY14ProjMajors!$A$4:$T$31,MATCH(R$33,FY14ProjMajors!$A$3:$T$3,0),FALSE)</f>
        <v>0</v>
      </c>
      <c r="S79" s="97">
        <f>GPpcntMjr*(VLOOKUP($A79,FY14ProjRev!$A$3:$K$29,11,FALSE))*VLOOKUP($A79,FY14ProjMajors!$A$4:$T$31,MATCH(S$33,FY14ProjMajors!$A$3:$T$3,0),FALSE)</f>
        <v>0</v>
      </c>
      <c r="T79" s="97">
        <f t="shared" si="31"/>
        <v>108646.16273279999</v>
      </c>
    </row>
    <row r="80" spans="1:20" ht="15.95" customHeight="1">
      <c r="A80" s="277" t="s">
        <v>148</v>
      </c>
      <c r="B80" s="303" t="s">
        <v>39</v>
      </c>
      <c r="C80" s="97">
        <f>GPpcntMjr*(VLOOKUP($A80,FY14ProjRev!$A$3:$K$29,11,FALSE))*VLOOKUP($A80,FY14ProjMajors!$A$4:$T$31,MATCH(C$33,FY14ProjMajors!$A$3:$T$3,0),FALSE)</f>
        <v>54625.288234542691</v>
      </c>
      <c r="D80" s="97">
        <f>GPpcntMjr*(VLOOKUP($A80,FY14ProjRev!$A$3:$K$29,11,FALSE))*VLOOKUP($A80,FY14ProjMajors!$A$4:$T$31,MATCH(D$33,FY14ProjMajors!$A$3:$T$3,0),FALSE)</f>
        <v>312144.50419738679</v>
      </c>
      <c r="E80" s="97">
        <f>GPpcntMjr*(VLOOKUP($A80,FY14ProjRev!$A$3:$K$29,11,FALSE))*VLOOKUP($A80,FY14ProjMajors!$A$4:$T$31,MATCH(E$33,FY14ProjMajors!$A$3:$T$3,0),FALSE)</f>
        <v>0</v>
      </c>
      <c r="F80" s="97">
        <f>GPpcntMjr*(VLOOKUP($A80,FY14ProjRev!$A$3:$K$29,11,FALSE))*VLOOKUP($A80,FY14ProjMajors!$A$4:$T$31,MATCH(F$33,FY14ProjMajors!$A$3:$T$3,0),FALSE)</f>
        <v>2601.2042016448904</v>
      </c>
      <c r="G80" s="97">
        <f>GPpcntMjr*(VLOOKUP($A80,FY14ProjRev!$A$3:$K$29,11,FALSE))*VLOOKUP($A80,FY14ProjMajors!$A$4:$T$31,MATCH(G$33,FY14ProjMajors!$A$3:$T$3,0),FALSE)</f>
        <v>0</v>
      </c>
      <c r="H80" s="97">
        <f>GPpcntMjr*(VLOOKUP($A80,FY14ProjRev!$A$3:$K$29,11,FALSE))*VLOOKUP($A80,FY14ProjMajors!$A$4:$T$31,MATCH(H$33,FY14ProjMajors!$A$3:$T$3,0),FALSE)</f>
        <v>145667.43529211383</v>
      </c>
      <c r="I80" s="97">
        <f>GPpcntMjr*(VLOOKUP($A80,FY14ProjRev!$A$3:$K$29,11,FALSE))*VLOOKUP($A80,FY14ProjMajors!$A$4:$T$31,MATCH(I$33,FY14ProjMajors!$A$3:$T$3,0),FALSE)</f>
        <v>23410.837814804014</v>
      </c>
      <c r="J80" s="97">
        <f>GPpcntMjr*(VLOOKUP($A80,FY14ProjRev!$A$3:$K$29,11,FALSE))*VLOOKUP($A80,FY14ProjMajors!$A$4:$T$31,MATCH(J$33,FY14ProjMajors!$A$3:$T$3,0),FALSE)</f>
        <v>0</v>
      </c>
      <c r="K80" s="97">
        <f>GPpcntMjr*(VLOOKUP($A80,FY14ProjRev!$A$3:$K$29,11,FALSE))*VLOOKUP($A80,FY14ProjMajors!$A$4:$T$31,MATCH(K$33,FY14ProjMajors!$A$3:$T$3,0),FALSE)</f>
        <v>2863925.8260110239</v>
      </c>
      <c r="L80" s="97">
        <f>GPpcntMjr*(VLOOKUP($A80,FY14ProjRev!$A$3:$K$29,11,FALSE))*VLOOKUP($A80,FY14ProjMajors!$A$4:$T$31,MATCH(L$33,FY14ProjMajors!$A$3:$T$3,0),FALSE)</f>
        <v>7803.6126049346703</v>
      </c>
      <c r="M80" s="97">
        <f>GPpcntMjr*(VLOOKUP($A80,FY14ProjRev!$A$3:$K$29,11,FALSE))*VLOOKUP($A80,FY14ProjMajors!$A$4:$T$31,MATCH(M$33,FY14ProjMajors!$A$3:$T$3,0),FALSE)</f>
        <v>0</v>
      </c>
      <c r="N80" s="97">
        <f>GPpcntMjr*(VLOOKUP($A80,FY14ProjRev!$A$3:$K$29,11,FALSE))*VLOOKUP($A80,FY14ProjMajors!$A$4:$T$31,MATCH(N$33,FY14ProjMajors!$A$3:$T$3,0),FALSE)</f>
        <v>2601.2042016448904</v>
      </c>
      <c r="O80" s="97">
        <f>GPpcntMjr*(VLOOKUP($A80,FY14ProjRev!$A$3:$K$29,11,FALSE))*VLOOKUP($A80,FY14ProjMajors!$A$4:$T$31,MATCH(O$33,FY14ProjMajors!$A$3:$T$3,0),FALSE)</f>
        <v>0</v>
      </c>
      <c r="P80" s="97">
        <f>GPpcntMjr*(VLOOKUP($A80,FY14ProjRev!$A$3:$K$29,11,FALSE))*VLOOKUP($A80,FY14ProjMajors!$A$4:$T$31,MATCH(P$33,FY14ProjMajors!$A$3:$T$3,0),FALSE)</f>
        <v>0</v>
      </c>
      <c r="Q80" s="97">
        <f>GPpcntMjr*(VLOOKUP($A80,FY14ProjRev!$A$3:$K$29,11,FALSE))*VLOOKUP($A80,FY14ProjMajors!$A$4:$T$31,MATCH(Q$33,FY14ProjMajors!$A$3:$T$3,0),FALSE)</f>
        <v>52024.084032897801</v>
      </c>
      <c r="R80" s="97">
        <f>GPpcntMjr*(VLOOKUP($A80,FY14ProjRev!$A$3:$K$29,11,FALSE))*VLOOKUP($A80,FY14ProjMajors!$A$4:$T$31,MATCH(R$33,FY14ProjMajors!$A$3:$T$3,0),FALSE)</f>
        <v>0</v>
      </c>
      <c r="S80" s="97">
        <f>GPpcntMjr*(VLOOKUP($A80,FY14ProjRev!$A$3:$K$29,11,FALSE))*VLOOKUP($A80,FY14ProjMajors!$A$4:$T$31,MATCH(S$33,FY14ProjMajors!$A$3:$T$3,0),FALSE)</f>
        <v>0</v>
      </c>
      <c r="T80" s="97">
        <f t="shared" si="31"/>
        <v>3464803.9965909934</v>
      </c>
    </row>
    <row r="81" spans="1:20" ht="15.95" customHeight="1">
      <c r="A81" s="266" t="s">
        <v>175</v>
      </c>
      <c r="B81" s="303" t="s">
        <v>168</v>
      </c>
      <c r="C81" s="97">
        <f>GPpcntMjr*(VLOOKUP($A81,FY14ProjRev!$A$3:$K$29,11,FALSE))*VLOOKUP($A81,FY14ProjMajors!$A$4:$T$31,MATCH(C$33,FY14ProjMajors!$A$3:$T$3,0),FALSE)</f>
        <v>0</v>
      </c>
      <c r="D81" s="97">
        <f>GPpcntMjr*(VLOOKUP($A81,FY14ProjRev!$A$3:$K$29,11,FALSE))*VLOOKUP($A81,FY14ProjMajors!$A$4:$T$31,MATCH(D$33,FY14ProjMajors!$A$3:$T$3,0),FALSE)</f>
        <v>0</v>
      </c>
      <c r="E81" s="97">
        <f>GPpcntMjr*(VLOOKUP($A81,FY14ProjRev!$A$3:$K$29,11,FALSE))*VLOOKUP($A81,FY14ProjMajors!$A$4:$T$31,MATCH(E$33,FY14ProjMajors!$A$3:$T$3,0),FALSE)</f>
        <v>0</v>
      </c>
      <c r="F81" s="97">
        <f>GPpcntMjr*(VLOOKUP($A81,FY14ProjRev!$A$3:$K$29,11,FALSE))*VLOOKUP($A81,FY14ProjMajors!$A$4:$T$31,MATCH(F$33,FY14ProjMajors!$A$3:$T$3,0),FALSE)</f>
        <v>0</v>
      </c>
      <c r="G81" s="97">
        <f>GPpcntMjr*(VLOOKUP($A81,FY14ProjRev!$A$3:$K$29,11,FALSE))*VLOOKUP($A81,FY14ProjMajors!$A$4:$T$31,MATCH(G$33,FY14ProjMajors!$A$3:$T$3,0),FALSE)</f>
        <v>0</v>
      </c>
      <c r="H81" s="97">
        <f>GPpcntMjr*(VLOOKUP($A81,FY14ProjRev!$A$3:$K$29,11,FALSE))*VLOOKUP($A81,FY14ProjMajors!$A$4:$T$31,MATCH(H$33,FY14ProjMajors!$A$3:$T$3,0),FALSE)</f>
        <v>0</v>
      </c>
      <c r="I81" s="97">
        <f>GPpcntMjr*(VLOOKUP($A81,FY14ProjRev!$A$3:$K$29,11,FALSE))*VLOOKUP($A81,FY14ProjMajors!$A$4:$T$31,MATCH(I$33,FY14ProjMajors!$A$3:$T$3,0),FALSE)</f>
        <v>0</v>
      </c>
      <c r="J81" s="97">
        <f>GPpcntMjr*(VLOOKUP($A81,FY14ProjRev!$A$3:$K$29,11,FALSE))*VLOOKUP($A81,FY14ProjMajors!$A$4:$T$31,MATCH(J$33,FY14ProjMajors!$A$3:$T$3,0),FALSE)</f>
        <v>0</v>
      </c>
      <c r="K81" s="97">
        <f>GPpcntMjr*(VLOOKUP($A81,FY14ProjRev!$A$3:$K$29,11,FALSE))*VLOOKUP($A81,FY14ProjMajors!$A$4:$T$31,MATCH(K$33,FY14ProjMajors!$A$3:$T$3,0),FALSE)</f>
        <v>88357.5</v>
      </c>
      <c r="L81" s="97">
        <f>GPpcntMjr*(VLOOKUP($A81,FY14ProjRev!$A$3:$K$29,11,FALSE))*VLOOKUP($A81,FY14ProjMajors!$A$4:$T$31,MATCH(L$33,FY14ProjMajors!$A$3:$T$3,0),FALSE)</f>
        <v>0</v>
      </c>
      <c r="M81" s="97">
        <f>GPpcntMjr*(VLOOKUP($A81,FY14ProjRev!$A$3:$K$29,11,FALSE))*VLOOKUP($A81,FY14ProjMajors!$A$4:$T$31,MATCH(M$33,FY14ProjMajors!$A$3:$T$3,0),FALSE)</f>
        <v>0</v>
      </c>
      <c r="N81" s="97">
        <f>GPpcntMjr*(VLOOKUP($A81,FY14ProjRev!$A$3:$K$29,11,FALSE))*VLOOKUP($A81,FY14ProjMajors!$A$4:$T$31,MATCH(N$33,FY14ProjMajors!$A$3:$T$3,0),FALSE)</f>
        <v>0</v>
      </c>
      <c r="O81" s="97">
        <f>GPpcntMjr*(VLOOKUP($A81,FY14ProjRev!$A$3:$K$29,11,FALSE))*VLOOKUP($A81,FY14ProjMajors!$A$4:$T$31,MATCH(O$33,FY14ProjMajors!$A$3:$T$3,0),FALSE)</f>
        <v>0</v>
      </c>
      <c r="P81" s="97">
        <f>GPpcntMjr*(VLOOKUP($A81,FY14ProjRev!$A$3:$K$29,11,FALSE))*VLOOKUP($A81,FY14ProjMajors!$A$4:$T$31,MATCH(P$33,FY14ProjMajors!$A$3:$T$3,0),FALSE)</f>
        <v>0</v>
      </c>
      <c r="Q81" s="97">
        <f>GPpcntMjr*(VLOOKUP($A81,FY14ProjRev!$A$3:$K$29,11,FALSE))*VLOOKUP($A81,FY14ProjMajors!$A$4:$T$31,MATCH(Q$33,FY14ProjMajors!$A$3:$T$3,0),FALSE)</f>
        <v>0</v>
      </c>
      <c r="R81" s="97">
        <f>GPpcntMjr*(VLOOKUP($A81,FY14ProjRev!$A$3:$K$29,11,FALSE))*VLOOKUP($A81,FY14ProjMajors!$A$4:$T$31,MATCH(R$33,FY14ProjMajors!$A$3:$T$3,0),FALSE)</f>
        <v>0</v>
      </c>
      <c r="S81" s="97">
        <f>GPpcntMjr*(VLOOKUP($A81,FY14ProjRev!$A$3:$K$29,11,FALSE))*VLOOKUP($A81,FY14ProjMajors!$A$4:$T$31,MATCH(S$33,FY14ProjMajors!$A$3:$T$3,0),FALSE)</f>
        <v>0</v>
      </c>
      <c r="T81" s="97">
        <f t="shared" si="31"/>
        <v>88357.5</v>
      </c>
    </row>
    <row r="82" spans="1:20" ht="15.95" customHeight="1">
      <c r="A82" s="222" t="s">
        <v>149</v>
      </c>
      <c r="B82" s="303" t="s">
        <v>38</v>
      </c>
      <c r="C82" s="97">
        <f>GPpcntMjr*(VLOOKUP($A82,FY14ProjRev!$A$3:$K$29,11,FALSE))*VLOOKUP($A82,FY14ProjMajors!$A$4:$T$31,MATCH(C$33,FY14ProjMajors!$A$3:$T$3,0),FALSE)</f>
        <v>0</v>
      </c>
      <c r="D82" s="97">
        <f>GPpcntMjr*(VLOOKUP($A82,FY14ProjRev!$A$3:$K$29,11,FALSE))*VLOOKUP($A82,FY14ProjMajors!$A$4:$T$31,MATCH(D$33,FY14ProjMajors!$A$3:$T$3,0),FALSE)</f>
        <v>31087.344359824863</v>
      </c>
      <c r="E82" s="97">
        <f>GPpcntMjr*(VLOOKUP($A82,FY14ProjRev!$A$3:$K$29,11,FALSE))*VLOOKUP($A82,FY14ProjMajors!$A$4:$T$31,MATCH(E$33,FY14ProjMajors!$A$3:$T$3,0),FALSE)</f>
        <v>2886681.9762694519</v>
      </c>
      <c r="F82" s="97">
        <f>GPpcntMjr*(VLOOKUP($A82,FY14ProjRev!$A$3:$K$29,11,FALSE))*VLOOKUP($A82,FY14ProjMajors!$A$4:$T$31,MATCH(F$33,FY14ProjMajors!$A$3:$T$3,0),FALSE)</f>
        <v>0</v>
      </c>
      <c r="G82" s="97">
        <f>GPpcntMjr*(VLOOKUP($A82,FY14ProjRev!$A$3:$K$29,11,FALSE))*VLOOKUP($A82,FY14ProjMajors!$A$4:$T$31,MATCH(G$33,FY14ProjMajors!$A$3:$T$3,0),FALSE)</f>
        <v>0</v>
      </c>
      <c r="H82" s="97">
        <f>GPpcntMjr*(VLOOKUP($A82,FY14ProjRev!$A$3:$K$29,11,FALSE))*VLOOKUP($A82,FY14ProjMajors!$A$4:$T$31,MATCH(H$33,FY14ProjMajors!$A$3:$T$3,0),FALSE)</f>
        <v>8882.09838852139</v>
      </c>
      <c r="I82" s="97">
        <f>GPpcntMjr*(VLOOKUP($A82,FY14ProjRev!$A$3:$K$29,11,FALSE))*VLOOKUP($A82,FY14ProjMajors!$A$4:$T$31,MATCH(I$33,FY14ProjMajors!$A$3:$T$3,0),FALSE)</f>
        <v>0</v>
      </c>
      <c r="J82" s="97">
        <f>GPpcntMjr*(VLOOKUP($A82,FY14ProjRev!$A$3:$K$29,11,FALSE))*VLOOKUP($A82,FY14ProjMajors!$A$4:$T$31,MATCH(J$33,FY14ProjMajors!$A$3:$T$3,0),FALSE)</f>
        <v>26646.29516556417</v>
      </c>
      <c r="K82" s="97">
        <f>GPpcntMjr*(VLOOKUP($A82,FY14ProjRev!$A$3:$K$29,11,FALSE))*VLOOKUP($A82,FY14ProjMajors!$A$4:$T$31,MATCH(K$33,FY14ProjMajors!$A$3:$T$3,0),FALSE)</f>
        <v>39969.44274834625</v>
      </c>
      <c r="L82" s="97">
        <f>GPpcntMjr*(VLOOKUP($A82,FY14ProjRev!$A$3:$K$29,11,FALSE))*VLOOKUP($A82,FY14ProjMajors!$A$4:$T$31,MATCH(L$33,FY14ProjMajors!$A$3:$T$3,0),FALSE)</f>
        <v>0</v>
      </c>
      <c r="M82" s="97">
        <f>GPpcntMjr*(VLOOKUP($A82,FY14ProjRev!$A$3:$K$29,11,FALSE))*VLOOKUP($A82,FY14ProjMajors!$A$4:$T$31,MATCH(M$33,FY14ProjMajors!$A$3:$T$3,0),FALSE)</f>
        <v>0</v>
      </c>
      <c r="N82" s="97">
        <f>GPpcntMjr*(VLOOKUP($A82,FY14ProjRev!$A$3:$K$29,11,FALSE))*VLOOKUP($A82,FY14ProjMajors!$A$4:$T$31,MATCH(N$33,FY14ProjMajors!$A$3:$T$3,0),FALSE)</f>
        <v>0</v>
      </c>
      <c r="O82" s="97">
        <f>GPpcntMjr*(VLOOKUP($A82,FY14ProjRev!$A$3:$K$29,11,FALSE))*VLOOKUP($A82,FY14ProjMajors!$A$4:$T$31,MATCH(O$33,FY14ProjMajors!$A$3:$T$3,0),FALSE)</f>
        <v>0</v>
      </c>
      <c r="P82" s="97">
        <f>GPpcntMjr*(VLOOKUP($A82,FY14ProjRev!$A$3:$K$29,11,FALSE))*VLOOKUP($A82,FY14ProjMajors!$A$4:$T$31,MATCH(P$33,FY14ProjMajors!$A$3:$T$3,0),FALSE)</f>
        <v>0</v>
      </c>
      <c r="Q82" s="97">
        <f>GPpcntMjr*(VLOOKUP($A82,FY14ProjRev!$A$3:$K$29,11,FALSE))*VLOOKUP($A82,FY14ProjMajors!$A$4:$T$31,MATCH(Q$33,FY14ProjMajors!$A$3:$T$3,0),FALSE)</f>
        <v>13323.147582782085</v>
      </c>
      <c r="R82" s="97">
        <f>GPpcntMjr*(VLOOKUP($A82,FY14ProjRev!$A$3:$K$29,11,FALSE))*VLOOKUP($A82,FY14ProjMajors!$A$4:$T$31,MATCH(R$33,FY14ProjMajors!$A$3:$T$3,0),FALSE)</f>
        <v>0</v>
      </c>
      <c r="S82" s="97">
        <f>GPpcntMjr*(VLOOKUP($A82,FY14ProjRev!$A$3:$K$29,11,FALSE))*VLOOKUP($A82,FY14ProjMajors!$A$4:$T$31,MATCH(S$33,FY14ProjMajors!$A$3:$T$3,0),FALSE)</f>
        <v>13323.147582782085</v>
      </c>
      <c r="T82" s="97">
        <f t="shared" si="31"/>
        <v>3019913.452097273</v>
      </c>
    </row>
    <row r="83" spans="1:20" ht="15.95" customHeight="1">
      <c r="A83" s="222" t="s">
        <v>150</v>
      </c>
      <c r="B83" s="303" t="s">
        <v>31</v>
      </c>
      <c r="C83" s="97">
        <f>GPpcntMjr*(VLOOKUP($A83,FY14ProjRev!$A$3:$K$29,11,FALSE))*VLOOKUP($A83,FY14ProjMajors!$A$4:$T$31,MATCH(C$33,FY14ProjMajors!$A$3:$T$3,0),FALSE)</f>
        <v>15224.228982938517</v>
      </c>
      <c r="D83" s="97">
        <f>GPpcntMjr*(VLOOKUP($A83,FY14ProjRev!$A$3:$K$29,11,FALSE))*VLOOKUP($A83,FY14ProjMajors!$A$4:$T$31,MATCH(D$33,FY14ProjMajors!$A$3:$T$3,0),FALSE)</f>
        <v>45672.68694881555</v>
      </c>
      <c r="E83" s="97">
        <f>GPpcntMjr*(VLOOKUP($A83,FY14ProjRev!$A$3:$K$29,11,FALSE))*VLOOKUP($A83,FY14ProjMajors!$A$4:$T$31,MATCH(E$33,FY14ProjMajors!$A$3:$T$3,0),FALSE)</f>
        <v>60896.915931754069</v>
      </c>
      <c r="F83" s="97">
        <f>GPpcntMjr*(VLOOKUP($A83,FY14ProjRev!$A$3:$K$29,11,FALSE))*VLOOKUP($A83,FY14ProjMajors!$A$4:$T$31,MATCH(F$33,FY14ProjMajors!$A$3:$T$3,0),FALSE)</f>
        <v>0</v>
      </c>
      <c r="G83" s="97">
        <f>GPpcntMjr*(VLOOKUP($A83,FY14ProjRev!$A$3:$K$29,11,FALSE))*VLOOKUP($A83,FY14ProjMajors!$A$4:$T$31,MATCH(G$33,FY14ProjMajors!$A$3:$T$3,0),FALSE)</f>
        <v>20298.971977251356</v>
      </c>
      <c r="H83" s="97">
        <f>GPpcntMjr*(VLOOKUP($A83,FY14ProjRev!$A$3:$K$29,11,FALSE))*VLOOKUP($A83,FY14ProjMajors!$A$4:$T$31,MATCH(H$33,FY14ProjMajors!$A$3:$T$3,0),FALSE)</f>
        <v>10149.485988625678</v>
      </c>
      <c r="I83" s="97">
        <f>GPpcntMjr*(VLOOKUP($A83,FY14ProjRev!$A$3:$K$29,11,FALSE))*VLOOKUP($A83,FY14ProjMajors!$A$4:$T$31,MATCH(I$33,FY14ProjMajors!$A$3:$T$3,0),FALSE)</f>
        <v>15224.228982938517</v>
      </c>
      <c r="J83" s="97">
        <f>GPpcntMjr*(VLOOKUP($A83,FY14ProjRev!$A$3:$K$29,11,FALSE))*VLOOKUP($A83,FY14ProjMajors!$A$4:$T$31,MATCH(J$33,FY14ProjMajors!$A$3:$T$3,0),FALSE)</f>
        <v>8368251.1976218717</v>
      </c>
      <c r="K83" s="97">
        <f>GPpcntMjr*(VLOOKUP($A83,FY14ProjRev!$A$3:$K$29,11,FALSE))*VLOOKUP($A83,FY14ProjMajors!$A$4:$T$31,MATCH(K$33,FY14ProjMajors!$A$3:$T$3,0),FALSE)</f>
        <v>25373.714971564197</v>
      </c>
      <c r="L83" s="97">
        <f>GPpcntMjr*(VLOOKUP($A83,FY14ProjRev!$A$3:$K$29,11,FALSE))*VLOOKUP($A83,FY14ProjMajors!$A$4:$T$31,MATCH(L$33,FY14ProjMajors!$A$3:$T$3,0),FALSE)</f>
        <v>0</v>
      </c>
      <c r="M83" s="97">
        <f>GPpcntMjr*(VLOOKUP($A83,FY14ProjRev!$A$3:$K$29,11,FALSE))*VLOOKUP($A83,FY14ProjMajors!$A$4:$T$31,MATCH(M$33,FY14ProjMajors!$A$3:$T$3,0),FALSE)</f>
        <v>0</v>
      </c>
      <c r="N83" s="97">
        <f>GPpcntMjr*(VLOOKUP($A83,FY14ProjRev!$A$3:$K$29,11,FALSE))*VLOOKUP($A83,FY14ProjMajors!$A$4:$T$31,MATCH(N$33,FY14ProjMajors!$A$3:$T$3,0),FALSE)</f>
        <v>15224.228982938517</v>
      </c>
      <c r="O83" s="97">
        <f>GPpcntMjr*(VLOOKUP($A83,FY14ProjRev!$A$3:$K$29,11,FALSE))*VLOOKUP($A83,FY14ProjMajors!$A$4:$T$31,MATCH(O$33,FY14ProjMajors!$A$3:$T$3,0),FALSE)</f>
        <v>0</v>
      </c>
      <c r="P83" s="97">
        <f>GPpcntMjr*(VLOOKUP($A83,FY14ProjRev!$A$3:$K$29,11,FALSE))*VLOOKUP($A83,FY14ProjMajors!$A$4:$T$31,MATCH(P$33,FY14ProjMajors!$A$3:$T$3,0),FALSE)</f>
        <v>0</v>
      </c>
      <c r="Q83" s="97">
        <f>GPpcntMjr*(VLOOKUP($A83,FY14ProjRev!$A$3:$K$29,11,FALSE))*VLOOKUP($A83,FY14ProjMajors!$A$4:$T$31,MATCH(Q$33,FY14ProjMajors!$A$3:$T$3,0),FALSE)</f>
        <v>30448.457965877034</v>
      </c>
      <c r="R83" s="97">
        <f>GPpcntMjr*(VLOOKUP($A83,FY14ProjRev!$A$3:$K$29,11,FALSE))*VLOOKUP($A83,FY14ProjMajors!$A$4:$T$31,MATCH(R$33,FY14ProjMajors!$A$3:$T$3,0),FALSE)</f>
        <v>0</v>
      </c>
      <c r="S83" s="97">
        <f>GPpcntMjr*(VLOOKUP($A83,FY14ProjRev!$A$3:$K$29,11,FALSE))*VLOOKUP($A83,FY14ProjMajors!$A$4:$T$31,MATCH(S$33,FY14ProjMajors!$A$3:$T$3,0),FALSE)</f>
        <v>0</v>
      </c>
      <c r="T83" s="97">
        <f t="shared" si="31"/>
        <v>8606764.1183545757</v>
      </c>
    </row>
    <row r="84" spans="1:20" ht="15.95" customHeight="1">
      <c r="A84" s="222" t="s">
        <v>151</v>
      </c>
      <c r="B84" s="303" t="s">
        <v>152</v>
      </c>
      <c r="C84" s="97">
        <f>GPpcntMjr*(VLOOKUP($A84,FY14ProjRev!$A$3:$K$29,11,FALSE))*VLOOKUP($A84,FY14ProjMajors!$A$4:$T$31,MATCH(C$33,FY14ProjMajors!$A$3:$T$3,0),FALSE)</f>
        <v>0</v>
      </c>
      <c r="D84" s="97">
        <f>GPpcntMjr*(VLOOKUP($A84,FY14ProjRev!$A$3:$K$29,11,FALSE))*VLOOKUP($A84,FY14ProjMajors!$A$4:$T$31,MATCH(D$33,FY14ProjMajors!$A$3:$T$3,0),FALSE)</f>
        <v>0</v>
      </c>
      <c r="E84" s="97">
        <f>GPpcntMjr*(VLOOKUP($A84,FY14ProjRev!$A$3:$K$29,11,FALSE))*VLOOKUP($A84,FY14ProjMajors!$A$4:$T$31,MATCH(E$33,FY14ProjMajors!$A$3:$T$3,0),FALSE)</f>
        <v>0</v>
      </c>
      <c r="F84" s="97">
        <f>GPpcntMjr*(VLOOKUP($A84,FY14ProjRev!$A$3:$K$29,11,FALSE))*VLOOKUP($A84,FY14ProjMajors!$A$4:$T$31,MATCH(F$33,FY14ProjMajors!$A$3:$T$3,0),FALSE)</f>
        <v>0</v>
      </c>
      <c r="G84" s="97">
        <f>GPpcntMjr*(VLOOKUP($A84,FY14ProjRev!$A$3:$K$29,11,FALSE))*VLOOKUP($A84,FY14ProjMajors!$A$4:$T$31,MATCH(G$33,FY14ProjMajors!$A$3:$T$3,0),FALSE)</f>
        <v>0</v>
      </c>
      <c r="H84" s="97">
        <f>GPpcntMjr*(VLOOKUP($A84,FY14ProjRev!$A$3:$K$29,11,FALSE))*VLOOKUP($A84,FY14ProjMajors!$A$4:$T$31,MATCH(H$33,FY14ProjMajors!$A$3:$T$3,0),FALSE)</f>
        <v>0</v>
      </c>
      <c r="I84" s="97">
        <f>GPpcntMjr*(VLOOKUP($A84,FY14ProjRev!$A$3:$K$29,11,FALSE))*VLOOKUP($A84,FY14ProjMajors!$A$4:$T$31,MATCH(I$33,FY14ProjMajors!$A$3:$T$3,0),FALSE)</f>
        <v>0</v>
      </c>
      <c r="J84" s="97">
        <f>GPpcntMjr*(VLOOKUP($A84,FY14ProjRev!$A$3:$K$29,11,FALSE))*VLOOKUP($A84,FY14ProjMajors!$A$4:$T$31,MATCH(J$33,FY14ProjMajors!$A$3:$T$3,0),FALSE)</f>
        <v>601700.7473298707</v>
      </c>
      <c r="K84" s="97">
        <f>GPpcntMjr*(VLOOKUP($A84,FY14ProjRev!$A$3:$K$29,11,FALSE))*VLOOKUP($A84,FY14ProjMajors!$A$4:$T$31,MATCH(K$33,FY14ProjMajors!$A$3:$T$3,0),FALSE)</f>
        <v>0</v>
      </c>
      <c r="L84" s="97">
        <f>GPpcntMjr*(VLOOKUP($A84,FY14ProjRev!$A$3:$K$29,11,FALSE))*VLOOKUP($A84,FY14ProjMajors!$A$4:$T$31,MATCH(L$33,FY14ProjMajors!$A$3:$T$3,0),FALSE)</f>
        <v>0</v>
      </c>
      <c r="M84" s="97">
        <f>GPpcntMjr*(VLOOKUP($A84,FY14ProjRev!$A$3:$K$29,11,FALSE))*VLOOKUP($A84,FY14ProjMajors!$A$4:$T$31,MATCH(M$33,FY14ProjMajors!$A$3:$T$3,0),FALSE)</f>
        <v>0</v>
      </c>
      <c r="N84" s="97">
        <f>GPpcntMjr*(VLOOKUP($A84,FY14ProjRev!$A$3:$K$29,11,FALSE))*VLOOKUP($A84,FY14ProjMajors!$A$4:$T$31,MATCH(N$33,FY14ProjMajors!$A$3:$T$3,0),FALSE)</f>
        <v>0</v>
      </c>
      <c r="O84" s="97">
        <f>GPpcntMjr*(VLOOKUP($A84,FY14ProjRev!$A$3:$K$29,11,FALSE))*VLOOKUP($A84,FY14ProjMajors!$A$4:$T$31,MATCH(O$33,FY14ProjMajors!$A$3:$T$3,0),FALSE)</f>
        <v>0</v>
      </c>
      <c r="P84" s="97">
        <f>GPpcntMjr*(VLOOKUP($A84,FY14ProjRev!$A$3:$K$29,11,FALSE))*VLOOKUP($A84,FY14ProjMajors!$A$4:$T$31,MATCH(P$33,FY14ProjMajors!$A$3:$T$3,0),FALSE)</f>
        <v>0</v>
      </c>
      <c r="Q84" s="97">
        <f>GPpcntMjr*(VLOOKUP($A84,FY14ProjRev!$A$3:$K$29,11,FALSE))*VLOOKUP($A84,FY14ProjMajors!$A$4:$T$31,MATCH(Q$33,FY14ProjMajors!$A$3:$T$3,0),FALSE)</f>
        <v>0</v>
      </c>
      <c r="R84" s="97">
        <f>GPpcntMjr*(VLOOKUP($A84,FY14ProjRev!$A$3:$K$29,11,FALSE))*VLOOKUP($A84,FY14ProjMajors!$A$4:$T$31,MATCH(R$33,FY14ProjMajors!$A$3:$T$3,0),FALSE)</f>
        <v>0</v>
      </c>
      <c r="S84" s="97">
        <f>GPpcntMjr*(VLOOKUP($A84,FY14ProjRev!$A$3:$K$29,11,FALSE))*VLOOKUP($A84,FY14ProjMajors!$A$4:$T$31,MATCH(S$33,FY14ProjMajors!$A$3:$T$3,0),FALSE)</f>
        <v>0</v>
      </c>
      <c r="T84" s="97">
        <f t="shared" si="31"/>
        <v>601700.7473298707</v>
      </c>
    </row>
    <row r="85" spans="1:20" ht="15.95" customHeight="1">
      <c r="A85" s="222" t="s">
        <v>160</v>
      </c>
      <c r="B85" s="304" t="s">
        <v>161</v>
      </c>
      <c r="C85" s="97">
        <f>GPpcntMjr*(VLOOKUP($A85,FY14ProjRev!$A$3:$K$29,11,FALSE))*VLOOKUP($A85,FY14ProjMajors!$A$4:$T$31,MATCH(C$33,FY14ProjMajors!$A$3:$T$3,0),FALSE)</f>
        <v>0</v>
      </c>
      <c r="D85" s="97">
        <f>GPpcntMjr*(VLOOKUP($A85,FY14ProjRev!$A$3:$K$29,11,FALSE))*VLOOKUP($A85,FY14ProjMajors!$A$4:$T$31,MATCH(D$33,FY14ProjMajors!$A$3:$T$3,0),FALSE)</f>
        <v>16579.144151677719</v>
      </c>
      <c r="E85" s="97">
        <f>GPpcntMjr*(VLOOKUP($A85,FY14ProjRev!$A$3:$K$29,11,FALSE))*VLOOKUP($A85,FY14ProjMajors!$A$4:$T$31,MATCH(E$33,FY14ProjMajors!$A$3:$T$3,0),FALSE)</f>
        <v>0</v>
      </c>
      <c r="F85" s="97">
        <f>GPpcntMjr*(VLOOKUP($A85,FY14ProjRev!$A$3:$K$29,11,FALSE))*VLOOKUP($A85,FY14ProjMajors!$A$4:$T$31,MATCH(F$33,FY14ProjMajors!$A$3:$T$3,0),FALSE)</f>
        <v>0</v>
      </c>
      <c r="G85" s="97">
        <f>GPpcntMjr*(VLOOKUP($A85,FY14ProjRev!$A$3:$K$29,11,FALSE))*VLOOKUP($A85,FY14ProjMajors!$A$4:$T$31,MATCH(G$33,FY14ProjMajors!$A$3:$T$3,0),FALSE)</f>
        <v>0</v>
      </c>
      <c r="H85" s="97">
        <f>GPpcntMjr*(VLOOKUP($A85,FY14ProjRev!$A$3:$K$29,11,FALSE))*VLOOKUP($A85,FY14ProjMajors!$A$4:$T$31,MATCH(H$33,FY14ProjMajors!$A$3:$T$3,0),FALSE)</f>
        <v>0</v>
      </c>
      <c r="I85" s="97">
        <f>GPpcntMjr*(VLOOKUP($A85,FY14ProjRev!$A$3:$K$29,11,FALSE))*VLOOKUP($A85,FY14ProjMajors!$A$4:$T$31,MATCH(I$33,FY14ProjMajors!$A$3:$T$3,0),FALSE)</f>
        <v>0</v>
      </c>
      <c r="J85" s="97">
        <f>GPpcntMjr*(VLOOKUP($A85,FY14ProjRev!$A$3:$K$29,11,FALSE))*VLOOKUP($A85,FY14ProjMajors!$A$4:$T$31,MATCH(J$33,FY14ProjMajors!$A$3:$T$3,0),FALSE)</f>
        <v>151975.48805704573</v>
      </c>
      <c r="K85" s="97">
        <f>GPpcntMjr*(VLOOKUP($A85,FY14ProjRev!$A$3:$K$29,11,FALSE))*VLOOKUP($A85,FY14ProjMajors!$A$4:$T$31,MATCH(K$33,FY14ProjMajors!$A$3:$T$3,0),FALSE)</f>
        <v>0</v>
      </c>
      <c r="L85" s="97">
        <f>GPpcntMjr*(VLOOKUP($A85,FY14ProjRev!$A$3:$K$29,11,FALSE))*VLOOKUP($A85,FY14ProjMajors!$A$4:$T$31,MATCH(L$33,FY14ProjMajors!$A$3:$T$3,0),FALSE)</f>
        <v>0</v>
      </c>
      <c r="M85" s="97">
        <f>GPpcntMjr*(VLOOKUP($A85,FY14ProjRev!$A$3:$K$29,11,FALSE))*VLOOKUP($A85,FY14ProjMajors!$A$4:$T$31,MATCH(M$33,FY14ProjMajors!$A$3:$T$3,0),FALSE)</f>
        <v>0</v>
      </c>
      <c r="N85" s="97">
        <f>GPpcntMjr*(VLOOKUP($A85,FY14ProjRev!$A$3:$K$29,11,FALSE))*VLOOKUP($A85,FY14ProjMajors!$A$4:$T$31,MATCH(N$33,FY14ProjMajors!$A$3:$T$3,0),FALSE)</f>
        <v>0</v>
      </c>
      <c r="O85" s="97">
        <f>GPpcntMjr*(VLOOKUP($A85,FY14ProjRev!$A$3:$K$29,11,FALSE))*VLOOKUP($A85,FY14ProjMajors!$A$4:$T$31,MATCH(O$33,FY14ProjMajors!$A$3:$T$3,0),FALSE)</f>
        <v>0</v>
      </c>
      <c r="P85" s="97">
        <f>GPpcntMjr*(VLOOKUP($A85,FY14ProjRev!$A$3:$K$29,11,FALSE))*VLOOKUP($A85,FY14ProjMajors!$A$4:$T$31,MATCH(P$33,FY14ProjMajors!$A$3:$T$3,0),FALSE)</f>
        <v>0</v>
      </c>
      <c r="Q85" s="97">
        <f>GPpcntMjr*(VLOOKUP($A85,FY14ProjRev!$A$3:$K$29,11,FALSE))*VLOOKUP($A85,FY14ProjMajors!$A$4:$T$31,MATCH(Q$33,FY14ProjMajors!$A$3:$T$3,0),FALSE)</f>
        <v>0</v>
      </c>
      <c r="R85" s="97">
        <f>GPpcntMjr*(VLOOKUP($A85,FY14ProjRev!$A$3:$K$29,11,FALSE))*VLOOKUP($A85,FY14ProjMajors!$A$4:$T$31,MATCH(R$33,FY14ProjMajors!$A$3:$T$3,0),FALSE)</f>
        <v>0</v>
      </c>
      <c r="S85" s="97">
        <f>GPpcntMjr*(VLOOKUP($A85,FY14ProjRev!$A$3:$K$29,11,FALSE))*VLOOKUP($A85,FY14ProjMajors!$A$4:$T$31,MATCH(S$33,FY14ProjMajors!$A$3:$T$3,0),FALSE)</f>
        <v>0</v>
      </c>
      <c r="T85" s="97">
        <f t="shared" si="31"/>
        <v>168554.63220872346</v>
      </c>
    </row>
    <row r="86" spans="1:20" ht="15.95" customHeight="1">
      <c r="A86" s="222" t="s">
        <v>153</v>
      </c>
      <c r="B86" s="305" t="s">
        <v>100</v>
      </c>
      <c r="C86" s="97">
        <f>GPpcntMjr*(VLOOKUP($A86,FY14ProjRev!$A$3:$K$29,11,FALSE))*VLOOKUP($A86,FY14ProjMajors!$A$4:$T$31,MATCH(C$33,FY14ProjMajors!$A$3:$T$3,0),FALSE)</f>
        <v>0</v>
      </c>
      <c r="D86" s="97">
        <f>GPpcntMjr*(VLOOKUP($A86,FY14ProjRev!$A$3:$K$29,11,FALSE))*VLOOKUP($A86,FY14ProjMajors!$A$4:$T$31,MATCH(D$33,FY14ProjMajors!$A$3:$T$3,0),FALSE)</f>
        <v>6232.2172793678828</v>
      </c>
      <c r="E86" s="97">
        <f>GPpcntMjr*(VLOOKUP($A86,FY14ProjRev!$A$3:$K$29,11,FALSE))*VLOOKUP($A86,FY14ProjMajors!$A$4:$T$31,MATCH(E$33,FY14ProjMajors!$A$3:$T$3,0),FALSE)</f>
        <v>0</v>
      </c>
      <c r="F86" s="97">
        <f>GPpcntMjr*(VLOOKUP($A86,FY14ProjRev!$A$3:$K$29,11,FALSE))*VLOOKUP($A86,FY14ProjMajors!$A$4:$T$31,MATCH(F$33,FY14ProjMajors!$A$3:$T$3,0),FALSE)</f>
        <v>0</v>
      </c>
      <c r="G86" s="97">
        <f>GPpcntMjr*(VLOOKUP($A86,FY14ProjRev!$A$3:$K$29,11,FALSE))*VLOOKUP($A86,FY14ProjMajors!$A$4:$T$31,MATCH(G$33,FY14ProjMajors!$A$3:$T$3,0),FALSE)</f>
        <v>0</v>
      </c>
      <c r="H86" s="97">
        <f>GPpcntMjr*(VLOOKUP($A86,FY14ProjRev!$A$3:$K$29,11,FALSE))*VLOOKUP($A86,FY14ProjMajors!$A$4:$T$31,MATCH(H$33,FY14ProjMajors!$A$3:$T$3,0),FALSE)</f>
        <v>0</v>
      </c>
      <c r="I86" s="97">
        <f>GPpcntMjr*(VLOOKUP($A86,FY14ProjRev!$A$3:$K$29,11,FALSE))*VLOOKUP($A86,FY14ProjMajors!$A$4:$T$31,MATCH(I$33,FY14ProjMajors!$A$3:$T$3,0),FALSE)</f>
        <v>0</v>
      </c>
      <c r="J86" s="97">
        <f>GPpcntMjr*(VLOOKUP($A86,FY14ProjRev!$A$3:$K$29,11,FALSE))*VLOOKUP($A86,FY14ProjMajors!$A$4:$T$31,MATCH(J$33,FY14ProjMajors!$A$3:$T$3,0),FALSE)</f>
        <v>0</v>
      </c>
      <c r="K86" s="97">
        <f>GPpcntMjr*(VLOOKUP($A86,FY14ProjRev!$A$3:$K$29,11,FALSE))*VLOOKUP($A86,FY14ProjMajors!$A$4:$T$31,MATCH(K$33,FY14ProjMajors!$A$3:$T$3,0),FALSE)</f>
        <v>6232.2172793678828</v>
      </c>
      <c r="L86" s="97">
        <f>GPpcntMjr*(VLOOKUP($A86,FY14ProjRev!$A$3:$K$29,11,FALSE))*VLOOKUP($A86,FY14ProjMajors!$A$4:$T$31,MATCH(L$33,FY14ProjMajors!$A$3:$T$3,0),FALSE)</f>
        <v>0</v>
      </c>
      <c r="M86" s="97">
        <f>GPpcntMjr*(VLOOKUP($A86,FY14ProjRev!$A$3:$K$29,11,FALSE))*VLOOKUP($A86,FY14ProjMajors!$A$4:$T$31,MATCH(M$33,FY14ProjMajors!$A$3:$T$3,0),FALSE)</f>
        <v>0</v>
      </c>
      <c r="N86" s="97">
        <f>GPpcntMjr*(VLOOKUP($A86,FY14ProjRev!$A$3:$K$29,11,FALSE))*VLOOKUP($A86,FY14ProjMajors!$A$4:$T$31,MATCH(N$33,FY14ProjMajors!$A$3:$T$3,0),FALSE)</f>
        <v>9348.3259190518238</v>
      </c>
      <c r="O86" s="97">
        <f>GPpcntMjr*(VLOOKUP($A86,FY14ProjRev!$A$3:$K$29,11,FALSE))*VLOOKUP($A86,FY14ProjMajors!$A$4:$T$31,MATCH(O$33,FY14ProjMajors!$A$3:$T$3,0),FALSE)</f>
        <v>878742.63639087148</v>
      </c>
      <c r="P86" s="97">
        <f>GPpcntMjr*(VLOOKUP($A86,FY14ProjRev!$A$3:$K$29,11,FALSE))*VLOOKUP($A86,FY14ProjMajors!$A$4:$T$31,MATCH(P$33,FY14ProjMajors!$A$3:$T$3,0),FALSE)</f>
        <v>0</v>
      </c>
      <c r="Q86" s="97">
        <f>GPpcntMjr*(VLOOKUP($A86,FY14ProjRev!$A$3:$K$29,11,FALSE))*VLOOKUP($A86,FY14ProjMajors!$A$4:$T$31,MATCH(Q$33,FY14ProjMajors!$A$3:$T$3,0),FALSE)</f>
        <v>21812.760477787589</v>
      </c>
      <c r="R86" s="97">
        <f>GPpcntMjr*(VLOOKUP($A86,FY14ProjRev!$A$3:$K$29,11,FALSE))*VLOOKUP($A86,FY14ProjMajors!$A$4:$T$31,MATCH(R$33,FY14ProjMajors!$A$3:$T$3,0),FALSE)</f>
        <v>0</v>
      </c>
      <c r="S86" s="97">
        <f>GPpcntMjr*(VLOOKUP($A86,FY14ProjRev!$A$3:$K$29,11,FALSE))*VLOOKUP($A86,FY14ProjMajors!$A$4:$T$31,MATCH(S$33,FY14ProjMajors!$A$3:$T$3,0),FALSE)</f>
        <v>0</v>
      </c>
      <c r="T86" s="97">
        <f t="shared" si="31"/>
        <v>922368.15734644665</v>
      </c>
    </row>
    <row r="87" spans="1:20" ht="15.95" customHeight="1">
      <c r="A87" s="222" t="s">
        <v>155</v>
      </c>
      <c r="B87" s="305" t="s">
        <v>42</v>
      </c>
      <c r="C87" s="97">
        <f>GPpcntMjr*(VLOOKUP($A87,FY14ProjRev!$A$3:$K$29,11,FALSE))*VLOOKUP($A87,FY14ProjMajors!$A$4:$T$31,MATCH(C$33,FY14ProjMajors!$A$3:$T$3,0),FALSE)</f>
        <v>0</v>
      </c>
      <c r="D87" s="97">
        <f>GPpcntMjr*(VLOOKUP($A87,FY14ProjRev!$A$3:$K$29,11,FALSE))*VLOOKUP($A87,FY14ProjMajors!$A$4:$T$31,MATCH(D$33,FY14ProjMajors!$A$3:$T$3,0),FALSE)</f>
        <v>0</v>
      </c>
      <c r="E87" s="97">
        <f>GPpcntMjr*(VLOOKUP($A87,FY14ProjRev!$A$3:$K$29,11,FALSE))*VLOOKUP($A87,FY14ProjMajors!$A$4:$T$31,MATCH(E$33,FY14ProjMajors!$A$3:$T$3,0),FALSE)</f>
        <v>0</v>
      </c>
      <c r="F87" s="97">
        <f>GPpcntMjr*(VLOOKUP($A87,FY14ProjRev!$A$3:$K$29,11,FALSE))*VLOOKUP($A87,FY14ProjMajors!$A$4:$T$31,MATCH(F$33,FY14ProjMajors!$A$3:$T$3,0),FALSE)</f>
        <v>0</v>
      </c>
      <c r="G87" s="97">
        <f>GPpcntMjr*(VLOOKUP($A87,FY14ProjRev!$A$3:$K$29,11,FALSE))*VLOOKUP($A87,FY14ProjMajors!$A$4:$T$31,MATCH(G$33,FY14ProjMajors!$A$3:$T$3,0),FALSE)</f>
        <v>0</v>
      </c>
      <c r="H87" s="97">
        <f>GPpcntMjr*(VLOOKUP($A87,FY14ProjRev!$A$3:$K$29,11,FALSE))*VLOOKUP($A87,FY14ProjMajors!$A$4:$T$31,MATCH(H$33,FY14ProjMajors!$A$3:$T$3,0),FALSE)</f>
        <v>0</v>
      </c>
      <c r="I87" s="97">
        <f>GPpcntMjr*(VLOOKUP($A87,FY14ProjRev!$A$3:$K$29,11,FALSE))*VLOOKUP($A87,FY14ProjMajors!$A$4:$T$31,MATCH(I$33,FY14ProjMajors!$A$3:$T$3,0),FALSE)</f>
        <v>0</v>
      </c>
      <c r="J87" s="97">
        <f>GPpcntMjr*(VLOOKUP($A87,FY14ProjRev!$A$3:$K$29,11,FALSE))*VLOOKUP($A87,FY14ProjMajors!$A$4:$T$31,MATCH(J$33,FY14ProjMajors!$A$3:$T$3,0),FALSE)</f>
        <v>0</v>
      </c>
      <c r="K87" s="97">
        <f>GPpcntMjr*(VLOOKUP($A87,FY14ProjRev!$A$3:$K$29,11,FALSE))*VLOOKUP($A87,FY14ProjMajors!$A$4:$T$31,MATCH(K$33,FY14ProjMajors!$A$3:$T$3,0),FALSE)</f>
        <v>0</v>
      </c>
      <c r="L87" s="97">
        <f>GPpcntMjr*(VLOOKUP($A87,FY14ProjRev!$A$3:$K$29,11,FALSE))*VLOOKUP($A87,FY14ProjMajors!$A$4:$T$31,MATCH(L$33,FY14ProjMajors!$A$3:$T$3,0),FALSE)</f>
        <v>0</v>
      </c>
      <c r="M87" s="97">
        <f>GPpcntMjr*(VLOOKUP($A87,FY14ProjRev!$A$3:$K$29,11,FALSE))*VLOOKUP($A87,FY14ProjMajors!$A$4:$T$31,MATCH(M$33,FY14ProjMajors!$A$3:$T$3,0),FALSE)</f>
        <v>0</v>
      </c>
      <c r="N87" s="97">
        <f>GPpcntMjr*(VLOOKUP($A87,FY14ProjRev!$A$3:$K$29,11,FALSE))*VLOOKUP($A87,FY14ProjMajors!$A$4:$T$31,MATCH(N$33,FY14ProjMajors!$A$3:$T$3,0),FALSE)</f>
        <v>0</v>
      </c>
      <c r="O87" s="97">
        <f>GPpcntMjr*(VLOOKUP($A87,FY14ProjRev!$A$3:$K$29,11,FALSE))*VLOOKUP($A87,FY14ProjMajors!$A$4:$T$31,MATCH(O$33,FY14ProjMajors!$A$3:$T$3,0),FALSE)</f>
        <v>0</v>
      </c>
      <c r="P87" s="97">
        <f>GPpcntMjr*(VLOOKUP($A87,FY14ProjRev!$A$3:$K$29,11,FALSE))*VLOOKUP($A87,FY14ProjMajors!$A$4:$T$31,MATCH(P$33,FY14ProjMajors!$A$3:$T$3,0),FALSE)</f>
        <v>4690502.4552819654</v>
      </c>
      <c r="Q87" s="97">
        <f>GPpcntMjr*(VLOOKUP($A87,FY14ProjRev!$A$3:$K$29,11,FALSE))*VLOOKUP($A87,FY14ProjMajors!$A$4:$T$31,MATCH(Q$33,FY14ProjMajors!$A$3:$T$3,0),FALSE)</f>
        <v>0</v>
      </c>
      <c r="R87" s="97">
        <f>GPpcntMjr*(VLOOKUP($A87,FY14ProjRev!$A$3:$K$29,11,FALSE))*VLOOKUP($A87,FY14ProjMajors!$A$4:$T$31,MATCH(R$33,FY14ProjMajors!$A$3:$T$3,0),FALSE)</f>
        <v>0</v>
      </c>
      <c r="S87" s="97">
        <f>GPpcntMjr*(VLOOKUP($A87,FY14ProjRev!$A$3:$K$29,11,FALSE))*VLOOKUP($A87,FY14ProjMajors!$A$4:$T$31,MATCH(S$33,FY14ProjMajors!$A$3:$T$3,0),FALSE)</f>
        <v>0</v>
      </c>
      <c r="T87" s="97">
        <f t="shared" si="31"/>
        <v>4690502.4552819654</v>
      </c>
    </row>
    <row r="88" spans="1:20" ht="15.95" customHeight="1">
      <c r="A88" s="222" t="s">
        <v>162</v>
      </c>
      <c r="B88" s="305" t="s">
        <v>76</v>
      </c>
      <c r="C88" s="97">
        <f>GPpcntMjr*(VLOOKUP($A88,FY14ProjRev!$A$3:$K$29,11,FALSE))*VLOOKUP($A88,FY14ProjMajors!$A$4:$T$31,MATCH(C$33,FY14ProjMajors!$A$3:$T$3,0),FALSE)</f>
        <v>0</v>
      </c>
      <c r="D88" s="97">
        <f>GPpcntMjr*(VLOOKUP($A88,FY14ProjRev!$A$3:$K$29,11,FALSE))*VLOOKUP($A88,FY14ProjMajors!$A$4:$T$31,MATCH(D$33,FY14ProjMajors!$A$3:$T$3,0),FALSE)</f>
        <v>0</v>
      </c>
      <c r="E88" s="97">
        <f>GPpcntMjr*(VLOOKUP($A88,FY14ProjRev!$A$3:$K$29,11,FALSE))*VLOOKUP($A88,FY14ProjMajors!$A$4:$T$31,MATCH(E$33,FY14ProjMajors!$A$3:$T$3,0),FALSE)</f>
        <v>0</v>
      </c>
      <c r="F88" s="97">
        <f>GPpcntMjr*(VLOOKUP($A88,FY14ProjRev!$A$3:$K$29,11,FALSE))*VLOOKUP($A88,FY14ProjMajors!$A$4:$T$31,MATCH(F$33,FY14ProjMajors!$A$3:$T$3,0),FALSE)</f>
        <v>0</v>
      </c>
      <c r="G88" s="97">
        <f>GPpcntMjr*(VLOOKUP($A88,FY14ProjRev!$A$3:$K$29,11,FALSE))*VLOOKUP($A88,FY14ProjMajors!$A$4:$T$31,MATCH(G$33,FY14ProjMajors!$A$3:$T$3,0),FALSE)</f>
        <v>0</v>
      </c>
      <c r="H88" s="97">
        <f>GPpcntMjr*(VLOOKUP($A88,FY14ProjRev!$A$3:$K$29,11,FALSE))*VLOOKUP($A88,FY14ProjMajors!$A$4:$T$31,MATCH(H$33,FY14ProjMajors!$A$3:$T$3,0),FALSE)</f>
        <v>0</v>
      </c>
      <c r="I88" s="97">
        <f>GPpcntMjr*(VLOOKUP($A88,FY14ProjRev!$A$3:$K$29,11,FALSE))*VLOOKUP($A88,FY14ProjMajors!$A$4:$T$31,MATCH(I$33,FY14ProjMajors!$A$3:$T$3,0),FALSE)</f>
        <v>0</v>
      </c>
      <c r="J88" s="97">
        <f>GPpcntMjr*(VLOOKUP($A88,FY14ProjRev!$A$3:$K$29,11,FALSE))*VLOOKUP($A88,FY14ProjMajors!$A$4:$T$31,MATCH(J$33,FY14ProjMajors!$A$3:$T$3,0),FALSE)</f>
        <v>0</v>
      </c>
      <c r="K88" s="97">
        <f>GPpcntMjr*(VLOOKUP($A88,FY14ProjRev!$A$3:$K$29,11,FALSE))*VLOOKUP($A88,FY14ProjMajors!$A$4:$T$31,MATCH(K$33,FY14ProjMajors!$A$3:$T$3,0),FALSE)</f>
        <v>0</v>
      </c>
      <c r="L88" s="97">
        <f>GPpcntMjr*(VLOOKUP($A88,FY14ProjRev!$A$3:$K$29,11,FALSE))*VLOOKUP($A88,FY14ProjMajors!$A$4:$T$31,MATCH(L$33,FY14ProjMajors!$A$3:$T$3,0),FALSE)</f>
        <v>0</v>
      </c>
      <c r="M88" s="97">
        <f>GPpcntMjr*(VLOOKUP($A88,FY14ProjRev!$A$3:$K$29,11,FALSE))*VLOOKUP($A88,FY14ProjMajors!$A$4:$T$31,MATCH(M$33,FY14ProjMajors!$A$3:$T$3,0),FALSE)</f>
        <v>0</v>
      </c>
      <c r="N88" s="97">
        <f>GPpcntMjr*(VLOOKUP($A88,FY14ProjRev!$A$3:$K$29,11,FALSE))*VLOOKUP($A88,FY14ProjMajors!$A$4:$T$31,MATCH(N$33,FY14ProjMajors!$A$3:$T$3,0),FALSE)</f>
        <v>10231539.9324298</v>
      </c>
      <c r="O88" s="97">
        <f>GPpcntMjr*(VLOOKUP($A88,FY14ProjRev!$A$3:$K$29,11,FALSE))*VLOOKUP($A88,FY14ProjMajors!$A$4:$T$31,MATCH(O$33,FY14ProjMajors!$A$3:$T$3,0),FALSE)</f>
        <v>0</v>
      </c>
      <c r="P88" s="97">
        <f>GPpcntMjr*(VLOOKUP($A88,FY14ProjRev!$A$3:$K$29,11,FALSE))*VLOOKUP($A88,FY14ProjMajors!$A$4:$T$31,MATCH(P$33,FY14ProjMajors!$A$3:$T$3,0),FALSE)</f>
        <v>0</v>
      </c>
      <c r="Q88" s="97">
        <f>GPpcntMjr*(VLOOKUP($A88,FY14ProjRev!$A$3:$K$29,11,FALSE))*VLOOKUP($A88,FY14ProjMajors!$A$4:$T$31,MATCH(Q$33,FY14ProjMajors!$A$3:$T$3,0),FALSE)</f>
        <v>85691.289216329998</v>
      </c>
      <c r="R88" s="97">
        <f>GPpcntMjr*(VLOOKUP($A88,FY14ProjRev!$A$3:$K$29,11,FALSE))*VLOOKUP($A88,FY14ProjMajors!$A$4:$T$31,MATCH(R$33,FY14ProjMajors!$A$3:$T$3,0),FALSE)</f>
        <v>0</v>
      </c>
      <c r="S88" s="97">
        <f>GPpcntMjr*(VLOOKUP($A88,FY14ProjRev!$A$3:$K$29,11,FALSE))*VLOOKUP($A88,FY14ProjMajors!$A$4:$T$31,MATCH(S$33,FY14ProjMajors!$A$3:$T$3,0),FALSE)</f>
        <v>128536.93382449496</v>
      </c>
      <c r="T88" s="97">
        <f t="shared" si="31"/>
        <v>10445768.155470625</v>
      </c>
    </row>
    <row r="89" spans="1:20" ht="15.95" customHeight="1">
      <c r="A89" s="222" t="s">
        <v>156</v>
      </c>
      <c r="B89" s="305" t="s">
        <v>77</v>
      </c>
      <c r="C89" s="97">
        <f>GPpcntMjr*(VLOOKUP($A89,FY14ProjRev!$A$3:$K$29,11,FALSE))*VLOOKUP($A89,FY14ProjMajors!$A$4:$T$31,MATCH(C$33,FY14ProjMajors!$A$3:$T$3,0),FALSE)</f>
        <v>0</v>
      </c>
      <c r="D89" s="97">
        <f>GPpcntMjr*(VLOOKUP($A89,FY14ProjRev!$A$3:$K$29,11,FALSE))*VLOOKUP($A89,FY14ProjMajors!$A$4:$T$31,MATCH(D$33,FY14ProjMajors!$A$3:$T$3,0),FALSE)</f>
        <v>0</v>
      </c>
      <c r="E89" s="97">
        <f>GPpcntMjr*(VLOOKUP($A89,FY14ProjRev!$A$3:$K$29,11,FALSE))*VLOOKUP($A89,FY14ProjMajors!$A$4:$T$31,MATCH(E$33,FY14ProjMajors!$A$3:$T$3,0),FALSE)</f>
        <v>0</v>
      </c>
      <c r="F89" s="97">
        <f>GPpcntMjr*(VLOOKUP($A89,FY14ProjRev!$A$3:$K$29,11,FALSE))*VLOOKUP($A89,FY14ProjMajors!$A$4:$T$31,MATCH(F$33,FY14ProjMajors!$A$3:$T$3,0),FALSE)</f>
        <v>0</v>
      </c>
      <c r="G89" s="97">
        <f>GPpcntMjr*(VLOOKUP($A89,FY14ProjRev!$A$3:$K$29,11,FALSE))*VLOOKUP($A89,FY14ProjMajors!$A$4:$T$31,MATCH(G$33,FY14ProjMajors!$A$3:$T$3,0),FALSE)</f>
        <v>0</v>
      </c>
      <c r="H89" s="97">
        <f>GPpcntMjr*(VLOOKUP($A89,FY14ProjRev!$A$3:$K$29,11,FALSE))*VLOOKUP($A89,FY14ProjMajors!$A$4:$T$31,MATCH(H$33,FY14ProjMajors!$A$3:$T$3,0),FALSE)</f>
        <v>0</v>
      </c>
      <c r="I89" s="97">
        <f>GPpcntMjr*(VLOOKUP($A89,FY14ProjRev!$A$3:$K$29,11,FALSE))*VLOOKUP($A89,FY14ProjMajors!$A$4:$T$31,MATCH(I$33,FY14ProjMajors!$A$3:$T$3,0),FALSE)</f>
        <v>0</v>
      </c>
      <c r="J89" s="97">
        <f>GPpcntMjr*(VLOOKUP($A89,FY14ProjRev!$A$3:$K$29,11,FALSE))*VLOOKUP($A89,FY14ProjMajors!$A$4:$T$31,MATCH(J$33,FY14ProjMajors!$A$3:$T$3,0),FALSE)</f>
        <v>0</v>
      </c>
      <c r="K89" s="97">
        <f>GPpcntMjr*(VLOOKUP($A89,FY14ProjRev!$A$3:$K$29,11,FALSE))*VLOOKUP($A89,FY14ProjMajors!$A$4:$T$31,MATCH(K$33,FY14ProjMajors!$A$3:$T$3,0),FALSE)</f>
        <v>0</v>
      </c>
      <c r="L89" s="97">
        <f>GPpcntMjr*(VLOOKUP($A89,FY14ProjRev!$A$3:$K$29,11,FALSE))*VLOOKUP($A89,FY14ProjMajors!$A$4:$T$31,MATCH(L$33,FY14ProjMajors!$A$3:$T$3,0),FALSE)</f>
        <v>0</v>
      </c>
      <c r="M89" s="97">
        <f>GPpcntMjr*(VLOOKUP($A89,FY14ProjRev!$A$3:$K$29,11,FALSE))*VLOOKUP($A89,FY14ProjMajors!$A$4:$T$31,MATCH(M$33,FY14ProjMajors!$A$3:$T$3,0),FALSE)</f>
        <v>3949863.4515105523</v>
      </c>
      <c r="N89" s="97">
        <f>GPpcntMjr*(VLOOKUP($A89,FY14ProjRev!$A$3:$K$29,11,FALSE))*VLOOKUP($A89,FY14ProjMajors!$A$4:$T$31,MATCH(N$33,FY14ProjMajors!$A$3:$T$3,0),FALSE)</f>
        <v>0</v>
      </c>
      <c r="O89" s="97">
        <f>GPpcntMjr*(VLOOKUP($A89,FY14ProjRev!$A$3:$K$29,11,FALSE))*VLOOKUP($A89,FY14ProjMajors!$A$4:$T$31,MATCH(O$33,FY14ProjMajors!$A$3:$T$3,0),FALSE)</f>
        <v>0</v>
      </c>
      <c r="P89" s="97">
        <f>GPpcntMjr*(VLOOKUP($A89,FY14ProjRev!$A$3:$K$29,11,FALSE))*VLOOKUP($A89,FY14ProjMajors!$A$4:$T$31,MATCH(P$33,FY14ProjMajors!$A$3:$T$3,0),FALSE)</f>
        <v>0</v>
      </c>
      <c r="Q89" s="97">
        <f>GPpcntMjr*(VLOOKUP($A89,FY14ProjRev!$A$3:$K$29,11,FALSE))*VLOOKUP($A89,FY14ProjMajors!$A$4:$T$31,MATCH(Q$33,FY14ProjMajors!$A$3:$T$3,0),FALSE)</f>
        <v>0</v>
      </c>
      <c r="R89" s="97">
        <f>GPpcntMjr*(VLOOKUP($A89,FY14ProjRev!$A$3:$K$29,11,FALSE))*VLOOKUP($A89,FY14ProjMajors!$A$4:$T$31,MATCH(R$33,FY14ProjMajors!$A$3:$T$3,0),FALSE)</f>
        <v>0</v>
      </c>
      <c r="S89" s="97">
        <f>GPpcntMjr*(VLOOKUP($A89,FY14ProjRev!$A$3:$K$29,11,FALSE))*VLOOKUP($A89,FY14ProjMajors!$A$4:$T$31,MATCH(S$33,FY14ProjMajors!$A$3:$T$3,0),FALSE)</f>
        <v>0</v>
      </c>
      <c r="T89" s="97">
        <f t="shared" si="31"/>
        <v>3949863.4515105523</v>
      </c>
    </row>
    <row r="90" spans="1:20" ht="15.95" customHeight="1">
      <c r="A90" s="221" t="s">
        <v>163</v>
      </c>
      <c r="B90" s="306" t="s">
        <v>164</v>
      </c>
      <c r="C90" s="102">
        <f>GPpcntMjr*(VLOOKUP($A90,FY14ProjRev!$A$3:$K$29,11,FALSE))*VLOOKUP($A90,FY14ProjMajors!$A$4:$T$31,MATCH(C$33,FY14ProjMajors!$A$3:$T$3,0),FALSE)</f>
        <v>0</v>
      </c>
      <c r="D90" s="102">
        <f>GPpcntMjr*(VLOOKUP($A90,FY14ProjRev!$A$3:$K$29,11,FALSE))*VLOOKUP($A90,FY14ProjMajors!$A$4:$T$31,MATCH(D$33,FY14ProjMajors!$A$3:$T$3,0),FALSE)</f>
        <v>0</v>
      </c>
      <c r="E90" s="102">
        <f>GPpcntMjr*(VLOOKUP($A90,FY14ProjRev!$A$3:$K$29,11,FALSE))*VLOOKUP($A90,FY14ProjMajors!$A$4:$T$31,MATCH(E$33,FY14ProjMajors!$A$3:$T$3,0),FALSE)</f>
        <v>0</v>
      </c>
      <c r="F90" s="102">
        <f>GPpcntMjr*(VLOOKUP($A90,FY14ProjRev!$A$3:$K$29,11,FALSE))*VLOOKUP($A90,FY14ProjMajors!$A$4:$T$31,MATCH(F$33,FY14ProjMajors!$A$3:$T$3,0),FALSE)</f>
        <v>0</v>
      </c>
      <c r="G90" s="102">
        <f>GPpcntMjr*(VLOOKUP($A90,FY14ProjRev!$A$3:$K$29,11,FALSE))*VLOOKUP($A90,FY14ProjMajors!$A$4:$T$31,MATCH(G$33,FY14ProjMajors!$A$3:$T$3,0),FALSE)</f>
        <v>0</v>
      </c>
      <c r="H90" s="102">
        <f>GPpcntMjr*(VLOOKUP($A90,FY14ProjRev!$A$3:$K$29,11,FALSE))*VLOOKUP($A90,FY14ProjMajors!$A$4:$T$31,MATCH(H$33,FY14ProjMajors!$A$3:$T$3,0),FALSE)</f>
        <v>0</v>
      </c>
      <c r="I90" s="102">
        <f>GPpcntMjr*(VLOOKUP($A90,FY14ProjRev!$A$3:$K$29,11,FALSE))*VLOOKUP($A90,FY14ProjMajors!$A$4:$T$31,MATCH(I$33,FY14ProjMajors!$A$3:$T$3,0),FALSE)</f>
        <v>0</v>
      </c>
      <c r="J90" s="102">
        <f>GPpcntMjr*(VLOOKUP($A90,FY14ProjRev!$A$3:$K$29,11,FALSE))*VLOOKUP($A90,FY14ProjMajors!$A$4:$T$31,MATCH(J$33,FY14ProjMajors!$A$3:$T$3,0),FALSE)</f>
        <v>0</v>
      </c>
      <c r="K90" s="102">
        <f>GPpcntMjr*(VLOOKUP($A90,FY14ProjRev!$A$3:$K$29,11,FALSE))*VLOOKUP($A90,FY14ProjMajors!$A$4:$T$31,MATCH(K$33,FY14ProjMajors!$A$3:$T$3,0),FALSE)</f>
        <v>0</v>
      </c>
      <c r="L90" s="102">
        <f>GPpcntMjr*(VLOOKUP($A90,FY14ProjRev!$A$3:$K$29,11,FALSE))*VLOOKUP($A90,FY14ProjMajors!$A$4:$T$31,MATCH(L$33,FY14ProjMajors!$A$3:$T$3,0),FALSE)</f>
        <v>0</v>
      </c>
      <c r="M90" s="102">
        <f>GPpcntMjr*(VLOOKUP($A90,FY14ProjRev!$A$3:$K$29,11,FALSE))*VLOOKUP($A90,FY14ProjMajors!$A$4:$T$31,MATCH(M$33,FY14ProjMajors!$A$3:$T$3,0),FALSE)</f>
        <v>663228.33900462335</v>
      </c>
      <c r="N90" s="102">
        <f>GPpcntMjr*(VLOOKUP($A90,FY14ProjRev!$A$3:$K$29,11,FALSE))*VLOOKUP($A90,FY14ProjMajors!$A$4:$T$31,MATCH(N$33,FY14ProjMajors!$A$3:$T$3,0),FALSE)</f>
        <v>0</v>
      </c>
      <c r="O90" s="102">
        <f>GPpcntMjr*(VLOOKUP($A90,FY14ProjRev!$A$3:$K$29,11,FALSE))*VLOOKUP($A90,FY14ProjMajors!$A$4:$T$31,MATCH(O$33,FY14ProjMajors!$A$3:$T$3,0),FALSE)</f>
        <v>0</v>
      </c>
      <c r="P90" s="102">
        <f>GPpcntMjr*(VLOOKUP($A90,FY14ProjRev!$A$3:$K$29,11,FALSE))*VLOOKUP($A90,FY14ProjMajors!$A$4:$T$31,MATCH(P$33,FY14ProjMajors!$A$3:$T$3,0),FALSE)</f>
        <v>0</v>
      </c>
      <c r="Q90" s="102">
        <f>GPpcntMjr*(VLOOKUP($A90,FY14ProjRev!$A$3:$K$29,11,FALSE))*VLOOKUP($A90,FY14ProjMajors!$A$4:$T$31,MATCH(Q$33,FY14ProjMajors!$A$3:$T$3,0),FALSE)</f>
        <v>0</v>
      </c>
      <c r="R90" s="102">
        <f>GPpcntMjr*(VLOOKUP($A90,FY14ProjRev!$A$3:$K$29,11,FALSE))*VLOOKUP($A90,FY14ProjMajors!$A$4:$T$31,MATCH(R$33,FY14ProjMajors!$A$3:$T$3,0),FALSE)</f>
        <v>0</v>
      </c>
      <c r="S90" s="102">
        <f>GPpcntMjr*(VLOOKUP($A90,FY14ProjRev!$A$3:$K$29,11,FALSE))*VLOOKUP($A90,FY14ProjMajors!$A$4:$T$31,MATCH(S$33,FY14ProjMajors!$A$3:$T$3,0),FALSE)</f>
        <v>0</v>
      </c>
      <c r="T90" s="102">
        <f t="shared" si="31"/>
        <v>663228.33900462335</v>
      </c>
    </row>
    <row r="91" spans="1:20" ht="15.95" customHeight="1">
      <c r="B91" s="271"/>
      <c r="C91" s="300">
        <f t="shared" ref="C91:S91" si="32">SUM(C64:C90)</f>
        <v>4020371.7789391517</v>
      </c>
      <c r="D91" s="300">
        <f t="shared" si="32"/>
        <v>74224415.977817342</v>
      </c>
      <c r="E91" s="300">
        <f t="shared" si="32"/>
        <v>13119339.953177612</v>
      </c>
      <c r="F91" s="300">
        <f t="shared" si="32"/>
        <v>4159685.7880191919</v>
      </c>
      <c r="G91" s="300">
        <f t="shared" si="32"/>
        <v>14917920.706274977</v>
      </c>
      <c r="H91" s="300">
        <f t="shared" si="32"/>
        <v>6005140.2451539738</v>
      </c>
      <c r="I91" s="300">
        <f t="shared" si="32"/>
        <v>1072079.7795904237</v>
      </c>
      <c r="J91" s="300">
        <f t="shared" si="32"/>
        <v>9172595.6072811801</v>
      </c>
      <c r="K91" s="300">
        <f t="shared" si="32"/>
        <v>3222930.8171562646</v>
      </c>
      <c r="L91" s="300">
        <f t="shared" si="32"/>
        <v>2776738.7046625302</v>
      </c>
      <c r="M91" s="300">
        <f t="shared" si="32"/>
        <v>4617786.5486565512</v>
      </c>
      <c r="N91" s="300">
        <f t="shared" si="32"/>
        <v>14587320.96541377</v>
      </c>
      <c r="O91" s="300">
        <f t="shared" si="32"/>
        <v>2761141.9718141961</v>
      </c>
      <c r="P91" s="300">
        <f t="shared" si="32"/>
        <v>4904249.1073553609</v>
      </c>
      <c r="Q91" s="300">
        <f t="shared" si="32"/>
        <v>4807323.1072035981</v>
      </c>
      <c r="R91" s="300">
        <f t="shared" si="32"/>
        <v>475850.50899477501</v>
      </c>
      <c r="S91" s="300">
        <f t="shared" si="32"/>
        <v>2013278.7162400936</v>
      </c>
      <c r="T91" s="300">
        <f t="shared" si="31"/>
        <v>166858170.28375104</v>
      </c>
    </row>
  </sheetData>
  <mergeCells count="1">
    <mergeCell ref="B62:D62"/>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
  <sheetViews>
    <sheetView topLeftCell="C2" workbookViewId="0">
      <selection activeCell="C2" sqref="C2"/>
    </sheetView>
  </sheetViews>
  <sheetFormatPr defaultColWidth="8.85546875" defaultRowHeight="15"/>
  <cols>
    <col min="1" max="1" width="0" style="32" hidden="1" customWidth="1"/>
    <col min="2" max="2" width="30.7109375" style="32" hidden="1" customWidth="1"/>
    <col min="3" max="3" width="47.7109375" style="32" customWidth="1"/>
    <col min="4" max="4" width="15.42578125" style="32" customWidth="1"/>
    <col min="5" max="7" width="18.42578125" style="32" customWidth="1"/>
    <col min="8" max="10" width="18.140625" style="32" customWidth="1"/>
    <col min="11" max="11" width="18.7109375" style="32" customWidth="1"/>
    <col min="12" max="12" width="26.7109375" style="32" customWidth="1"/>
    <col min="13" max="13" width="48.28515625" customWidth="1"/>
    <col min="14" max="14" width="27.7109375" customWidth="1"/>
    <col min="15" max="15" width="16.42578125" customWidth="1"/>
    <col min="16" max="16" width="14.85546875" bestFit="1" customWidth="1"/>
    <col min="17" max="18" width="16.7109375" customWidth="1"/>
    <col min="19" max="19" width="33.42578125" customWidth="1"/>
    <col min="20" max="20" width="11.85546875" bestFit="1" customWidth="1"/>
    <col min="21" max="21" width="14.28515625" customWidth="1"/>
    <col min="22" max="22" width="12.42578125" customWidth="1"/>
    <col min="23" max="16384" width="8.85546875" style="32"/>
  </cols>
  <sheetData>
    <row r="1" spans="1:22" ht="28.5" customHeight="1">
      <c r="C1" s="635" t="s">
        <v>416</v>
      </c>
      <c r="D1" s="635"/>
      <c r="E1" s="635"/>
      <c r="F1" s="635"/>
      <c r="G1" s="635"/>
      <c r="H1" s="635"/>
      <c r="I1" s="636"/>
      <c r="J1" s="635"/>
      <c r="K1" s="635"/>
    </row>
    <row r="2" spans="1:22" s="2" customFormat="1" ht="30">
      <c r="C2" s="162" t="s">
        <v>103</v>
      </c>
      <c r="D2" s="64" t="s">
        <v>124</v>
      </c>
      <c r="E2" s="64" t="s">
        <v>169</v>
      </c>
      <c r="F2" s="163" t="s">
        <v>170</v>
      </c>
      <c r="G2" s="195" t="s">
        <v>176</v>
      </c>
      <c r="H2" s="64" t="s">
        <v>171</v>
      </c>
      <c r="I2" s="611">
        <v>0.01</v>
      </c>
      <c r="J2" s="398"/>
      <c r="K2" s="63" t="s">
        <v>81</v>
      </c>
      <c r="L2" s="169"/>
      <c r="M2"/>
      <c r="N2"/>
      <c r="O2"/>
      <c r="P2"/>
      <c r="Q2"/>
      <c r="R2"/>
      <c r="S2"/>
      <c r="T2"/>
      <c r="U2"/>
      <c r="V2"/>
    </row>
    <row r="3" spans="1:22" ht="15.95" customHeight="1">
      <c r="A3" s="276" t="s">
        <v>128</v>
      </c>
      <c r="B3" s="220" t="s">
        <v>21</v>
      </c>
      <c r="C3" s="156" t="s">
        <v>21</v>
      </c>
      <c r="D3" s="164">
        <v>25687.566671044311</v>
      </c>
      <c r="E3" s="166">
        <v>369301100.40658021</v>
      </c>
      <c r="F3" s="159">
        <f>+FY13Revenue!D3+951000</f>
        <v>13463000</v>
      </c>
      <c r="G3" s="196">
        <v>2797000</v>
      </c>
      <c r="H3" s="14">
        <f>+E3-F3-G3</f>
        <v>353041100.40658021</v>
      </c>
      <c r="I3" s="612">
        <f>+H3-J3</f>
        <v>3530411.0040658116</v>
      </c>
      <c r="J3" s="397">
        <f t="shared" ref="J3:J29" si="0">+H3*(1-I$2)</f>
        <v>349510689.4025144</v>
      </c>
      <c r="K3" s="51">
        <f>0.7*J3</f>
        <v>244657482.58176005</v>
      </c>
    </row>
    <row r="4" spans="1:22" ht="15.95" customHeight="1">
      <c r="A4" s="277" t="s">
        <v>129</v>
      </c>
      <c r="B4" s="222" t="s">
        <v>35</v>
      </c>
      <c r="C4" s="156" t="s">
        <v>35</v>
      </c>
      <c r="D4" s="164">
        <v>3044.1444444278782</v>
      </c>
      <c r="E4" s="166">
        <v>20395163.209136263</v>
      </c>
      <c r="F4" s="159"/>
      <c r="G4" s="196"/>
      <c r="H4" s="14">
        <f t="shared" ref="H4:H29" si="1">+E4-F4</f>
        <v>20395163.209136263</v>
      </c>
      <c r="I4" s="612">
        <f t="shared" ref="I4:I32" si="2">+H4-J4</f>
        <v>203951.63209136203</v>
      </c>
      <c r="J4" s="190">
        <f t="shared" si="0"/>
        <v>20191211.577044901</v>
      </c>
      <c r="K4" s="51">
        <f t="shared" ref="K4:K29" si="3">0.7*J4</f>
        <v>14133848.103931429</v>
      </c>
    </row>
    <row r="5" spans="1:22" ht="15.95" customHeight="1">
      <c r="A5" s="277" t="s">
        <v>140</v>
      </c>
      <c r="B5" s="222" t="s">
        <v>36</v>
      </c>
      <c r="C5" s="156" t="s">
        <v>36</v>
      </c>
      <c r="D5" s="164">
        <v>161.93333333256032</v>
      </c>
      <c r="E5" s="166">
        <v>1645635.5964781682</v>
      </c>
      <c r="F5" s="159"/>
      <c r="G5" s="196"/>
      <c r="H5" s="14">
        <f t="shared" si="1"/>
        <v>1645635.5964781682</v>
      </c>
      <c r="I5" s="612">
        <f t="shared" si="2"/>
        <v>16456.355964781716</v>
      </c>
      <c r="J5" s="190">
        <f t="shared" si="0"/>
        <v>1629179.2405133864</v>
      </c>
      <c r="K5" s="51">
        <f t="shared" si="3"/>
        <v>1140425.4683593705</v>
      </c>
    </row>
    <row r="6" spans="1:22" ht="15.95" customHeight="1">
      <c r="A6" s="277" t="s">
        <v>130</v>
      </c>
      <c r="B6" s="222" t="s">
        <v>37</v>
      </c>
      <c r="C6" s="156" t="s">
        <v>37</v>
      </c>
      <c r="D6" s="164">
        <v>1029.1611110981196</v>
      </c>
      <c r="E6" s="166">
        <v>10636356.340342503</v>
      </c>
      <c r="F6" s="159"/>
      <c r="G6" s="196"/>
      <c r="H6" s="14">
        <f t="shared" si="1"/>
        <v>10636356.340342503</v>
      </c>
      <c r="I6" s="612">
        <f t="shared" si="2"/>
        <v>106363.56340342574</v>
      </c>
      <c r="J6" s="190">
        <f t="shared" si="0"/>
        <v>10529992.776939077</v>
      </c>
      <c r="K6" s="51">
        <f t="shared" si="3"/>
        <v>7370994.9438573532</v>
      </c>
    </row>
    <row r="7" spans="1:22" ht="15.95" customHeight="1">
      <c r="A7" s="222" t="s">
        <v>131</v>
      </c>
      <c r="B7" s="222" t="s">
        <v>141</v>
      </c>
      <c r="C7" s="156" t="s">
        <v>141</v>
      </c>
      <c r="D7" s="164">
        <v>557.61111110643833</v>
      </c>
      <c r="E7" s="166">
        <v>5161604.8881629296</v>
      </c>
      <c r="F7" s="159"/>
      <c r="G7" s="196"/>
      <c r="H7" s="14">
        <f t="shared" si="1"/>
        <v>5161604.8881629296</v>
      </c>
      <c r="I7" s="612">
        <f t="shared" si="2"/>
        <v>51616.048881629482</v>
      </c>
      <c r="J7" s="190">
        <f t="shared" si="0"/>
        <v>5109988.8392813001</v>
      </c>
      <c r="K7" s="51">
        <f t="shared" si="3"/>
        <v>3576992.1874969099</v>
      </c>
    </row>
    <row r="8" spans="1:22" ht="15.95" customHeight="1">
      <c r="A8" s="222" t="s">
        <v>132</v>
      </c>
      <c r="B8" s="222" t="s">
        <v>142</v>
      </c>
      <c r="C8" s="156" t="s">
        <v>142</v>
      </c>
      <c r="D8" s="164">
        <v>396.79999999895142</v>
      </c>
      <c r="E8" s="166">
        <v>4011611.029448607</v>
      </c>
      <c r="F8" s="159"/>
      <c r="G8" s="196"/>
      <c r="H8" s="14">
        <f t="shared" si="1"/>
        <v>4011611.029448607</v>
      </c>
      <c r="I8" s="612">
        <f t="shared" si="2"/>
        <v>40116.11029448593</v>
      </c>
      <c r="J8" s="190">
        <f t="shared" si="0"/>
        <v>3971494.9191541211</v>
      </c>
      <c r="K8" s="51">
        <f t="shared" si="3"/>
        <v>2780046.4434078848</v>
      </c>
    </row>
    <row r="9" spans="1:22" ht="15.95" customHeight="1">
      <c r="A9" s="222" t="s">
        <v>133</v>
      </c>
      <c r="B9" s="222" t="s">
        <v>143</v>
      </c>
      <c r="C9" s="156" t="s">
        <v>143</v>
      </c>
      <c r="D9" s="164">
        <v>235.54444444409035</v>
      </c>
      <c r="E9" s="166">
        <v>2172634.8896565936</v>
      </c>
      <c r="F9" s="159"/>
      <c r="G9" s="196"/>
      <c r="H9" s="14">
        <f t="shared" si="1"/>
        <v>2172634.8896565936</v>
      </c>
      <c r="I9" s="612">
        <f t="shared" si="2"/>
        <v>21726.348896565847</v>
      </c>
      <c r="J9" s="190">
        <f t="shared" si="0"/>
        <v>2150908.5407600277</v>
      </c>
      <c r="K9" s="51">
        <f t="shared" si="3"/>
        <v>1505635.9785320193</v>
      </c>
    </row>
    <row r="10" spans="1:22" ht="15.95" customHeight="1">
      <c r="A10" s="222" t="s">
        <v>134</v>
      </c>
      <c r="B10" s="222" t="s">
        <v>40</v>
      </c>
      <c r="C10" s="156" t="s">
        <v>40</v>
      </c>
      <c r="D10" s="164">
        <v>6.3999999999499995</v>
      </c>
      <c r="E10" s="166">
        <v>62162.91255999999</v>
      </c>
      <c r="F10" s="159"/>
      <c r="G10" s="196"/>
      <c r="H10" s="14">
        <f t="shared" si="1"/>
        <v>62162.91255999999</v>
      </c>
      <c r="I10" s="612">
        <f t="shared" si="2"/>
        <v>621.62912560000404</v>
      </c>
      <c r="J10" s="190">
        <f t="shared" si="0"/>
        <v>61541.283434399986</v>
      </c>
      <c r="K10" s="51">
        <f t="shared" si="3"/>
        <v>43078.898404079984</v>
      </c>
    </row>
    <row r="11" spans="1:22" ht="15.95" customHeight="1">
      <c r="A11" s="222" t="s">
        <v>135</v>
      </c>
      <c r="B11" s="222" t="s">
        <v>70</v>
      </c>
      <c r="C11" s="156" t="s">
        <v>70</v>
      </c>
      <c r="D11" s="164">
        <v>325.32222222089109</v>
      </c>
      <c r="E11" s="166">
        <v>3677048.7830031952</v>
      </c>
      <c r="F11" s="159"/>
      <c r="G11" s="196"/>
      <c r="H11" s="14">
        <f t="shared" si="1"/>
        <v>3677048.7830031952</v>
      </c>
      <c r="I11" s="612">
        <f t="shared" si="2"/>
        <v>36770.487830032129</v>
      </c>
      <c r="J11" s="190">
        <f t="shared" si="0"/>
        <v>3640278.2951731631</v>
      </c>
      <c r="K11" s="51">
        <f t="shared" si="3"/>
        <v>2548194.8066212139</v>
      </c>
    </row>
    <row r="12" spans="1:22" ht="15.95" customHeight="1">
      <c r="A12" s="222" t="s">
        <v>136</v>
      </c>
      <c r="B12" s="222" t="s">
        <v>144</v>
      </c>
      <c r="C12" s="156" t="s">
        <v>144</v>
      </c>
      <c r="D12" s="164">
        <v>339.6722222177192</v>
      </c>
      <c r="E12" s="166">
        <v>3647116.1837926218</v>
      </c>
      <c r="F12" s="159"/>
      <c r="G12" s="196"/>
      <c r="H12" s="14">
        <f t="shared" si="1"/>
        <v>3647116.1837926218</v>
      </c>
      <c r="I12" s="612">
        <f t="shared" si="2"/>
        <v>36471.161837926134</v>
      </c>
      <c r="J12" s="190">
        <f t="shared" si="0"/>
        <v>3610645.0219546957</v>
      </c>
      <c r="K12" s="51">
        <f t="shared" si="3"/>
        <v>2527451.515368287</v>
      </c>
    </row>
    <row r="13" spans="1:22" ht="15.95" customHeight="1">
      <c r="A13" s="222" t="s">
        <v>137</v>
      </c>
      <c r="B13" s="222" t="s">
        <v>49</v>
      </c>
      <c r="C13" s="156" t="s">
        <v>49</v>
      </c>
      <c r="D13" s="164">
        <v>176.76111110842018</v>
      </c>
      <c r="E13" s="166">
        <v>1752912.9423965178</v>
      </c>
      <c r="F13" s="159"/>
      <c r="G13" s="196"/>
      <c r="H13" s="14">
        <f t="shared" si="1"/>
        <v>1752912.9423965178</v>
      </c>
      <c r="I13" s="612">
        <f t="shared" si="2"/>
        <v>17529.129423965234</v>
      </c>
      <c r="J13" s="190">
        <f t="shared" si="0"/>
        <v>1735383.8129725526</v>
      </c>
      <c r="K13" s="51">
        <f t="shared" si="3"/>
        <v>1214768.6690807866</v>
      </c>
    </row>
    <row r="14" spans="1:22" ht="15.95" customHeight="1">
      <c r="A14" s="222" t="s">
        <v>138</v>
      </c>
      <c r="B14" s="222" t="s">
        <v>157</v>
      </c>
      <c r="C14" s="156" t="s">
        <v>157</v>
      </c>
      <c r="D14" s="164">
        <v>138.73333333325002</v>
      </c>
      <c r="E14" s="166">
        <v>1883988.559672921</v>
      </c>
      <c r="F14" s="159"/>
      <c r="G14" s="196"/>
      <c r="H14" s="14">
        <f t="shared" si="1"/>
        <v>1883988.559672921</v>
      </c>
      <c r="I14" s="612">
        <f t="shared" si="2"/>
        <v>18839.885596729117</v>
      </c>
      <c r="J14" s="190">
        <f t="shared" si="0"/>
        <v>1865148.6740761918</v>
      </c>
      <c r="K14" s="51">
        <f t="shared" si="3"/>
        <v>1305604.0718533343</v>
      </c>
    </row>
    <row r="15" spans="1:22" ht="15.95" customHeight="1">
      <c r="A15" s="222" t="s">
        <v>145</v>
      </c>
      <c r="B15" s="222" t="s">
        <v>146</v>
      </c>
      <c r="C15" s="156" t="s">
        <v>146</v>
      </c>
      <c r="D15" s="164">
        <v>190.01111111167995</v>
      </c>
      <c r="E15" s="166">
        <v>2849496.5562964547</v>
      </c>
      <c r="F15" s="159"/>
      <c r="G15" s="196"/>
      <c r="H15" s="14">
        <f t="shared" si="1"/>
        <v>2849496.5562964547</v>
      </c>
      <c r="I15" s="612">
        <f t="shared" si="2"/>
        <v>28494.96556296479</v>
      </c>
      <c r="J15" s="190">
        <f t="shared" si="0"/>
        <v>2821001.59073349</v>
      </c>
      <c r="K15" s="51">
        <f t="shared" si="3"/>
        <v>1974701.1135134429</v>
      </c>
    </row>
    <row r="16" spans="1:22" ht="15.95" customHeight="1">
      <c r="A16" s="222" t="s">
        <v>147</v>
      </c>
      <c r="B16" s="222" t="s">
        <v>165</v>
      </c>
      <c r="C16" s="156" t="s">
        <v>85</v>
      </c>
      <c r="D16" s="164">
        <v>9.2777777776299999</v>
      </c>
      <c r="E16" s="166">
        <v>177125.90399999998</v>
      </c>
      <c r="F16" s="159"/>
      <c r="G16" s="196"/>
      <c r="H16" s="14">
        <f t="shared" si="1"/>
        <v>177125.90399999998</v>
      </c>
      <c r="I16" s="612">
        <f t="shared" si="2"/>
        <v>1771.2590400000045</v>
      </c>
      <c r="J16" s="190">
        <f t="shared" si="0"/>
        <v>175354.64495999998</v>
      </c>
      <c r="K16" s="51">
        <f t="shared" si="3"/>
        <v>122748.25147199997</v>
      </c>
    </row>
    <row r="17" spans="1:13" ht="15.95" customHeight="1">
      <c r="A17" s="222" t="s">
        <v>174</v>
      </c>
      <c r="B17" s="222" t="s">
        <v>167</v>
      </c>
      <c r="C17" s="156" t="s">
        <v>167</v>
      </c>
      <c r="D17" s="164">
        <v>6</v>
      </c>
      <c r="E17" s="166">
        <v>124664</v>
      </c>
      <c r="F17" s="159"/>
      <c r="G17" s="196"/>
      <c r="H17" s="14">
        <f t="shared" si="1"/>
        <v>124664</v>
      </c>
      <c r="I17" s="612">
        <f t="shared" si="2"/>
        <v>1246.6399999999994</v>
      </c>
      <c r="J17" s="190">
        <f t="shared" si="0"/>
        <v>123417.36</v>
      </c>
      <c r="K17" s="51">
        <f t="shared" si="3"/>
        <v>86392.152000000002</v>
      </c>
    </row>
    <row r="18" spans="1:13" ht="15.95" customHeight="1">
      <c r="A18" s="222" t="s">
        <v>158</v>
      </c>
      <c r="B18" s="222" t="s">
        <v>166</v>
      </c>
      <c r="C18" s="156" t="s">
        <v>159</v>
      </c>
      <c r="D18" s="164">
        <v>7.8222222221799989</v>
      </c>
      <c r="E18" s="166">
        <v>195970.712</v>
      </c>
      <c r="F18" s="159"/>
      <c r="G18" s="196"/>
      <c r="H18" s="14">
        <f t="shared" si="1"/>
        <v>195970.712</v>
      </c>
      <c r="I18" s="612">
        <f t="shared" si="2"/>
        <v>1959.7071200000064</v>
      </c>
      <c r="J18" s="190">
        <f t="shared" si="0"/>
        <v>194011.00487999999</v>
      </c>
      <c r="K18" s="51">
        <f t="shared" si="3"/>
        <v>135807.70341599997</v>
      </c>
    </row>
    <row r="19" spans="1:13" ht="15.95" customHeight="1">
      <c r="A19" s="222" t="s">
        <v>148</v>
      </c>
      <c r="B19" s="222" t="s">
        <v>39</v>
      </c>
      <c r="C19" s="156" t="s">
        <v>39</v>
      </c>
      <c r="D19" s="164">
        <v>420.21111110153061</v>
      </c>
      <c r="E19" s="166">
        <v>6249646.4584974628</v>
      </c>
      <c r="F19" s="159"/>
      <c r="G19" s="196"/>
      <c r="H19" s="14">
        <f t="shared" si="1"/>
        <v>6249646.4584974628</v>
      </c>
      <c r="I19" s="612">
        <f t="shared" si="2"/>
        <v>62496.464584974572</v>
      </c>
      <c r="J19" s="190">
        <f t="shared" si="0"/>
        <v>6187149.9939124882</v>
      </c>
      <c r="K19" s="51">
        <f t="shared" si="3"/>
        <v>4331004.9957387419</v>
      </c>
    </row>
    <row r="20" spans="1:13" ht="15.95" customHeight="1">
      <c r="A20" s="277" t="s">
        <v>175</v>
      </c>
      <c r="B20" s="222" t="s">
        <v>168</v>
      </c>
      <c r="C20" s="156" t="s">
        <v>168</v>
      </c>
      <c r="D20" s="164">
        <v>5</v>
      </c>
      <c r="E20" s="166">
        <v>159375</v>
      </c>
      <c r="F20" s="159"/>
      <c r="G20" s="196"/>
      <c r="H20" s="14">
        <f t="shared" si="1"/>
        <v>159375</v>
      </c>
      <c r="I20" s="612">
        <f t="shared" si="2"/>
        <v>1593.75</v>
      </c>
      <c r="J20" s="190">
        <f t="shared" si="0"/>
        <v>157781.25</v>
      </c>
      <c r="K20" s="51">
        <f t="shared" si="3"/>
        <v>110446.875</v>
      </c>
    </row>
    <row r="21" spans="1:13" ht="15.95" customHeight="1">
      <c r="A21" s="222" t="s">
        <v>149</v>
      </c>
      <c r="B21" s="222" t="s">
        <v>38</v>
      </c>
      <c r="C21" s="156" t="s">
        <v>38</v>
      </c>
      <c r="D21" s="164">
        <v>325.18888888490011</v>
      </c>
      <c r="E21" s="166">
        <v>5447174.3363947915</v>
      </c>
      <c r="F21" s="159"/>
      <c r="G21" s="196"/>
      <c r="H21" s="14">
        <f t="shared" si="1"/>
        <v>5447174.3363947915</v>
      </c>
      <c r="I21" s="612">
        <f t="shared" si="2"/>
        <v>54471.743363947608</v>
      </c>
      <c r="J21" s="190">
        <f t="shared" si="0"/>
        <v>5392702.5930308439</v>
      </c>
      <c r="K21" s="51">
        <f t="shared" si="3"/>
        <v>3774891.8151215906</v>
      </c>
    </row>
    <row r="22" spans="1:13" ht="15.95" customHeight="1">
      <c r="A22" s="222" t="s">
        <v>150</v>
      </c>
      <c r="B22" s="222" t="s">
        <v>31</v>
      </c>
      <c r="C22" s="156" t="s">
        <v>31</v>
      </c>
      <c r="D22" s="164">
        <v>808.11111110834224</v>
      </c>
      <c r="E22" s="166">
        <v>15524466.302948367</v>
      </c>
      <c r="F22" s="159"/>
      <c r="G22" s="196"/>
      <c r="H22" s="14">
        <f t="shared" si="1"/>
        <v>15524466.302948367</v>
      </c>
      <c r="I22" s="612">
        <f t="shared" si="2"/>
        <v>155244.66302948445</v>
      </c>
      <c r="J22" s="190">
        <f t="shared" si="0"/>
        <v>15369221.639918882</v>
      </c>
      <c r="K22" s="51">
        <f t="shared" si="3"/>
        <v>10758455.147943217</v>
      </c>
    </row>
    <row r="23" spans="1:13" ht="15.95" customHeight="1">
      <c r="A23" s="222" t="s">
        <v>151</v>
      </c>
      <c r="B23" s="222" t="s">
        <v>152</v>
      </c>
      <c r="C23" s="156" t="s">
        <v>152</v>
      </c>
      <c r="D23" s="164">
        <v>53.788888888830002</v>
      </c>
      <c r="E23" s="166">
        <v>1085318.8083150627</v>
      </c>
      <c r="F23" s="159"/>
      <c r="G23" s="196"/>
      <c r="H23" s="14">
        <f t="shared" si="1"/>
        <v>1085318.8083150627</v>
      </c>
      <c r="I23" s="612">
        <f t="shared" si="2"/>
        <v>10853.188083150657</v>
      </c>
      <c r="J23" s="190">
        <f t="shared" si="0"/>
        <v>1074465.620231912</v>
      </c>
      <c r="K23" s="51">
        <f t="shared" si="3"/>
        <v>752125.93416233838</v>
      </c>
    </row>
    <row r="24" spans="1:13" ht="15.95" customHeight="1">
      <c r="A24" s="222" t="s">
        <v>160</v>
      </c>
      <c r="B24" s="222" t="s">
        <v>161</v>
      </c>
      <c r="C24" s="156" t="s">
        <v>161</v>
      </c>
      <c r="D24" s="164">
        <v>15.866666666620004</v>
      </c>
      <c r="E24" s="166">
        <v>304030.72187720682</v>
      </c>
      <c r="F24" s="159"/>
      <c r="G24" s="196"/>
      <c r="H24" s="14">
        <f t="shared" si="1"/>
        <v>304030.72187720682</v>
      </c>
      <c r="I24" s="612">
        <f t="shared" si="2"/>
        <v>3040.3072187720682</v>
      </c>
      <c r="J24" s="190">
        <f t="shared" si="0"/>
        <v>300990.41465843475</v>
      </c>
      <c r="K24" s="51">
        <f t="shared" si="3"/>
        <v>210693.29026090432</v>
      </c>
    </row>
    <row r="25" spans="1:13" ht="15.95" customHeight="1">
      <c r="A25" s="222" t="s">
        <v>153</v>
      </c>
      <c r="B25" s="222" t="s">
        <v>100</v>
      </c>
      <c r="C25" s="156" t="s">
        <v>154</v>
      </c>
      <c r="D25" s="164">
        <v>89.700000000010078</v>
      </c>
      <c r="E25" s="166">
        <v>1663723.2275368809</v>
      </c>
      <c r="F25" s="159"/>
      <c r="G25" s="196"/>
      <c r="H25" s="14">
        <f t="shared" si="1"/>
        <v>1663723.2275368809</v>
      </c>
      <c r="I25" s="612">
        <f t="shared" si="2"/>
        <v>16637.232275368879</v>
      </c>
      <c r="J25" s="190">
        <f t="shared" si="0"/>
        <v>1647085.995261512</v>
      </c>
      <c r="K25" s="51">
        <f t="shared" si="3"/>
        <v>1152960.1966830583</v>
      </c>
    </row>
    <row r="26" spans="1:13" ht="15.95" customHeight="1">
      <c r="A26" s="222" t="s">
        <v>155</v>
      </c>
      <c r="B26" s="222" t="s">
        <v>42</v>
      </c>
      <c r="C26" s="156" t="s">
        <v>42</v>
      </c>
      <c r="D26" s="164">
        <v>577.44999999928791</v>
      </c>
      <c r="E26" s="166">
        <v>8460502.2642171104</v>
      </c>
      <c r="F26" s="159"/>
      <c r="G26" s="196"/>
      <c r="H26" s="14">
        <f t="shared" si="1"/>
        <v>8460502.2642171104</v>
      </c>
      <c r="I26" s="612">
        <f t="shared" si="2"/>
        <v>84605.02264217101</v>
      </c>
      <c r="J26" s="190">
        <f t="shared" si="0"/>
        <v>8375897.2415749393</v>
      </c>
      <c r="K26" s="51">
        <f t="shared" si="3"/>
        <v>5863128.0691024568</v>
      </c>
    </row>
    <row r="27" spans="1:13" ht="15.95" customHeight="1">
      <c r="A27" s="222" t="s">
        <v>162</v>
      </c>
      <c r="B27" s="222" t="s">
        <v>76</v>
      </c>
      <c r="C27" s="156" t="s">
        <v>76</v>
      </c>
      <c r="D27" s="164">
        <v>1420.1333333274501</v>
      </c>
      <c r="E27" s="166">
        <v>18841573.152003292</v>
      </c>
      <c r="F27" s="159"/>
      <c r="G27" s="196"/>
      <c r="H27" s="14">
        <f t="shared" si="1"/>
        <v>18841573.152003292</v>
      </c>
      <c r="I27" s="612">
        <f t="shared" si="2"/>
        <v>188415.73152003437</v>
      </c>
      <c r="J27" s="190">
        <f t="shared" si="0"/>
        <v>18653157.420483258</v>
      </c>
      <c r="K27" s="51">
        <f t="shared" si="3"/>
        <v>13057210.194338279</v>
      </c>
    </row>
    <row r="28" spans="1:13" ht="15.95" customHeight="1">
      <c r="A28" s="222" t="s">
        <v>156</v>
      </c>
      <c r="B28" s="222" t="s">
        <v>77</v>
      </c>
      <c r="C28" s="156" t="s">
        <v>77</v>
      </c>
      <c r="D28" s="164">
        <v>525.89999999118982</v>
      </c>
      <c r="E28" s="166">
        <v>7124573.3252354851</v>
      </c>
      <c r="F28" s="159"/>
      <c r="G28" s="196"/>
      <c r="H28" s="14">
        <f t="shared" si="1"/>
        <v>7124573.3252354851</v>
      </c>
      <c r="I28" s="612">
        <f t="shared" si="2"/>
        <v>71245.733252354898</v>
      </c>
      <c r="J28" s="190">
        <f t="shared" si="0"/>
        <v>7053327.5919831302</v>
      </c>
      <c r="K28" s="51">
        <f t="shared" si="3"/>
        <v>4937329.3143881904</v>
      </c>
    </row>
    <row r="29" spans="1:13" ht="15.95" customHeight="1">
      <c r="A29" s="221" t="s">
        <v>163</v>
      </c>
      <c r="B29" s="221" t="s">
        <v>164</v>
      </c>
      <c r="C29" s="156" t="s">
        <v>164</v>
      </c>
      <c r="D29" s="164">
        <v>87.499999998850001</v>
      </c>
      <c r="E29" s="166">
        <v>1196299.3127789022</v>
      </c>
      <c r="F29" s="159"/>
      <c r="G29" s="196"/>
      <c r="H29" s="14">
        <f t="shared" si="1"/>
        <v>1196299.3127789022</v>
      </c>
      <c r="I29" s="612">
        <f t="shared" si="2"/>
        <v>11962.993127789116</v>
      </c>
      <c r="J29" s="190">
        <f t="shared" si="0"/>
        <v>1184336.3196511131</v>
      </c>
      <c r="K29" s="51">
        <f t="shared" si="3"/>
        <v>829035.42375577916</v>
      </c>
      <c r="L29" s="610" t="s">
        <v>335</v>
      </c>
    </row>
    <row r="30" spans="1:13" ht="15.75" customHeight="1">
      <c r="C30" s="157" t="s">
        <v>106</v>
      </c>
      <c r="D30" s="154">
        <f t="shared" ref="D30:K30" si="4">SUM(D3:D29)</f>
        <v>36641.611115411084</v>
      </c>
      <c r="E30" s="167">
        <f t="shared" si="4"/>
        <v>493751275.82333153</v>
      </c>
      <c r="F30" s="167">
        <f t="shared" si="4"/>
        <v>13463000</v>
      </c>
      <c r="G30" s="191">
        <f>SUM(G3:G29)</f>
        <v>2797000</v>
      </c>
      <c r="H30" s="167">
        <f t="shared" si="4"/>
        <v>477491275.82333153</v>
      </c>
      <c r="I30" s="475">
        <f>SUM(I3:I29)</f>
        <v>4774912.7582333274</v>
      </c>
      <c r="J30" s="191">
        <f t="shared" si="4"/>
        <v>472716363.06509829</v>
      </c>
      <c r="K30" s="66">
        <f t="shared" si="4"/>
        <v>330901454.14556867</v>
      </c>
      <c r="L30" s="606">
        <f>+J30-K30</f>
        <v>141814908.91952962</v>
      </c>
      <c r="M30" s="8"/>
    </row>
    <row r="31" spans="1:13" ht="18.75" customHeight="1">
      <c r="C31" s="157" t="s">
        <v>107</v>
      </c>
      <c r="D31" s="186">
        <v>3900</v>
      </c>
      <c r="E31" s="70">
        <v>47232477</v>
      </c>
      <c r="F31" s="187">
        <f>+FY13Revenue!D25+551000</f>
        <v>2695600</v>
      </c>
      <c r="G31" s="191">
        <v>134000</v>
      </c>
      <c r="H31" s="167">
        <f>+E31-F31-G31</f>
        <v>44402877</v>
      </c>
      <c r="I31" s="475">
        <f t="shared" si="2"/>
        <v>444028.77000000328</v>
      </c>
      <c r="J31" s="192">
        <f>+H31*(1-I$2)</f>
        <v>43958848.229999997</v>
      </c>
      <c r="K31" s="52"/>
    </row>
    <row r="32" spans="1:13">
      <c r="C32" s="157" t="s">
        <v>108</v>
      </c>
      <c r="D32" s="186">
        <v>3781</v>
      </c>
      <c r="E32" s="70">
        <v>43157527</v>
      </c>
      <c r="F32" s="187">
        <f>+FY13Revenue!D26+464000</f>
        <v>2467400</v>
      </c>
      <c r="G32" s="191">
        <v>69000</v>
      </c>
      <c r="H32" s="167">
        <f>+E32-F32-G32</f>
        <v>40621127</v>
      </c>
      <c r="I32" s="475">
        <f t="shared" si="2"/>
        <v>406211.27000000328</v>
      </c>
      <c r="J32" s="192">
        <f>+H32*(1-I$2)</f>
        <v>40214915.729999997</v>
      </c>
      <c r="K32" s="52"/>
    </row>
    <row r="33" spans="3:12">
      <c r="C33" s="158" t="s">
        <v>109</v>
      </c>
      <c r="D33" s="188">
        <f t="shared" ref="D33:J33" si="5">SUM(D30:D32)</f>
        <v>44322.611115411084</v>
      </c>
      <c r="E33" s="73">
        <f t="shared" si="5"/>
        <v>584141279.82333159</v>
      </c>
      <c r="F33" s="189">
        <f t="shared" si="5"/>
        <v>18626000</v>
      </c>
      <c r="G33" s="191">
        <f t="shared" si="5"/>
        <v>3000000</v>
      </c>
      <c r="H33" s="73">
        <f t="shared" si="5"/>
        <v>562515279.82333159</v>
      </c>
      <c r="I33" s="478">
        <f>SUM(I30:I32)</f>
        <v>5625152.798233334</v>
      </c>
      <c r="J33" s="193">
        <f t="shared" si="5"/>
        <v>556890127.02509832</v>
      </c>
      <c r="K33" s="53"/>
      <c r="L33" s="8"/>
    </row>
    <row r="34" spans="3:12">
      <c r="D34" s="165"/>
      <c r="E34" s="165"/>
      <c r="F34" s="8">
        <f>+F33-16660000</f>
        <v>1966000</v>
      </c>
      <c r="H34" s="7"/>
      <c r="I34" s="7"/>
      <c r="J34" s="7"/>
      <c r="K34" s="10"/>
    </row>
    <row r="35" spans="3:12">
      <c r="J35" s="8"/>
      <c r="K35" s="8"/>
    </row>
    <row r="36" spans="3:12">
      <c r="C36"/>
      <c r="D36"/>
      <c r="E36"/>
      <c r="F36"/>
    </row>
    <row r="37" spans="3:12">
      <c r="C37"/>
      <c r="D37"/>
      <c r="E37"/>
      <c r="F37"/>
      <c r="J37" s="8"/>
    </row>
    <row r="38" spans="3:12">
      <c r="C38"/>
      <c r="D38"/>
      <c r="E38"/>
      <c r="F38"/>
    </row>
    <row r="39" spans="3:12">
      <c r="C39"/>
      <c r="D39"/>
      <c r="E39"/>
      <c r="F39"/>
    </row>
    <row r="40" spans="3:12">
      <c r="C40"/>
      <c r="D40"/>
      <c r="E40"/>
      <c r="F40"/>
    </row>
    <row r="41" spans="3:12">
      <c r="C41"/>
      <c r="D41"/>
      <c r="E41"/>
      <c r="F41"/>
    </row>
    <row r="42" spans="3:12">
      <c r="C42"/>
      <c r="D42"/>
      <c r="E42"/>
      <c r="F42"/>
    </row>
    <row r="43" spans="3:12">
      <c r="C43"/>
      <c r="D43"/>
      <c r="E43"/>
      <c r="F43"/>
    </row>
    <row r="44" spans="3:12">
      <c r="C44"/>
      <c r="D44"/>
      <c r="E44"/>
      <c r="F44"/>
    </row>
    <row r="45" spans="3:12">
      <c r="C45"/>
      <c r="D45"/>
      <c r="E45"/>
      <c r="F45"/>
    </row>
    <row r="46" spans="3:12">
      <c r="C46"/>
      <c r="D46"/>
      <c r="E46"/>
      <c r="F46"/>
    </row>
    <row r="47" spans="3:12">
      <c r="C47"/>
      <c r="D47"/>
      <c r="E47"/>
      <c r="F47"/>
    </row>
    <row r="48" spans="3:12">
      <c r="C48"/>
      <c r="D48"/>
      <c r="E48"/>
      <c r="F48"/>
    </row>
    <row r="49" spans="1:9">
      <c r="C49"/>
      <c r="D49"/>
      <c r="E49"/>
      <c r="F49"/>
    </row>
    <row r="50" spans="1:9">
      <c r="C50"/>
      <c r="D50"/>
      <c r="E50"/>
      <c r="F50"/>
    </row>
    <row r="51" spans="1:9">
      <c r="C51"/>
      <c r="D51"/>
      <c r="E51"/>
      <c r="F51"/>
    </row>
    <row r="52" spans="1:9">
      <c r="C52"/>
      <c r="D52"/>
      <c r="E52"/>
      <c r="F52"/>
    </row>
    <row r="53" spans="1:9">
      <c r="C53"/>
      <c r="D53"/>
      <c r="E53"/>
      <c r="F53"/>
    </row>
    <row r="54" spans="1:9" customFormat="1">
      <c r="A54" s="32"/>
      <c r="B54" s="32"/>
      <c r="G54" s="32"/>
      <c r="I54" s="32"/>
    </row>
    <row r="55" spans="1:9" customFormat="1">
      <c r="A55" s="32"/>
      <c r="B55" s="32"/>
      <c r="G55" s="32"/>
      <c r="I55" s="32"/>
    </row>
    <row r="56" spans="1:9" customFormat="1">
      <c r="A56" s="32"/>
      <c r="B56" s="32"/>
      <c r="G56" s="32"/>
      <c r="I56" s="32"/>
    </row>
    <row r="57" spans="1:9" customFormat="1">
      <c r="A57" s="32"/>
      <c r="B57" s="32"/>
      <c r="G57" s="32"/>
      <c r="I57" s="32"/>
    </row>
    <row r="58" spans="1:9" customFormat="1">
      <c r="A58" s="32"/>
      <c r="B58" s="32"/>
      <c r="G58" s="32"/>
      <c r="I58" s="32"/>
    </row>
    <row r="59" spans="1:9" customFormat="1">
      <c r="A59" s="32"/>
      <c r="B59" s="32"/>
      <c r="G59" s="32"/>
      <c r="I59" s="32"/>
    </row>
    <row r="60" spans="1:9" customFormat="1">
      <c r="A60" s="32"/>
      <c r="B60" s="32"/>
      <c r="G60" s="32"/>
      <c r="I60" s="32"/>
    </row>
    <row r="61" spans="1:9" customFormat="1">
      <c r="A61" s="32"/>
      <c r="B61" s="32"/>
      <c r="G61" s="32"/>
      <c r="I61" s="32"/>
    </row>
    <row r="62" spans="1:9" customFormat="1">
      <c r="A62" s="32"/>
      <c r="B62" s="32"/>
      <c r="G62" s="32"/>
      <c r="I62" s="32"/>
    </row>
    <row r="63" spans="1:9" customFormat="1">
      <c r="A63" s="32"/>
      <c r="B63" s="32"/>
      <c r="G63" s="32"/>
      <c r="I63" s="32"/>
    </row>
    <row r="64" spans="1:9" customFormat="1">
      <c r="A64" s="32"/>
      <c r="B64" s="32"/>
      <c r="G64" s="32"/>
      <c r="I64" s="32"/>
    </row>
    <row r="65" spans="1:9" customFormat="1">
      <c r="A65" s="32"/>
      <c r="B65" s="32"/>
      <c r="G65" s="32"/>
      <c r="I65" s="32"/>
    </row>
    <row r="66" spans="1:9" customFormat="1">
      <c r="A66" s="32"/>
      <c r="B66" s="32"/>
      <c r="G66" s="32"/>
      <c r="I66" s="32"/>
    </row>
    <row r="67" spans="1:9" customFormat="1">
      <c r="A67" s="32"/>
      <c r="B67" s="32"/>
      <c r="G67" s="32"/>
      <c r="I67" s="32"/>
    </row>
    <row r="68" spans="1:9" customFormat="1">
      <c r="A68" s="32"/>
      <c r="B68" s="32"/>
      <c r="G68" s="32"/>
      <c r="I68" s="32"/>
    </row>
    <row r="69" spans="1:9" customFormat="1">
      <c r="A69" s="32"/>
      <c r="B69" s="32"/>
      <c r="G69" s="32"/>
      <c r="I69" s="32"/>
    </row>
    <row r="70" spans="1:9" customFormat="1">
      <c r="A70" s="32"/>
      <c r="B70" s="32"/>
      <c r="G70" s="32"/>
      <c r="I70" s="32"/>
    </row>
    <row r="71" spans="1:9" customFormat="1">
      <c r="A71" s="32"/>
      <c r="B71" s="32"/>
      <c r="G71" s="32"/>
      <c r="I71" s="32"/>
    </row>
    <row r="72" spans="1:9" customFormat="1">
      <c r="A72" s="32"/>
      <c r="B72" s="32"/>
      <c r="G72" s="32"/>
      <c r="I72" s="32"/>
    </row>
    <row r="73" spans="1:9" customFormat="1">
      <c r="A73" s="32"/>
      <c r="B73" s="32"/>
      <c r="G73" s="32"/>
      <c r="I73" s="32"/>
    </row>
    <row r="74" spans="1:9" customFormat="1">
      <c r="A74" s="32"/>
      <c r="B74" s="32"/>
      <c r="G74" s="32"/>
      <c r="I74" s="32"/>
    </row>
    <row r="75" spans="1:9" customFormat="1">
      <c r="A75" s="32"/>
      <c r="B75" s="32"/>
      <c r="G75" s="32"/>
      <c r="I75" s="32"/>
    </row>
    <row r="76" spans="1:9" customFormat="1">
      <c r="A76" s="32"/>
      <c r="B76" s="32"/>
      <c r="G76" s="32"/>
      <c r="I76" s="32"/>
    </row>
    <row r="77" spans="1:9" customFormat="1">
      <c r="A77" s="32"/>
      <c r="B77" s="32"/>
      <c r="G77" s="32"/>
      <c r="I77" s="32"/>
    </row>
    <row r="78" spans="1:9" customFormat="1">
      <c r="A78" s="32"/>
      <c r="B78" s="32"/>
      <c r="G78" s="32"/>
      <c r="I78" s="32"/>
    </row>
    <row r="79" spans="1:9" customFormat="1">
      <c r="A79" s="32"/>
      <c r="B79" s="32"/>
      <c r="G79" s="32"/>
      <c r="I79" s="32"/>
    </row>
    <row r="80" spans="1:9" customFormat="1">
      <c r="A80" s="32"/>
      <c r="B80" s="32"/>
      <c r="G80" s="32"/>
      <c r="I80" s="32"/>
    </row>
    <row r="81" spans="1:9" customFormat="1">
      <c r="A81" s="32"/>
      <c r="B81" s="32"/>
      <c r="G81" s="32"/>
      <c r="I81" s="32"/>
    </row>
    <row r="82" spans="1:9" customFormat="1">
      <c r="A82" s="32"/>
      <c r="B82" s="32"/>
      <c r="G82" s="32"/>
      <c r="I82" s="32"/>
    </row>
    <row r="83" spans="1:9" customFormat="1">
      <c r="A83" s="32"/>
      <c r="B83" s="32"/>
      <c r="G83" s="32"/>
      <c r="I83" s="32"/>
    </row>
    <row r="84" spans="1:9" customFormat="1">
      <c r="A84" s="32"/>
      <c r="B84" s="32"/>
      <c r="G84" s="32"/>
      <c r="I84" s="32"/>
    </row>
    <row r="85" spans="1:9" customFormat="1">
      <c r="A85" s="32"/>
      <c r="B85" s="32"/>
      <c r="G85" s="32"/>
      <c r="I85" s="32"/>
    </row>
    <row r="86" spans="1:9" customFormat="1">
      <c r="A86" s="32"/>
      <c r="B86" s="32"/>
      <c r="G86" s="32"/>
      <c r="I86" s="32"/>
    </row>
    <row r="87" spans="1:9" customFormat="1">
      <c r="A87" s="32"/>
      <c r="B87" s="32"/>
      <c r="G87" s="32"/>
      <c r="I87" s="32"/>
    </row>
    <row r="88" spans="1:9" customFormat="1">
      <c r="A88" s="32"/>
      <c r="B88" s="32"/>
      <c r="G88" s="32"/>
      <c r="I88" s="32"/>
    </row>
    <row r="89" spans="1:9" customFormat="1">
      <c r="A89" s="32"/>
      <c r="B89" s="32"/>
      <c r="G89" s="32"/>
      <c r="I89" s="32"/>
    </row>
    <row r="90" spans="1:9" customFormat="1">
      <c r="A90" s="32"/>
      <c r="B90" s="32"/>
      <c r="G90" s="32"/>
      <c r="I90" s="32"/>
    </row>
    <row r="91" spans="1:9" customFormat="1">
      <c r="A91" s="32"/>
      <c r="B91" s="32"/>
      <c r="G91" s="32"/>
      <c r="I91" s="32"/>
    </row>
    <row r="92" spans="1:9" customFormat="1">
      <c r="A92" s="32"/>
      <c r="B92" s="32"/>
      <c r="G92" s="32"/>
      <c r="I92" s="32"/>
    </row>
    <row r="93" spans="1:9" customFormat="1">
      <c r="A93" s="32"/>
      <c r="B93" s="32"/>
      <c r="G93" s="32"/>
      <c r="I93" s="32"/>
    </row>
    <row r="94" spans="1:9" customFormat="1">
      <c r="A94" s="32"/>
      <c r="B94" s="32"/>
      <c r="G94" s="32"/>
      <c r="I94" s="32"/>
    </row>
    <row r="95" spans="1:9" customFormat="1">
      <c r="A95" s="32"/>
      <c r="B95" s="32"/>
      <c r="G95" s="32"/>
      <c r="I95" s="32"/>
    </row>
    <row r="96" spans="1:9" customFormat="1">
      <c r="A96" s="32"/>
      <c r="B96" s="32"/>
      <c r="G96" s="32"/>
      <c r="I96" s="32"/>
    </row>
    <row r="97" spans="1:9" customFormat="1">
      <c r="A97" s="32"/>
      <c r="B97" s="32"/>
      <c r="G97" s="32"/>
      <c r="I97" s="32"/>
    </row>
    <row r="98" spans="1:9" customFormat="1">
      <c r="A98" s="32"/>
      <c r="B98" s="32"/>
      <c r="G98" s="32"/>
      <c r="I98" s="32"/>
    </row>
    <row r="99" spans="1:9" customFormat="1">
      <c r="A99" s="32"/>
      <c r="B99" s="32"/>
      <c r="G99" s="32"/>
      <c r="I99" s="32"/>
    </row>
  </sheetData>
  <mergeCells count="1">
    <mergeCell ref="C1:K1"/>
  </mergeCells>
  <printOptions horizontalCentered="1"/>
  <pageMargins left="0.2" right="0.2" top="1" bottom="0.5" header="0.05" footer="0.05"/>
  <pageSetup scale="55" orientation="portrait" r:id="rId1"/>
  <headerFooter>
    <oddFooter xml:space="preserve">&amp;L&amp;9&amp;Z&amp;F, &amp;A
Revised/Printed &amp;D, &amp;T&amp;R&amp;9Page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5"/>
  <sheetViews>
    <sheetView workbookViewId="0">
      <selection activeCell="C20" sqref="C20"/>
    </sheetView>
  </sheetViews>
  <sheetFormatPr defaultColWidth="8.85546875" defaultRowHeight="15"/>
  <cols>
    <col min="1" max="1" width="1.85546875" style="32"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8.75">
      <c r="B1" s="627" t="s">
        <v>442</v>
      </c>
      <c r="C1" s="628"/>
      <c r="D1" s="628"/>
      <c r="E1" s="628"/>
      <c r="F1" s="628"/>
      <c r="G1" s="628"/>
      <c r="H1" s="628"/>
      <c r="I1" s="628"/>
      <c r="J1" s="628"/>
      <c r="K1" s="628"/>
      <c r="L1" s="628"/>
      <c r="M1" s="628"/>
      <c r="N1" s="628"/>
      <c r="O1" s="628"/>
      <c r="P1" s="628"/>
      <c r="Q1" s="628"/>
      <c r="R1" s="628"/>
      <c r="S1" s="628"/>
      <c r="T1" s="628"/>
    </row>
    <row r="2" spans="1:24" ht="45">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18" customHeight="1">
      <c r="A4" s="400"/>
      <c r="B4" s="631" t="s">
        <v>111</v>
      </c>
      <c r="C4" s="631"/>
      <c r="D4" s="631"/>
      <c r="E4" s="631"/>
      <c r="F4" s="631"/>
      <c r="G4" s="631"/>
      <c r="H4" s="631"/>
      <c r="I4" s="631"/>
      <c r="J4" s="631"/>
      <c r="K4" s="631"/>
      <c r="L4" s="631"/>
      <c r="M4" s="631"/>
      <c r="N4" s="631"/>
      <c r="O4" s="631"/>
      <c r="P4" s="631"/>
      <c r="Q4" s="631"/>
      <c r="R4" s="631"/>
      <c r="S4" s="631"/>
      <c r="T4" s="631"/>
    </row>
    <row r="5" spans="1:24" ht="18" customHeight="1">
      <c r="A5" s="411" t="s">
        <v>128</v>
      </c>
      <c r="B5" s="412" t="s">
        <v>21</v>
      </c>
      <c r="C5" s="413">
        <f t="shared" ref="C5:S5" si="0">+C29+C53</f>
        <v>309582.92729058675</v>
      </c>
      <c r="D5" s="413">
        <f t="shared" si="0"/>
        <v>-3584137.6763580739</v>
      </c>
      <c r="E5" s="413">
        <f t="shared" si="0"/>
        <v>-430561.75965307653</v>
      </c>
      <c r="F5" s="413">
        <f t="shared" si="0"/>
        <v>596871.22735435655</v>
      </c>
      <c r="G5" s="413">
        <f t="shared" si="0"/>
        <v>-530421.77726486698</v>
      </c>
      <c r="H5" s="413">
        <f t="shared" si="0"/>
        <v>-327964.5371201192</v>
      </c>
      <c r="I5" s="413">
        <f t="shared" si="0"/>
        <v>266382.52041231771</v>
      </c>
      <c r="J5" s="413">
        <f t="shared" si="0"/>
        <v>-1273.2221038659045</v>
      </c>
      <c r="K5" s="413">
        <f t="shared" si="0"/>
        <v>-375.11359434009501</v>
      </c>
      <c r="L5" s="413">
        <f t="shared" si="0"/>
        <v>-28287.031652829086</v>
      </c>
      <c r="M5" s="413">
        <f t="shared" si="0"/>
        <v>-128.04358268339638</v>
      </c>
      <c r="N5" s="413">
        <f t="shared" si="0"/>
        <v>440877.90174273495</v>
      </c>
      <c r="O5" s="413">
        <f t="shared" si="0"/>
        <v>-100059.73281919607</v>
      </c>
      <c r="P5" s="413">
        <f t="shared" si="0"/>
        <v>-737.60317348605167</v>
      </c>
      <c r="Q5" s="413">
        <f t="shared" si="0"/>
        <v>-176278.83100437</v>
      </c>
      <c r="R5" s="413">
        <f t="shared" si="0"/>
        <v>-45245.844689896709</v>
      </c>
      <c r="S5" s="413">
        <f t="shared" si="0"/>
        <v>-521.19148444369057</v>
      </c>
      <c r="T5" s="413">
        <f t="shared" ref="T5:T26" si="1">SUM(C5:S5)</f>
        <v>-3612277.7877012524</v>
      </c>
      <c r="X5" s="495"/>
    </row>
    <row r="6" spans="1:24" ht="18" customHeight="1">
      <c r="A6" s="401" t="s">
        <v>129</v>
      </c>
      <c r="B6" s="408" t="s">
        <v>35</v>
      </c>
      <c r="C6" s="410">
        <f t="shared" ref="C6:S6" si="2">+C30+C54</f>
        <v>-8400.9783348826459</v>
      </c>
      <c r="D6" s="410">
        <f t="shared" si="2"/>
        <v>-813737.16066603828</v>
      </c>
      <c r="E6" s="410">
        <f t="shared" si="2"/>
        <v>-29501.905904174622</v>
      </c>
      <c r="F6" s="410">
        <f t="shared" si="2"/>
        <v>-3438.6369452371018</v>
      </c>
      <c r="G6" s="410">
        <f t="shared" si="2"/>
        <v>-50859.374955454768</v>
      </c>
      <c r="H6" s="410">
        <f t="shared" si="2"/>
        <v>-1296.5538341141328</v>
      </c>
      <c r="I6" s="410">
        <f t="shared" si="2"/>
        <v>-20124.988940143034</v>
      </c>
      <c r="J6" s="410">
        <f t="shared" si="2"/>
        <v>-852.06840548675427</v>
      </c>
      <c r="K6" s="410">
        <f t="shared" si="2"/>
        <v>-6974.3040444095623</v>
      </c>
      <c r="L6" s="410">
        <f t="shared" si="2"/>
        <v>-387.74710855804869</v>
      </c>
      <c r="M6" s="410">
        <f t="shared" si="2"/>
        <v>-2.5931076682282672</v>
      </c>
      <c r="N6" s="410">
        <f t="shared" si="2"/>
        <v>-173125.54376634862</v>
      </c>
      <c r="O6" s="410">
        <f t="shared" si="2"/>
        <v>-267.24511414335728</v>
      </c>
      <c r="P6" s="410">
        <f t="shared" si="2"/>
        <v>-27534.181104086296</v>
      </c>
      <c r="Q6" s="410">
        <f t="shared" si="2"/>
        <v>-2601.0420155487991</v>
      </c>
      <c r="R6" s="410">
        <f t="shared" si="2"/>
        <v>-12.965538341141354</v>
      </c>
      <c r="S6" s="410">
        <f t="shared" si="2"/>
        <v>-94553.68337496309</v>
      </c>
      <c r="T6" s="410">
        <f t="shared" si="1"/>
        <v>-1233670.9731595984</v>
      </c>
      <c r="W6" s="497"/>
      <c r="X6" s="495"/>
    </row>
    <row r="7" spans="1:24" ht="18" customHeight="1">
      <c r="A7" s="401" t="s">
        <v>140</v>
      </c>
      <c r="B7" s="414" t="s">
        <v>36</v>
      </c>
      <c r="C7" s="415">
        <f t="shared" ref="C7:S7" si="3">+C31+C55</f>
        <v>0</v>
      </c>
      <c r="D7" s="415">
        <f t="shared" si="3"/>
        <v>546.82455888314689</v>
      </c>
      <c r="E7" s="415">
        <f t="shared" si="3"/>
        <v>0</v>
      </c>
      <c r="F7" s="415">
        <f t="shared" si="3"/>
        <v>65.328597742676948</v>
      </c>
      <c r="G7" s="415">
        <f t="shared" si="3"/>
        <v>2.4195776941732206</v>
      </c>
      <c r="H7" s="415">
        <f t="shared" si="3"/>
        <v>0</v>
      </c>
      <c r="I7" s="415">
        <f t="shared" si="3"/>
        <v>9.6783107766928822</v>
      </c>
      <c r="J7" s="415">
        <f t="shared" si="3"/>
        <v>14.517466165039309</v>
      </c>
      <c r="K7" s="415">
        <f t="shared" si="3"/>
        <v>9.6783107766928822</v>
      </c>
      <c r="L7" s="415">
        <f t="shared" si="3"/>
        <v>13070.571574017857</v>
      </c>
      <c r="M7" s="415">
        <f t="shared" si="3"/>
        <v>0</v>
      </c>
      <c r="N7" s="415">
        <f t="shared" si="3"/>
        <v>43548.75625848255</v>
      </c>
      <c r="O7" s="415">
        <f t="shared" si="3"/>
        <v>0</v>
      </c>
      <c r="P7" s="415">
        <f t="shared" si="3"/>
        <v>9.6783107766928822</v>
      </c>
      <c r="Q7" s="415">
        <f t="shared" si="3"/>
        <v>137.91592856787383</v>
      </c>
      <c r="R7" s="415">
        <f t="shared" si="3"/>
        <v>0</v>
      </c>
      <c r="S7" s="415">
        <f t="shared" si="3"/>
        <v>7.2587330825196545</v>
      </c>
      <c r="T7" s="415">
        <f t="shared" si="1"/>
        <v>57422.627626965914</v>
      </c>
    </row>
    <row r="8" spans="1:24" ht="18" customHeight="1">
      <c r="A8" s="401" t="s">
        <v>130</v>
      </c>
      <c r="B8" s="408" t="s">
        <v>37</v>
      </c>
      <c r="C8" s="410">
        <f t="shared" ref="C8:S8" si="4">+C32+C56</f>
        <v>-155.02192259530693</v>
      </c>
      <c r="D8" s="410">
        <f t="shared" si="4"/>
        <v>-2149.5430559957749</v>
      </c>
      <c r="E8" s="410">
        <f t="shared" si="4"/>
        <v>-298.88681516051838</v>
      </c>
      <c r="F8" s="410">
        <f t="shared" si="4"/>
        <v>-243.21030381791934</v>
      </c>
      <c r="G8" s="410">
        <f t="shared" si="4"/>
        <v>-104103.45829462749</v>
      </c>
      <c r="H8" s="410">
        <f t="shared" si="4"/>
        <v>-247.2993749257439</v>
      </c>
      <c r="I8" s="410">
        <f t="shared" si="4"/>
        <v>-41.829646843244973</v>
      </c>
      <c r="J8" s="410">
        <f t="shared" si="4"/>
        <v>-332.46283824655711</v>
      </c>
      <c r="K8" s="410">
        <f t="shared" si="4"/>
        <v>-10.457411710811243</v>
      </c>
      <c r="L8" s="410">
        <f t="shared" si="4"/>
        <v>-14.378941102365502</v>
      </c>
      <c r="M8" s="410">
        <f t="shared" si="4"/>
        <v>0</v>
      </c>
      <c r="N8" s="410">
        <f t="shared" si="4"/>
        <v>-1735.9643789533402</v>
      </c>
      <c r="O8" s="410">
        <f t="shared" si="4"/>
        <v>-6331.4747939531662</v>
      </c>
      <c r="P8" s="410">
        <f t="shared" si="4"/>
        <v>-7.8430587831085177</v>
      </c>
      <c r="Q8" s="410">
        <f t="shared" si="4"/>
        <v>-1613.9946921576411</v>
      </c>
      <c r="R8" s="410">
        <f t="shared" si="4"/>
        <v>0</v>
      </c>
      <c r="S8" s="410">
        <f t="shared" si="4"/>
        <v>-945.01768532747701</v>
      </c>
      <c r="T8" s="410">
        <f t="shared" si="1"/>
        <v>-118230.84321420046</v>
      </c>
    </row>
    <row r="9" spans="1:24" ht="18" customHeight="1">
      <c r="A9" s="416" t="s">
        <v>131</v>
      </c>
      <c r="B9" s="414" t="s">
        <v>141</v>
      </c>
      <c r="C9" s="415">
        <f t="shared" ref="C9:S9" si="5">+C33+C57</f>
        <v>-44.605779952843363</v>
      </c>
      <c r="D9" s="415">
        <f t="shared" si="5"/>
        <v>-6780.4195203715717</v>
      </c>
      <c r="E9" s="415">
        <f t="shared" si="5"/>
        <v>-82.83930562670912</v>
      </c>
      <c r="F9" s="415">
        <f t="shared" si="5"/>
        <v>-47.791907092332167</v>
      </c>
      <c r="G9" s="415">
        <f t="shared" si="5"/>
        <v>-337.72947678581386</v>
      </c>
      <c r="H9" s="415">
        <f t="shared" si="5"/>
        <v>-252340.92847997462</v>
      </c>
      <c r="I9" s="415">
        <f t="shared" si="5"/>
        <v>0</v>
      </c>
      <c r="J9" s="415">
        <f t="shared" si="5"/>
        <v>-79.653178487220202</v>
      </c>
      <c r="K9" s="415">
        <f t="shared" si="5"/>
        <v>-484.29132520229996</v>
      </c>
      <c r="L9" s="415">
        <f t="shared" si="5"/>
        <v>0</v>
      </c>
      <c r="M9" s="415">
        <f t="shared" si="5"/>
        <v>0</v>
      </c>
      <c r="N9" s="415">
        <f t="shared" si="5"/>
        <v>-98.769941324153251</v>
      </c>
      <c r="O9" s="415">
        <f t="shared" si="5"/>
        <v>0</v>
      </c>
      <c r="P9" s="415">
        <f t="shared" si="5"/>
        <v>0</v>
      </c>
      <c r="Q9" s="415">
        <f t="shared" si="5"/>
        <v>-111.51444988210847</v>
      </c>
      <c r="R9" s="415">
        <f t="shared" si="5"/>
        <v>-9.5583814184664249</v>
      </c>
      <c r="S9" s="415">
        <f t="shared" si="5"/>
        <v>-127.4450855795526</v>
      </c>
      <c r="T9" s="415">
        <f t="shared" si="1"/>
        <v>-260545.54683169769</v>
      </c>
    </row>
    <row r="10" spans="1:24" ht="18" customHeight="1">
      <c r="A10" s="401" t="s">
        <v>132</v>
      </c>
      <c r="B10" s="408" t="s">
        <v>206</v>
      </c>
      <c r="C10" s="410">
        <f t="shared" ref="C10:S10" si="6">+C34+C58</f>
        <v>0</v>
      </c>
      <c r="D10" s="410">
        <f t="shared" si="6"/>
        <v>-1935.9120718064451</v>
      </c>
      <c r="E10" s="410">
        <f t="shared" si="6"/>
        <v>-10.127815366934556</v>
      </c>
      <c r="F10" s="410">
        <f t="shared" si="6"/>
        <v>-249016.16099778097</v>
      </c>
      <c r="G10" s="410">
        <f t="shared" si="6"/>
        <v>-17.723676892135416</v>
      </c>
      <c r="H10" s="410">
        <f t="shared" si="6"/>
        <v>-217.74803038909249</v>
      </c>
      <c r="I10" s="410">
        <f t="shared" si="6"/>
        <v>-43.043215309471861</v>
      </c>
      <c r="J10" s="410">
        <f t="shared" si="6"/>
        <v>0</v>
      </c>
      <c r="K10" s="410">
        <f t="shared" si="6"/>
        <v>-334.21790710883943</v>
      </c>
      <c r="L10" s="410">
        <f t="shared" si="6"/>
        <v>-154.44918434575175</v>
      </c>
      <c r="M10" s="410">
        <f t="shared" si="6"/>
        <v>0</v>
      </c>
      <c r="N10" s="410">
        <f t="shared" si="6"/>
        <v>-68.362753726808251</v>
      </c>
      <c r="O10" s="410">
        <f t="shared" si="6"/>
        <v>-25.319538417336389</v>
      </c>
      <c r="P10" s="410">
        <f t="shared" si="6"/>
        <v>0</v>
      </c>
      <c r="Q10" s="410">
        <f t="shared" si="6"/>
        <v>-91.150338302411001</v>
      </c>
      <c r="R10" s="410">
        <f t="shared" si="6"/>
        <v>0</v>
      </c>
      <c r="S10" s="410">
        <f t="shared" si="6"/>
        <v>-78.490569093742806</v>
      </c>
      <c r="T10" s="410">
        <f t="shared" si="1"/>
        <v>-251992.70609853996</v>
      </c>
    </row>
    <row r="11" spans="1:24" ht="18" customHeight="1">
      <c r="A11" s="619"/>
      <c r="B11" s="414" t="s">
        <v>40</v>
      </c>
      <c r="C11" s="410">
        <f t="shared" ref="C11:C25" si="7">+C35+C59</f>
        <v>0</v>
      </c>
      <c r="D11" s="415">
        <f t="shared" ref="D11:S11" si="8">+D35+D59</f>
        <v>0</v>
      </c>
      <c r="E11" s="415">
        <f t="shared" si="8"/>
        <v>0</v>
      </c>
      <c r="F11" s="415">
        <f t="shared" si="8"/>
        <v>0</v>
      </c>
      <c r="G11" s="415">
        <f t="shared" si="8"/>
        <v>0</v>
      </c>
      <c r="H11" s="415">
        <f t="shared" si="8"/>
        <v>0</v>
      </c>
      <c r="I11" s="415">
        <f t="shared" si="8"/>
        <v>-5277.0214169583223</v>
      </c>
      <c r="J11" s="415">
        <f t="shared" si="8"/>
        <v>0</v>
      </c>
      <c r="K11" s="415">
        <f t="shared" si="8"/>
        <v>0</v>
      </c>
      <c r="L11" s="415">
        <f t="shared" si="8"/>
        <v>0</v>
      </c>
      <c r="M11" s="415">
        <f t="shared" si="8"/>
        <v>0</v>
      </c>
      <c r="N11" s="415">
        <f t="shared" si="8"/>
        <v>0</v>
      </c>
      <c r="O11" s="415">
        <f t="shared" si="8"/>
        <v>0</v>
      </c>
      <c r="P11" s="415">
        <f t="shared" si="8"/>
        <v>0</v>
      </c>
      <c r="Q11" s="415">
        <f t="shared" si="8"/>
        <v>0</v>
      </c>
      <c r="R11" s="415">
        <f t="shared" si="8"/>
        <v>0</v>
      </c>
      <c r="S11" s="415">
        <f t="shared" si="8"/>
        <v>0</v>
      </c>
      <c r="T11" s="410">
        <f t="shared" si="1"/>
        <v>-5277.0214169583223</v>
      </c>
    </row>
    <row r="12" spans="1:24" ht="18" customHeight="1">
      <c r="A12" s="401" t="s">
        <v>135</v>
      </c>
      <c r="B12" s="408" t="s">
        <v>70</v>
      </c>
      <c r="C12" s="410">
        <f t="shared" si="7"/>
        <v>1.0434761027344734</v>
      </c>
      <c r="D12" s="410">
        <f t="shared" ref="D12:S12" si="9">+D36+D60</f>
        <v>53.739019290825127</v>
      </c>
      <c r="E12" s="410">
        <f t="shared" si="9"/>
        <v>0</v>
      </c>
      <c r="F12" s="410">
        <f t="shared" si="9"/>
        <v>86.610427655354329</v>
      </c>
      <c r="G12" s="410">
        <f t="shared" si="9"/>
        <v>0</v>
      </c>
      <c r="H12" s="410">
        <f t="shared" si="9"/>
        <v>1.5652141541017102</v>
      </c>
      <c r="I12" s="410">
        <f t="shared" si="9"/>
        <v>0</v>
      </c>
      <c r="J12" s="410">
        <f t="shared" si="9"/>
        <v>0</v>
      </c>
      <c r="K12" s="410">
        <f t="shared" si="9"/>
        <v>16.695617643751575</v>
      </c>
      <c r="L12" s="410">
        <f t="shared" si="9"/>
        <v>25645.140143911238</v>
      </c>
      <c r="M12" s="410">
        <f t="shared" si="9"/>
        <v>0</v>
      </c>
      <c r="N12" s="410">
        <f t="shared" si="9"/>
        <v>167.13263729249684</v>
      </c>
      <c r="O12" s="410">
        <f t="shared" si="9"/>
        <v>1.0434761027344734</v>
      </c>
      <c r="P12" s="410">
        <f t="shared" si="9"/>
        <v>0</v>
      </c>
      <c r="Q12" s="410">
        <f t="shared" si="9"/>
        <v>754.62306103075025</v>
      </c>
      <c r="R12" s="410">
        <f t="shared" si="9"/>
        <v>0</v>
      </c>
      <c r="S12" s="410">
        <f t="shared" si="9"/>
        <v>157.56871376969139</v>
      </c>
      <c r="T12" s="410">
        <f t="shared" si="1"/>
        <v>26885.161786953679</v>
      </c>
    </row>
    <row r="13" spans="1:24" ht="18" customHeight="1">
      <c r="A13" s="416" t="s">
        <v>136</v>
      </c>
      <c r="B13" s="414" t="s">
        <v>144</v>
      </c>
      <c r="C13" s="415">
        <f t="shared" si="7"/>
        <v>-6.0014747851693642</v>
      </c>
      <c r="D13" s="415">
        <f t="shared" ref="D13:S13" si="10">+D37+D61</f>
        <v>-1082.2659529255434</v>
      </c>
      <c r="E13" s="415">
        <f t="shared" si="10"/>
        <v>-12.002949570338728</v>
      </c>
      <c r="F13" s="415">
        <f t="shared" si="10"/>
        <v>-12.002949570338728</v>
      </c>
      <c r="G13" s="415">
        <f t="shared" si="10"/>
        <v>-94.02310496765358</v>
      </c>
      <c r="H13" s="415">
        <f t="shared" si="10"/>
        <v>-58.014256256637054</v>
      </c>
      <c r="I13" s="415">
        <f t="shared" si="10"/>
        <v>-8.0019663802258094</v>
      </c>
      <c r="J13" s="415">
        <f t="shared" si="10"/>
        <v>-10.002457975282255</v>
      </c>
      <c r="K13" s="415">
        <f t="shared" si="10"/>
        <v>-64.015731041806475</v>
      </c>
      <c r="L13" s="415">
        <f t="shared" si="10"/>
        <v>-18.004424355508093</v>
      </c>
      <c r="M13" s="415">
        <f t="shared" si="10"/>
        <v>-4.0009831901129047</v>
      </c>
      <c r="N13" s="415">
        <f t="shared" si="10"/>
        <v>-1317.3369636333846</v>
      </c>
      <c r="O13" s="415">
        <f t="shared" si="10"/>
        <v>-8.0019663802258094</v>
      </c>
      <c r="P13" s="415">
        <f t="shared" si="10"/>
        <v>-108.02654613304867</v>
      </c>
      <c r="Q13" s="415">
        <f t="shared" si="10"/>
        <v>-95086.353002137213</v>
      </c>
      <c r="R13" s="415">
        <f t="shared" si="10"/>
        <v>0</v>
      </c>
      <c r="S13" s="415">
        <f t="shared" si="10"/>
        <v>-36.008848711016185</v>
      </c>
      <c r="T13" s="415">
        <f t="shared" si="1"/>
        <v>-97924.063578013505</v>
      </c>
    </row>
    <row r="14" spans="1:24" ht="18" customHeight="1">
      <c r="A14" s="401" t="s">
        <v>137</v>
      </c>
      <c r="B14" s="408" t="s">
        <v>49</v>
      </c>
      <c r="C14" s="410">
        <f t="shared" si="7"/>
        <v>1011.5440048531477</v>
      </c>
      <c r="D14" s="410">
        <f t="shared" ref="D14:S14" si="11">+D38+D62</f>
        <v>13864.037643025786</v>
      </c>
      <c r="E14" s="410">
        <f t="shared" si="11"/>
        <v>0</v>
      </c>
      <c r="F14" s="410">
        <f t="shared" si="11"/>
        <v>44.17377401014447</v>
      </c>
      <c r="G14" s="410">
        <f t="shared" si="11"/>
        <v>2342.576221733847</v>
      </c>
      <c r="H14" s="410">
        <f t="shared" si="11"/>
        <v>147.24591336714826</v>
      </c>
      <c r="I14" s="410">
        <f t="shared" si="11"/>
        <v>0</v>
      </c>
      <c r="J14" s="410">
        <f t="shared" si="11"/>
        <v>279.76723539758166</v>
      </c>
      <c r="K14" s="410">
        <f t="shared" si="11"/>
        <v>500.63610544830408</v>
      </c>
      <c r="L14" s="410">
        <f t="shared" si="11"/>
        <v>6777.4106124773916</v>
      </c>
      <c r="M14" s="410">
        <f t="shared" si="11"/>
        <v>761.22595212899569</v>
      </c>
      <c r="N14" s="410">
        <f t="shared" si="11"/>
        <v>103987.46751846599</v>
      </c>
      <c r="O14" s="410">
        <f t="shared" si="11"/>
        <v>775.95054346571055</v>
      </c>
      <c r="P14" s="410">
        <f t="shared" si="11"/>
        <v>338.66560074444101</v>
      </c>
      <c r="Q14" s="410">
        <f t="shared" si="11"/>
        <v>326389.94676688185</v>
      </c>
      <c r="R14" s="410">
        <f t="shared" si="11"/>
        <v>0</v>
      </c>
      <c r="S14" s="410">
        <f t="shared" si="11"/>
        <v>161.97050470386307</v>
      </c>
      <c r="T14" s="410">
        <f t="shared" si="1"/>
        <v>457382.6183967042</v>
      </c>
    </row>
    <row r="15" spans="1:24" ht="18" customHeight="1">
      <c r="A15" s="401">
        <v>25</v>
      </c>
      <c r="B15" s="414" t="s">
        <v>207</v>
      </c>
      <c r="C15" s="415">
        <f t="shared" si="7"/>
        <v>301310.18604147853</v>
      </c>
      <c r="D15" s="415">
        <f t="shared" ref="D15:S15" si="12">+D39+D63</f>
        <v>1063.8515750696442</v>
      </c>
      <c r="E15" s="415">
        <f t="shared" si="12"/>
        <v>308.70693026574554</v>
      </c>
      <c r="F15" s="415">
        <f t="shared" si="12"/>
        <v>0</v>
      </c>
      <c r="G15" s="415">
        <f t="shared" si="12"/>
        <v>1004.1360990719204</v>
      </c>
      <c r="H15" s="415">
        <f t="shared" si="12"/>
        <v>774.14199435871524</v>
      </c>
      <c r="I15" s="415">
        <f t="shared" si="12"/>
        <v>9.4986747774075582</v>
      </c>
      <c r="J15" s="415">
        <f t="shared" si="12"/>
        <v>28.496024332222646</v>
      </c>
      <c r="K15" s="415">
        <f t="shared" si="12"/>
        <v>802.63801869093913</v>
      </c>
      <c r="L15" s="415">
        <f t="shared" si="12"/>
        <v>0</v>
      </c>
      <c r="M15" s="415">
        <f t="shared" si="12"/>
        <v>0</v>
      </c>
      <c r="N15" s="415">
        <f t="shared" si="12"/>
        <v>33.245361720926383</v>
      </c>
      <c r="O15" s="415">
        <f t="shared" si="12"/>
        <v>0</v>
      </c>
      <c r="P15" s="415">
        <f t="shared" si="12"/>
        <v>0</v>
      </c>
      <c r="Q15" s="415">
        <f t="shared" si="12"/>
        <v>189.97349554815128</v>
      </c>
      <c r="R15" s="415">
        <f t="shared" si="12"/>
        <v>0</v>
      </c>
      <c r="S15" s="415">
        <f t="shared" si="12"/>
        <v>0</v>
      </c>
      <c r="T15" s="415">
        <f t="shared" si="1"/>
        <v>305524.87421531422</v>
      </c>
    </row>
    <row r="16" spans="1:24" ht="18" customHeight="1">
      <c r="A16" s="401" t="s">
        <v>147</v>
      </c>
      <c r="B16" s="408" t="s">
        <v>208</v>
      </c>
      <c r="C16" s="410">
        <f t="shared" si="7"/>
        <v>0</v>
      </c>
      <c r="D16" s="410">
        <f t="shared" ref="D16:S16" si="13">+D40+D64</f>
        <v>249.8264667863549</v>
      </c>
      <c r="E16" s="410">
        <f t="shared" si="13"/>
        <v>62.456616696588725</v>
      </c>
      <c r="F16" s="410">
        <f t="shared" si="13"/>
        <v>0</v>
      </c>
      <c r="G16" s="410">
        <f t="shared" si="13"/>
        <v>348445.93950552854</v>
      </c>
      <c r="H16" s="410">
        <f t="shared" si="13"/>
        <v>3684.4654298386849</v>
      </c>
      <c r="I16" s="410">
        <f t="shared" si="13"/>
        <v>312.28308348294377</v>
      </c>
      <c r="J16" s="410">
        <f t="shared" si="13"/>
        <v>0</v>
      </c>
      <c r="K16" s="410">
        <f t="shared" si="13"/>
        <v>0</v>
      </c>
      <c r="L16" s="410">
        <f t="shared" si="13"/>
        <v>0</v>
      </c>
      <c r="M16" s="410">
        <f t="shared" si="13"/>
        <v>0</v>
      </c>
      <c r="N16" s="410">
        <f t="shared" si="13"/>
        <v>2623.1779012567258</v>
      </c>
      <c r="O16" s="410">
        <f t="shared" si="13"/>
        <v>0</v>
      </c>
      <c r="P16" s="410">
        <f t="shared" si="13"/>
        <v>0</v>
      </c>
      <c r="Q16" s="410">
        <f t="shared" si="13"/>
        <v>93.684925044883073</v>
      </c>
      <c r="R16" s="410">
        <f t="shared" si="13"/>
        <v>0</v>
      </c>
      <c r="S16" s="410">
        <f t="shared" si="13"/>
        <v>374.73970017953229</v>
      </c>
      <c r="T16" s="410">
        <f t="shared" si="1"/>
        <v>355846.57362881425</v>
      </c>
    </row>
    <row r="17" spans="1:91" ht="18" customHeight="1">
      <c r="A17" s="416" t="s">
        <v>148</v>
      </c>
      <c r="B17" s="414" t="s">
        <v>39</v>
      </c>
      <c r="C17" s="415">
        <f t="shared" si="7"/>
        <v>1475.1611452314655</v>
      </c>
      <c r="D17" s="415">
        <f t="shared" ref="D17:S17" si="14">+D41+D65</f>
        <v>4053.9889315717446</v>
      </c>
      <c r="E17" s="415">
        <f t="shared" si="14"/>
        <v>323.28522358910777</v>
      </c>
      <c r="F17" s="415">
        <f t="shared" si="14"/>
        <v>85.525191425689627</v>
      </c>
      <c r="G17" s="415">
        <f t="shared" si="14"/>
        <v>41.052091884331276</v>
      </c>
      <c r="H17" s="415">
        <f t="shared" si="14"/>
        <v>2575.3302803009647</v>
      </c>
      <c r="I17" s="415">
        <f t="shared" si="14"/>
        <v>256.49907589475788</v>
      </c>
      <c r="J17" s="415">
        <f t="shared" si="14"/>
        <v>324.9192290353094</v>
      </c>
      <c r="K17" s="415">
        <f t="shared" si="14"/>
        <v>93943.930197270471</v>
      </c>
      <c r="L17" s="415">
        <f t="shared" si="14"/>
        <v>605.9100270113272</v>
      </c>
      <c r="M17" s="415">
        <f t="shared" si="14"/>
        <v>0</v>
      </c>
      <c r="N17" s="415">
        <f t="shared" si="14"/>
        <v>116.31426033893877</v>
      </c>
      <c r="O17" s="415">
        <f t="shared" si="14"/>
        <v>0</v>
      </c>
      <c r="P17" s="415">
        <f t="shared" si="14"/>
        <v>0</v>
      </c>
      <c r="Q17" s="415">
        <f t="shared" si="14"/>
        <v>2133.0074539625784</v>
      </c>
      <c r="R17" s="415">
        <f t="shared" si="14"/>
        <v>0</v>
      </c>
      <c r="S17" s="415">
        <f t="shared" si="14"/>
        <v>5.1315114855414095</v>
      </c>
      <c r="T17" s="415">
        <f t="shared" si="1"/>
        <v>105940.05461900223</v>
      </c>
    </row>
    <row r="18" spans="1:91" ht="18" customHeight="1">
      <c r="A18" s="401" t="s">
        <v>149</v>
      </c>
      <c r="B18" s="408" t="s">
        <v>38</v>
      </c>
      <c r="C18" s="410">
        <f t="shared" si="7"/>
        <v>-101.26440653663349</v>
      </c>
      <c r="D18" s="410">
        <f t="shared" ref="D18:S18" si="15">+D42+D66</f>
        <v>-1162.8467253571389</v>
      </c>
      <c r="E18" s="410">
        <f t="shared" si="15"/>
        <v>-180741.51649899769</v>
      </c>
      <c r="F18" s="410">
        <f t="shared" si="15"/>
        <v>0</v>
      </c>
      <c r="G18" s="410">
        <f t="shared" si="15"/>
        <v>-550.07012788325665</v>
      </c>
      <c r="H18" s="410">
        <f t="shared" si="15"/>
        <v>0</v>
      </c>
      <c r="I18" s="410">
        <f t="shared" si="15"/>
        <v>-91.464625258895012</v>
      </c>
      <c r="J18" s="410">
        <f t="shared" si="15"/>
        <v>-425.93956503189986</v>
      </c>
      <c r="K18" s="410">
        <f t="shared" si="15"/>
        <v>-169.86287548080509</v>
      </c>
      <c r="L18" s="410">
        <f t="shared" si="15"/>
        <v>0</v>
      </c>
      <c r="M18" s="410">
        <f t="shared" si="15"/>
        <v>0</v>
      </c>
      <c r="N18" s="410">
        <f t="shared" si="15"/>
        <v>-445.53912758737738</v>
      </c>
      <c r="O18" s="410">
        <f t="shared" si="15"/>
        <v>0</v>
      </c>
      <c r="P18" s="410">
        <f t="shared" si="15"/>
        <v>-393.2736274394374</v>
      </c>
      <c r="Q18" s="410">
        <f t="shared" si="15"/>
        <v>-1248.419351262487</v>
      </c>
      <c r="R18" s="410">
        <f t="shared" si="15"/>
        <v>0</v>
      </c>
      <c r="S18" s="410">
        <f t="shared" si="15"/>
        <v>0</v>
      </c>
      <c r="T18" s="410">
        <f t="shared" si="1"/>
        <v>-185330.19693083561</v>
      </c>
    </row>
    <row r="19" spans="1:91" ht="18" customHeight="1">
      <c r="A19" s="401" t="s">
        <v>150</v>
      </c>
      <c r="B19" s="414" t="s">
        <v>31</v>
      </c>
      <c r="C19" s="415">
        <f t="shared" si="7"/>
        <v>-37.539948025439344</v>
      </c>
      <c r="D19" s="415">
        <f t="shared" ref="D19:S19" si="16">+D43+D67</f>
        <v>-1151.3197196766978</v>
      </c>
      <c r="E19" s="415">
        <f t="shared" si="16"/>
        <v>-676.82493872298801</v>
      </c>
      <c r="F19" s="415">
        <f t="shared" si="16"/>
        <v>-736.93069945479965</v>
      </c>
      <c r="G19" s="415">
        <f t="shared" si="16"/>
        <v>-414.94195735443765</v>
      </c>
      <c r="H19" s="415">
        <f t="shared" si="16"/>
        <v>-412.5957106028477</v>
      </c>
      <c r="I19" s="415">
        <f t="shared" si="16"/>
        <v>-593.2567104752743</v>
      </c>
      <c r="J19" s="415">
        <f t="shared" si="16"/>
        <v>-260321.86051242705</v>
      </c>
      <c r="K19" s="415">
        <f t="shared" si="16"/>
        <v>-414.94195735443765</v>
      </c>
      <c r="L19" s="415">
        <f t="shared" si="16"/>
        <v>-7.0387402547698912</v>
      </c>
      <c r="M19" s="415">
        <f t="shared" si="16"/>
        <v>0</v>
      </c>
      <c r="N19" s="415">
        <f t="shared" si="16"/>
        <v>-2.346246751589959</v>
      </c>
      <c r="O19" s="415">
        <f t="shared" si="16"/>
        <v>0</v>
      </c>
      <c r="P19" s="415">
        <f t="shared" si="16"/>
        <v>-7.0387402547698912</v>
      </c>
      <c r="Q19" s="415">
        <f t="shared" si="16"/>
        <v>-506.44558066644549</v>
      </c>
      <c r="R19" s="415">
        <f t="shared" si="16"/>
        <v>0</v>
      </c>
      <c r="S19" s="415">
        <f t="shared" si="16"/>
        <v>-18.769974012719672</v>
      </c>
      <c r="T19" s="415">
        <f t="shared" si="1"/>
        <v>-265301.85143603425</v>
      </c>
    </row>
    <row r="20" spans="1:91" ht="18" customHeight="1">
      <c r="A20" s="401" t="s">
        <v>151</v>
      </c>
      <c r="B20" s="408" t="s">
        <v>209</v>
      </c>
      <c r="C20" s="410">
        <f t="shared" si="7"/>
        <v>0</v>
      </c>
      <c r="D20" s="410">
        <f t="shared" ref="D20:S20" si="17">+D44+D68</f>
        <v>1027.0744799800304</v>
      </c>
      <c r="E20" s="410">
        <f t="shared" si="17"/>
        <v>112.04448872509442</v>
      </c>
      <c r="F20" s="410">
        <f t="shared" si="17"/>
        <v>0</v>
      </c>
      <c r="G20" s="410">
        <f t="shared" si="17"/>
        <v>0</v>
      </c>
      <c r="H20" s="410">
        <f t="shared" si="17"/>
        <v>28.011122181273606</v>
      </c>
      <c r="I20" s="410">
        <f t="shared" si="17"/>
        <v>0</v>
      </c>
      <c r="J20" s="410">
        <f t="shared" si="17"/>
        <v>113874.54870760426</v>
      </c>
      <c r="K20" s="410">
        <f t="shared" si="17"/>
        <v>205.41489599600618</v>
      </c>
      <c r="L20" s="410">
        <f t="shared" si="17"/>
        <v>0</v>
      </c>
      <c r="M20" s="410">
        <f t="shared" si="17"/>
        <v>0</v>
      </c>
      <c r="N20" s="410">
        <f t="shared" si="17"/>
        <v>28.011122181273606</v>
      </c>
      <c r="O20" s="410">
        <f t="shared" si="17"/>
        <v>0</v>
      </c>
      <c r="P20" s="410">
        <f t="shared" si="17"/>
        <v>0</v>
      </c>
      <c r="Q20" s="410">
        <f t="shared" si="17"/>
        <v>46.685203635455935</v>
      </c>
      <c r="R20" s="410">
        <f t="shared" si="17"/>
        <v>0</v>
      </c>
      <c r="S20" s="410">
        <f t="shared" si="17"/>
        <v>37.348162908364827</v>
      </c>
      <c r="T20" s="410">
        <f t="shared" si="1"/>
        <v>115359.13818321175</v>
      </c>
    </row>
    <row r="21" spans="1:91" ht="18" customHeight="1">
      <c r="A21" s="416" t="s">
        <v>153</v>
      </c>
      <c r="B21" s="414" t="s">
        <v>210</v>
      </c>
      <c r="C21" s="415">
        <f t="shared" si="7"/>
        <v>148.94052719512251</v>
      </c>
      <c r="D21" s="415">
        <f t="shared" ref="D21:S21" si="18">+D45+D69</f>
        <v>223.41079079268366</v>
      </c>
      <c r="E21" s="415">
        <f t="shared" si="18"/>
        <v>397.17473918699329</v>
      </c>
      <c r="F21" s="415">
        <f t="shared" si="18"/>
        <v>0</v>
      </c>
      <c r="G21" s="415">
        <f t="shared" si="18"/>
        <v>0</v>
      </c>
      <c r="H21" s="415">
        <f t="shared" si="18"/>
        <v>0</v>
      </c>
      <c r="I21" s="415">
        <f t="shared" si="18"/>
        <v>74.470263597561257</v>
      </c>
      <c r="J21" s="415">
        <f t="shared" si="18"/>
        <v>0</v>
      </c>
      <c r="K21" s="415">
        <f t="shared" si="18"/>
        <v>496.46842398374156</v>
      </c>
      <c r="L21" s="415">
        <f t="shared" si="18"/>
        <v>148.94052719512251</v>
      </c>
      <c r="M21" s="415">
        <f t="shared" si="18"/>
        <v>0</v>
      </c>
      <c r="N21" s="415">
        <f t="shared" si="18"/>
        <v>992.93684796748312</v>
      </c>
      <c r="O21" s="415">
        <f t="shared" si="18"/>
        <v>273752.68898463517</v>
      </c>
      <c r="P21" s="415">
        <f t="shared" si="18"/>
        <v>1390.1115871544762</v>
      </c>
      <c r="Q21" s="415">
        <f t="shared" si="18"/>
        <v>1241.1710599593544</v>
      </c>
      <c r="R21" s="415">
        <f t="shared" si="18"/>
        <v>0</v>
      </c>
      <c r="S21" s="415">
        <f t="shared" si="18"/>
        <v>24.823421199187081</v>
      </c>
      <c r="T21" s="415">
        <f t="shared" si="1"/>
        <v>278891.1371728669</v>
      </c>
    </row>
    <row r="22" spans="1:91" ht="18" customHeight="1">
      <c r="A22" s="401" t="s">
        <v>155</v>
      </c>
      <c r="B22" s="408" t="s">
        <v>42</v>
      </c>
      <c r="C22" s="410">
        <f t="shared" si="7"/>
        <v>0</v>
      </c>
      <c r="D22" s="410">
        <f t="shared" ref="D22:S22" si="19">+D46+D70</f>
        <v>50.469426422815786</v>
      </c>
      <c r="E22" s="410">
        <f t="shared" si="19"/>
        <v>20.187770569126315</v>
      </c>
      <c r="F22" s="410">
        <f t="shared" si="19"/>
        <v>0</v>
      </c>
      <c r="G22" s="410">
        <f t="shared" si="19"/>
        <v>0</v>
      </c>
      <c r="H22" s="410">
        <f t="shared" si="19"/>
        <v>0</v>
      </c>
      <c r="I22" s="410">
        <f t="shared" si="19"/>
        <v>0</v>
      </c>
      <c r="J22" s="410">
        <f t="shared" si="19"/>
        <v>0</v>
      </c>
      <c r="K22" s="410">
        <f t="shared" si="19"/>
        <v>0</v>
      </c>
      <c r="L22" s="410">
        <f t="shared" si="19"/>
        <v>0</v>
      </c>
      <c r="M22" s="410">
        <f t="shared" si="19"/>
        <v>4.03755411382528</v>
      </c>
      <c r="N22" s="410">
        <f t="shared" si="19"/>
        <v>3981.02835623172</v>
      </c>
      <c r="O22" s="410">
        <f t="shared" si="19"/>
        <v>74.694751105767409</v>
      </c>
      <c r="P22" s="410">
        <f t="shared" si="19"/>
        <v>184425.37803425384</v>
      </c>
      <c r="Q22" s="410">
        <f t="shared" si="19"/>
        <v>351.26720790279978</v>
      </c>
      <c r="R22" s="410">
        <f t="shared" si="19"/>
        <v>0</v>
      </c>
      <c r="S22" s="410">
        <f t="shared" si="19"/>
        <v>0</v>
      </c>
      <c r="T22" s="410">
        <f t="shared" si="1"/>
        <v>188907.06310059989</v>
      </c>
    </row>
    <row r="23" spans="1:91" ht="18" customHeight="1">
      <c r="A23" s="401" t="s">
        <v>162</v>
      </c>
      <c r="B23" s="414" t="s">
        <v>76</v>
      </c>
      <c r="C23" s="415">
        <f t="shared" si="7"/>
        <v>0</v>
      </c>
      <c r="D23" s="415">
        <f t="shared" ref="D23:S23" si="20">+D47+D71</f>
        <v>5.6442690999336946</v>
      </c>
      <c r="E23" s="415">
        <f t="shared" si="20"/>
        <v>0</v>
      </c>
      <c r="F23" s="415">
        <f t="shared" si="20"/>
        <v>0</v>
      </c>
      <c r="G23" s="415">
        <f t="shared" si="20"/>
        <v>205.73919938422137</v>
      </c>
      <c r="H23" s="415">
        <f t="shared" si="20"/>
        <v>1.4110672749834237</v>
      </c>
      <c r="I23" s="415">
        <f t="shared" si="20"/>
        <v>0</v>
      </c>
      <c r="J23" s="415">
        <f t="shared" si="20"/>
        <v>0</v>
      </c>
      <c r="K23" s="415">
        <f t="shared" si="20"/>
        <v>0</v>
      </c>
      <c r="L23" s="415">
        <f t="shared" si="20"/>
        <v>0</v>
      </c>
      <c r="M23" s="415">
        <f t="shared" si="20"/>
        <v>0</v>
      </c>
      <c r="N23" s="415">
        <f t="shared" si="20"/>
        <v>98280.968869765289</v>
      </c>
      <c r="O23" s="415">
        <f t="shared" si="20"/>
        <v>0</v>
      </c>
      <c r="P23" s="415">
        <f t="shared" si="20"/>
        <v>0</v>
      </c>
      <c r="Q23" s="415">
        <f t="shared" si="20"/>
        <v>1270.3713080235311</v>
      </c>
      <c r="R23" s="415">
        <f t="shared" si="20"/>
        <v>0</v>
      </c>
      <c r="S23" s="415">
        <f t="shared" si="20"/>
        <v>529.82363469147822</v>
      </c>
      <c r="T23" s="415">
        <f t="shared" si="1"/>
        <v>100293.95834823944</v>
      </c>
    </row>
    <row r="24" spans="1:91" ht="18" customHeight="1">
      <c r="A24" s="401" t="s">
        <v>156</v>
      </c>
      <c r="B24" s="408" t="s">
        <v>77</v>
      </c>
      <c r="C24" s="410">
        <f t="shared" si="7"/>
        <v>0</v>
      </c>
      <c r="D24" s="410">
        <f t="shared" ref="D24:S24" si="21">+D48+D72</f>
        <v>-33.30958131521345</v>
      </c>
      <c r="E24" s="410">
        <f t="shared" si="21"/>
        <v>0</v>
      </c>
      <c r="F24" s="410">
        <f t="shared" si="21"/>
        <v>0</v>
      </c>
      <c r="G24" s="410">
        <f t="shared" si="21"/>
        <v>0</v>
      </c>
      <c r="H24" s="410">
        <f t="shared" si="21"/>
        <v>0</v>
      </c>
      <c r="I24" s="410">
        <f t="shared" si="21"/>
        <v>0</v>
      </c>
      <c r="J24" s="410">
        <f t="shared" si="21"/>
        <v>0</v>
      </c>
      <c r="K24" s="410">
        <f t="shared" si="21"/>
        <v>0</v>
      </c>
      <c r="L24" s="410">
        <f t="shared" si="21"/>
        <v>0</v>
      </c>
      <c r="M24" s="410">
        <f t="shared" si="21"/>
        <v>-443022.98308922455</v>
      </c>
      <c r="N24" s="410">
        <f t="shared" si="21"/>
        <v>-11786.04018869967</v>
      </c>
      <c r="O24" s="410">
        <f t="shared" si="21"/>
        <v>0</v>
      </c>
      <c r="P24" s="410">
        <f t="shared" si="21"/>
        <v>0</v>
      </c>
      <c r="Q24" s="410">
        <f t="shared" si="21"/>
        <v>0</v>
      </c>
      <c r="R24" s="410">
        <f t="shared" si="21"/>
        <v>0</v>
      </c>
      <c r="S24" s="410">
        <f t="shared" si="21"/>
        <v>0</v>
      </c>
      <c r="T24" s="410">
        <f t="shared" si="1"/>
        <v>-454842.33285923942</v>
      </c>
    </row>
    <row r="25" spans="1:91" ht="18" customHeight="1">
      <c r="A25" s="417" t="s">
        <v>163</v>
      </c>
      <c r="B25" s="418" t="s">
        <v>164</v>
      </c>
      <c r="C25" s="419">
        <f t="shared" si="7"/>
        <v>0</v>
      </c>
      <c r="D25" s="419">
        <f t="shared" ref="D25:S25" si="22">+D49+D73</f>
        <v>0</v>
      </c>
      <c r="E25" s="419">
        <f t="shared" si="22"/>
        <v>0</v>
      </c>
      <c r="F25" s="419">
        <f t="shared" si="22"/>
        <v>0</v>
      </c>
      <c r="G25" s="419">
        <f t="shared" si="22"/>
        <v>0</v>
      </c>
      <c r="H25" s="419">
        <f t="shared" si="22"/>
        <v>0</v>
      </c>
      <c r="I25" s="419">
        <f t="shared" si="22"/>
        <v>0</v>
      </c>
      <c r="J25" s="419">
        <f t="shared" si="22"/>
        <v>0</v>
      </c>
      <c r="K25" s="419">
        <f t="shared" si="22"/>
        <v>0</v>
      </c>
      <c r="L25" s="419">
        <f t="shared" si="22"/>
        <v>0</v>
      </c>
      <c r="M25" s="419">
        <f t="shared" si="22"/>
        <v>-17345.909254238184</v>
      </c>
      <c r="N25" s="419">
        <f t="shared" si="22"/>
        <v>-36.04488815618538</v>
      </c>
      <c r="O25" s="419">
        <f t="shared" si="22"/>
        <v>0</v>
      </c>
      <c r="P25" s="419">
        <f t="shared" si="22"/>
        <v>0</v>
      </c>
      <c r="Q25" s="419">
        <f t="shared" si="22"/>
        <v>-16.636102225931722</v>
      </c>
      <c r="R25" s="419">
        <f t="shared" si="22"/>
        <v>0</v>
      </c>
      <c r="S25" s="419">
        <f t="shared" si="22"/>
        <v>0</v>
      </c>
      <c r="T25" s="420">
        <f t="shared" si="1"/>
        <v>-17398.590244620304</v>
      </c>
    </row>
    <row r="26" spans="1:91" ht="18" customHeight="1">
      <c r="A26" s="402"/>
      <c r="B26" s="421" t="s">
        <v>17</v>
      </c>
      <c r="C26" s="569">
        <f t="shared" ref="C26:S26" si="23">SUM(C5:C25)</f>
        <v>604784.39061866968</v>
      </c>
      <c r="D26" s="569">
        <f t="shared" si="23"/>
        <v>-4391031.5864906358</v>
      </c>
      <c r="E26" s="569">
        <f t="shared" si="23"/>
        <v>-640662.00811166363</v>
      </c>
      <c r="F26" s="569">
        <f t="shared" si="23"/>
        <v>343658.13154223707</v>
      </c>
      <c r="G26" s="569">
        <f t="shared" si="23"/>
        <v>-334757.2361635355</v>
      </c>
      <c r="H26" s="569">
        <f t="shared" si="23"/>
        <v>-575325.50578490645</v>
      </c>
      <c r="I26" s="569">
        <f t="shared" si="23"/>
        <v>240865.34329947855</v>
      </c>
      <c r="J26" s="569">
        <f t="shared" si="23"/>
        <v>-148772.96039898627</v>
      </c>
      <c r="K26" s="569">
        <f t="shared" si="23"/>
        <v>87148.256723161234</v>
      </c>
      <c r="L26" s="569">
        <f t="shared" si="23"/>
        <v>17379.322833167404</v>
      </c>
      <c r="M26" s="569">
        <f t="shared" si="23"/>
        <v>-459738.26651076163</v>
      </c>
      <c r="N26" s="569">
        <f t="shared" si="23"/>
        <v>506020.9926212572</v>
      </c>
      <c r="O26" s="569">
        <f t="shared" si="23"/>
        <v>167912.60352321921</v>
      </c>
      <c r="P26" s="569">
        <f t="shared" si="23"/>
        <v>157375.86728274674</v>
      </c>
      <c r="Q26" s="569">
        <f t="shared" si="23"/>
        <v>55054.259874004187</v>
      </c>
      <c r="R26" s="570">
        <f t="shared" si="23"/>
        <v>-45268.368609656318</v>
      </c>
      <c r="S26" s="423">
        <f t="shared" si="23"/>
        <v>-94981.942640111127</v>
      </c>
      <c r="T26" s="422">
        <f t="shared" si="1"/>
        <v>-4510338.7063923161</v>
      </c>
    </row>
    <row r="27" spans="1:91" s="18" customFormat="1" ht="18"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8"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18" customHeight="1">
      <c r="A29" s="403" t="s">
        <v>128</v>
      </c>
      <c r="B29" s="437" t="s">
        <v>21</v>
      </c>
      <c r="C29" s="438">
        <f>FY16ProjRevToCollAut15!C29-FY16ProjRevToColl!C29</f>
        <v>-47814.359263168182</v>
      </c>
      <c r="D29" s="438">
        <f>FY16ProjRevToCollAut15!D29-FY16ProjRevToColl!D29</f>
        <v>-1432528.1584622115</v>
      </c>
      <c r="E29" s="438">
        <f>FY16ProjRevToCollAut15!E29-FY16ProjRevToColl!E29</f>
        <v>-139868.67805882171</v>
      </c>
      <c r="F29" s="438">
        <f>FY16ProjRevToCollAut15!F29-FY16ProjRevToColl!F29</f>
        <v>-29886.454256750178</v>
      </c>
      <c r="G29" s="438">
        <f>FY16ProjRevToCollAut15!G29-FY16ProjRevToColl!G29</f>
        <v>-206146.56125878729</v>
      </c>
      <c r="H29" s="438">
        <f>FY16ProjRevToCollAut15!H29-FY16ProjRevToColl!H29</f>
        <v>-124810.03136295639</v>
      </c>
      <c r="I29" s="438">
        <f>FY16ProjRevToCollAut15!I29-FY16ProjRevToColl!I29</f>
        <v>-30018.104700917844</v>
      </c>
      <c r="J29" s="438">
        <f>FY16ProjRevToCollAut15!J29-FY16ProjRevToColl!J29</f>
        <v>-1273.2221038659045</v>
      </c>
      <c r="K29" s="438">
        <f>FY16ProjRevToCollAut15!K29-FY16ProjRevToColl!K29</f>
        <v>-375.11359434009501</v>
      </c>
      <c r="L29" s="438">
        <f>FY16ProjRevToCollAut15!L29-FY16ProjRevToColl!L29</f>
        <v>-6775.4892977679265</v>
      </c>
      <c r="M29" s="438">
        <f>FY16ProjRevToCollAut15!M29-FY16ProjRevToColl!M29</f>
        <v>-128.04358268339638</v>
      </c>
      <c r="N29" s="438">
        <f>FY16ProjRevToCollAut15!N29-FY16ProjRevToColl!N29</f>
        <v>-61850.460728307255</v>
      </c>
      <c r="O29" s="438">
        <f>FY16ProjRevToCollAut15!O29-FY16ProjRevToColl!O29</f>
        <v>-18734.038548100507</v>
      </c>
      <c r="P29" s="438">
        <f>FY16ProjRevToCollAut15!P29-FY16ProjRevToColl!P29</f>
        <v>-737.60317348605167</v>
      </c>
      <c r="Q29" s="438">
        <f>FY16ProjRevToCollAut15!Q29-FY16ProjRevToColl!Q29</f>
        <v>-36156.982946752571</v>
      </c>
      <c r="R29" s="438">
        <f>FY16ProjRevToCollAut15!R29-FY16ProjRevToColl!R29</f>
        <v>-29742.179797388613</v>
      </c>
      <c r="S29" s="438">
        <f>FY16ProjRevToCollAut15!S29-FY16ProjRevToColl!S29</f>
        <v>-521.19148444369057</v>
      </c>
      <c r="T29" s="439">
        <f t="shared" ref="T29:T49" si="24">SUM(C29:Q29)+R29+S29</f>
        <v>-2167366.6726207491</v>
      </c>
    </row>
    <row r="30" spans="1:91" s="18" customFormat="1" ht="18" customHeight="1">
      <c r="A30" s="404" t="s">
        <v>129</v>
      </c>
      <c r="B30" s="440" t="s">
        <v>35</v>
      </c>
      <c r="C30" s="410">
        <f>FY16ProjRevToCollAut15!C30-FY16ProjRevToColl!C30</f>
        <v>-2004.4722275404492</v>
      </c>
      <c r="D30" s="410">
        <f>FY16ProjRevToCollAut15!D30-FY16ProjRevToColl!D30</f>
        <v>-165484.35206332337</v>
      </c>
      <c r="E30" s="410">
        <f>FY16ProjRevToCollAut15!E30-FY16ProjRevToColl!E30</f>
        <v>-5349.5811195549177</v>
      </c>
      <c r="F30" s="410">
        <f>FY16ProjRevToCollAut15!F30-FY16ProjRevToColl!F30</f>
        <v>-1343.2297721422419</v>
      </c>
      <c r="G30" s="410">
        <f>FY16ProjRevToCollAut15!G30-FY16ProjRevToColl!G30</f>
        <v>-11046.638666652419</v>
      </c>
      <c r="H30" s="410">
        <f>FY16ProjRevToCollAut15!H30-FY16ProjRevToColl!H30</f>
        <v>-1296.5538341141328</v>
      </c>
      <c r="I30" s="410">
        <f>FY16ProjRevToCollAut15!I30-FY16ProjRevToColl!I30</f>
        <v>-3692.5853195570598</v>
      </c>
      <c r="J30" s="410">
        <f>FY16ProjRevToCollAut15!J30-FY16ProjRevToColl!J30</f>
        <v>-521.21464131388166</v>
      </c>
      <c r="K30" s="410">
        <f>FY16ProjRevToCollAut15!K30-FY16ProjRevToColl!K30</f>
        <v>-1239.5054654131109</v>
      </c>
      <c r="L30" s="410">
        <f>FY16ProjRevToCollAut15!L30-FY16ProjRevToColl!L30</f>
        <v>-277.46252050042449</v>
      </c>
      <c r="M30" s="410">
        <f>FY16ProjRevToCollAut15!M30-FY16ProjRevToColl!M30</f>
        <v>-2.5931076682282672</v>
      </c>
      <c r="N30" s="410">
        <f>FY16ProjRevToCollAut15!N30-FY16ProjRevToColl!N30</f>
        <v>-32071.555640647188</v>
      </c>
      <c r="O30" s="410">
        <f>FY16ProjRevToCollAut15!O30-FY16ProjRevToColl!O30</f>
        <v>-46.675938028108874</v>
      </c>
      <c r="P30" s="410">
        <f>FY16ProjRevToCollAut15!P30-FY16ProjRevToColl!P30</f>
        <v>-4594.9867881004902</v>
      </c>
      <c r="Q30" s="410">
        <f>FY16ProjRevToCollAut15!Q30-FY16ProjRevToColl!Q30</f>
        <v>-2380.4728394335507</v>
      </c>
      <c r="R30" s="410">
        <f>FY16ProjRevToCollAut15!R30-FY16ProjRevToColl!R30</f>
        <v>-12.965538341141354</v>
      </c>
      <c r="S30" s="410">
        <f>FY16ProjRevToCollAut15!S30-FY16ProjRevToColl!S30</f>
        <v>-15369.349149588932</v>
      </c>
      <c r="T30" s="441">
        <f t="shared" si="24"/>
        <v>-246734.19463191967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18" customHeight="1">
      <c r="A31" s="404" t="s">
        <v>140</v>
      </c>
      <c r="B31" s="442" t="s">
        <v>36</v>
      </c>
      <c r="C31" s="443">
        <f>FY16ProjRevToCollAut15!C31-FY16ProjRevToColl!C31</f>
        <v>0</v>
      </c>
      <c r="D31" s="443">
        <f>FY16ProjRevToCollAut15!D31-FY16ProjRevToColl!D31</f>
        <v>546.82455888314689</v>
      </c>
      <c r="E31" s="443">
        <f>FY16ProjRevToCollAut15!E31-FY16ProjRevToColl!E31</f>
        <v>0</v>
      </c>
      <c r="F31" s="443">
        <f>FY16ProjRevToCollAut15!F31-FY16ProjRevToColl!F31</f>
        <v>65.328597742676948</v>
      </c>
      <c r="G31" s="443">
        <f>FY16ProjRevToCollAut15!G31-FY16ProjRevToColl!G31</f>
        <v>2.4195776941732206</v>
      </c>
      <c r="H31" s="443">
        <f>FY16ProjRevToCollAut15!H31-FY16ProjRevToColl!H31</f>
        <v>0</v>
      </c>
      <c r="I31" s="443">
        <f>FY16ProjRevToCollAut15!I31-FY16ProjRevToColl!I31</f>
        <v>9.6783107766928822</v>
      </c>
      <c r="J31" s="443">
        <f>FY16ProjRevToCollAut15!J31-FY16ProjRevToColl!J31</f>
        <v>14.517466165039309</v>
      </c>
      <c r="K31" s="443">
        <f>FY16ProjRevToCollAut15!K31-FY16ProjRevToColl!K31</f>
        <v>9.6783107766928822</v>
      </c>
      <c r="L31" s="443">
        <f>FY16ProjRevToCollAut15!L31-FY16ProjRevToColl!L31</f>
        <v>1708.2218520862953</v>
      </c>
      <c r="M31" s="443">
        <f>FY16ProjRevToCollAut15!M31-FY16ProjRevToColl!M31</f>
        <v>0</v>
      </c>
      <c r="N31" s="443">
        <f>FY16ProjRevToCollAut15!N31-FY16ProjRevToColl!N31</f>
        <v>8973.0038788413804</v>
      </c>
      <c r="O31" s="443">
        <f>FY16ProjRevToCollAut15!O31-FY16ProjRevToColl!O31</f>
        <v>0</v>
      </c>
      <c r="P31" s="443">
        <f>FY16ProjRevToCollAut15!P31-FY16ProjRevToColl!P31</f>
        <v>9.6783107766928822</v>
      </c>
      <c r="Q31" s="443">
        <f>FY16ProjRevToCollAut15!Q31-FY16ProjRevToColl!Q31</f>
        <v>137.91592856787383</v>
      </c>
      <c r="R31" s="443">
        <f>FY16ProjRevToCollAut15!R31-FY16ProjRevToColl!R31</f>
        <v>0</v>
      </c>
      <c r="S31" s="443">
        <f>FY16ProjRevToCollAut15!S31-FY16ProjRevToColl!S31</f>
        <v>7.2587330825196545</v>
      </c>
      <c r="T31" s="444">
        <f t="shared" si="24"/>
        <v>11484.525525393185</v>
      </c>
    </row>
    <row r="32" spans="1:91" s="18" customFormat="1" ht="18" customHeight="1">
      <c r="A32" s="404" t="s">
        <v>130</v>
      </c>
      <c r="B32" s="440" t="s">
        <v>37</v>
      </c>
      <c r="C32" s="410">
        <f>FY16ProjRevToCollAut15!C32-FY16ProjRevToColl!C32</f>
        <v>-126.79611699358793</v>
      </c>
      <c r="D32" s="410">
        <f>FY16ProjRevToCollAut15!D32-FY16ProjRevToColl!D32</f>
        <v>-1415.672110351079</v>
      </c>
      <c r="E32" s="410">
        <f>FY16ProjRevToCollAut15!E32-FY16ProjRevToColl!E32</f>
        <v>-101.30617594848445</v>
      </c>
      <c r="F32" s="410">
        <f>FY16ProjRevToCollAut15!F32-FY16ProjRevToColl!F32</f>
        <v>-73.855470207605322</v>
      </c>
      <c r="G32" s="410">
        <f>FY16ProjRevToCollAut15!G32-FY16ProjRevToColl!G32</f>
        <v>-19708.299545487622</v>
      </c>
      <c r="H32" s="410">
        <f>FY16ProjRevToCollAut15!H32-FY16ProjRevToColl!H32</f>
        <v>-190.8477637223059</v>
      </c>
      <c r="I32" s="410">
        <f>FY16ProjRevToCollAut15!I32-FY16ProjRevToColl!I32</f>
        <v>-41.829646843244973</v>
      </c>
      <c r="J32" s="410">
        <f>FY16ProjRevToCollAut15!J32-FY16ProjRevToColl!J32</f>
        <v>-78.430587831085177</v>
      </c>
      <c r="K32" s="410">
        <f>FY16ProjRevToCollAut15!K32-FY16ProjRevToColl!K32</f>
        <v>-10.457411710811243</v>
      </c>
      <c r="L32" s="410">
        <f>FY16ProjRevToCollAut15!L32-FY16ProjRevToColl!L32</f>
        <v>-14.378941102365502</v>
      </c>
      <c r="M32" s="410">
        <f>FY16ProjRevToCollAut15!M32-FY16ProjRevToColl!M32</f>
        <v>0</v>
      </c>
      <c r="N32" s="410">
        <f>FY16ProjRevToCollAut15!N32-FY16ProjRevToColl!N32</f>
        <v>-437.57732127426061</v>
      </c>
      <c r="O32" s="410">
        <f>FY16ProjRevToCollAut15!O32-FY16ProjRevToColl!O32</f>
        <v>-827.44270161793975</v>
      </c>
      <c r="P32" s="410">
        <f>FY16ProjRevToCollAut15!P32-FY16ProjRevToColl!P32</f>
        <v>-7.8430587831085177</v>
      </c>
      <c r="Q32" s="410">
        <f>FY16ProjRevToCollAut15!Q32-FY16ProjRevToColl!Q32</f>
        <v>-484.96246808887372</v>
      </c>
      <c r="R32" s="410">
        <f>FY16ProjRevToCollAut15!R32-FY16ProjRevToColl!R32</f>
        <v>0</v>
      </c>
      <c r="S32" s="410">
        <f>FY16ProjRevToCollAut15!S32-FY16ProjRevToColl!S32</f>
        <v>-126.46932287762502</v>
      </c>
      <c r="T32" s="441">
        <f t="shared" si="24"/>
        <v>-23646.168642839999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18" customHeight="1">
      <c r="A33" s="404" t="s">
        <v>131</v>
      </c>
      <c r="B33" s="442" t="s">
        <v>141</v>
      </c>
      <c r="C33" s="443">
        <f>FY16ProjRevToCollAut15!C33-FY16ProjRevToColl!C33</f>
        <v>-44.605779952843363</v>
      </c>
      <c r="D33" s="443">
        <f>FY16ProjRevToCollAut15!D33-FY16ProjRevToColl!D33</f>
        <v>-3087.3571981646601</v>
      </c>
      <c r="E33" s="443">
        <f>FY16ProjRevToCollAut15!E33-FY16ProjRevToColl!E33</f>
        <v>-82.83930562670912</v>
      </c>
      <c r="F33" s="443">
        <f>FY16ProjRevToCollAut15!F33-FY16ProjRevToColl!F33</f>
        <v>-47.791907092332167</v>
      </c>
      <c r="G33" s="443">
        <f>FY16ProjRevToCollAut15!G33-FY16ProjRevToColl!G33</f>
        <v>-337.72947678581386</v>
      </c>
      <c r="H33" s="443">
        <f>FY16ProjRevToCollAut15!H33-FY16ProjRevToColl!H33</f>
        <v>-47597.553336823359</v>
      </c>
      <c r="I33" s="443">
        <f>FY16ProjRevToCollAut15!I33-FY16ProjRevToColl!I33</f>
        <v>0</v>
      </c>
      <c r="J33" s="443">
        <f>FY16ProjRevToCollAut15!J33-FY16ProjRevToColl!J33</f>
        <v>-79.653178487220202</v>
      </c>
      <c r="K33" s="443">
        <f>FY16ProjRevToCollAut15!K33-FY16ProjRevToColl!K33</f>
        <v>-484.29132520229996</v>
      </c>
      <c r="L33" s="443">
        <f>FY16ProjRevToCollAut15!L33-FY16ProjRevToColl!L33</f>
        <v>0</v>
      </c>
      <c r="M33" s="443">
        <f>FY16ProjRevToCollAut15!M33-FY16ProjRevToColl!M33</f>
        <v>0</v>
      </c>
      <c r="N33" s="443">
        <f>FY16ProjRevToCollAut15!N33-FY16ProjRevToColl!N33</f>
        <v>-98.769941324153251</v>
      </c>
      <c r="O33" s="443">
        <f>FY16ProjRevToCollAut15!O33-FY16ProjRevToColl!O33</f>
        <v>0</v>
      </c>
      <c r="P33" s="443">
        <f>FY16ProjRevToCollAut15!P33-FY16ProjRevToColl!P33</f>
        <v>0</v>
      </c>
      <c r="Q33" s="443">
        <f>FY16ProjRevToCollAut15!Q33-FY16ProjRevToColl!Q33</f>
        <v>-111.51444988210847</v>
      </c>
      <c r="R33" s="443">
        <f>FY16ProjRevToCollAut15!R33-FY16ProjRevToColl!R33</f>
        <v>-9.5583814184664249</v>
      </c>
      <c r="S33" s="443">
        <f>FY16ProjRevToCollAut15!S33-FY16ProjRevToColl!S33</f>
        <v>-127.4450855795526</v>
      </c>
      <c r="T33" s="444">
        <f t="shared" si="24"/>
        <v>-52109.109366339515</v>
      </c>
    </row>
    <row r="34" spans="1:91" s="18" customFormat="1" ht="18" customHeight="1">
      <c r="A34" s="404" t="s">
        <v>132</v>
      </c>
      <c r="B34" s="440" t="s">
        <v>206</v>
      </c>
      <c r="C34" s="410">
        <f>FY16ProjRevToCollAut15!C34-FY16ProjRevToColl!C34</f>
        <v>0</v>
      </c>
      <c r="D34" s="410">
        <f>FY16ProjRevToCollAut15!D34-FY16ProjRevToColl!D34</f>
        <v>-1587.5350587669891</v>
      </c>
      <c r="E34" s="410">
        <f>FY16ProjRevToCollAut15!E34-FY16ProjRevToColl!E34</f>
        <v>-10.127815366934556</v>
      </c>
      <c r="F34" s="410">
        <f>FY16ProjRevToCollAut15!F34-FY16ProjRevToColl!F34</f>
        <v>-47770.37313198857</v>
      </c>
      <c r="G34" s="410">
        <f>FY16ProjRevToCollAut15!G34-FY16ProjRevToColl!G34</f>
        <v>-17.723676892135416</v>
      </c>
      <c r="H34" s="410">
        <f>FY16ProjRevToCollAut15!H34-FY16ProjRevToColl!H34</f>
        <v>-217.74803038909249</v>
      </c>
      <c r="I34" s="410">
        <f>FY16ProjRevToCollAut15!I34-FY16ProjRevToColl!I34</f>
        <v>-43.043215309471861</v>
      </c>
      <c r="J34" s="410">
        <f>FY16ProjRevToCollAut15!J34-FY16ProjRevToColl!J34</f>
        <v>0</v>
      </c>
      <c r="K34" s="410">
        <f>FY16ProjRevToCollAut15!K34-FY16ProjRevToColl!K34</f>
        <v>-334.21790710883943</v>
      </c>
      <c r="L34" s="410">
        <f>FY16ProjRevToCollAut15!L34-FY16ProjRevToColl!L34</f>
        <v>-154.44918434575175</v>
      </c>
      <c r="M34" s="410">
        <f>FY16ProjRevToCollAut15!M34-FY16ProjRevToColl!M34</f>
        <v>0</v>
      </c>
      <c r="N34" s="410">
        <f>FY16ProjRevToCollAut15!N34-FY16ProjRevToColl!N34</f>
        <v>-68.362753726808251</v>
      </c>
      <c r="O34" s="410">
        <f>FY16ProjRevToCollAut15!O34-FY16ProjRevToColl!O34</f>
        <v>-25.319538417336389</v>
      </c>
      <c r="P34" s="410">
        <f>FY16ProjRevToCollAut15!P34-FY16ProjRevToColl!P34</f>
        <v>0</v>
      </c>
      <c r="Q34" s="410">
        <f>FY16ProjRevToCollAut15!Q34-FY16ProjRevToColl!Q34</f>
        <v>-91.150338302411001</v>
      </c>
      <c r="R34" s="410">
        <f>FY16ProjRevToCollAut15!R34-FY16ProjRevToColl!R34</f>
        <v>0</v>
      </c>
      <c r="S34" s="410">
        <f>FY16ProjRevToCollAut15!S34-FY16ProjRevToColl!S34</f>
        <v>-78.490569093742806</v>
      </c>
      <c r="T34" s="441">
        <f t="shared" si="24"/>
        <v>-50398.541219708088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18" customHeight="1">
      <c r="A35" s="404" t="s">
        <v>131</v>
      </c>
      <c r="B35" s="442" t="s">
        <v>40</v>
      </c>
      <c r="C35" s="443">
        <f>FY16ProjRevToCollAut15!C35-FY16ProjRevToColl!C35</f>
        <v>0</v>
      </c>
      <c r="D35" s="443">
        <f>FY16ProjRevToCollAut15!D35-FY16ProjRevToColl!D35</f>
        <v>0</v>
      </c>
      <c r="E35" s="443">
        <f>FY16ProjRevToCollAut15!E35-FY16ProjRevToColl!E35</f>
        <v>0</v>
      </c>
      <c r="F35" s="443">
        <f>FY16ProjRevToCollAut15!F35-FY16ProjRevToColl!F35</f>
        <v>0</v>
      </c>
      <c r="G35" s="443">
        <f>FY16ProjRevToCollAut15!G35-FY16ProjRevToColl!G35</f>
        <v>0</v>
      </c>
      <c r="H35" s="443">
        <f>FY16ProjRevToCollAut15!H35-FY16ProjRevToColl!H35</f>
        <v>0</v>
      </c>
      <c r="I35" s="443">
        <f>FY16ProjRevToCollAut15!I35-FY16ProjRevToColl!I35</f>
        <v>-1055.4042833916644</v>
      </c>
      <c r="J35" s="443">
        <f>FY16ProjRevToCollAut15!J35-FY16ProjRevToColl!J35</f>
        <v>0</v>
      </c>
      <c r="K35" s="443">
        <f>FY16ProjRevToCollAut15!K35-FY16ProjRevToColl!K35</f>
        <v>0</v>
      </c>
      <c r="L35" s="443">
        <f>FY16ProjRevToCollAut15!L35-FY16ProjRevToColl!L35</f>
        <v>0</v>
      </c>
      <c r="M35" s="443">
        <f>FY16ProjRevToCollAut15!M35-FY16ProjRevToColl!M35</f>
        <v>0</v>
      </c>
      <c r="N35" s="443">
        <f>FY16ProjRevToCollAut15!N35-FY16ProjRevToColl!N35</f>
        <v>0</v>
      </c>
      <c r="O35" s="443">
        <f>FY16ProjRevToCollAut15!O35-FY16ProjRevToColl!O35</f>
        <v>0</v>
      </c>
      <c r="P35" s="443">
        <f>FY16ProjRevToCollAut15!P35-FY16ProjRevToColl!P35</f>
        <v>0</v>
      </c>
      <c r="Q35" s="443">
        <f>FY16ProjRevToCollAut15!Q35-FY16ProjRevToColl!Q35</f>
        <v>0</v>
      </c>
      <c r="R35" s="443">
        <f>FY16ProjRevToCollAut15!R35-FY16ProjRevToColl!R35</f>
        <v>0</v>
      </c>
      <c r="S35" s="443">
        <f>FY16ProjRevToCollAut15!S35-FY16ProjRevToColl!S35</f>
        <v>0</v>
      </c>
      <c r="T35" s="444">
        <f t="shared" ref="T35" si="25">SUM(C35:Q35)+R35+S35</f>
        <v>-1055.4042833916644</v>
      </c>
    </row>
    <row r="36" spans="1:91" s="18" customFormat="1" ht="18" customHeight="1">
      <c r="A36" s="404" t="s">
        <v>135</v>
      </c>
      <c r="B36" s="440" t="s">
        <v>70</v>
      </c>
      <c r="C36" s="410">
        <f>FY16ProjRevToCollAut15!C36-FY16ProjRevToColl!C36</f>
        <v>1.0434761027344734</v>
      </c>
      <c r="D36" s="410">
        <f>FY16ProjRevToCollAut15!D36-FY16ProjRevToColl!D36</f>
        <v>53.739019290825127</v>
      </c>
      <c r="E36" s="410">
        <f>FY16ProjRevToCollAut15!E36-FY16ProjRevToColl!E36</f>
        <v>0</v>
      </c>
      <c r="F36" s="410">
        <f>FY16ProjRevToCollAut15!F36-FY16ProjRevToColl!F36</f>
        <v>7.8260707705086361</v>
      </c>
      <c r="G36" s="410">
        <f>FY16ProjRevToCollAut15!G36-FY16ProjRevToColl!G36</f>
        <v>0</v>
      </c>
      <c r="H36" s="410">
        <f>FY16ProjRevToCollAut15!H36-FY16ProjRevToColl!H36</f>
        <v>1.5652141541017102</v>
      </c>
      <c r="I36" s="410">
        <f>FY16ProjRevToCollAut15!I36-FY16ProjRevToColl!I36</f>
        <v>0</v>
      </c>
      <c r="J36" s="410">
        <f>FY16ProjRevToCollAut15!J36-FY16ProjRevToColl!J36</f>
        <v>0</v>
      </c>
      <c r="K36" s="410">
        <f>FY16ProjRevToCollAut15!K36-FY16ProjRevToColl!K36</f>
        <v>16.695617643751575</v>
      </c>
      <c r="L36" s="410">
        <f>FY16ProjRevToCollAut15!L36-FY16ProjRevToColl!L36</f>
        <v>5134.9459015562898</v>
      </c>
      <c r="M36" s="410">
        <f>FY16ProjRevToCollAut15!M36-FY16ProjRevToColl!M36</f>
        <v>0</v>
      </c>
      <c r="N36" s="410">
        <f>FY16ProjRevToCollAut15!N36-FY16ProjRevToColl!N36</f>
        <v>62.086828112701369</v>
      </c>
      <c r="O36" s="410">
        <f>FY16ProjRevToCollAut15!O36-FY16ProjRevToColl!O36</f>
        <v>1.0434761027344734</v>
      </c>
      <c r="P36" s="410">
        <f>FY16ProjRevToCollAut15!P36-FY16ProjRevToColl!P36</f>
        <v>0</v>
      </c>
      <c r="Q36" s="410">
        <f>FY16ProjRevToCollAut15!Q36-FY16ProjRevToColl!Q36</f>
        <v>98.08675365704039</v>
      </c>
      <c r="R36" s="410">
        <f>FY16ProjRevToCollAut15!R36-FY16ProjRevToColl!R36</f>
        <v>0</v>
      </c>
      <c r="S36" s="410">
        <f>FY16ProjRevToCollAut15!S36-FY16ProjRevToColl!S36</f>
        <v>0</v>
      </c>
      <c r="T36" s="441">
        <f t="shared" si="24"/>
        <v>5377.0323573906871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18" customHeight="1">
      <c r="A37" s="404" t="s">
        <v>136</v>
      </c>
      <c r="B37" s="442" t="s">
        <v>144</v>
      </c>
      <c r="C37" s="443">
        <f>FY16ProjRevToCollAut15!C37-FY16ProjRevToColl!C37</f>
        <v>-6.0014747851693642</v>
      </c>
      <c r="D37" s="443">
        <f>FY16ProjRevToCollAut15!D37-FY16ProjRevToColl!D37</f>
        <v>-1082.2659529255434</v>
      </c>
      <c r="E37" s="443">
        <f>FY16ProjRevToCollAut15!E37-FY16ProjRevToColl!E37</f>
        <v>-12.002949570338728</v>
      </c>
      <c r="F37" s="443">
        <f>FY16ProjRevToCollAut15!F37-FY16ProjRevToColl!F37</f>
        <v>-12.002949570338728</v>
      </c>
      <c r="G37" s="443">
        <f>FY16ProjRevToCollAut15!G37-FY16ProjRevToColl!G37</f>
        <v>-94.02310496765358</v>
      </c>
      <c r="H37" s="443">
        <f>FY16ProjRevToCollAut15!H37-FY16ProjRevToColl!H37</f>
        <v>-58.014256256637054</v>
      </c>
      <c r="I37" s="443">
        <f>FY16ProjRevToCollAut15!I37-FY16ProjRevToColl!I37</f>
        <v>-8.0019663802258094</v>
      </c>
      <c r="J37" s="443">
        <f>FY16ProjRevToCollAut15!J37-FY16ProjRevToColl!J37</f>
        <v>-10.002457975282255</v>
      </c>
      <c r="K37" s="443">
        <f>FY16ProjRevToCollAut15!K37-FY16ProjRevToColl!K37</f>
        <v>-64.015731041806475</v>
      </c>
      <c r="L37" s="443">
        <f>FY16ProjRevToCollAut15!L37-FY16ProjRevToColl!L37</f>
        <v>-18.004424355508093</v>
      </c>
      <c r="M37" s="443">
        <f>FY16ProjRevToCollAut15!M37-FY16ProjRevToColl!M37</f>
        <v>-4.0009831901129047</v>
      </c>
      <c r="N37" s="443">
        <f>FY16ProjRevToCollAut15!N37-FY16ProjRevToColl!N37</f>
        <v>-539.13248486771408</v>
      </c>
      <c r="O37" s="443">
        <f>FY16ProjRevToCollAut15!O37-FY16ProjRevToColl!O37</f>
        <v>-8.0019663802258094</v>
      </c>
      <c r="P37" s="443">
        <f>FY16ProjRevToCollAut15!P37-FY16ProjRevToColl!P37</f>
        <v>-108.02654613304867</v>
      </c>
      <c r="Q37" s="443">
        <f>FY16ProjRevToCollAut15!Q37-FY16ProjRevToColl!Q37</f>
        <v>-17525.306618492061</v>
      </c>
      <c r="R37" s="443">
        <f>FY16ProjRevToCollAut15!R37-FY16ProjRevToColl!R37</f>
        <v>0</v>
      </c>
      <c r="S37" s="443">
        <f>FY16ProjRevToCollAut15!S37-FY16ProjRevToColl!S37</f>
        <v>-36.008848711016185</v>
      </c>
      <c r="T37" s="444">
        <f t="shared" si="24"/>
        <v>-19584.812715602682</v>
      </c>
    </row>
    <row r="38" spans="1:91" s="18" customFormat="1" ht="18" customHeight="1">
      <c r="A38" s="404" t="s">
        <v>137</v>
      </c>
      <c r="B38" s="440" t="s">
        <v>49</v>
      </c>
      <c r="C38" s="410">
        <f>FY16ProjRevToCollAut15!C38-FY16ProjRevToColl!C38</f>
        <v>382.83937475458538</v>
      </c>
      <c r="D38" s="410">
        <f>FY16ProjRevToCollAut15!D38-FY16ProjRevToColl!D38</f>
        <v>2547.3543012516648</v>
      </c>
      <c r="E38" s="410">
        <f>FY16ProjRevToCollAut15!E38-FY16ProjRevToColl!E38</f>
        <v>0</v>
      </c>
      <c r="F38" s="410">
        <f>FY16ProjRevToCollAut15!F38-FY16ProjRevToColl!F38</f>
        <v>44.17377401014447</v>
      </c>
      <c r="G38" s="410">
        <f>FY16ProjRevToCollAut15!G38-FY16ProjRevToColl!G38</f>
        <v>456.46233143815948</v>
      </c>
      <c r="H38" s="410">
        <f>FY16ProjRevToCollAut15!H38-FY16ProjRevToColl!H38</f>
        <v>147.24591336714826</v>
      </c>
      <c r="I38" s="410">
        <f>FY16ProjRevToCollAut15!I38-FY16ProjRevToColl!I38</f>
        <v>0</v>
      </c>
      <c r="J38" s="410">
        <f>FY16ProjRevToCollAut15!J38-FY16ProjRevToColl!J38</f>
        <v>279.76723539758166</v>
      </c>
      <c r="K38" s="410">
        <f>FY16ProjRevToCollAut15!K38-FY16ProjRevToColl!K38</f>
        <v>500.63610544830408</v>
      </c>
      <c r="L38" s="410">
        <f>FY16ProjRevToCollAut15!L38-FY16ProjRevToColl!L38</f>
        <v>1119.0689415903266</v>
      </c>
      <c r="M38" s="410">
        <f>FY16ProjRevToCollAut15!M38-FY16ProjRevToColl!M38</f>
        <v>132.5213220304334</v>
      </c>
      <c r="N38" s="410">
        <f>FY16ProjRevToCollAut15!N38-FY16ProjRevToColl!N38</f>
        <v>15968.819304667224</v>
      </c>
      <c r="O38" s="410">
        <f>FY16ProjRevToCollAut15!O38-FY16ProjRevToColl!O38</f>
        <v>147.24591336714826</v>
      </c>
      <c r="P38" s="410">
        <f>FY16ProjRevToCollAut15!P38-FY16ProjRevToColl!P38</f>
        <v>338.66560074444101</v>
      </c>
      <c r="Q38" s="410">
        <f>FY16ProjRevToCollAut15!Q38-FY16ProjRevToColl!Q38</f>
        <v>69249.753056569811</v>
      </c>
      <c r="R38" s="410">
        <f>FY16ProjRevToCollAut15!R38-FY16ProjRevToColl!R38</f>
        <v>0</v>
      </c>
      <c r="S38" s="410">
        <f>FY16ProjRevToCollAut15!S38-FY16ProjRevToColl!S38</f>
        <v>161.97050470386307</v>
      </c>
      <c r="T38" s="441">
        <f t="shared" si="24"/>
        <v>91476.523679340826</v>
      </c>
    </row>
    <row r="39" spans="1:91" ht="18" customHeight="1">
      <c r="A39" s="553" t="s">
        <v>145</v>
      </c>
      <c r="B39" s="442" t="s">
        <v>207</v>
      </c>
      <c r="C39" s="443">
        <f>FY16ProjRevToCollAut15!C39-FY16ProjRevToColl!C39</f>
        <v>57576.217163255904</v>
      </c>
      <c r="D39" s="443">
        <f>FY16ProjRevToCollAut15!D39-FY16ProjRevToColl!D39</f>
        <v>1063.8515750696442</v>
      </c>
      <c r="E39" s="443">
        <f>FY16ProjRevToCollAut15!E39-FY16ProjRevToColl!E39</f>
        <v>308.70693026574554</v>
      </c>
      <c r="F39" s="443">
        <f>FY16ProjRevToCollAut15!F39-FY16ProjRevToColl!F39</f>
        <v>0</v>
      </c>
      <c r="G39" s="443">
        <f>FY16ProjRevToCollAut15!G39-FY16ProjRevToColl!G39</f>
        <v>318.2056050431529</v>
      </c>
      <c r="H39" s="443">
        <f>FY16ProjRevToCollAut15!H39-FY16ProjRevToColl!H39</f>
        <v>774.14199435871524</v>
      </c>
      <c r="I39" s="443">
        <f>FY16ProjRevToCollAut15!I39-FY16ProjRevToColl!I39</f>
        <v>9.4986747774075582</v>
      </c>
      <c r="J39" s="443">
        <f>FY16ProjRevToCollAut15!J39-FY16ProjRevToColl!J39</f>
        <v>28.496024332222646</v>
      </c>
      <c r="K39" s="443">
        <f>FY16ProjRevToCollAut15!K39-FY16ProjRevToColl!K39</f>
        <v>802.63801869093913</v>
      </c>
      <c r="L39" s="443">
        <f>FY16ProjRevToCollAut15!L39-FY16ProjRevToColl!L39</f>
        <v>0</v>
      </c>
      <c r="M39" s="443">
        <f>FY16ProjRevToCollAut15!M39-FY16ProjRevToColl!M39</f>
        <v>0</v>
      </c>
      <c r="N39" s="443">
        <f>FY16ProjRevToCollAut15!N39-FY16ProjRevToColl!N39</f>
        <v>33.245361720926383</v>
      </c>
      <c r="O39" s="443">
        <f>FY16ProjRevToCollAut15!O39-FY16ProjRevToColl!O39</f>
        <v>0</v>
      </c>
      <c r="P39" s="443">
        <f>FY16ProjRevToCollAut15!P39-FY16ProjRevToColl!P39</f>
        <v>0</v>
      </c>
      <c r="Q39" s="443">
        <f>FY16ProjRevToCollAut15!Q39-FY16ProjRevToColl!Q39</f>
        <v>189.97349554815128</v>
      </c>
      <c r="R39" s="443">
        <f>FY16ProjRevToCollAut15!R39-FY16ProjRevToColl!R39</f>
        <v>0</v>
      </c>
      <c r="S39" s="443">
        <f>FY16ProjRevToCollAut15!S39-FY16ProjRevToColl!S39</f>
        <v>0</v>
      </c>
      <c r="T39" s="444">
        <f t="shared" si="24"/>
        <v>61104.97484306281</v>
      </c>
    </row>
    <row r="40" spans="1:91" s="18" customFormat="1" ht="18" customHeight="1">
      <c r="A40" s="404" t="s">
        <v>147</v>
      </c>
      <c r="B40" s="440" t="s">
        <v>208</v>
      </c>
      <c r="C40" s="410">
        <f>FY16ProjRevToCollAut15!C40-FY16ProjRevToColl!C40</f>
        <v>0</v>
      </c>
      <c r="D40" s="410">
        <f>FY16ProjRevToCollAut15!D40-FY16ProjRevToColl!D40</f>
        <v>249.8264667863549</v>
      </c>
      <c r="E40" s="410">
        <f>FY16ProjRevToCollAut15!E40-FY16ProjRevToColl!E40</f>
        <v>62.456616696588725</v>
      </c>
      <c r="F40" s="410">
        <f>FY16ProjRevToCollAut15!F40-FY16ProjRevToColl!F40</f>
        <v>0</v>
      </c>
      <c r="G40" s="410">
        <f>FY16ProjRevToCollAut15!G40-FY16ProjRevToColl!G40</f>
        <v>67015.949715439667</v>
      </c>
      <c r="H40" s="410">
        <f>FY16ProjRevToCollAut15!H40-FY16ProjRevToColl!H40</f>
        <v>437.19631687612105</v>
      </c>
      <c r="I40" s="410">
        <f>FY16ProjRevToCollAut15!I40-FY16ProjRevToColl!I40</f>
        <v>312.28308348294377</v>
      </c>
      <c r="J40" s="410">
        <f>FY16ProjRevToCollAut15!J40-FY16ProjRevToColl!J40</f>
        <v>0</v>
      </c>
      <c r="K40" s="410">
        <f>FY16ProjRevToCollAut15!K40-FY16ProjRevToColl!K40</f>
        <v>0</v>
      </c>
      <c r="L40" s="410">
        <f>FY16ProjRevToCollAut15!L40-FY16ProjRevToColl!L40</f>
        <v>0</v>
      </c>
      <c r="M40" s="410">
        <f>FY16ProjRevToCollAut15!M40-FY16ProjRevToColl!M40</f>
        <v>0</v>
      </c>
      <c r="N40" s="410">
        <f>FY16ProjRevToCollAut15!N40-FY16ProjRevToColl!N40</f>
        <v>2623.1779012567258</v>
      </c>
      <c r="O40" s="410">
        <f>FY16ProjRevToCollAut15!O40-FY16ProjRevToColl!O40</f>
        <v>0</v>
      </c>
      <c r="P40" s="410">
        <f>FY16ProjRevToCollAut15!P40-FY16ProjRevToColl!P40</f>
        <v>0</v>
      </c>
      <c r="Q40" s="410">
        <f>FY16ProjRevToCollAut15!Q40-FY16ProjRevToColl!Q40</f>
        <v>93.684925044883073</v>
      </c>
      <c r="R40" s="410">
        <f>FY16ProjRevToCollAut15!R40-FY16ProjRevToColl!R40</f>
        <v>0</v>
      </c>
      <c r="S40" s="410">
        <f>FY16ProjRevToCollAut15!S40-FY16ProjRevToColl!S40</f>
        <v>374.73970017953229</v>
      </c>
      <c r="T40" s="441">
        <f t="shared" si="24"/>
        <v>71169.314725762815</v>
      </c>
    </row>
    <row r="41" spans="1:91" ht="18" customHeight="1">
      <c r="A41" s="404" t="s">
        <v>148</v>
      </c>
      <c r="B41" s="442" t="s">
        <v>39</v>
      </c>
      <c r="C41" s="443">
        <f>FY16ProjRevToCollAut15!C41-FY16ProjRevToColl!C41</f>
        <v>186.44491730800382</v>
      </c>
      <c r="D41" s="443">
        <f>FY16ProjRevToCollAut15!D41-FY16ProjRevToColl!D41</f>
        <v>945.90861716812651</v>
      </c>
      <c r="E41" s="443">
        <f>FY16ProjRevToCollAut15!E41-FY16ProjRevToColl!E41</f>
        <v>323.28522358910777</v>
      </c>
      <c r="F41" s="443">
        <f>FY16ProjRevToCollAut15!F41-FY16ProjRevToColl!F41</f>
        <v>85.525191425689627</v>
      </c>
      <c r="G41" s="443">
        <f>FY16ProjRevToCollAut15!G41-FY16ProjRevToColl!G41</f>
        <v>41.052091884331276</v>
      </c>
      <c r="H41" s="443">
        <f>FY16ProjRevToCollAut15!H41-FY16ProjRevToColl!H41</f>
        <v>528.54568301076506</v>
      </c>
      <c r="I41" s="443">
        <f>FY16ProjRevToCollAut15!I41-FY16ProjRevToColl!I41</f>
        <v>29.078565084734691</v>
      </c>
      <c r="J41" s="443">
        <f>FY16ProjRevToCollAut15!J41-FY16ProjRevToColl!J41</f>
        <v>97.498718225286211</v>
      </c>
      <c r="K41" s="443">
        <f>FY16ProjRevToCollAut15!K41-FY16ProjRevToColl!K41</f>
        <v>18288.706934469636</v>
      </c>
      <c r="L41" s="443">
        <f>FY16ProjRevToCollAut15!L41-FY16ProjRevToColl!L41</f>
        <v>75.262168454607036</v>
      </c>
      <c r="M41" s="443">
        <f>FY16ProjRevToCollAut15!M41-FY16ProjRevToColl!M41</f>
        <v>0</v>
      </c>
      <c r="N41" s="443">
        <f>FY16ProjRevToCollAut15!N41-FY16ProjRevToColl!N41</f>
        <v>116.31426033893877</v>
      </c>
      <c r="O41" s="443">
        <f>FY16ProjRevToCollAut15!O41-FY16ProjRevToColl!O41</f>
        <v>0</v>
      </c>
      <c r="P41" s="443">
        <f>FY16ProjRevToCollAut15!P41-FY16ProjRevToColl!P41</f>
        <v>0</v>
      </c>
      <c r="Q41" s="443">
        <f>FY16ProjRevToCollAut15!Q41-FY16ProjRevToColl!Q41</f>
        <v>465.25704135575506</v>
      </c>
      <c r="R41" s="443">
        <f>FY16ProjRevToCollAut15!R41-FY16ProjRevToColl!R41</f>
        <v>0</v>
      </c>
      <c r="S41" s="443">
        <f>FY16ProjRevToCollAut15!S41-FY16ProjRevToColl!S41</f>
        <v>5.1315114855414095</v>
      </c>
      <c r="T41" s="444">
        <f t="shared" si="24"/>
        <v>21188.010923800524</v>
      </c>
    </row>
    <row r="42" spans="1:91" s="18" customFormat="1" ht="18" customHeight="1">
      <c r="A42" s="404" t="s">
        <v>149</v>
      </c>
      <c r="B42" s="440" t="s">
        <v>38</v>
      </c>
      <c r="C42" s="410">
        <f>FY16ProjRevToCollAut15!C42-FY16ProjRevToColl!C42</f>
        <v>-101.26440653663349</v>
      </c>
      <c r="D42" s="410">
        <f>FY16ProjRevToCollAut15!D42-FY16ProjRevToColl!D42</f>
        <v>-179.66265675854356</v>
      </c>
      <c r="E42" s="410">
        <f>FY16ProjRevToCollAut15!E42-FY16ProjRevToColl!E42</f>
        <v>-36213.458415003843</v>
      </c>
      <c r="F42" s="410">
        <f>FY16ProjRevToCollAut15!F42-FY16ProjRevToColl!F42</f>
        <v>0</v>
      </c>
      <c r="G42" s="410">
        <f>FY16ProjRevToCollAut15!G42-FY16ProjRevToColl!G42</f>
        <v>-156.79650044381924</v>
      </c>
      <c r="H42" s="410">
        <f>FY16ProjRevToCollAut15!H42-FY16ProjRevToColl!H42</f>
        <v>0</v>
      </c>
      <c r="I42" s="410">
        <f>FY16ProjRevToCollAut15!I42-FY16ProjRevToColl!I42</f>
        <v>-91.464625258895012</v>
      </c>
      <c r="J42" s="410">
        <f>FY16ProjRevToCollAut15!J42-FY16ProjRevToColl!J42</f>
        <v>-32.665937592462456</v>
      </c>
      <c r="K42" s="410">
        <f>FY16ProjRevToCollAut15!K42-FY16ProjRevToColl!K42</f>
        <v>-169.86287548080509</v>
      </c>
      <c r="L42" s="410">
        <f>FY16ProjRevToCollAut15!L42-FY16ProjRevToColl!L42</f>
        <v>0</v>
      </c>
      <c r="M42" s="410">
        <f>FY16ProjRevToCollAut15!M42-FY16ProjRevToColl!M42</f>
        <v>0</v>
      </c>
      <c r="N42" s="410">
        <f>FY16ProjRevToCollAut15!N42-FY16ProjRevToColl!N42</f>
        <v>-52.265500147939974</v>
      </c>
      <c r="O42" s="410">
        <f>FY16ProjRevToCollAut15!O42-FY16ProjRevToColl!O42</f>
        <v>0</v>
      </c>
      <c r="P42" s="410">
        <f>FY16ProjRevToCollAut15!P42-FY16ProjRevToColl!P42</f>
        <v>0</v>
      </c>
      <c r="Q42" s="410">
        <f>FY16ProjRevToCollAut15!Q42-FY16ProjRevToColl!Q42</f>
        <v>-68.598468944171145</v>
      </c>
      <c r="R42" s="410">
        <f>FY16ProjRevToCollAut15!R42-FY16ProjRevToColl!R42</f>
        <v>0</v>
      </c>
      <c r="S42" s="410">
        <f>FY16ProjRevToCollAut15!S42-FY16ProjRevToColl!S42</f>
        <v>0</v>
      </c>
      <c r="T42" s="441">
        <f t="shared" si="24"/>
        <v>-37066.039386167118</v>
      </c>
    </row>
    <row r="43" spans="1:91" ht="18" customHeight="1">
      <c r="A43" s="404" t="s">
        <v>150</v>
      </c>
      <c r="B43" s="442" t="s">
        <v>31</v>
      </c>
      <c r="C43" s="443">
        <f>FY16ProjRevToCollAut15!C43-FY16ProjRevToColl!C43</f>
        <v>-37.539948025439344</v>
      </c>
      <c r="D43" s="443">
        <f>FY16ProjRevToCollAut15!D43-FY16ProjRevToColl!D43</f>
        <v>-340.20577898054216</v>
      </c>
      <c r="E43" s="443">
        <f>FY16ProjRevToCollAut15!E43-FY16ProjRevToColl!E43</f>
        <v>-136.08231159221759</v>
      </c>
      <c r="F43" s="443">
        <f>FY16ProjRevToCollAut15!F43-FY16ProjRevToColl!F43</f>
        <v>-61.002415541338451</v>
      </c>
      <c r="G43" s="443">
        <f>FY16ProjRevToCollAut15!G43-FY16ProjRevToColl!G43</f>
        <v>-9.384987006359836</v>
      </c>
      <c r="H43" s="443">
        <f>FY16ProjRevToCollAut15!H43-FY16ProjRevToColl!H43</f>
        <v>-7.0387402547698912</v>
      </c>
      <c r="I43" s="443">
        <f>FY16ProjRevToCollAut15!I43-FY16ProjRevToColl!I43</f>
        <v>-187.69974012719649</v>
      </c>
      <c r="J43" s="443">
        <f>FY16ProjRevToCollAut15!J43-FY16ProjRevToColl!J43</f>
        <v>-52135.949067080393</v>
      </c>
      <c r="K43" s="443">
        <f>FY16ProjRevToCollAut15!K43-FY16ProjRevToColl!K43</f>
        <v>-9.384987006359836</v>
      </c>
      <c r="L43" s="443">
        <f>FY16ProjRevToCollAut15!L43-FY16ProjRevToColl!L43</f>
        <v>-7.0387402547698912</v>
      </c>
      <c r="M43" s="443">
        <f>FY16ProjRevToCollAut15!M43-FY16ProjRevToColl!M43</f>
        <v>0</v>
      </c>
      <c r="N43" s="443">
        <f>FY16ProjRevToCollAut15!N43-FY16ProjRevToColl!N43</f>
        <v>-2.346246751589959</v>
      </c>
      <c r="O43" s="443">
        <f>FY16ProjRevToCollAut15!O43-FY16ProjRevToColl!O43</f>
        <v>0</v>
      </c>
      <c r="P43" s="443">
        <f>FY16ProjRevToCollAut15!P43-FY16ProjRevToColl!P43</f>
        <v>-7.0387402547698912</v>
      </c>
      <c r="Q43" s="443">
        <f>FY16ProjRevToCollAut15!Q43-FY16ProjRevToColl!Q43</f>
        <v>-100.88861031836768</v>
      </c>
      <c r="R43" s="443">
        <f>FY16ProjRevToCollAut15!R43-FY16ProjRevToColl!R43</f>
        <v>0</v>
      </c>
      <c r="S43" s="443">
        <f>FY16ProjRevToCollAut15!S43-FY16ProjRevToColl!S43</f>
        <v>-18.769974012719672</v>
      </c>
      <c r="T43" s="444">
        <f t="shared" si="24"/>
        <v>-53060.370287206839</v>
      </c>
    </row>
    <row r="44" spans="1:91" s="18" customFormat="1" ht="18" customHeight="1">
      <c r="A44" s="404" t="s">
        <v>151</v>
      </c>
      <c r="B44" s="440" t="s">
        <v>209</v>
      </c>
      <c r="C44" s="410">
        <f>FY16ProjRevToCollAut15!C44-FY16ProjRevToColl!C44</f>
        <v>0</v>
      </c>
      <c r="D44" s="410">
        <f>FY16ProjRevToCollAut15!D44-FY16ProjRevToColl!D44</f>
        <v>1027.0744799800304</v>
      </c>
      <c r="E44" s="410">
        <f>FY16ProjRevToCollAut15!E44-FY16ProjRevToColl!E44</f>
        <v>112.04448872509442</v>
      </c>
      <c r="F44" s="410">
        <f>FY16ProjRevToCollAut15!F44-FY16ProjRevToColl!F44</f>
        <v>0</v>
      </c>
      <c r="G44" s="410">
        <f>FY16ProjRevToCollAut15!G44-FY16ProjRevToColl!G44</f>
        <v>0</v>
      </c>
      <c r="H44" s="410">
        <f>FY16ProjRevToCollAut15!H44-FY16ProjRevToColl!H44</f>
        <v>28.011122181273606</v>
      </c>
      <c r="I44" s="410">
        <f>FY16ProjRevToCollAut15!I44-FY16ProjRevToColl!I44</f>
        <v>0</v>
      </c>
      <c r="J44" s="410">
        <f>FY16ProjRevToCollAut15!J44-FY16ProjRevToColl!J44</f>
        <v>21587.238161034853</v>
      </c>
      <c r="K44" s="410">
        <f>FY16ProjRevToCollAut15!K44-FY16ProjRevToColl!K44</f>
        <v>205.41489599600618</v>
      </c>
      <c r="L44" s="410">
        <f>FY16ProjRevToCollAut15!L44-FY16ProjRevToColl!L44</f>
        <v>0</v>
      </c>
      <c r="M44" s="410">
        <f>FY16ProjRevToCollAut15!M44-FY16ProjRevToColl!M44</f>
        <v>0</v>
      </c>
      <c r="N44" s="410">
        <f>FY16ProjRevToCollAut15!N44-FY16ProjRevToColl!N44</f>
        <v>28.011122181273606</v>
      </c>
      <c r="O44" s="410">
        <f>FY16ProjRevToCollAut15!O44-FY16ProjRevToColl!O44</f>
        <v>0</v>
      </c>
      <c r="P44" s="410">
        <f>FY16ProjRevToCollAut15!P44-FY16ProjRevToColl!P44</f>
        <v>0</v>
      </c>
      <c r="Q44" s="410">
        <f>FY16ProjRevToCollAut15!Q44-FY16ProjRevToColl!Q44</f>
        <v>46.685203635455935</v>
      </c>
      <c r="R44" s="410">
        <f>FY16ProjRevToCollAut15!R44-FY16ProjRevToColl!R44</f>
        <v>0</v>
      </c>
      <c r="S44" s="410">
        <f>FY16ProjRevToCollAut15!S44-FY16ProjRevToColl!S44</f>
        <v>37.348162908364827</v>
      </c>
      <c r="T44" s="441">
        <f t="shared" si="24"/>
        <v>23071.827636642356</v>
      </c>
    </row>
    <row r="45" spans="1:91" ht="18" customHeight="1">
      <c r="A45" s="404" t="s">
        <v>153</v>
      </c>
      <c r="B45" s="442" t="s">
        <v>100</v>
      </c>
      <c r="C45" s="443">
        <f>FY16ProjRevToCollAut15!C45-FY16ProjRevToColl!C45</f>
        <v>148.94052719512251</v>
      </c>
      <c r="D45" s="443">
        <f>FY16ProjRevToCollAut15!D45-FY16ProjRevToColl!D45</f>
        <v>223.41079079268366</v>
      </c>
      <c r="E45" s="443">
        <f>FY16ProjRevToCollAut15!E45-FY16ProjRevToColl!E45</f>
        <v>397.17473918699329</v>
      </c>
      <c r="F45" s="443">
        <f>FY16ProjRevToCollAut15!F45-FY16ProjRevToColl!F45</f>
        <v>0</v>
      </c>
      <c r="G45" s="443">
        <f>FY16ProjRevToCollAut15!G45-FY16ProjRevToColl!G45</f>
        <v>0</v>
      </c>
      <c r="H45" s="443">
        <f>FY16ProjRevToCollAut15!H45-FY16ProjRevToColl!H45</f>
        <v>0</v>
      </c>
      <c r="I45" s="443">
        <f>FY16ProjRevToCollAut15!I45-FY16ProjRevToColl!I45</f>
        <v>74.470263597561257</v>
      </c>
      <c r="J45" s="443">
        <f>FY16ProjRevToCollAut15!J45-FY16ProjRevToColl!J45</f>
        <v>0</v>
      </c>
      <c r="K45" s="443">
        <f>FY16ProjRevToCollAut15!K45-FY16ProjRevToColl!K45</f>
        <v>496.46842398374156</v>
      </c>
      <c r="L45" s="443">
        <f>FY16ProjRevToCollAut15!L45-FY16ProjRevToColl!L45</f>
        <v>148.94052719512251</v>
      </c>
      <c r="M45" s="443">
        <f>FY16ProjRevToCollAut15!M45-FY16ProjRevToColl!M45</f>
        <v>0</v>
      </c>
      <c r="N45" s="443">
        <f>FY16ProjRevToCollAut15!N45-FY16ProjRevToColl!N45</f>
        <v>992.93684796748312</v>
      </c>
      <c r="O45" s="443">
        <f>FY16ProjRevToCollAut15!O45-FY16ProjRevToColl!O45</f>
        <v>50639.779246341641</v>
      </c>
      <c r="P45" s="443">
        <f>FY16ProjRevToCollAut15!P45-FY16ProjRevToColl!P45</f>
        <v>1390.1115871544762</v>
      </c>
      <c r="Q45" s="443">
        <f>FY16ProjRevToCollAut15!Q45-FY16ProjRevToColl!Q45</f>
        <v>1241.1710599593544</v>
      </c>
      <c r="R45" s="443">
        <f>FY16ProjRevToCollAut15!R45-FY16ProjRevToColl!R45</f>
        <v>0</v>
      </c>
      <c r="S45" s="443">
        <f>FY16ProjRevToCollAut15!S45-FY16ProjRevToColl!S45</f>
        <v>24.823421199187081</v>
      </c>
      <c r="T45" s="444">
        <f t="shared" si="24"/>
        <v>55778.227434573368</v>
      </c>
    </row>
    <row r="46" spans="1:91" s="18" customFormat="1" ht="18" customHeight="1">
      <c r="A46" s="404" t="s">
        <v>155</v>
      </c>
      <c r="B46" s="440" t="s">
        <v>42</v>
      </c>
      <c r="C46" s="410">
        <f>FY16ProjRevToCollAut15!C46-FY16ProjRevToColl!C46</f>
        <v>0</v>
      </c>
      <c r="D46" s="410">
        <f>FY16ProjRevToCollAut15!D46-FY16ProjRevToColl!D46</f>
        <v>50.469426422815786</v>
      </c>
      <c r="E46" s="410">
        <f>FY16ProjRevToCollAut15!E46-FY16ProjRevToColl!E46</f>
        <v>20.187770569126315</v>
      </c>
      <c r="F46" s="410">
        <f>FY16ProjRevToCollAut15!F46-FY16ProjRevToColl!F46</f>
        <v>0</v>
      </c>
      <c r="G46" s="410">
        <f>FY16ProjRevToCollAut15!G46-FY16ProjRevToColl!G46</f>
        <v>0</v>
      </c>
      <c r="H46" s="410">
        <f>FY16ProjRevToCollAut15!H46-FY16ProjRevToColl!H46</f>
        <v>0</v>
      </c>
      <c r="I46" s="410">
        <f>FY16ProjRevToCollAut15!I46-FY16ProjRevToColl!I46</f>
        <v>0</v>
      </c>
      <c r="J46" s="410">
        <f>FY16ProjRevToCollAut15!J46-FY16ProjRevToColl!J46</f>
        <v>0</v>
      </c>
      <c r="K46" s="410">
        <f>FY16ProjRevToCollAut15!K46-FY16ProjRevToColl!K46</f>
        <v>0</v>
      </c>
      <c r="L46" s="410">
        <f>FY16ProjRevToCollAut15!L46-FY16ProjRevToColl!L46</f>
        <v>0</v>
      </c>
      <c r="M46" s="410">
        <f>FY16ProjRevToCollAut15!M46-FY16ProjRevToColl!M46</f>
        <v>4.03755411382528</v>
      </c>
      <c r="N46" s="410">
        <f>FY16ProjRevToCollAut15!N46-FY16ProjRevToColl!N46</f>
        <v>3981.02835623172</v>
      </c>
      <c r="O46" s="410">
        <f>FY16ProjRevToCollAut15!O46-FY16ProjRevToColl!O46</f>
        <v>74.694751105767409</v>
      </c>
      <c r="P46" s="410">
        <f>FY16ProjRevToCollAut15!P46-FY16ProjRevToColl!P46</f>
        <v>33299.727553773904</v>
      </c>
      <c r="Q46" s="410">
        <f>FY16ProjRevToCollAut15!Q46-FY16ProjRevToColl!Q46</f>
        <v>351.26720790279978</v>
      </c>
      <c r="R46" s="410">
        <f>FY16ProjRevToCollAut15!R46-FY16ProjRevToColl!R46</f>
        <v>0</v>
      </c>
      <c r="S46" s="410">
        <f>FY16ProjRevToCollAut15!S46-FY16ProjRevToColl!S46</f>
        <v>0</v>
      </c>
      <c r="T46" s="441">
        <f t="shared" si="24"/>
        <v>37781.412620119954</v>
      </c>
    </row>
    <row r="47" spans="1:91" ht="18" customHeight="1">
      <c r="A47" s="404" t="s">
        <v>162</v>
      </c>
      <c r="B47" s="442" t="s">
        <v>76</v>
      </c>
      <c r="C47" s="443">
        <f>FY16ProjRevToCollAut15!C47-FY16ProjRevToColl!C47</f>
        <v>0</v>
      </c>
      <c r="D47" s="443">
        <f>FY16ProjRevToCollAut15!D47-FY16ProjRevToColl!D47</f>
        <v>5.6442690999336946</v>
      </c>
      <c r="E47" s="443">
        <f>FY16ProjRevToCollAut15!E47-FY16ProjRevToColl!E47</f>
        <v>0</v>
      </c>
      <c r="F47" s="443">
        <f>FY16ProjRevToCollAut15!F47-FY16ProjRevToColl!F47</f>
        <v>0</v>
      </c>
      <c r="G47" s="443">
        <f>FY16ProjRevToCollAut15!G47-FY16ProjRevToColl!G47</f>
        <v>7.055336374917033</v>
      </c>
      <c r="H47" s="443">
        <f>FY16ProjRevToCollAut15!H47-FY16ProjRevToColl!H47</f>
        <v>1.4110672749834237</v>
      </c>
      <c r="I47" s="443">
        <f>FY16ProjRevToCollAut15!I47-FY16ProjRevToColl!I47</f>
        <v>0</v>
      </c>
      <c r="J47" s="443">
        <f>FY16ProjRevToCollAut15!J47-FY16ProjRevToColl!J47</f>
        <v>0</v>
      </c>
      <c r="K47" s="443">
        <f>FY16ProjRevToCollAut15!K47-FY16ProjRevToColl!K47</f>
        <v>0</v>
      </c>
      <c r="L47" s="443">
        <f>FY16ProjRevToCollAut15!L47-FY16ProjRevToColl!L47</f>
        <v>0</v>
      </c>
      <c r="M47" s="443">
        <f>FY16ProjRevToCollAut15!M47-FY16ProjRevToColl!M47</f>
        <v>0</v>
      </c>
      <c r="N47" s="443">
        <f>FY16ProjRevToCollAut15!N47-FY16ProjRevToColl!N47</f>
        <v>19999.526844098233</v>
      </c>
      <c r="O47" s="443">
        <f>FY16ProjRevToCollAut15!O47-FY16ProjRevToColl!O47</f>
        <v>0</v>
      </c>
      <c r="P47" s="443">
        <f>FY16ProjRevToCollAut15!P47-FY16ProjRevToColl!P47</f>
        <v>0</v>
      </c>
      <c r="Q47" s="443">
        <f>FY16ProjRevToCollAut15!Q47-FY16ProjRevToColl!Q47</f>
        <v>45.154152799469557</v>
      </c>
      <c r="R47" s="443">
        <f>FY16ProjRevToCollAut15!R47-FY16ProjRevToColl!R47</f>
        <v>0</v>
      </c>
      <c r="S47" s="443">
        <f>FY16ProjRevToCollAut15!S47-FY16ProjRevToColl!S47</f>
        <v>0</v>
      </c>
      <c r="T47" s="444">
        <f t="shared" si="24"/>
        <v>20058.791669647537</v>
      </c>
    </row>
    <row r="48" spans="1:91" s="18" customFormat="1" ht="18" customHeight="1">
      <c r="A48" s="404" t="s">
        <v>156</v>
      </c>
      <c r="B48" s="440" t="s">
        <v>77</v>
      </c>
      <c r="C48" s="410">
        <f>FY16ProjRevToCollAut15!C48-FY16ProjRevToColl!C48</f>
        <v>0</v>
      </c>
      <c r="D48" s="410">
        <f>FY16ProjRevToCollAut15!D48-FY16ProjRevToColl!D48</f>
        <v>-33.30958131521345</v>
      </c>
      <c r="E48" s="410">
        <f>FY16ProjRevToCollAut15!E48-FY16ProjRevToColl!E48</f>
        <v>0</v>
      </c>
      <c r="F48" s="410">
        <f>FY16ProjRevToCollAut15!F48-FY16ProjRevToColl!F48</f>
        <v>0</v>
      </c>
      <c r="G48" s="410">
        <f>FY16ProjRevToCollAut15!G48-FY16ProjRevToColl!G48</f>
        <v>0</v>
      </c>
      <c r="H48" s="410">
        <f>FY16ProjRevToCollAut15!H48-FY16ProjRevToColl!H48</f>
        <v>0</v>
      </c>
      <c r="I48" s="410">
        <f>FY16ProjRevToCollAut15!I48-FY16ProjRevToColl!I48</f>
        <v>0</v>
      </c>
      <c r="J48" s="410">
        <f>FY16ProjRevToCollAut15!J48-FY16ProjRevToColl!J48</f>
        <v>0</v>
      </c>
      <c r="K48" s="410">
        <f>FY16ProjRevToCollAut15!K48-FY16ProjRevToColl!K48</f>
        <v>0</v>
      </c>
      <c r="L48" s="410">
        <f>FY16ProjRevToCollAut15!L48-FY16ProjRevToColl!L48</f>
        <v>0</v>
      </c>
      <c r="M48" s="410">
        <f>FY16ProjRevToCollAut15!M48-FY16ProjRevToColl!M48</f>
        <v>-79149.116801832919</v>
      </c>
      <c r="N48" s="410">
        <f>FY16ProjRevToCollAut15!N48-FY16ProjRevToColl!N48</f>
        <v>-11786.04018869967</v>
      </c>
      <c r="O48" s="410">
        <f>FY16ProjRevToCollAut15!O48-FY16ProjRevToColl!O48</f>
        <v>0</v>
      </c>
      <c r="P48" s="410">
        <f>FY16ProjRevToCollAut15!P48-FY16ProjRevToColl!P48</f>
        <v>0</v>
      </c>
      <c r="Q48" s="410">
        <f>FY16ProjRevToCollAut15!Q48-FY16ProjRevToColl!Q48</f>
        <v>0</v>
      </c>
      <c r="R48" s="410">
        <f>FY16ProjRevToCollAut15!R48-FY16ProjRevToColl!R48</f>
        <v>0</v>
      </c>
      <c r="S48" s="410">
        <f>FY16ProjRevToCollAut15!S48-FY16ProjRevToColl!S48</f>
        <v>0</v>
      </c>
      <c r="T48" s="441">
        <f t="shared" si="24"/>
        <v>-90968.466571847806</v>
      </c>
    </row>
    <row r="49" spans="1:20" ht="18" customHeight="1">
      <c r="A49" s="404" t="s">
        <v>163</v>
      </c>
      <c r="B49" s="445" t="s">
        <v>164</v>
      </c>
      <c r="C49" s="443">
        <f>FY16ProjRevToCollAut15!C49-FY16ProjRevToColl!C49</f>
        <v>0</v>
      </c>
      <c r="D49" s="443">
        <f>FY16ProjRevToCollAut15!D49-FY16ProjRevToColl!D49</f>
        <v>0</v>
      </c>
      <c r="E49" s="443">
        <f>FY16ProjRevToCollAut15!E49-FY16ProjRevToColl!E49</f>
        <v>0</v>
      </c>
      <c r="F49" s="443">
        <f>FY16ProjRevToCollAut15!F49-FY16ProjRevToColl!F49</f>
        <v>0</v>
      </c>
      <c r="G49" s="443">
        <f>FY16ProjRevToCollAut15!G49-FY16ProjRevToColl!G49</f>
        <v>0</v>
      </c>
      <c r="H49" s="443">
        <f>FY16ProjRevToCollAut15!H49-FY16ProjRevToColl!H49</f>
        <v>0</v>
      </c>
      <c r="I49" s="443">
        <f>FY16ProjRevToCollAut15!I49-FY16ProjRevToColl!I49</f>
        <v>0</v>
      </c>
      <c r="J49" s="443">
        <f>FY16ProjRevToCollAut15!J49-FY16ProjRevToColl!J49</f>
        <v>0</v>
      </c>
      <c r="K49" s="443">
        <f>FY16ProjRevToCollAut15!K49-FY16ProjRevToColl!K49</f>
        <v>0</v>
      </c>
      <c r="L49" s="443">
        <f>FY16ProjRevToCollAut15!L49-FY16ProjRevToColl!L49</f>
        <v>0</v>
      </c>
      <c r="M49" s="443">
        <f>FY16ProjRevToCollAut15!M49-FY16ProjRevToColl!M49</f>
        <v>-3427.0370585419587</v>
      </c>
      <c r="N49" s="443">
        <f>FY16ProjRevToCollAut15!N49-FY16ProjRevToColl!N49</f>
        <v>-36.04488815618538</v>
      </c>
      <c r="O49" s="443">
        <f>FY16ProjRevToCollAut15!O49-FY16ProjRevToColl!O49</f>
        <v>0</v>
      </c>
      <c r="P49" s="443">
        <f>FY16ProjRevToCollAut15!P49-FY16ProjRevToColl!P49</f>
        <v>0</v>
      </c>
      <c r="Q49" s="443">
        <f>FY16ProjRevToCollAut15!Q49-FY16ProjRevToColl!Q49</f>
        <v>-16.636102225931722</v>
      </c>
      <c r="R49" s="443">
        <f>FY16ProjRevToCollAut15!R49-FY16ProjRevToColl!R49</f>
        <v>0</v>
      </c>
      <c r="S49" s="443">
        <f>FY16ProjRevToCollAut15!S49-FY16ProjRevToColl!S49</f>
        <v>0</v>
      </c>
      <c r="T49" s="446">
        <f t="shared" si="24"/>
        <v>-3479.7180489240754</v>
      </c>
    </row>
    <row r="50" spans="1:20" ht="18" customHeight="1">
      <c r="A50" s="405"/>
      <c r="B50" s="447" t="s">
        <v>17</v>
      </c>
      <c r="C50" s="448">
        <f t="shared" ref="C50:S50" si="26">SUM(C29:C49)</f>
        <v>8160.4462416140486</v>
      </c>
      <c r="D50" s="448">
        <f t="shared" si="26"/>
        <v>-1599024.4153580519</v>
      </c>
      <c r="E50" s="448">
        <f t="shared" si="26"/>
        <v>-180550.22038245251</v>
      </c>
      <c r="F50" s="448">
        <f t="shared" si="26"/>
        <v>-78991.856269343582</v>
      </c>
      <c r="G50" s="448">
        <f t="shared" si="26"/>
        <v>-169676.01255914877</v>
      </c>
      <c r="H50" s="448">
        <f t="shared" si="26"/>
        <v>-172259.67001329359</v>
      </c>
      <c r="I50" s="448">
        <f t="shared" si="26"/>
        <v>-34703.124600066258</v>
      </c>
      <c r="J50" s="448">
        <f t="shared" si="26"/>
        <v>-32123.620368991244</v>
      </c>
      <c r="K50" s="448">
        <f t="shared" si="26"/>
        <v>17633.389009704941</v>
      </c>
      <c r="L50" s="448">
        <f t="shared" si="26"/>
        <v>939.61628255589471</v>
      </c>
      <c r="M50" s="448">
        <f t="shared" si="26"/>
        <v>-82574.232657772358</v>
      </c>
      <c r="N50" s="448">
        <f t="shared" si="26"/>
        <v>-54164.404988486152</v>
      </c>
      <c r="O50" s="448">
        <f t="shared" si="26"/>
        <v>31221.284694373171</v>
      </c>
      <c r="P50" s="448">
        <f t="shared" si="26"/>
        <v>29582.684745692044</v>
      </c>
      <c r="Q50" s="448">
        <f t="shared" si="26"/>
        <v>14982.435982600548</v>
      </c>
      <c r="R50" s="448">
        <f t="shared" si="26"/>
        <v>-29764.703717148219</v>
      </c>
      <c r="S50" s="448">
        <f t="shared" si="26"/>
        <v>-15666.452400748272</v>
      </c>
      <c r="T50" s="448">
        <f>SUM(C50:S50)</f>
        <v>-2346978.8563589626</v>
      </c>
    </row>
    <row r="51" spans="1:20" ht="18" customHeight="1">
      <c r="B51" s="634" t="s">
        <v>216</v>
      </c>
      <c r="C51" s="634"/>
      <c r="D51" s="634"/>
      <c r="E51" s="634"/>
      <c r="F51" s="634"/>
      <c r="G51" s="634"/>
      <c r="H51" s="634"/>
      <c r="I51" s="634"/>
      <c r="J51" s="634"/>
      <c r="K51" s="634"/>
      <c r="L51" s="634"/>
      <c r="M51" s="634"/>
      <c r="N51" s="634"/>
      <c r="O51" s="634"/>
      <c r="P51" s="634"/>
      <c r="Q51" s="634"/>
      <c r="R51" s="634"/>
      <c r="S51" s="634"/>
      <c r="T51" s="634"/>
    </row>
    <row r="52" spans="1:20" ht="38.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18" customHeight="1">
      <c r="A53" s="403" t="s">
        <v>128</v>
      </c>
      <c r="B53" s="454" t="s">
        <v>21</v>
      </c>
      <c r="C53" s="455">
        <f>FY16ProjRevToCollAut15!C53-FY16ProjRevToColl!C53</f>
        <v>357397.28655375494</v>
      </c>
      <c r="D53" s="455">
        <f>FY16ProjRevToCollAut15!D53-FY16ProjRevToColl!D53</f>
        <v>-2151609.5178958625</v>
      </c>
      <c r="E53" s="455">
        <f>FY16ProjRevToCollAut15!E53-FY16ProjRevToColl!E53</f>
        <v>-290693.08159425482</v>
      </c>
      <c r="F53" s="455">
        <f>FY16ProjRevToCollAut15!F53-FY16ProjRevToColl!F53</f>
        <v>626757.68161110673</v>
      </c>
      <c r="G53" s="455">
        <f>FY16ProjRevToCollAut15!G53-FY16ProjRevToColl!G53</f>
        <v>-324275.21600607969</v>
      </c>
      <c r="H53" s="455">
        <f>FY16ProjRevToCollAut15!H53-FY16ProjRevToColl!H53</f>
        <v>-203154.50575716281</v>
      </c>
      <c r="I53" s="455">
        <f>FY16ProjRevToCollAut15!I53-FY16ProjRevToColl!I53</f>
        <v>296400.62511323555</v>
      </c>
      <c r="J53" s="455">
        <f>FY16ProjRevToCollAut15!J53-FY16ProjRevToColl!J53</f>
        <v>0</v>
      </c>
      <c r="K53" s="455">
        <f>FY16ProjRevToCollAut15!K53-FY16ProjRevToColl!K53</f>
        <v>0</v>
      </c>
      <c r="L53" s="455">
        <f>FY16ProjRevToCollAut15!L53-FY16ProjRevToColl!L53</f>
        <v>-21511.542355061159</v>
      </c>
      <c r="M53" s="455">
        <f>FY16ProjRevToCollAut15!M53-FY16ProjRevToColl!M53</f>
        <v>0</v>
      </c>
      <c r="N53" s="455">
        <f>FY16ProjRevToCollAut15!N53-FY16ProjRevToColl!N53</f>
        <v>502728.3624710422</v>
      </c>
      <c r="O53" s="455">
        <f>FY16ProjRevToCollAut15!O53-FY16ProjRevToColl!O53</f>
        <v>-81325.694271095563</v>
      </c>
      <c r="P53" s="455">
        <f>FY16ProjRevToCollAut15!P53-FY16ProjRevToColl!P53</f>
        <v>0</v>
      </c>
      <c r="Q53" s="455">
        <f>FY16ProjRevToCollAut15!Q53-FY16ProjRevToColl!Q53</f>
        <v>-140121.84805761743</v>
      </c>
      <c r="R53" s="455">
        <f>FY16ProjRevToCollAut15!R53-FY16ProjRevToColl!R53</f>
        <v>-15503.664892508095</v>
      </c>
      <c r="S53" s="455">
        <f>FY16ProjRevToCollAut15!S53-FY16ProjRevToColl!S53</f>
        <v>0</v>
      </c>
      <c r="T53" s="455">
        <f t="shared" ref="T53:T74" si="27">SUM(C53:Q53)+R53+S53</f>
        <v>-1444911.1150805028</v>
      </c>
    </row>
    <row r="54" spans="1:20" s="18" customFormat="1" ht="18" customHeight="1">
      <c r="A54" s="404" t="s">
        <v>129</v>
      </c>
      <c r="B54" s="440" t="s">
        <v>35</v>
      </c>
      <c r="C54" s="410">
        <f>FY16ProjRevToCollAut15!C54-FY16ProjRevToColl!C54</f>
        <v>-6396.5061073421966</v>
      </c>
      <c r="D54" s="410">
        <f>FY16ProjRevToCollAut15!D54-FY16ProjRevToColl!D54</f>
        <v>-648252.80860271491</v>
      </c>
      <c r="E54" s="410">
        <f>FY16ProjRevToCollAut15!E54-FY16ProjRevToColl!E54</f>
        <v>-24152.324784619705</v>
      </c>
      <c r="F54" s="410">
        <f>FY16ProjRevToCollAut15!F54-FY16ProjRevToColl!F54</f>
        <v>-2095.4071730948599</v>
      </c>
      <c r="G54" s="410">
        <f>FY16ProjRevToCollAut15!G54-FY16ProjRevToColl!G54</f>
        <v>-39812.736288802349</v>
      </c>
      <c r="H54" s="410">
        <f>FY16ProjRevToCollAut15!H54-FY16ProjRevToColl!H54</f>
        <v>0</v>
      </c>
      <c r="I54" s="410">
        <f>FY16ProjRevToCollAut15!I54-FY16ProjRevToColl!I54</f>
        <v>-16432.403620585974</v>
      </c>
      <c r="J54" s="410">
        <f>FY16ProjRevToCollAut15!J54-FY16ProjRevToColl!J54</f>
        <v>-330.85376417287262</v>
      </c>
      <c r="K54" s="410">
        <f>FY16ProjRevToCollAut15!K54-FY16ProjRevToColl!K54</f>
        <v>-5734.7985789964514</v>
      </c>
      <c r="L54" s="410">
        <f>FY16ProjRevToCollAut15!L54-FY16ProjRevToColl!L54</f>
        <v>-110.28458805762421</v>
      </c>
      <c r="M54" s="410">
        <f>FY16ProjRevToCollAut15!M54-FY16ProjRevToColl!M54</f>
        <v>0</v>
      </c>
      <c r="N54" s="410">
        <f>FY16ProjRevToCollAut15!N54-FY16ProjRevToColl!N54</f>
        <v>-141053.98812570143</v>
      </c>
      <c r="O54" s="410">
        <f>FY16ProjRevToCollAut15!O54-FY16ProjRevToColl!O54</f>
        <v>-220.56917611524841</v>
      </c>
      <c r="P54" s="410">
        <f>FY16ProjRevToCollAut15!P54-FY16ProjRevToColl!P54</f>
        <v>-22939.194315985806</v>
      </c>
      <c r="Q54" s="410">
        <f>FY16ProjRevToCollAut15!Q54-FY16ProjRevToColl!Q54</f>
        <v>-220.56917611524841</v>
      </c>
      <c r="R54" s="410">
        <f>FY16ProjRevToCollAut15!R54-FY16ProjRevToColl!R54</f>
        <v>0</v>
      </c>
      <c r="S54" s="410">
        <f>FY16ProjRevToCollAut15!S54-FY16ProjRevToColl!S54</f>
        <v>-79184.334225374158</v>
      </c>
      <c r="T54" s="410">
        <f t="shared" si="27"/>
        <v>-986936.77852767869</v>
      </c>
    </row>
    <row r="55" spans="1:20" ht="18" customHeight="1">
      <c r="A55" s="404" t="s">
        <v>140</v>
      </c>
      <c r="B55" s="456" t="s">
        <v>36</v>
      </c>
      <c r="C55" s="457">
        <f>FY16ProjRevToCollAut15!C55-FY16ProjRevToColl!C55</f>
        <v>0</v>
      </c>
      <c r="D55" s="457">
        <f>FY16ProjRevToCollAut15!D55-FY16ProjRevToColl!D55</f>
        <v>0</v>
      </c>
      <c r="E55" s="457">
        <f>FY16ProjRevToCollAut15!E55-FY16ProjRevToColl!E55</f>
        <v>0</v>
      </c>
      <c r="F55" s="457">
        <f>FY16ProjRevToCollAut15!F55-FY16ProjRevToColl!F55</f>
        <v>0</v>
      </c>
      <c r="G55" s="457">
        <f>FY16ProjRevToCollAut15!G55-FY16ProjRevToColl!G55</f>
        <v>0</v>
      </c>
      <c r="H55" s="457">
        <f>FY16ProjRevToCollAut15!H55-FY16ProjRevToColl!H55</f>
        <v>0</v>
      </c>
      <c r="I55" s="457">
        <f>FY16ProjRevToCollAut15!I55-FY16ProjRevToColl!I55</f>
        <v>0</v>
      </c>
      <c r="J55" s="457">
        <f>FY16ProjRevToCollAut15!J55-FY16ProjRevToColl!J55</f>
        <v>0</v>
      </c>
      <c r="K55" s="457">
        <f>FY16ProjRevToCollAut15!K55-FY16ProjRevToColl!K55</f>
        <v>0</v>
      </c>
      <c r="L55" s="457">
        <f>FY16ProjRevToCollAut15!L55-FY16ProjRevToColl!L55</f>
        <v>11362.349721931561</v>
      </c>
      <c r="M55" s="457">
        <f>FY16ProjRevToCollAut15!M55-FY16ProjRevToColl!M55</f>
        <v>0</v>
      </c>
      <c r="N55" s="457">
        <f>FY16ProjRevToCollAut15!N55-FY16ProjRevToColl!N55</f>
        <v>34575.75237964117</v>
      </c>
      <c r="O55" s="457">
        <f>FY16ProjRevToCollAut15!O55-FY16ProjRevToColl!O55</f>
        <v>0</v>
      </c>
      <c r="P55" s="457">
        <f>FY16ProjRevToCollAut15!P55-FY16ProjRevToColl!P55</f>
        <v>0</v>
      </c>
      <c r="Q55" s="457">
        <f>FY16ProjRevToCollAut15!Q55-FY16ProjRevToColl!Q55</f>
        <v>0</v>
      </c>
      <c r="R55" s="457">
        <f>FY16ProjRevToCollAut15!R55-FY16ProjRevToColl!R55</f>
        <v>0</v>
      </c>
      <c r="S55" s="457">
        <f>FY16ProjRevToCollAut15!S55-FY16ProjRevToColl!S55</f>
        <v>0</v>
      </c>
      <c r="T55" s="457">
        <f t="shared" si="27"/>
        <v>45938.102101572731</v>
      </c>
    </row>
    <row r="56" spans="1:20" s="18" customFormat="1" ht="18" customHeight="1">
      <c r="A56" s="404" t="s">
        <v>130</v>
      </c>
      <c r="B56" s="440" t="s">
        <v>37</v>
      </c>
      <c r="C56" s="410">
        <f>FY16ProjRevToCollAut15!C56-FY16ProjRevToColl!C56</f>
        <v>-28.225805601719003</v>
      </c>
      <c r="D56" s="410">
        <f>FY16ProjRevToCollAut15!D56-FY16ProjRevToColl!D56</f>
        <v>-733.87094564469589</v>
      </c>
      <c r="E56" s="410">
        <f>FY16ProjRevToCollAut15!E56-FY16ProjRevToColl!E56</f>
        <v>-197.58063921203393</v>
      </c>
      <c r="F56" s="410">
        <f>FY16ProjRevToCollAut15!F56-FY16ProjRevToColl!F56</f>
        <v>-169.35483361031402</v>
      </c>
      <c r="G56" s="410">
        <f>FY16ProjRevToCollAut15!G56-FY16ProjRevToColl!G56</f>
        <v>-84395.158749139868</v>
      </c>
      <c r="H56" s="410">
        <f>FY16ProjRevToCollAut15!H56-FY16ProjRevToColl!H56</f>
        <v>-56.451611203438006</v>
      </c>
      <c r="I56" s="410">
        <f>FY16ProjRevToCollAut15!I56-FY16ProjRevToColl!I56</f>
        <v>0</v>
      </c>
      <c r="J56" s="410">
        <f>FY16ProjRevToCollAut15!J56-FY16ProjRevToColl!J56</f>
        <v>-254.03225041547194</v>
      </c>
      <c r="K56" s="410">
        <f>FY16ProjRevToCollAut15!K56-FY16ProjRevToColl!K56</f>
        <v>0</v>
      </c>
      <c r="L56" s="410">
        <f>FY16ProjRevToCollAut15!L56-FY16ProjRevToColl!L56</f>
        <v>0</v>
      </c>
      <c r="M56" s="410">
        <f>FY16ProjRevToCollAut15!M56-FY16ProjRevToColl!M56</f>
        <v>0</v>
      </c>
      <c r="N56" s="410">
        <f>FY16ProjRevToCollAut15!N56-FY16ProjRevToColl!N56</f>
        <v>-1298.3870576790796</v>
      </c>
      <c r="O56" s="410">
        <f>FY16ProjRevToCollAut15!O56-FY16ProjRevToColl!O56</f>
        <v>-5504.0320923352265</v>
      </c>
      <c r="P56" s="410">
        <f>FY16ProjRevToCollAut15!P56-FY16ProjRevToColl!P56</f>
        <v>0</v>
      </c>
      <c r="Q56" s="410">
        <f>FY16ProjRevToCollAut15!Q56-FY16ProjRevToColl!Q56</f>
        <v>-1129.0322240687674</v>
      </c>
      <c r="R56" s="410">
        <f>FY16ProjRevToCollAut15!R56-FY16ProjRevToColl!R56</f>
        <v>0</v>
      </c>
      <c r="S56" s="410">
        <f>FY16ProjRevToCollAut15!S56-FY16ProjRevToColl!S56</f>
        <v>-818.54836244985199</v>
      </c>
      <c r="T56" s="410">
        <f t="shared" si="27"/>
        <v>-94584.674571360461</v>
      </c>
    </row>
    <row r="57" spans="1:20" ht="18" customHeight="1">
      <c r="A57" s="404" t="s">
        <v>131</v>
      </c>
      <c r="B57" s="456" t="s">
        <v>141</v>
      </c>
      <c r="C57" s="457">
        <f>FY16ProjRevToCollAut15!C57-FY16ProjRevToColl!C57</f>
        <v>0</v>
      </c>
      <c r="D57" s="457">
        <f>FY16ProjRevToCollAut15!D57-FY16ProjRevToColl!D57</f>
        <v>-3693.0623222069116</v>
      </c>
      <c r="E57" s="457">
        <f>FY16ProjRevToCollAut15!E57-FY16ProjRevToColl!E57</f>
        <v>0</v>
      </c>
      <c r="F57" s="457">
        <f>FY16ProjRevToCollAut15!F57-FY16ProjRevToColl!F57</f>
        <v>0</v>
      </c>
      <c r="G57" s="457">
        <f>FY16ProjRevToCollAut15!G57-FY16ProjRevToColl!G57</f>
        <v>0</v>
      </c>
      <c r="H57" s="457">
        <f>FY16ProjRevToCollAut15!H57-FY16ProjRevToColl!H57</f>
        <v>-204743.37514315126</v>
      </c>
      <c r="I57" s="457">
        <f>FY16ProjRevToCollAut15!I57-FY16ProjRevToColl!I57</f>
        <v>0</v>
      </c>
      <c r="J57" s="457">
        <f>FY16ProjRevToCollAut15!J57-FY16ProjRevToColl!J57</f>
        <v>0</v>
      </c>
      <c r="K57" s="457">
        <f>FY16ProjRevToCollAut15!K57-FY16ProjRevToColl!K57</f>
        <v>0</v>
      </c>
      <c r="L57" s="457">
        <f>FY16ProjRevToCollAut15!L57-FY16ProjRevToColl!L57</f>
        <v>0</v>
      </c>
      <c r="M57" s="457">
        <f>FY16ProjRevToCollAut15!M57-FY16ProjRevToColl!M57</f>
        <v>0</v>
      </c>
      <c r="N57" s="457">
        <f>FY16ProjRevToCollAut15!N57-FY16ProjRevToColl!N57</f>
        <v>0</v>
      </c>
      <c r="O57" s="457">
        <f>FY16ProjRevToCollAut15!O57-FY16ProjRevToColl!O57</f>
        <v>0</v>
      </c>
      <c r="P57" s="457">
        <f>FY16ProjRevToCollAut15!P57-FY16ProjRevToColl!P57</f>
        <v>0</v>
      </c>
      <c r="Q57" s="457">
        <f>FY16ProjRevToCollAut15!Q57-FY16ProjRevToColl!Q57</f>
        <v>0</v>
      </c>
      <c r="R57" s="457">
        <f>FY16ProjRevToCollAut15!R57-FY16ProjRevToColl!R57</f>
        <v>0</v>
      </c>
      <c r="S57" s="457">
        <f>FY16ProjRevToCollAut15!S57-FY16ProjRevToColl!S57</f>
        <v>0</v>
      </c>
      <c r="T57" s="457">
        <f t="shared" si="27"/>
        <v>-208436.43746535818</v>
      </c>
    </row>
    <row r="58" spans="1:20" s="18" customFormat="1" ht="18" customHeight="1">
      <c r="A58" s="404" t="s">
        <v>132</v>
      </c>
      <c r="B58" s="440" t="s">
        <v>206</v>
      </c>
      <c r="C58" s="410">
        <f>FY16ProjRevToCollAut15!C58-FY16ProjRevToColl!C58</f>
        <v>0</v>
      </c>
      <c r="D58" s="410">
        <f>FY16ProjRevToCollAut15!D58-FY16ProjRevToColl!D58</f>
        <v>-348.37701303945596</v>
      </c>
      <c r="E58" s="410">
        <f>FY16ProjRevToCollAut15!E58-FY16ProjRevToColl!E58</f>
        <v>0</v>
      </c>
      <c r="F58" s="410">
        <f>FY16ProjRevToCollAut15!F58-FY16ProjRevToColl!F58</f>
        <v>-201245.7878657924</v>
      </c>
      <c r="G58" s="410">
        <f>FY16ProjRevToCollAut15!G58-FY16ProjRevToColl!G58</f>
        <v>0</v>
      </c>
      <c r="H58" s="410">
        <f>FY16ProjRevToCollAut15!H58-FY16ProjRevToColl!H58</f>
        <v>0</v>
      </c>
      <c r="I58" s="410">
        <f>FY16ProjRevToCollAut15!I58-FY16ProjRevToColl!I58</f>
        <v>0</v>
      </c>
      <c r="J58" s="410">
        <f>FY16ProjRevToCollAut15!J58-FY16ProjRevToColl!J58</f>
        <v>0</v>
      </c>
      <c r="K58" s="410">
        <f>FY16ProjRevToCollAut15!K58-FY16ProjRevToColl!K58</f>
        <v>0</v>
      </c>
      <c r="L58" s="410">
        <f>FY16ProjRevToCollAut15!L58-FY16ProjRevToColl!L58</f>
        <v>0</v>
      </c>
      <c r="M58" s="410">
        <f>FY16ProjRevToCollAut15!M58-FY16ProjRevToColl!M58</f>
        <v>0</v>
      </c>
      <c r="N58" s="410">
        <f>FY16ProjRevToCollAut15!N58-FY16ProjRevToColl!N58</f>
        <v>0</v>
      </c>
      <c r="O58" s="410">
        <f>FY16ProjRevToCollAut15!O58-FY16ProjRevToColl!O58</f>
        <v>0</v>
      </c>
      <c r="P58" s="410">
        <f>FY16ProjRevToCollAut15!P58-FY16ProjRevToColl!P58</f>
        <v>0</v>
      </c>
      <c r="Q58" s="410">
        <f>FY16ProjRevToCollAut15!Q58-FY16ProjRevToColl!Q58</f>
        <v>0</v>
      </c>
      <c r="R58" s="410">
        <f>FY16ProjRevToCollAut15!R58-FY16ProjRevToColl!R58</f>
        <v>0</v>
      </c>
      <c r="S58" s="410">
        <f>FY16ProjRevToCollAut15!S58-FY16ProjRevToColl!S58</f>
        <v>0</v>
      </c>
      <c r="T58" s="410">
        <f t="shared" si="27"/>
        <v>-201594.16487883186</v>
      </c>
    </row>
    <row r="59" spans="1:20" s="18" customFormat="1" ht="18" customHeight="1">
      <c r="A59" s="404"/>
      <c r="B59" s="440" t="s">
        <v>40</v>
      </c>
      <c r="C59" s="410">
        <f>FY16ProjRevToCollAut15!C59-FY16ProjRevToColl!C59</f>
        <v>0</v>
      </c>
      <c r="D59" s="410">
        <f>FY16ProjRevToCollAut15!D59-FY16ProjRevToColl!D59</f>
        <v>0</v>
      </c>
      <c r="E59" s="410">
        <f>FY16ProjRevToCollAut15!E59-FY16ProjRevToColl!E59</f>
        <v>0</v>
      </c>
      <c r="F59" s="410">
        <f>FY16ProjRevToCollAut15!F59-FY16ProjRevToColl!F59</f>
        <v>0</v>
      </c>
      <c r="G59" s="410">
        <f>FY16ProjRevToCollAut15!G59-FY16ProjRevToColl!G59</f>
        <v>0</v>
      </c>
      <c r="H59" s="410">
        <f>FY16ProjRevToCollAut15!H59-FY16ProjRevToColl!H59</f>
        <v>0</v>
      </c>
      <c r="I59" s="410">
        <f>FY16ProjRevToCollAut15!I59-FY16ProjRevToColl!I59</f>
        <v>-4221.6171335666577</v>
      </c>
      <c r="J59" s="410">
        <f>FY16ProjRevToCollAut15!J59-FY16ProjRevToColl!J59</f>
        <v>0</v>
      </c>
      <c r="K59" s="410">
        <f>FY16ProjRevToCollAut15!K59-FY16ProjRevToColl!K59</f>
        <v>0</v>
      </c>
      <c r="L59" s="410">
        <f>FY16ProjRevToCollAut15!L59-FY16ProjRevToColl!L59</f>
        <v>0</v>
      </c>
      <c r="M59" s="410">
        <f>FY16ProjRevToCollAut15!M59-FY16ProjRevToColl!M59</f>
        <v>0</v>
      </c>
      <c r="N59" s="410">
        <f>FY16ProjRevToCollAut15!N59-FY16ProjRevToColl!N59</f>
        <v>0</v>
      </c>
      <c r="O59" s="410">
        <f>FY16ProjRevToCollAut15!O59-FY16ProjRevToColl!O59</f>
        <v>0</v>
      </c>
      <c r="P59" s="410">
        <f>FY16ProjRevToCollAut15!P59-FY16ProjRevToColl!P59</f>
        <v>0</v>
      </c>
      <c r="Q59" s="410">
        <f>FY16ProjRevToCollAut15!Q59-FY16ProjRevToColl!Q59</f>
        <v>0</v>
      </c>
      <c r="R59" s="410">
        <f>FY16ProjRevToCollAut15!R59-FY16ProjRevToColl!R59</f>
        <v>0</v>
      </c>
      <c r="S59" s="410">
        <f>FY16ProjRevToCollAut15!S59-FY16ProjRevToColl!S59</f>
        <v>0</v>
      </c>
      <c r="T59" s="410">
        <f t="shared" si="27"/>
        <v>-4221.6171335666577</v>
      </c>
    </row>
    <row r="60" spans="1:20" s="18" customFormat="1" ht="18" customHeight="1">
      <c r="A60" s="404" t="s">
        <v>135</v>
      </c>
      <c r="B60" s="440" t="s">
        <v>70</v>
      </c>
      <c r="C60" s="410">
        <f>FY16ProjRevToCollAut15!C60-FY16ProjRevToColl!C60</f>
        <v>0</v>
      </c>
      <c r="D60" s="410">
        <f>FY16ProjRevToCollAut15!D60-FY16ProjRevToColl!D60</f>
        <v>0</v>
      </c>
      <c r="E60" s="410">
        <f>FY16ProjRevToCollAut15!E60-FY16ProjRevToColl!E60</f>
        <v>0</v>
      </c>
      <c r="F60" s="410">
        <f>FY16ProjRevToCollAut15!F60-FY16ProjRevToColl!F60</f>
        <v>78.784356884845693</v>
      </c>
      <c r="G60" s="410">
        <f>FY16ProjRevToCollAut15!G60-FY16ProjRevToColl!G60</f>
        <v>0</v>
      </c>
      <c r="H60" s="410">
        <f>FY16ProjRevToCollAut15!H60-FY16ProjRevToColl!H60</f>
        <v>0</v>
      </c>
      <c r="I60" s="410">
        <f>FY16ProjRevToCollAut15!I60-FY16ProjRevToColl!I60</f>
        <v>0</v>
      </c>
      <c r="J60" s="410">
        <f>FY16ProjRevToCollAut15!J60-FY16ProjRevToColl!J60</f>
        <v>0</v>
      </c>
      <c r="K60" s="410">
        <f>FY16ProjRevToCollAut15!K60-FY16ProjRevToColl!K60</f>
        <v>0</v>
      </c>
      <c r="L60" s="410">
        <f>FY16ProjRevToCollAut15!L60-FY16ProjRevToColl!L60</f>
        <v>20510.194242354948</v>
      </c>
      <c r="M60" s="410">
        <f>FY16ProjRevToCollAut15!M60-FY16ProjRevToColl!M60</f>
        <v>0</v>
      </c>
      <c r="N60" s="410">
        <f>FY16ProjRevToCollAut15!N60-FY16ProjRevToColl!N60</f>
        <v>105.04580917979547</v>
      </c>
      <c r="O60" s="410">
        <f>FY16ProjRevToCollAut15!O60-FY16ProjRevToColl!O60</f>
        <v>0</v>
      </c>
      <c r="P60" s="410">
        <f>FY16ProjRevToCollAut15!P60-FY16ProjRevToColl!P60</f>
        <v>0</v>
      </c>
      <c r="Q60" s="410">
        <f>FY16ProjRevToCollAut15!Q60-FY16ProjRevToColl!Q60</f>
        <v>656.53630737370986</v>
      </c>
      <c r="R60" s="410">
        <f>FY16ProjRevToCollAut15!R60-FY16ProjRevToColl!R60</f>
        <v>0</v>
      </c>
      <c r="S60" s="410">
        <f>FY16ProjRevToCollAut15!S60-FY16ProjRevToColl!S60</f>
        <v>157.56871376969139</v>
      </c>
      <c r="T60" s="410">
        <f t="shared" si="27"/>
        <v>21508.129429562992</v>
      </c>
    </row>
    <row r="61" spans="1:20" ht="18" customHeight="1">
      <c r="A61" s="404" t="s">
        <v>136</v>
      </c>
      <c r="B61" s="456" t="s">
        <v>144</v>
      </c>
      <c r="C61" s="457">
        <f>FY16ProjRevToCollAut15!C61-FY16ProjRevToColl!C61</f>
        <v>0</v>
      </c>
      <c r="D61" s="457">
        <f>FY16ProjRevToCollAut15!D61-FY16ProjRevToColl!D61</f>
        <v>0</v>
      </c>
      <c r="E61" s="457">
        <f>FY16ProjRevToCollAut15!E61-FY16ProjRevToColl!E61</f>
        <v>0</v>
      </c>
      <c r="F61" s="457">
        <f>FY16ProjRevToCollAut15!F61-FY16ProjRevToColl!F61</f>
        <v>0</v>
      </c>
      <c r="G61" s="457">
        <f>FY16ProjRevToCollAut15!G61-FY16ProjRevToColl!G61</f>
        <v>0</v>
      </c>
      <c r="H61" s="457">
        <f>FY16ProjRevToCollAut15!H61-FY16ProjRevToColl!H61</f>
        <v>0</v>
      </c>
      <c r="I61" s="457">
        <f>FY16ProjRevToCollAut15!I61-FY16ProjRevToColl!I61</f>
        <v>0</v>
      </c>
      <c r="J61" s="457">
        <f>FY16ProjRevToCollAut15!J61-FY16ProjRevToColl!J61</f>
        <v>0</v>
      </c>
      <c r="K61" s="457">
        <f>FY16ProjRevToCollAut15!K61-FY16ProjRevToColl!K61</f>
        <v>0</v>
      </c>
      <c r="L61" s="457">
        <f>FY16ProjRevToCollAut15!L61-FY16ProjRevToColl!L61</f>
        <v>0</v>
      </c>
      <c r="M61" s="457">
        <f>FY16ProjRevToCollAut15!M61-FY16ProjRevToColl!M61</f>
        <v>0</v>
      </c>
      <c r="N61" s="457">
        <f>FY16ProjRevToCollAut15!N61-FY16ProjRevToColl!N61</f>
        <v>-778.2044787656705</v>
      </c>
      <c r="O61" s="457">
        <f>FY16ProjRevToCollAut15!O61-FY16ProjRevToColl!O61</f>
        <v>0</v>
      </c>
      <c r="P61" s="457">
        <f>FY16ProjRevToCollAut15!P61-FY16ProjRevToColl!P61</f>
        <v>0</v>
      </c>
      <c r="Q61" s="457">
        <f>FY16ProjRevToCollAut15!Q61-FY16ProjRevToColl!Q61</f>
        <v>-77561.046383645153</v>
      </c>
      <c r="R61" s="457">
        <f>FY16ProjRevToCollAut15!R61-FY16ProjRevToColl!R61</f>
        <v>0</v>
      </c>
      <c r="S61" s="457">
        <f>FY16ProjRevToCollAut15!S61-FY16ProjRevToColl!S61</f>
        <v>0</v>
      </c>
      <c r="T61" s="457">
        <f t="shared" si="27"/>
        <v>-78339.250862410816</v>
      </c>
    </row>
    <row r="62" spans="1:20" s="18" customFormat="1" ht="18" customHeight="1">
      <c r="A62" s="404" t="s">
        <v>137</v>
      </c>
      <c r="B62" s="440" t="s">
        <v>49</v>
      </c>
      <c r="C62" s="410">
        <f>FY16ProjRevToCollAut15!C62-FY16ProjRevToColl!C62</f>
        <v>628.70463009856235</v>
      </c>
      <c r="D62" s="410">
        <f>FY16ProjRevToCollAut15!D62-FY16ProjRevToColl!D62</f>
        <v>11316.683341774122</v>
      </c>
      <c r="E62" s="410">
        <f>FY16ProjRevToCollAut15!E62-FY16ProjRevToColl!E62</f>
        <v>0</v>
      </c>
      <c r="F62" s="410">
        <f>FY16ProjRevToCollAut15!F62-FY16ProjRevToColl!F62</f>
        <v>0</v>
      </c>
      <c r="G62" s="410">
        <f>FY16ProjRevToCollAut15!G62-FY16ProjRevToColl!G62</f>
        <v>1886.1138902956873</v>
      </c>
      <c r="H62" s="410">
        <f>FY16ProjRevToCollAut15!H62-FY16ProjRevToColl!H62</f>
        <v>0</v>
      </c>
      <c r="I62" s="410">
        <f>FY16ProjRevToCollAut15!I62-FY16ProjRevToColl!I62</f>
        <v>0</v>
      </c>
      <c r="J62" s="410">
        <f>FY16ProjRevToCollAut15!J62-FY16ProjRevToColl!J62</f>
        <v>0</v>
      </c>
      <c r="K62" s="410">
        <f>FY16ProjRevToCollAut15!K62-FY16ProjRevToColl!K62</f>
        <v>0</v>
      </c>
      <c r="L62" s="410">
        <f>FY16ProjRevToCollAut15!L62-FY16ProjRevToColl!L62</f>
        <v>5658.3416708870645</v>
      </c>
      <c r="M62" s="410">
        <f>FY16ProjRevToCollAut15!M62-FY16ProjRevToColl!M62</f>
        <v>628.70463009856235</v>
      </c>
      <c r="N62" s="410">
        <f>FY16ProjRevToCollAut15!N62-FY16ProjRevToColl!N62</f>
        <v>88018.648213798762</v>
      </c>
      <c r="O62" s="410">
        <f>FY16ProjRevToCollAut15!O62-FY16ProjRevToColl!O62</f>
        <v>628.70463009856235</v>
      </c>
      <c r="P62" s="410">
        <f>FY16ProjRevToCollAut15!P62-FY16ProjRevToColl!P62</f>
        <v>0</v>
      </c>
      <c r="Q62" s="410">
        <f>FY16ProjRevToCollAut15!Q62-FY16ProjRevToColl!Q62</f>
        <v>257140.19371031201</v>
      </c>
      <c r="R62" s="410">
        <f>FY16ProjRevToCollAut15!R62-FY16ProjRevToColl!R62</f>
        <v>0</v>
      </c>
      <c r="S62" s="410">
        <f>FY16ProjRevToCollAut15!S62-FY16ProjRevToColl!S62</f>
        <v>0</v>
      </c>
      <c r="T62" s="410">
        <f t="shared" si="27"/>
        <v>365906.09471736336</v>
      </c>
    </row>
    <row r="63" spans="1:20" ht="18" customHeight="1">
      <c r="A63" s="553" t="s">
        <v>145</v>
      </c>
      <c r="B63" s="456" t="s">
        <v>207</v>
      </c>
      <c r="C63" s="457">
        <f>FY16ProjRevToCollAut15!C63-FY16ProjRevToColl!C63</f>
        <v>243733.96887822263</v>
      </c>
      <c r="D63" s="457">
        <f>FY16ProjRevToCollAut15!D63-FY16ProjRevToColl!D63</f>
        <v>0</v>
      </c>
      <c r="E63" s="457">
        <f>FY16ProjRevToCollAut15!E63-FY16ProjRevToColl!E63</f>
        <v>0</v>
      </c>
      <c r="F63" s="457">
        <f>FY16ProjRevToCollAut15!F63-FY16ProjRevToColl!F63</f>
        <v>0</v>
      </c>
      <c r="G63" s="457">
        <f>FY16ProjRevToCollAut15!G63-FY16ProjRevToColl!G63</f>
        <v>685.9304940287675</v>
      </c>
      <c r="H63" s="457">
        <f>FY16ProjRevToCollAut15!H63-FY16ProjRevToColl!H63</f>
        <v>0</v>
      </c>
      <c r="I63" s="457">
        <f>FY16ProjRevToCollAut15!I63-FY16ProjRevToColl!I63</f>
        <v>0</v>
      </c>
      <c r="J63" s="457">
        <f>FY16ProjRevToCollAut15!J63-FY16ProjRevToColl!J63</f>
        <v>0</v>
      </c>
      <c r="K63" s="457">
        <f>FY16ProjRevToCollAut15!K63-FY16ProjRevToColl!K63</f>
        <v>0</v>
      </c>
      <c r="L63" s="457">
        <f>FY16ProjRevToCollAut15!L63-FY16ProjRevToColl!L63</f>
        <v>0</v>
      </c>
      <c r="M63" s="457">
        <f>FY16ProjRevToCollAut15!M63-FY16ProjRevToColl!M63</f>
        <v>0</v>
      </c>
      <c r="N63" s="457">
        <f>FY16ProjRevToCollAut15!N63-FY16ProjRevToColl!N63</f>
        <v>0</v>
      </c>
      <c r="O63" s="457">
        <f>FY16ProjRevToCollAut15!O63-FY16ProjRevToColl!O63</f>
        <v>0</v>
      </c>
      <c r="P63" s="457">
        <f>FY16ProjRevToCollAut15!P63-FY16ProjRevToColl!P63</f>
        <v>0</v>
      </c>
      <c r="Q63" s="457">
        <f>FY16ProjRevToCollAut15!Q63-FY16ProjRevToColl!Q63</f>
        <v>0</v>
      </c>
      <c r="R63" s="457">
        <f>FY16ProjRevToCollAut15!R63-FY16ProjRevToColl!R63</f>
        <v>0</v>
      </c>
      <c r="S63" s="457">
        <f>FY16ProjRevToCollAut15!S63-FY16ProjRevToColl!S63</f>
        <v>0</v>
      </c>
      <c r="T63" s="457">
        <f t="shared" si="27"/>
        <v>244419.89937225138</v>
      </c>
    </row>
    <row r="64" spans="1:20" s="18" customFormat="1" ht="18" customHeight="1">
      <c r="A64" s="404" t="s">
        <v>147</v>
      </c>
      <c r="B64" s="440" t="s">
        <v>208</v>
      </c>
      <c r="C64" s="410">
        <f>FY16ProjRevToCollAut15!C64-FY16ProjRevToColl!C64</f>
        <v>0</v>
      </c>
      <c r="D64" s="410">
        <f>FY16ProjRevToCollAut15!D64-FY16ProjRevToColl!D64</f>
        <v>0</v>
      </c>
      <c r="E64" s="410">
        <f>FY16ProjRevToCollAut15!E64-FY16ProjRevToColl!E64</f>
        <v>0</v>
      </c>
      <c r="F64" s="410">
        <f>FY16ProjRevToCollAut15!F64-FY16ProjRevToColl!F64</f>
        <v>0</v>
      </c>
      <c r="G64" s="410">
        <f>FY16ProjRevToCollAut15!G64-FY16ProjRevToColl!G64</f>
        <v>281429.98979008885</v>
      </c>
      <c r="H64" s="410">
        <f>FY16ProjRevToCollAut15!H64-FY16ProjRevToColl!H64</f>
        <v>3247.2691129625637</v>
      </c>
      <c r="I64" s="410">
        <f>FY16ProjRevToCollAut15!I64-FY16ProjRevToColl!I64</f>
        <v>0</v>
      </c>
      <c r="J64" s="410">
        <f>FY16ProjRevToCollAut15!J64-FY16ProjRevToColl!J64</f>
        <v>0</v>
      </c>
      <c r="K64" s="410">
        <f>FY16ProjRevToCollAut15!K64-FY16ProjRevToColl!K64</f>
        <v>0</v>
      </c>
      <c r="L64" s="410">
        <f>FY16ProjRevToCollAut15!L64-FY16ProjRevToColl!L64</f>
        <v>0</v>
      </c>
      <c r="M64" s="410">
        <f>FY16ProjRevToCollAut15!M64-FY16ProjRevToColl!M64</f>
        <v>0</v>
      </c>
      <c r="N64" s="410">
        <f>FY16ProjRevToCollAut15!N64-FY16ProjRevToColl!N64</f>
        <v>0</v>
      </c>
      <c r="O64" s="410">
        <f>FY16ProjRevToCollAut15!O64-FY16ProjRevToColl!O64</f>
        <v>0</v>
      </c>
      <c r="P64" s="410">
        <f>FY16ProjRevToCollAut15!P64-FY16ProjRevToColl!P64</f>
        <v>0</v>
      </c>
      <c r="Q64" s="410">
        <f>FY16ProjRevToCollAut15!Q64-FY16ProjRevToColl!Q64</f>
        <v>0</v>
      </c>
      <c r="R64" s="410">
        <f>FY16ProjRevToCollAut15!R64-FY16ProjRevToColl!R64</f>
        <v>0</v>
      </c>
      <c r="S64" s="410">
        <f>FY16ProjRevToCollAut15!S64-FY16ProjRevToColl!S64</f>
        <v>0</v>
      </c>
      <c r="T64" s="410">
        <f t="shared" si="27"/>
        <v>284677.25890305144</v>
      </c>
    </row>
    <row r="65" spans="1:20" ht="18" customHeight="1">
      <c r="A65" s="404" t="s">
        <v>148</v>
      </c>
      <c r="B65" s="456" t="s">
        <v>39</v>
      </c>
      <c r="C65" s="457">
        <f>FY16ProjRevToCollAut15!C65-FY16ProjRevToColl!C65</f>
        <v>1288.7162279234617</v>
      </c>
      <c r="D65" s="457">
        <f>FY16ProjRevToCollAut15!D65-FY16ProjRevToColl!D65</f>
        <v>3108.0803144036181</v>
      </c>
      <c r="E65" s="457">
        <f>FY16ProjRevToCollAut15!E65-FY16ProjRevToColl!E65</f>
        <v>0</v>
      </c>
      <c r="F65" s="457">
        <f>FY16ProjRevToCollAut15!F65-FY16ProjRevToColl!F65</f>
        <v>0</v>
      </c>
      <c r="G65" s="457">
        <f>FY16ProjRevToCollAut15!G65-FY16ProjRevToColl!G65</f>
        <v>0</v>
      </c>
      <c r="H65" s="457">
        <f>FY16ProjRevToCollAut15!H65-FY16ProjRevToColl!H65</f>
        <v>2046.7845972901996</v>
      </c>
      <c r="I65" s="457">
        <f>FY16ProjRevToCollAut15!I65-FY16ProjRevToColl!I65</f>
        <v>227.42051081002319</v>
      </c>
      <c r="J65" s="457">
        <f>FY16ProjRevToCollAut15!J65-FY16ProjRevToColl!J65</f>
        <v>227.42051081002319</v>
      </c>
      <c r="K65" s="457">
        <f>FY16ProjRevToCollAut15!K65-FY16ProjRevToColl!K65</f>
        <v>75655.223262800835</v>
      </c>
      <c r="L65" s="457">
        <f>FY16ProjRevToCollAut15!L65-FY16ProjRevToColl!L65</f>
        <v>530.64785855672017</v>
      </c>
      <c r="M65" s="457">
        <f>FY16ProjRevToCollAut15!M65-FY16ProjRevToColl!M65</f>
        <v>0</v>
      </c>
      <c r="N65" s="457">
        <f>FY16ProjRevToCollAut15!N65-FY16ProjRevToColl!N65</f>
        <v>0</v>
      </c>
      <c r="O65" s="457">
        <f>FY16ProjRevToCollAut15!O65-FY16ProjRevToColl!O65</f>
        <v>0</v>
      </c>
      <c r="P65" s="457">
        <f>FY16ProjRevToCollAut15!P65-FY16ProjRevToColl!P65</f>
        <v>0</v>
      </c>
      <c r="Q65" s="457">
        <f>FY16ProjRevToCollAut15!Q65-FY16ProjRevToColl!Q65</f>
        <v>1667.7504126068234</v>
      </c>
      <c r="R65" s="457">
        <f>FY16ProjRevToCollAut15!R65-FY16ProjRevToColl!R65</f>
        <v>0</v>
      </c>
      <c r="S65" s="457">
        <f>FY16ProjRevToCollAut15!S65-FY16ProjRevToColl!S65</f>
        <v>0</v>
      </c>
      <c r="T65" s="457">
        <f t="shared" si="27"/>
        <v>84752.043695201704</v>
      </c>
    </row>
    <row r="66" spans="1:20" s="18" customFormat="1" ht="18" customHeight="1">
      <c r="A66" s="404" t="s">
        <v>149</v>
      </c>
      <c r="B66" s="440" t="s">
        <v>38</v>
      </c>
      <c r="C66" s="410">
        <f>FY16ProjRevToCollAut15!C66-FY16ProjRevToColl!C66</f>
        <v>0</v>
      </c>
      <c r="D66" s="410">
        <f>FY16ProjRevToCollAut15!D66-FY16ProjRevToColl!D66</f>
        <v>-983.18406859859533</v>
      </c>
      <c r="E66" s="410">
        <f>FY16ProjRevToCollAut15!E66-FY16ProjRevToColl!E66</f>
        <v>-144528.05808399385</v>
      </c>
      <c r="F66" s="410">
        <f>FY16ProjRevToCollAut15!F66-FY16ProjRevToColl!F66</f>
        <v>0</v>
      </c>
      <c r="G66" s="410">
        <f>FY16ProjRevToCollAut15!G66-FY16ProjRevToColl!G66</f>
        <v>-393.2736274394374</v>
      </c>
      <c r="H66" s="410">
        <f>FY16ProjRevToCollAut15!H66-FY16ProjRevToColl!H66</f>
        <v>0</v>
      </c>
      <c r="I66" s="410">
        <f>FY16ProjRevToCollAut15!I66-FY16ProjRevToColl!I66</f>
        <v>0</v>
      </c>
      <c r="J66" s="410">
        <f>FY16ProjRevToCollAut15!J66-FY16ProjRevToColl!J66</f>
        <v>-393.2736274394374</v>
      </c>
      <c r="K66" s="410">
        <f>FY16ProjRevToCollAut15!K66-FY16ProjRevToColl!K66</f>
        <v>0</v>
      </c>
      <c r="L66" s="410">
        <f>FY16ProjRevToCollAut15!L66-FY16ProjRevToColl!L66</f>
        <v>0</v>
      </c>
      <c r="M66" s="410">
        <f>FY16ProjRevToCollAut15!M66-FY16ProjRevToColl!M66</f>
        <v>0</v>
      </c>
      <c r="N66" s="410">
        <f>FY16ProjRevToCollAut15!N66-FY16ProjRevToColl!N66</f>
        <v>-393.2736274394374</v>
      </c>
      <c r="O66" s="410">
        <f>FY16ProjRevToCollAut15!O66-FY16ProjRevToColl!O66</f>
        <v>0</v>
      </c>
      <c r="P66" s="410">
        <f>FY16ProjRevToCollAut15!P66-FY16ProjRevToColl!P66</f>
        <v>-393.2736274394374</v>
      </c>
      <c r="Q66" s="410">
        <f>FY16ProjRevToCollAut15!Q66-FY16ProjRevToColl!Q66</f>
        <v>-1179.8208823183159</v>
      </c>
      <c r="R66" s="410">
        <f>FY16ProjRevToCollAut15!R66-FY16ProjRevToColl!R66</f>
        <v>0</v>
      </c>
      <c r="S66" s="410">
        <f>FY16ProjRevToCollAut15!S66-FY16ProjRevToColl!S66</f>
        <v>0</v>
      </c>
      <c r="T66" s="410">
        <f t="shared" si="27"/>
        <v>-148264.15754466847</v>
      </c>
    </row>
    <row r="67" spans="1:20" ht="18" customHeight="1">
      <c r="A67" s="404" t="s">
        <v>150</v>
      </c>
      <c r="B67" s="456" t="s">
        <v>31</v>
      </c>
      <c r="C67" s="457">
        <f>FY16ProjRevToCollAut15!C67-FY16ProjRevToColl!C67</f>
        <v>0</v>
      </c>
      <c r="D67" s="457">
        <f>FY16ProjRevToCollAut15!D67-FY16ProjRevToColl!D67</f>
        <v>-811.11394069615562</v>
      </c>
      <c r="E67" s="457">
        <f>FY16ProjRevToCollAut15!E67-FY16ProjRevToColl!E67</f>
        <v>-540.74262713077042</v>
      </c>
      <c r="F67" s="457">
        <f>FY16ProjRevToCollAut15!F67-FY16ProjRevToColl!F67</f>
        <v>-675.9282839134612</v>
      </c>
      <c r="G67" s="457">
        <f>FY16ProjRevToCollAut15!G67-FY16ProjRevToColl!G67</f>
        <v>-405.55697034807781</v>
      </c>
      <c r="H67" s="457">
        <f>FY16ProjRevToCollAut15!H67-FY16ProjRevToColl!H67</f>
        <v>-405.55697034807781</v>
      </c>
      <c r="I67" s="457">
        <f>FY16ProjRevToCollAut15!I67-FY16ProjRevToColl!I67</f>
        <v>-405.55697034807781</v>
      </c>
      <c r="J67" s="457">
        <f>FY16ProjRevToCollAut15!J67-FY16ProjRevToColl!J67</f>
        <v>-208185.91144534666</v>
      </c>
      <c r="K67" s="457">
        <f>FY16ProjRevToCollAut15!K67-FY16ProjRevToColl!K67</f>
        <v>-405.55697034807781</v>
      </c>
      <c r="L67" s="457">
        <f>FY16ProjRevToCollAut15!L67-FY16ProjRevToColl!L67</f>
        <v>0</v>
      </c>
      <c r="M67" s="457">
        <f>FY16ProjRevToCollAut15!M67-FY16ProjRevToColl!M67</f>
        <v>0</v>
      </c>
      <c r="N67" s="457">
        <f>FY16ProjRevToCollAut15!N67-FY16ProjRevToColl!N67</f>
        <v>0</v>
      </c>
      <c r="O67" s="457">
        <f>FY16ProjRevToCollAut15!O67-FY16ProjRevToColl!O67</f>
        <v>0</v>
      </c>
      <c r="P67" s="457">
        <f>FY16ProjRevToCollAut15!P67-FY16ProjRevToColl!P67</f>
        <v>0</v>
      </c>
      <c r="Q67" s="457">
        <f>FY16ProjRevToCollAut15!Q67-FY16ProjRevToColl!Q67</f>
        <v>-405.55697034807781</v>
      </c>
      <c r="R67" s="457">
        <f>FY16ProjRevToCollAut15!R67-FY16ProjRevToColl!R67</f>
        <v>0</v>
      </c>
      <c r="S67" s="457">
        <f>FY16ProjRevToCollAut15!S67-FY16ProjRevToColl!S67</f>
        <v>0</v>
      </c>
      <c r="T67" s="457">
        <f t="shared" si="27"/>
        <v>-212241.48114882744</v>
      </c>
    </row>
    <row r="68" spans="1:20" s="18" customFormat="1" ht="18" customHeight="1">
      <c r="A68" s="404" t="s">
        <v>151</v>
      </c>
      <c r="B68" s="440" t="s">
        <v>209</v>
      </c>
      <c r="C68" s="410">
        <f>FY16ProjRevToCollAut15!C68-FY16ProjRevToColl!C68</f>
        <v>0</v>
      </c>
      <c r="D68" s="410">
        <f>FY16ProjRevToCollAut15!D68-FY16ProjRevToColl!D68</f>
        <v>0</v>
      </c>
      <c r="E68" s="410">
        <f>FY16ProjRevToCollAut15!E68-FY16ProjRevToColl!E68</f>
        <v>0</v>
      </c>
      <c r="F68" s="410">
        <f>FY16ProjRevToCollAut15!F68-FY16ProjRevToColl!F68</f>
        <v>0</v>
      </c>
      <c r="G68" s="410">
        <f>FY16ProjRevToCollAut15!G68-FY16ProjRevToColl!G68</f>
        <v>0</v>
      </c>
      <c r="H68" s="410">
        <f>FY16ProjRevToCollAut15!H68-FY16ProjRevToColl!H68</f>
        <v>0</v>
      </c>
      <c r="I68" s="410">
        <f>FY16ProjRevToCollAut15!I68-FY16ProjRevToColl!I68</f>
        <v>0</v>
      </c>
      <c r="J68" s="410">
        <f>FY16ProjRevToCollAut15!J68-FY16ProjRevToColl!J68</f>
        <v>92287.31054656941</v>
      </c>
      <c r="K68" s="410">
        <f>FY16ProjRevToCollAut15!K68-FY16ProjRevToColl!K68</f>
        <v>0</v>
      </c>
      <c r="L68" s="410">
        <f>FY16ProjRevToCollAut15!L68-FY16ProjRevToColl!L68</f>
        <v>0</v>
      </c>
      <c r="M68" s="410">
        <f>FY16ProjRevToCollAut15!M68-FY16ProjRevToColl!M68</f>
        <v>0</v>
      </c>
      <c r="N68" s="410">
        <f>FY16ProjRevToCollAut15!N68-FY16ProjRevToColl!N68</f>
        <v>0</v>
      </c>
      <c r="O68" s="410">
        <f>FY16ProjRevToCollAut15!O68-FY16ProjRevToColl!O68</f>
        <v>0</v>
      </c>
      <c r="P68" s="410">
        <f>FY16ProjRevToCollAut15!P68-FY16ProjRevToColl!P68</f>
        <v>0</v>
      </c>
      <c r="Q68" s="410">
        <f>FY16ProjRevToCollAut15!Q68-FY16ProjRevToColl!Q68</f>
        <v>0</v>
      </c>
      <c r="R68" s="410">
        <f>FY16ProjRevToCollAut15!R68-FY16ProjRevToColl!R68</f>
        <v>0</v>
      </c>
      <c r="S68" s="410">
        <f>FY16ProjRevToCollAut15!S68-FY16ProjRevToColl!S68</f>
        <v>0</v>
      </c>
      <c r="T68" s="410">
        <f t="shared" si="27"/>
        <v>92287.31054656941</v>
      </c>
    </row>
    <row r="69" spans="1:20" ht="18" customHeight="1">
      <c r="A69" s="404" t="s">
        <v>153</v>
      </c>
      <c r="B69" s="456" t="s">
        <v>100</v>
      </c>
      <c r="C69" s="457">
        <f>FY16ProjRevToCollAut15!C69-FY16ProjRevToColl!C69</f>
        <v>0</v>
      </c>
      <c r="D69" s="457">
        <f>FY16ProjRevToCollAut15!D69-FY16ProjRevToColl!D69</f>
        <v>0</v>
      </c>
      <c r="E69" s="457">
        <f>FY16ProjRevToCollAut15!E69-FY16ProjRevToColl!E69</f>
        <v>0</v>
      </c>
      <c r="F69" s="457">
        <f>FY16ProjRevToCollAut15!F69-FY16ProjRevToColl!F69</f>
        <v>0</v>
      </c>
      <c r="G69" s="457">
        <f>FY16ProjRevToCollAut15!G69-FY16ProjRevToColl!G69</f>
        <v>0</v>
      </c>
      <c r="H69" s="457">
        <f>FY16ProjRevToCollAut15!H69-FY16ProjRevToColl!H69</f>
        <v>0</v>
      </c>
      <c r="I69" s="457">
        <f>FY16ProjRevToCollAut15!I69-FY16ProjRevToColl!I69</f>
        <v>0</v>
      </c>
      <c r="J69" s="457">
        <f>FY16ProjRevToCollAut15!J69-FY16ProjRevToColl!J69</f>
        <v>0</v>
      </c>
      <c r="K69" s="457">
        <f>FY16ProjRevToCollAut15!K69-FY16ProjRevToColl!K69</f>
        <v>0</v>
      </c>
      <c r="L69" s="457">
        <f>FY16ProjRevToCollAut15!L69-FY16ProjRevToColl!L69</f>
        <v>0</v>
      </c>
      <c r="M69" s="457">
        <f>FY16ProjRevToCollAut15!M69-FY16ProjRevToColl!M69</f>
        <v>0</v>
      </c>
      <c r="N69" s="457">
        <f>FY16ProjRevToCollAut15!N69-FY16ProjRevToColl!N69</f>
        <v>0</v>
      </c>
      <c r="O69" s="457">
        <f>FY16ProjRevToCollAut15!O69-FY16ProjRevToColl!O69</f>
        <v>223112.9097382935</v>
      </c>
      <c r="P69" s="457">
        <f>FY16ProjRevToCollAut15!P69-FY16ProjRevToColl!P69</f>
        <v>0</v>
      </c>
      <c r="Q69" s="457">
        <f>FY16ProjRevToCollAut15!Q69-FY16ProjRevToColl!Q69</f>
        <v>0</v>
      </c>
      <c r="R69" s="457">
        <f>FY16ProjRevToCollAut15!R69-FY16ProjRevToColl!R69</f>
        <v>0</v>
      </c>
      <c r="S69" s="457">
        <f>FY16ProjRevToCollAut15!S69-FY16ProjRevToColl!S69</f>
        <v>0</v>
      </c>
      <c r="T69" s="457">
        <f t="shared" si="27"/>
        <v>223112.9097382935</v>
      </c>
    </row>
    <row r="70" spans="1:20" s="18" customFormat="1" ht="18" customHeight="1">
      <c r="A70" s="404" t="s">
        <v>155</v>
      </c>
      <c r="B70" s="440" t="s">
        <v>42</v>
      </c>
      <c r="C70" s="410">
        <f>FY16ProjRevToCollAut15!C70-FY16ProjRevToColl!C70</f>
        <v>0</v>
      </c>
      <c r="D70" s="410">
        <f>FY16ProjRevToCollAut15!D70-FY16ProjRevToColl!D70</f>
        <v>0</v>
      </c>
      <c r="E70" s="410">
        <f>FY16ProjRevToCollAut15!E70-FY16ProjRevToColl!E70</f>
        <v>0</v>
      </c>
      <c r="F70" s="410">
        <f>FY16ProjRevToCollAut15!F70-FY16ProjRevToColl!F70</f>
        <v>0</v>
      </c>
      <c r="G70" s="410">
        <f>FY16ProjRevToCollAut15!G70-FY16ProjRevToColl!G70</f>
        <v>0</v>
      </c>
      <c r="H70" s="410">
        <f>FY16ProjRevToCollAut15!H70-FY16ProjRevToColl!H70</f>
        <v>0</v>
      </c>
      <c r="I70" s="410">
        <f>FY16ProjRevToCollAut15!I70-FY16ProjRevToColl!I70</f>
        <v>0</v>
      </c>
      <c r="J70" s="410">
        <f>FY16ProjRevToCollAut15!J70-FY16ProjRevToColl!J70</f>
        <v>0</v>
      </c>
      <c r="K70" s="410">
        <f>FY16ProjRevToCollAut15!K70-FY16ProjRevToColl!K70</f>
        <v>0</v>
      </c>
      <c r="L70" s="410">
        <f>FY16ProjRevToCollAut15!L70-FY16ProjRevToColl!L70</f>
        <v>0</v>
      </c>
      <c r="M70" s="410">
        <f>FY16ProjRevToCollAut15!M70-FY16ProjRevToColl!M70</f>
        <v>0</v>
      </c>
      <c r="N70" s="410">
        <f>FY16ProjRevToCollAut15!N70-FY16ProjRevToColl!N70</f>
        <v>0</v>
      </c>
      <c r="O70" s="410">
        <f>FY16ProjRevToCollAut15!O70-FY16ProjRevToColl!O70</f>
        <v>0</v>
      </c>
      <c r="P70" s="410">
        <f>FY16ProjRevToCollAut15!P70-FY16ProjRevToColl!P70</f>
        <v>151125.65048047993</v>
      </c>
      <c r="Q70" s="410">
        <f>FY16ProjRevToCollAut15!Q70-FY16ProjRevToColl!Q70</f>
        <v>0</v>
      </c>
      <c r="R70" s="410">
        <f>FY16ProjRevToCollAut15!R70-FY16ProjRevToColl!R70</f>
        <v>0</v>
      </c>
      <c r="S70" s="410">
        <f>FY16ProjRevToCollAut15!S70-FY16ProjRevToColl!S70</f>
        <v>0</v>
      </c>
      <c r="T70" s="410">
        <f t="shared" si="27"/>
        <v>151125.65048047993</v>
      </c>
    </row>
    <row r="71" spans="1:20" ht="18" customHeight="1">
      <c r="A71" s="404" t="s">
        <v>162</v>
      </c>
      <c r="B71" s="456" t="s">
        <v>76</v>
      </c>
      <c r="C71" s="457">
        <f>FY16ProjRevToCollAut15!C71-FY16ProjRevToColl!C71</f>
        <v>0</v>
      </c>
      <c r="D71" s="457">
        <f>FY16ProjRevToCollAut15!D71-FY16ProjRevToColl!D71</f>
        <v>0</v>
      </c>
      <c r="E71" s="457">
        <f>FY16ProjRevToCollAut15!E71-FY16ProjRevToColl!E71</f>
        <v>0</v>
      </c>
      <c r="F71" s="457">
        <f>FY16ProjRevToCollAut15!F71-FY16ProjRevToColl!F71</f>
        <v>0</v>
      </c>
      <c r="G71" s="457">
        <f>FY16ProjRevToCollAut15!G71-FY16ProjRevToColl!G71</f>
        <v>198.68386300930433</v>
      </c>
      <c r="H71" s="457">
        <f>FY16ProjRevToCollAut15!H71-FY16ProjRevToColl!H71</f>
        <v>0</v>
      </c>
      <c r="I71" s="457">
        <f>FY16ProjRevToCollAut15!I71-FY16ProjRevToColl!I71</f>
        <v>0</v>
      </c>
      <c r="J71" s="457">
        <f>FY16ProjRevToCollAut15!J71-FY16ProjRevToColl!J71</f>
        <v>0</v>
      </c>
      <c r="K71" s="457">
        <f>FY16ProjRevToCollAut15!K71-FY16ProjRevToColl!K71</f>
        <v>0</v>
      </c>
      <c r="L71" s="457">
        <f>FY16ProjRevToCollAut15!L71-FY16ProjRevToColl!L71</f>
        <v>0</v>
      </c>
      <c r="M71" s="457">
        <f>FY16ProjRevToCollAut15!M71-FY16ProjRevToColl!M71</f>
        <v>0</v>
      </c>
      <c r="N71" s="457">
        <f>FY16ProjRevToCollAut15!N71-FY16ProjRevToColl!N71</f>
        <v>78281.442025667056</v>
      </c>
      <c r="O71" s="457">
        <f>FY16ProjRevToCollAut15!O71-FY16ProjRevToColl!O71</f>
        <v>0</v>
      </c>
      <c r="P71" s="457">
        <f>FY16ProjRevToCollAut15!P71-FY16ProjRevToColl!P71</f>
        <v>0</v>
      </c>
      <c r="Q71" s="457">
        <f>FY16ProjRevToCollAut15!Q71-FY16ProjRevToColl!Q71</f>
        <v>1225.2171552240616</v>
      </c>
      <c r="R71" s="457">
        <f>FY16ProjRevToCollAut15!R71-FY16ProjRevToColl!R71</f>
        <v>0</v>
      </c>
      <c r="S71" s="457">
        <f>FY16ProjRevToCollAut15!S71-FY16ProjRevToColl!S71</f>
        <v>529.82363469147822</v>
      </c>
      <c r="T71" s="457">
        <f t="shared" si="27"/>
        <v>80235.166678591893</v>
      </c>
    </row>
    <row r="72" spans="1:20" s="18" customFormat="1" ht="18" customHeight="1">
      <c r="A72" s="404" t="s">
        <v>156</v>
      </c>
      <c r="B72" s="440" t="s">
        <v>77</v>
      </c>
      <c r="C72" s="410">
        <f>FY16ProjRevToCollAut15!C72-FY16ProjRevToColl!C72</f>
        <v>0</v>
      </c>
      <c r="D72" s="410">
        <f>FY16ProjRevToCollAut15!D72-FY16ProjRevToColl!D72</f>
        <v>0</v>
      </c>
      <c r="E72" s="410">
        <f>FY16ProjRevToCollAut15!E72-FY16ProjRevToColl!E72</f>
        <v>0</v>
      </c>
      <c r="F72" s="410">
        <f>FY16ProjRevToCollAut15!F72-FY16ProjRevToColl!F72</f>
        <v>0</v>
      </c>
      <c r="G72" s="410">
        <f>FY16ProjRevToCollAut15!G72-FY16ProjRevToColl!G72</f>
        <v>0</v>
      </c>
      <c r="H72" s="410">
        <f>FY16ProjRevToCollAut15!H72-FY16ProjRevToColl!H72</f>
        <v>0</v>
      </c>
      <c r="I72" s="410">
        <f>FY16ProjRevToCollAut15!I72-FY16ProjRevToColl!I72</f>
        <v>0</v>
      </c>
      <c r="J72" s="410">
        <f>FY16ProjRevToCollAut15!J72-FY16ProjRevToColl!J72</f>
        <v>0</v>
      </c>
      <c r="K72" s="410">
        <f>FY16ProjRevToCollAut15!K72-FY16ProjRevToColl!K72</f>
        <v>0</v>
      </c>
      <c r="L72" s="410">
        <f>FY16ProjRevToCollAut15!L72-FY16ProjRevToColl!L72</f>
        <v>0</v>
      </c>
      <c r="M72" s="410">
        <f>FY16ProjRevToCollAut15!M72-FY16ProjRevToColl!M72</f>
        <v>-363873.86628739163</v>
      </c>
      <c r="N72" s="410">
        <f>FY16ProjRevToCollAut15!N72-FY16ProjRevToColl!N72</f>
        <v>0</v>
      </c>
      <c r="O72" s="410">
        <f>FY16ProjRevToCollAut15!O72-FY16ProjRevToColl!O72</f>
        <v>0</v>
      </c>
      <c r="P72" s="410">
        <f>FY16ProjRevToCollAut15!P72-FY16ProjRevToColl!P72</f>
        <v>0</v>
      </c>
      <c r="Q72" s="410">
        <f>FY16ProjRevToCollAut15!Q72-FY16ProjRevToColl!Q72</f>
        <v>0</v>
      </c>
      <c r="R72" s="410">
        <f>FY16ProjRevToCollAut15!R72-FY16ProjRevToColl!R72</f>
        <v>0</v>
      </c>
      <c r="S72" s="410">
        <f>FY16ProjRevToCollAut15!S72-FY16ProjRevToColl!S72</f>
        <v>0</v>
      </c>
      <c r="T72" s="410">
        <f t="shared" si="27"/>
        <v>-363873.86628739163</v>
      </c>
    </row>
    <row r="73" spans="1:20" ht="18" customHeight="1">
      <c r="A73" s="406" t="s">
        <v>163</v>
      </c>
      <c r="B73" s="458" t="s">
        <v>164</v>
      </c>
      <c r="C73" s="457">
        <f>FY16ProjRevToCollAut15!C73-FY16ProjRevToColl!C73</f>
        <v>0</v>
      </c>
      <c r="D73" s="457">
        <f>FY16ProjRevToCollAut15!D73-FY16ProjRevToColl!D73</f>
        <v>0</v>
      </c>
      <c r="E73" s="457">
        <f>FY16ProjRevToCollAut15!E73-FY16ProjRevToColl!E73</f>
        <v>0</v>
      </c>
      <c r="F73" s="457">
        <f>FY16ProjRevToCollAut15!F73-FY16ProjRevToColl!F73</f>
        <v>0</v>
      </c>
      <c r="G73" s="457">
        <f>FY16ProjRevToCollAut15!G73-FY16ProjRevToColl!G73</f>
        <v>0</v>
      </c>
      <c r="H73" s="457">
        <f>FY16ProjRevToCollAut15!H73-FY16ProjRevToColl!H73</f>
        <v>0</v>
      </c>
      <c r="I73" s="457">
        <f>FY16ProjRevToCollAut15!I73-FY16ProjRevToColl!I73</f>
        <v>0</v>
      </c>
      <c r="J73" s="457">
        <f>FY16ProjRevToCollAut15!J73-FY16ProjRevToColl!J73</f>
        <v>0</v>
      </c>
      <c r="K73" s="457">
        <f>FY16ProjRevToCollAut15!K73-FY16ProjRevToColl!K73</f>
        <v>0</v>
      </c>
      <c r="L73" s="457">
        <f>FY16ProjRevToCollAut15!L73-FY16ProjRevToColl!L73</f>
        <v>0</v>
      </c>
      <c r="M73" s="457">
        <f>FY16ProjRevToCollAut15!M73-FY16ProjRevToColl!M73</f>
        <v>-13918.872195696225</v>
      </c>
      <c r="N73" s="457">
        <f>FY16ProjRevToCollAut15!N73-FY16ProjRevToColl!N73</f>
        <v>0</v>
      </c>
      <c r="O73" s="457">
        <f>FY16ProjRevToCollAut15!O73-FY16ProjRevToColl!O73</f>
        <v>0</v>
      </c>
      <c r="P73" s="457">
        <f>FY16ProjRevToCollAut15!P73-FY16ProjRevToColl!P73</f>
        <v>0</v>
      </c>
      <c r="Q73" s="457">
        <f>FY16ProjRevToCollAut15!Q73-FY16ProjRevToColl!Q73</f>
        <v>0</v>
      </c>
      <c r="R73" s="457">
        <f>FY16ProjRevToCollAut15!R73-FY16ProjRevToColl!R73</f>
        <v>0</v>
      </c>
      <c r="S73" s="457">
        <f>FY16ProjRevToCollAut15!S73-FY16ProjRevToColl!S73</f>
        <v>0</v>
      </c>
      <c r="T73" s="457">
        <f t="shared" si="27"/>
        <v>-13918.872195696225</v>
      </c>
    </row>
    <row r="74" spans="1:20" ht="18" customHeight="1">
      <c r="B74" s="459" t="s">
        <v>17</v>
      </c>
      <c r="C74" s="460">
        <f t="shared" ref="C74:S74" si="28">SUM(C53:C73)</f>
        <v>596623.94437705562</v>
      </c>
      <c r="D74" s="460">
        <f t="shared" si="28"/>
        <v>-2792007.1711325855</v>
      </c>
      <c r="E74" s="460">
        <f t="shared" si="28"/>
        <v>-460111.78772921121</v>
      </c>
      <c r="F74" s="460">
        <f t="shared" si="28"/>
        <v>422649.98781158053</v>
      </c>
      <c r="G74" s="460">
        <f t="shared" si="28"/>
        <v>-165081.22360438682</v>
      </c>
      <c r="H74" s="460">
        <f t="shared" si="28"/>
        <v>-403065.83577161276</v>
      </c>
      <c r="I74" s="460">
        <f t="shared" si="28"/>
        <v>275568.46789954492</v>
      </c>
      <c r="J74" s="460">
        <f t="shared" si="28"/>
        <v>-116649.34002999502</v>
      </c>
      <c r="K74" s="460">
        <f t="shared" si="28"/>
        <v>69514.867713456319</v>
      </c>
      <c r="L74" s="460">
        <f t="shared" si="28"/>
        <v>16439.70655061151</v>
      </c>
      <c r="M74" s="460">
        <f t="shared" si="28"/>
        <v>-377164.03385298932</v>
      </c>
      <c r="N74" s="460">
        <f t="shared" si="28"/>
        <v>560185.39760974329</v>
      </c>
      <c r="O74" s="460">
        <f t="shared" si="28"/>
        <v>136691.31882884604</v>
      </c>
      <c r="P74" s="460">
        <f t="shared" si="28"/>
        <v>127793.18253705469</v>
      </c>
      <c r="Q74" s="460">
        <f t="shared" si="28"/>
        <v>40071.823891403605</v>
      </c>
      <c r="R74" s="460">
        <f t="shared" si="28"/>
        <v>-15503.664892508095</v>
      </c>
      <c r="S74" s="460">
        <f t="shared" si="28"/>
        <v>-79315.490239362844</v>
      </c>
      <c r="T74" s="460">
        <f t="shared" si="27"/>
        <v>-2163359.8500333545</v>
      </c>
    </row>
    <row r="75" spans="1:20" ht="18" customHeight="1"/>
  </sheetData>
  <mergeCells count="5">
    <mergeCell ref="B1:T1"/>
    <mergeCell ref="A2:A3"/>
    <mergeCell ref="B4:T4"/>
    <mergeCell ref="B27:T27"/>
    <mergeCell ref="B51:T5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topLeftCell="C1" workbookViewId="0">
      <selection activeCell="C1" sqref="C1"/>
    </sheetView>
  </sheetViews>
  <sheetFormatPr defaultColWidth="8.85546875" defaultRowHeight="18" customHeight="1"/>
  <cols>
    <col min="1" max="1" width="0" style="32" hidden="1" customWidth="1"/>
    <col min="2" max="2" width="45.7109375" style="32" hidden="1" customWidth="1"/>
    <col min="3" max="3" width="48" style="32" customWidth="1"/>
    <col min="4" max="4" width="15.140625" style="32" customWidth="1"/>
    <col min="5" max="15" width="12.7109375" style="207" customWidth="1"/>
    <col min="16" max="25" width="12.7109375" style="32" customWidth="1"/>
    <col min="26" max="31" width="12.85546875" style="32" customWidth="1"/>
    <col min="32" max="16384" width="8.85546875" style="32"/>
  </cols>
  <sheetData>
    <row r="1" spans="1:22" ht="18" customHeight="1">
      <c r="C1" s="13" t="s">
        <v>415</v>
      </c>
      <c r="D1" s="6"/>
      <c r="E1" s="6"/>
      <c r="F1" s="6"/>
      <c r="G1" s="6"/>
      <c r="H1" s="6"/>
      <c r="I1" s="6"/>
      <c r="J1" s="6"/>
      <c r="K1" s="6"/>
      <c r="L1" s="6"/>
      <c r="M1" s="6"/>
      <c r="N1" s="6"/>
      <c r="O1" s="6"/>
      <c r="P1" s="6"/>
      <c r="Q1" s="6"/>
    </row>
    <row r="2" spans="1:22" s="267" customFormat="1" ht="48.75" customHeight="1">
      <c r="C2" s="120" t="s">
        <v>78</v>
      </c>
      <c r="D2" s="269" t="s">
        <v>51</v>
      </c>
      <c r="E2" s="269" t="s">
        <v>52</v>
      </c>
      <c r="F2" s="269" t="s">
        <v>53</v>
      </c>
      <c r="G2" s="269" t="s">
        <v>54</v>
      </c>
      <c r="H2" s="269" t="s">
        <v>55</v>
      </c>
      <c r="I2" s="269" t="s">
        <v>56</v>
      </c>
      <c r="J2" s="269" t="s">
        <v>58</v>
      </c>
      <c r="K2" s="269" t="s">
        <v>59</v>
      </c>
      <c r="L2" s="269" t="s">
        <v>60</v>
      </c>
      <c r="M2" s="269" t="s">
        <v>61</v>
      </c>
      <c r="N2" s="269" t="s">
        <v>63</v>
      </c>
      <c r="O2" s="269" t="s">
        <v>64</v>
      </c>
      <c r="P2" s="269" t="s">
        <v>65</v>
      </c>
      <c r="Q2" s="269" t="s">
        <v>66</v>
      </c>
      <c r="R2" s="269" t="s">
        <v>67</v>
      </c>
      <c r="S2" s="269" t="s">
        <v>62</v>
      </c>
      <c r="T2" s="269" t="s">
        <v>57</v>
      </c>
      <c r="U2" s="270" t="s">
        <v>17</v>
      </c>
      <c r="V2" s="268"/>
    </row>
    <row r="3" spans="1:22" s="267" customFormat="1" ht="27" customHeight="1">
      <c r="C3" s="279"/>
      <c r="D3" s="280">
        <v>252</v>
      </c>
      <c r="E3" s="280">
        <v>254</v>
      </c>
      <c r="F3" s="280">
        <v>256</v>
      </c>
      <c r="G3" s="280">
        <v>258</v>
      </c>
      <c r="H3" s="280">
        <v>260</v>
      </c>
      <c r="I3" s="280">
        <v>263</v>
      </c>
      <c r="J3" s="280">
        <v>267</v>
      </c>
      <c r="K3" s="280">
        <v>268</v>
      </c>
      <c r="L3" s="280">
        <v>270</v>
      </c>
      <c r="M3" s="280">
        <v>272</v>
      </c>
      <c r="N3" s="280">
        <v>302</v>
      </c>
      <c r="O3" s="280">
        <v>304</v>
      </c>
      <c r="P3" s="280">
        <v>306</v>
      </c>
      <c r="Q3" s="280">
        <v>308</v>
      </c>
      <c r="R3" s="280">
        <v>310</v>
      </c>
      <c r="S3" s="280">
        <v>282</v>
      </c>
      <c r="T3" s="280">
        <v>266</v>
      </c>
      <c r="U3" s="281"/>
      <c r="V3" s="268"/>
    </row>
    <row r="4" spans="1:22" ht="18" customHeight="1">
      <c r="A4" s="276" t="s">
        <v>128</v>
      </c>
      <c r="B4" s="220" t="s">
        <v>21</v>
      </c>
      <c r="C4" s="257" t="s">
        <v>21</v>
      </c>
      <c r="D4" s="113">
        <f t="shared" ref="D4:T4" si="0">+D33/$U33</f>
        <v>1.615491424402515E-2</v>
      </c>
      <c r="E4" s="113">
        <f t="shared" si="0"/>
        <v>0.6934445076865281</v>
      </c>
      <c r="F4" s="113">
        <f t="shared" si="0"/>
        <v>6.4479323470473748E-2</v>
      </c>
      <c r="G4" s="113">
        <f t="shared" si="0"/>
        <v>1.2836593399792725E-2</v>
      </c>
      <c r="H4" s="113">
        <f t="shared" si="0"/>
        <v>8.1935155460760217E-2</v>
      </c>
      <c r="I4" s="113">
        <f t="shared" si="0"/>
        <v>5.7229921195327681E-2</v>
      </c>
      <c r="J4" s="113">
        <f t="shared" si="0"/>
        <v>1.0270495011187456E-2</v>
      </c>
      <c r="K4" s="113">
        <f t="shared" si="0"/>
        <v>4.2710197364693656E-5</v>
      </c>
      <c r="L4" s="113">
        <f t="shared" si="0"/>
        <v>8.0190574643914623E-5</v>
      </c>
      <c r="M4" s="113">
        <f t="shared" si="0"/>
        <v>2.9260843378219716E-3</v>
      </c>
      <c r="N4" s="113">
        <f t="shared" si="0"/>
        <v>8.5420394729387311E-5</v>
      </c>
      <c r="O4" s="113">
        <f t="shared" si="0"/>
        <v>2.6881711057670097E-2</v>
      </c>
      <c r="P4" s="113">
        <f t="shared" si="0"/>
        <v>8.1890266171693246E-3</v>
      </c>
      <c r="Q4" s="113">
        <f t="shared" si="0"/>
        <v>3.5475612913123101E-4</v>
      </c>
      <c r="R4" s="113">
        <f t="shared" si="0"/>
        <v>1.0616534773509566E-2</v>
      </c>
      <c r="S4" s="113">
        <f t="shared" si="0"/>
        <v>1.3003076005846938E-2</v>
      </c>
      <c r="T4" s="113">
        <f t="shared" si="0"/>
        <v>1.4695794440178268E-3</v>
      </c>
      <c r="U4" s="114">
        <f t="shared" ref="U4:U30" si="1">SUM(D4:T4)</f>
        <v>1</v>
      </c>
    </row>
    <row r="5" spans="1:22" ht="18" customHeight="1">
      <c r="A5" s="222" t="s">
        <v>129</v>
      </c>
      <c r="B5" s="222" t="s">
        <v>35</v>
      </c>
      <c r="C5" s="257" t="s">
        <v>71</v>
      </c>
      <c r="D5" s="113">
        <f t="shared" ref="D5:T5" si="2">+D34/$U34</f>
        <v>8.8314830997057898E-3</v>
      </c>
      <c r="E5" s="113">
        <f t="shared" si="2"/>
        <v>0.68411935945894242</v>
      </c>
      <c r="F5" s="113">
        <f t="shared" si="2"/>
        <v>2.0196588400146848E-2</v>
      </c>
      <c r="G5" s="113">
        <f t="shared" si="2"/>
        <v>2.9472748049369436E-3</v>
      </c>
      <c r="H5" s="113">
        <f t="shared" si="2"/>
        <v>4.1572086722268468E-2</v>
      </c>
      <c r="I5" s="113">
        <f t="shared" si="2"/>
        <v>5.0258791410503672E-3</v>
      </c>
      <c r="J5" s="113">
        <f t="shared" si="2"/>
        <v>1.3319613855293977E-2</v>
      </c>
      <c r="K5" s="113">
        <f t="shared" si="2"/>
        <v>8.6867046882352025E-4</v>
      </c>
      <c r="L5" s="113">
        <f t="shared" si="2"/>
        <v>7.6112079173108445E-3</v>
      </c>
      <c r="M5" s="113">
        <f t="shared" si="2"/>
        <v>8.7901178392856222E-4</v>
      </c>
      <c r="N5" s="113">
        <f t="shared" si="2"/>
        <v>3.1023945315125722E-5</v>
      </c>
      <c r="O5" s="113">
        <f t="shared" si="2"/>
        <v>0.12567800247157432</v>
      </c>
      <c r="P5" s="113">
        <f t="shared" si="2"/>
        <v>6.7218548182772404E-4</v>
      </c>
      <c r="Q5" s="113">
        <f t="shared" si="2"/>
        <v>1.5150026628886395E-2</v>
      </c>
      <c r="R5" s="113">
        <f t="shared" si="2"/>
        <v>8.2627107689284846E-3</v>
      </c>
      <c r="S5" s="113">
        <f t="shared" si="2"/>
        <v>0</v>
      </c>
      <c r="T5" s="113">
        <f t="shared" si="2"/>
        <v>6.483487505106024E-2</v>
      </c>
      <c r="U5" s="115">
        <f t="shared" si="1"/>
        <v>1.0000000000000002</v>
      </c>
      <c r="V5" s="207"/>
    </row>
    <row r="6" spans="1:22" ht="18" customHeight="1">
      <c r="A6" s="222" t="s">
        <v>140</v>
      </c>
      <c r="B6" s="222" t="s">
        <v>36</v>
      </c>
      <c r="C6" s="257" t="s">
        <v>72</v>
      </c>
      <c r="D6" s="113">
        <f t="shared" ref="D6:T6" si="3">+D35/$U35</f>
        <v>0</v>
      </c>
      <c r="E6" s="113">
        <f t="shared" si="3"/>
        <v>4.3531575720416923E-2</v>
      </c>
      <c r="F6" s="113">
        <f t="shared" si="3"/>
        <v>0</v>
      </c>
      <c r="G6" s="113">
        <f t="shared" si="3"/>
        <v>3.678724708767627E-3</v>
      </c>
      <c r="H6" s="113">
        <f t="shared" si="3"/>
        <v>2.2481095442468831E-3</v>
      </c>
      <c r="I6" s="113">
        <f t="shared" si="3"/>
        <v>0</v>
      </c>
      <c r="J6" s="113">
        <f t="shared" si="3"/>
        <v>0</v>
      </c>
      <c r="K6" s="113">
        <f t="shared" si="3"/>
        <v>1.226241569589209E-3</v>
      </c>
      <c r="L6" s="113">
        <f t="shared" si="3"/>
        <v>6.3355814428775799E-3</v>
      </c>
      <c r="M6" s="113">
        <f t="shared" si="3"/>
        <v>0.14387901083180052</v>
      </c>
      <c r="N6" s="113">
        <f t="shared" si="3"/>
        <v>0</v>
      </c>
      <c r="O6" s="113">
        <f t="shared" si="3"/>
        <v>0.7811158798283262</v>
      </c>
      <c r="P6" s="113">
        <f t="shared" si="3"/>
        <v>2.452483139178418E-3</v>
      </c>
      <c r="Q6" s="113">
        <f t="shared" si="3"/>
        <v>1.8393623543838135E-3</v>
      </c>
      <c r="R6" s="113">
        <f t="shared" si="3"/>
        <v>1.3284283670549764E-2</v>
      </c>
      <c r="S6" s="113">
        <f t="shared" si="3"/>
        <v>4.0874718986306971E-4</v>
      </c>
      <c r="T6" s="113">
        <f t="shared" si="3"/>
        <v>0</v>
      </c>
      <c r="U6" s="115">
        <f t="shared" si="1"/>
        <v>1.0000000000000002</v>
      </c>
      <c r="V6" s="207"/>
    </row>
    <row r="7" spans="1:22" ht="18" customHeight="1">
      <c r="A7" s="222" t="s">
        <v>130</v>
      </c>
      <c r="B7" s="222" t="s">
        <v>37</v>
      </c>
      <c r="C7" s="257" t="s">
        <v>73</v>
      </c>
      <c r="D7" s="113">
        <f t="shared" ref="D7:T7" si="4">+D36/$U36</f>
        <v>4.5406530341967934E-3</v>
      </c>
      <c r="E7" s="113">
        <f t="shared" si="4"/>
        <v>5.0294038816276983E-2</v>
      </c>
      <c r="F7" s="113">
        <f t="shared" si="4"/>
        <v>1.0058807763255396E-2</v>
      </c>
      <c r="G7" s="113">
        <f t="shared" si="4"/>
        <v>3.5946836520724611E-3</v>
      </c>
      <c r="H7" s="113">
        <f t="shared" si="4"/>
        <v>0.85309095495609122</v>
      </c>
      <c r="I7" s="113">
        <f t="shared" si="4"/>
        <v>7.8515458716319556E-3</v>
      </c>
      <c r="J7" s="113">
        <f t="shared" si="4"/>
        <v>8.5137244391189876E-4</v>
      </c>
      <c r="K7" s="113">
        <f t="shared" si="4"/>
        <v>4.0992006558721048E-3</v>
      </c>
      <c r="L7" s="113">
        <f t="shared" si="4"/>
        <v>1.1351632585491983E-3</v>
      </c>
      <c r="M7" s="113">
        <f t="shared" si="4"/>
        <v>8.5137244391189876E-4</v>
      </c>
      <c r="N7" s="113">
        <f t="shared" si="4"/>
        <v>0</v>
      </c>
      <c r="O7" s="113">
        <f t="shared" si="4"/>
        <v>1.3007079004209565E-2</v>
      </c>
      <c r="P7" s="113">
        <f t="shared" si="4"/>
        <v>3.6672079713686599E-2</v>
      </c>
      <c r="Q7" s="113">
        <f t="shared" si="4"/>
        <v>4.7298469106216596E-4</v>
      </c>
      <c r="R7" s="113">
        <f t="shared" si="4"/>
        <v>1.2675989720466048E-2</v>
      </c>
      <c r="S7" s="113">
        <f t="shared" si="4"/>
        <v>6.3064625474955457E-4</v>
      </c>
      <c r="T7" s="113">
        <f t="shared" si="4"/>
        <v>1.7342772005612752E-4</v>
      </c>
      <c r="U7" s="115">
        <f t="shared" si="1"/>
        <v>0.99999999999999989</v>
      </c>
      <c r="V7" s="207"/>
    </row>
    <row r="8" spans="1:22" ht="18" customHeight="1">
      <c r="A8" s="222" t="s">
        <v>131</v>
      </c>
      <c r="B8" s="222" t="s">
        <v>141</v>
      </c>
      <c r="C8" s="257" t="s">
        <v>141</v>
      </c>
      <c r="D8" s="113">
        <f t="shared" ref="D8:T8" si="5">+D37/$U37</f>
        <v>2.5357307514983865E-3</v>
      </c>
      <c r="E8" s="113">
        <f t="shared" si="5"/>
        <v>3.792070078377132E-2</v>
      </c>
      <c r="F8" s="113">
        <f t="shared" si="5"/>
        <v>2.8815122176118028E-3</v>
      </c>
      <c r="G8" s="113">
        <f t="shared" si="5"/>
        <v>1.4983863531581375E-3</v>
      </c>
      <c r="H8" s="113">
        <f t="shared" si="5"/>
        <v>7.9529737206085749E-3</v>
      </c>
      <c r="I8" s="113">
        <f t="shared" si="5"/>
        <v>0.93055555555555558</v>
      </c>
      <c r="J8" s="113">
        <f t="shared" si="5"/>
        <v>1.7289073305670817E-4</v>
      </c>
      <c r="K8" s="113">
        <f t="shared" si="5"/>
        <v>8.068234209313047E-4</v>
      </c>
      <c r="L8" s="113">
        <f t="shared" si="5"/>
        <v>7.5495620101429231E-3</v>
      </c>
      <c r="M8" s="113">
        <f t="shared" si="5"/>
        <v>0</v>
      </c>
      <c r="N8" s="113">
        <f t="shared" si="5"/>
        <v>0</v>
      </c>
      <c r="O8" s="113">
        <f t="shared" si="5"/>
        <v>3.2849239280774551E-3</v>
      </c>
      <c r="P8" s="113">
        <f t="shared" si="5"/>
        <v>0</v>
      </c>
      <c r="Q8" s="113">
        <f t="shared" si="5"/>
        <v>1.7289073305670817E-4</v>
      </c>
      <c r="R8" s="113">
        <f t="shared" si="5"/>
        <v>2.3052097740894422E-3</v>
      </c>
      <c r="S8" s="113">
        <f t="shared" si="5"/>
        <v>0</v>
      </c>
      <c r="T8" s="113">
        <f t="shared" si="5"/>
        <v>2.362840018441678E-3</v>
      </c>
      <c r="U8" s="115">
        <f t="shared" si="1"/>
        <v>1</v>
      </c>
      <c r="V8" s="207"/>
    </row>
    <row r="9" spans="1:22" ht="18" customHeight="1">
      <c r="A9" s="222" t="s">
        <v>132</v>
      </c>
      <c r="B9" s="222" t="s">
        <v>142</v>
      </c>
      <c r="C9" s="257" t="s">
        <v>142</v>
      </c>
      <c r="D9" s="113">
        <f t="shared" ref="D9:T9" si="6">+D38/$U38</f>
        <v>0</v>
      </c>
      <c r="E9" s="113">
        <f t="shared" si="6"/>
        <v>2.5896907216494847E-2</v>
      </c>
      <c r="F9" s="113">
        <f t="shared" si="6"/>
        <v>1.3195876288659794E-3</v>
      </c>
      <c r="G9" s="113">
        <f t="shared" si="6"/>
        <v>0.94919587628865976</v>
      </c>
      <c r="H9" s="113">
        <f t="shared" si="6"/>
        <v>0</v>
      </c>
      <c r="I9" s="113">
        <f t="shared" si="6"/>
        <v>1.5752577319587627E-2</v>
      </c>
      <c r="J9" s="113">
        <f t="shared" si="6"/>
        <v>0</v>
      </c>
      <c r="K9" s="113">
        <f t="shared" si="6"/>
        <v>0</v>
      </c>
      <c r="L9" s="113">
        <f t="shared" si="6"/>
        <v>4.536082474226804E-3</v>
      </c>
      <c r="M9" s="113">
        <f t="shared" si="6"/>
        <v>8.247422680412371E-5</v>
      </c>
      <c r="N9" s="113">
        <f t="shared" si="6"/>
        <v>0</v>
      </c>
      <c r="O9" s="113">
        <f t="shared" si="6"/>
        <v>2.4742268041237116E-4</v>
      </c>
      <c r="P9" s="113">
        <f t="shared" si="6"/>
        <v>2.4742268041237116E-4</v>
      </c>
      <c r="Q9" s="113">
        <f t="shared" si="6"/>
        <v>0</v>
      </c>
      <c r="R9" s="113">
        <f t="shared" si="6"/>
        <v>1.0721649484536082E-3</v>
      </c>
      <c r="S9" s="113">
        <f t="shared" si="6"/>
        <v>0</v>
      </c>
      <c r="T9" s="113">
        <f t="shared" si="6"/>
        <v>1.6494845360824743E-3</v>
      </c>
      <c r="U9" s="115">
        <f t="shared" si="1"/>
        <v>0.99999999999999989</v>
      </c>
      <c r="V9" s="207"/>
    </row>
    <row r="10" spans="1:22" ht="18" customHeight="1">
      <c r="A10" s="222" t="s">
        <v>133</v>
      </c>
      <c r="B10" s="222" t="s">
        <v>143</v>
      </c>
      <c r="C10" s="257" t="s">
        <v>143</v>
      </c>
      <c r="D10" s="113">
        <f t="shared" ref="D10:T10" si="7">+D39/$U39</f>
        <v>2.8030833917309038E-4</v>
      </c>
      <c r="E10" s="113">
        <f t="shared" si="7"/>
        <v>7.7645409950946043E-2</v>
      </c>
      <c r="F10" s="113">
        <f t="shared" si="7"/>
        <v>2.9432375613174491E-3</v>
      </c>
      <c r="G10" s="113">
        <f t="shared" si="7"/>
        <v>0.89292221443587949</v>
      </c>
      <c r="H10" s="113">
        <f t="shared" si="7"/>
        <v>5.6061667834618077E-4</v>
      </c>
      <c r="I10" s="113">
        <f t="shared" si="7"/>
        <v>2.8030833917309038E-4</v>
      </c>
      <c r="J10" s="113">
        <f t="shared" si="7"/>
        <v>0</v>
      </c>
      <c r="K10" s="113">
        <f t="shared" si="7"/>
        <v>5.6061667834618077E-4</v>
      </c>
      <c r="L10" s="113">
        <f t="shared" si="7"/>
        <v>1.0231254379817799E-2</v>
      </c>
      <c r="M10" s="113">
        <f t="shared" si="7"/>
        <v>5.746320953048353E-3</v>
      </c>
      <c r="N10" s="113">
        <f t="shared" si="7"/>
        <v>0</v>
      </c>
      <c r="O10" s="113">
        <f t="shared" si="7"/>
        <v>2.2424667133847231E-3</v>
      </c>
      <c r="P10" s="113">
        <f t="shared" si="7"/>
        <v>1.6818500350385423E-3</v>
      </c>
      <c r="Q10" s="113">
        <f t="shared" si="7"/>
        <v>0</v>
      </c>
      <c r="R10" s="113">
        <f t="shared" si="7"/>
        <v>3.5038542396636299E-3</v>
      </c>
      <c r="S10" s="113">
        <f t="shared" si="7"/>
        <v>8.4092501751927115E-4</v>
      </c>
      <c r="T10" s="113">
        <f t="shared" si="7"/>
        <v>5.6061667834618077E-4</v>
      </c>
      <c r="U10" s="115">
        <f t="shared" si="1"/>
        <v>1</v>
      </c>
      <c r="V10" s="207"/>
    </row>
    <row r="11" spans="1:22" ht="18" customHeight="1">
      <c r="A11" s="222" t="s">
        <v>134</v>
      </c>
      <c r="B11" s="222" t="s">
        <v>40</v>
      </c>
      <c r="C11" s="257" t="s">
        <v>40</v>
      </c>
      <c r="D11" s="113">
        <f t="shared" ref="D11:T11" si="8">+D40/$U40</f>
        <v>0</v>
      </c>
      <c r="E11" s="113">
        <f t="shared" si="8"/>
        <v>0.23958333333333334</v>
      </c>
      <c r="F11" s="113">
        <f t="shared" si="8"/>
        <v>0</v>
      </c>
      <c r="G11" s="113">
        <f t="shared" si="8"/>
        <v>0</v>
      </c>
      <c r="H11" s="113">
        <f t="shared" si="8"/>
        <v>0</v>
      </c>
      <c r="I11" s="113">
        <f t="shared" si="8"/>
        <v>0</v>
      </c>
      <c r="J11" s="113">
        <f t="shared" si="8"/>
        <v>0.69270833333333337</v>
      </c>
      <c r="K11" s="113">
        <f t="shared" si="8"/>
        <v>0</v>
      </c>
      <c r="L11" s="113">
        <f t="shared" si="8"/>
        <v>4.6875E-2</v>
      </c>
      <c r="M11" s="113">
        <f t="shared" si="8"/>
        <v>0</v>
      </c>
      <c r="N11" s="113">
        <f t="shared" si="8"/>
        <v>0</v>
      </c>
      <c r="O11" s="113">
        <f t="shared" si="8"/>
        <v>0</v>
      </c>
      <c r="P11" s="113">
        <f t="shared" si="8"/>
        <v>0</v>
      </c>
      <c r="Q11" s="113">
        <f t="shared" si="8"/>
        <v>0</v>
      </c>
      <c r="R11" s="113">
        <f t="shared" si="8"/>
        <v>2.0833333333333332E-2</v>
      </c>
      <c r="S11" s="113">
        <f t="shared" si="8"/>
        <v>0</v>
      </c>
      <c r="T11" s="113">
        <f t="shared" si="8"/>
        <v>0</v>
      </c>
      <c r="U11" s="115">
        <f t="shared" si="1"/>
        <v>1</v>
      </c>
      <c r="V11" s="207"/>
    </row>
    <row r="12" spans="1:22" ht="18" customHeight="1">
      <c r="A12" s="222" t="s">
        <v>135</v>
      </c>
      <c r="B12" s="222" t="s">
        <v>70</v>
      </c>
      <c r="C12" s="257" t="s">
        <v>70</v>
      </c>
      <c r="D12" s="113">
        <f t="shared" ref="D12:T12" si="9">+D41/$U41</f>
        <v>0</v>
      </c>
      <c r="E12" s="113">
        <f t="shared" si="9"/>
        <v>1.065340909090909E-2</v>
      </c>
      <c r="F12" s="113">
        <f t="shared" si="9"/>
        <v>0</v>
      </c>
      <c r="G12" s="113">
        <f t="shared" si="9"/>
        <v>2.435064935064935E-3</v>
      </c>
      <c r="H12" s="113">
        <f t="shared" si="9"/>
        <v>0</v>
      </c>
      <c r="I12" s="113">
        <f t="shared" si="9"/>
        <v>1.0146103896103897E-4</v>
      </c>
      <c r="J12" s="113">
        <f t="shared" si="9"/>
        <v>0</v>
      </c>
      <c r="K12" s="113">
        <f t="shared" si="9"/>
        <v>2.0292207792207794E-4</v>
      </c>
      <c r="L12" s="113">
        <f t="shared" si="9"/>
        <v>8.624188311688312E-3</v>
      </c>
      <c r="M12" s="113">
        <f t="shared" si="9"/>
        <v>0.94876217532467533</v>
      </c>
      <c r="N12" s="113">
        <f t="shared" si="9"/>
        <v>0</v>
      </c>
      <c r="O12" s="113">
        <f t="shared" si="9"/>
        <v>1.4508928571428572E-2</v>
      </c>
      <c r="P12" s="113">
        <f t="shared" si="9"/>
        <v>1.5219155844155845E-3</v>
      </c>
      <c r="Q12" s="113">
        <f t="shared" si="9"/>
        <v>0</v>
      </c>
      <c r="R12" s="113">
        <f t="shared" si="9"/>
        <v>1.3189935064935064E-2</v>
      </c>
      <c r="S12" s="113">
        <f t="shared" si="9"/>
        <v>0</v>
      </c>
      <c r="T12" s="113">
        <f t="shared" si="9"/>
        <v>0</v>
      </c>
      <c r="U12" s="115">
        <f t="shared" si="1"/>
        <v>1</v>
      </c>
      <c r="V12" s="207"/>
    </row>
    <row r="13" spans="1:22" ht="18" customHeight="1">
      <c r="A13" s="222" t="s">
        <v>136</v>
      </c>
      <c r="B13" s="222" t="s">
        <v>144</v>
      </c>
      <c r="C13" s="257" t="s">
        <v>144</v>
      </c>
      <c r="D13" s="113">
        <f t="shared" ref="D13:T13" si="10">+D42/$U42</f>
        <v>5.8190282222868783E-4</v>
      </c>
      <c r="E13" s="113">
        <f t="shared" si="10"/>
        <v>5.1207448356124528E-2</v>
      </c>
      <c r="F13" s="113">
        <f t="shared" si="10"/>
        <v>1.2607894481621569E-3</v>
      </c>
      <c r="G13" s="113">
        <f t="shared" si="10"/>
        <v>2.9095141111434392E-4</v>
      </c>
      <c r="H13" s="113">
        <f t="shared" si="10"/>
        <v>4.3642711667151585E-3</v>
      </c>
      <c r="I13" s="113">
        <f t="shared" si="10"/>
        <v>2.9095141111434392E-4</v>
      </c>
      <c r="J13" s="113">
        <f t="shared" si="10"/>
        <v>7.7587042963825044E-4</v>
      </c>
      <c r="K13" s="113">
        <f t="shared" si="10"/>
        <v>0</v>
      </c>
      <c r="L13" s="113">
        <f t="shared" si="10"/>
        <v>7.7587042963825044E-4</v>
      </c>
      <c r="M13" s="113">
        <f t="shared" si="10"/>
        <v>9.6983803704781305E-5</v>
      </c>
      <c r="N13" s="113">
        <f t="shared" si="10"/>
        <v>2.9095141111434392E-4</v>
      </c>
      <c r="O13" s="113">
        <f t="shared" si="10"/>
        <v>2.5652216079914653E-2</v>
      </c>
      <c r="P13" s="113">
        <f t="shared" si="10"/>
        <v>1.6487246629812821E-3</v>
      </c>
      <c r="Q13" s="113">
        <f t="shared" si="10"/>
        <v>5.9160120259916594E-3</v>
      </c>
      <c r="R13" s="113">
        <f t="shared" si="10"/>
        <v>0.90214334206187563</v>
      </c>
      <c r="S13" s="113">
        <f t="shared" si="10"/>
        <v>3.8793521481912522E-4</v>
      </c>
      <c r="T13" s="113">
        <f t="shared" si="10"/>
        <v>4.3157792648627676E-3</v>
      </c>
      <c r="U13" s="115">
        <f t="shared" si="1"/>
        <v>1</v>
      </c>
      <c r="V13" s="207"/>
    </row>
    <row r="14" spans="1:22" ht="18" customHeight="1">
      <c r="A14" s="222" t="s">
        <v>137</v>
      </c>
      <c r="B14" s="222" t="s">
        <v>49</v>
      </c>
      <c r="C14" s="257" t="s">
        <v>49</v>
      </c>
      <c r="D14" s="113">
        <f t="shared" ref="D14:T14" si="11">+D43/$U43</f>
        <v>6.3709875030629748E-3</v>
      </c>
      <c r="E14" s="113">
        <f t="shared" si="11"/>
        <v>2.5320591358327208E-2</v>
      </c>
      <c r="F14" s="113">
        <f t="shared" si="11"/>
        <v>0</v>
      </c>
      <c r="G14" s="113">
        <f t="shared" si="11"/>
        <v>0</v>
      </c>
      <c r="H14" s="113">
        <f t="shared" si="11"/>
        <v>3.1038144245691414E-3</v>
      </c>
      <c r="I14" s="113">
        <f t="shared" si="11"/>
        <v>9.8015192354814992E-4</v>
      </c>
      <c r="J14" s="113">
        <f t="shared" si="11"/>
        <v>3.2671730784938332E-4</v>
      </c>
      <c r="K14" s="113">
        <f t="shared" si="11"/>
        <v>1.470227885322225E-3</v>
      </c>
      <c r="L14" s="113">
        <f t="shared" si="11"/>
        <v>1.5028996161071633E-2</v>
      </c>
      <c r="M14" s="113">
        <f t="shared" si="11"/>
        <v>1.1108388466879032E-2</v>
      </c>
      <c r="N14" s="113">
        <f t="shared" si="11"/>
        <v>5.2274769255901332E-3</v>
      </c>
      <c r="O14" s="113">
        <f t="shared" si="11"/>
        <v>0.14171363227967002</v>
      </c>
      <c r="P14" s="113">
        <f t="shared" si="11"/>
        <v>4.4106836559666745E-3</v>
      </c>
      <c r="Q14" s="113">
        <f t="shared" si="11"/>
        <v>1.7969451931716084E-3</v>
      </c>
      <c r="R14" s="113">
        <f t="shared" si="11"/>
        <v>0.78248795229927304</v>
      </c>
      <c r="S14" s="113">
        <f t="shared" si="11"/>
        <v>3.2671730784938332E-4</v>
      </c>
      <c r="T14" s="113">
        <f t="shared" si="11"/>
        <v>3.2671730784938332E-4</v>
      </c>
      <c r="U14" s="115">
        <f t="shared" si="1"/>
        <v>1</v>
      </c>
      <c r="V14" s="207"/>
    </row>
    <row r="15" spans="1:22" ht="18" customHeight="1">
      <c r="A15" s="222" t="s">
        <v>138</v>
      </c>
      <c r="B15" s="222" t="s">
        <v>157</v>
      </c>
      <c r="C15" s="257" t="s">
        <v>157</v>
      </c>
      <c r="D15" s="113">
        <f t="shared" ref="D15:T15" si="12">+D44/$U44</f>
        <v>0.91161844484629295</v>
      </c>
      <c r="E15" s="113">
        <f t="shared" si="12"/>
        <v>1.2432188065099457E-2</v>
      </c>
      <c r="F15" s="113">
        <f t="shared" si="12"/>
        <v>4.06871609403255E-3</v>
      </c>
      <c r="G15" s="113">
        <f t="shared" si="12"/>
        <v>0</v>
      </c>
      <c r="H15" s="113">
        <f t="shared" si="12"/>
        <v>8.1374321880651E-3</v>
      </c>
      <c r="I15" s="113">
        <f t="shared" si="12"/>
        <v>3.9330922242314645E-2</v>
      </c>
      <c r="J15" s="113">
        <f t="shared" si="12"/>
        <v>0</v>
      </c>
      <c r="K15" s="113">
        <f t="shared" si="12"/>
        <v>0</v>
      </c>
      <c r="L15" s="113">
        <f t="shared" si="12"/>
        <v>1.9891500904159132E-2</v>
      </c>
      <c r="M15" s="113">
        <f t="shared" si="12"/>
        <v>6.7811934900542496E-4</v>
      </c>
      <c r="N15" s="113">
        <f t="shared" si="12"/>
        <v>0</v>
      </c>
      <c r="O15" s="113">
        <f t="shared" si="12"/>
        <v>1.3562386980108499E-3</v>
      </c>
      <c r="P15" s="113">
        <f t="shared" si="12"/>
        <v>0</v>
      </c>
      <c r="Q15" s="113">
        <f t="shared" si="12"/>
        <v>0</v>
      </c>
      <c r="R15" s="113">
        <f t="shared" si="12"/>
        <v>1.3562386980108499E-3</v>
      </c>
      <c r="S15" s="113">
        <f t="shared" si="12"/>
        <v>1.1301989150090416E-3</v>
      </c>
      <c r="T15" s="113">
        <f t="shared" si="12"/>
        <v>0</v>
      </c>
      <c r="U15" s="115">
        <f t="shared" si="1"/>
        <v>1</v>
      </c>
      <c r="V15" s="207"/>
    </row>
    <row r="16" spans="1:22" ht="18" customHeight="1">
      <c r="A16" s="222" t="s">
        <v>145</v>
      </c>
      <c r="B16" s="222" t="s">
        <v>146</v>
      </c>
      <c r="C16" s="257" t="s">
        <v>146</v>
      </c>
      <c r="D16" s="113">
        <f t="shared" ref="D16:T16" si="13">+D45/$U45</f>
        <v>0.94426058178017769</v>
      </c>
      <c r="E16" s="113">
        <f t="shared" si="13"/>
        <v>1.707019682982059E-2</v>
      </c>
      <c r="F16" s="113">
        <f t="shared" si="13"/>
        <v>2.33408813795506E-2</v>
      </c>
      <c r="G16" s="113">
        <f t="shared" si="13"/>
        <v>6.9674272774777912E-4</v>
      </c>
      <c r="H16" s="113">
        <f t="shared" si="13"/>
        <v>3.1353422748650059E-3</v>
      </c>
      <c r="I16" s="113">
        <f t="shared" si="13"/>
        <v>3.8320850026127853E-3</v>
      </c>
      <c r="J16" s="113">
        <f t="shared" si="13"/>
        <v>0</v>
      </c>
      <c r="K16" s="113">
        <f t="shared" si="13"/>
        <v>0</v>
      </c>
      <c r="L16" s="113">
        <f t="shared" si="13"/>
        <v>6.9674272774777916E-3</v>
      </c>
      <c r="M16" s="113">
        <f t="shared" si="13"/>
        <v>0</v>
      </c>
      <c r="N16" s="113">
        <f t="shared" si="13"/>
        <v>0</v>
      </c>
      <c r="O16" s="113">
        <f t="shared" si="13"/>
        <v>0</v>
      </c>
      <c r="P16" s="113">
        <f t="shared" si="13"/>
        <v>0</v>
      </c>
      <c r="Q16" s="113">
        <f t="shared" si="13"/>
        <v>0</v>
      </c>
      <c r="R16" s="113">
        <f t="shared" si="13"/>
        <v>0</v>
      </c>
      <c r="S16" s="113">
        <f t="shared" si="13"/>
        <v>6.9674272774777912E-4</v>
      </c>
      <c r="T16" s="113">
        <f t="shared" si="13"/>
        <v>0</v>
      </c>
      <c r="U16" s="114">
        <f t="shared" si="1"/>
        <v>1</v>
      </c>
    </row>
    <row r="17" spans="1:22" ht="18" customHeight="1">
      <c r="A17" s="222" t="s">
        <v>147</v>
      </c>
      <c r="B17" s="222" t="s">
        <v>165</v>
      </c>
      <c r="C17" s="257" t="s">
        <v>165</v>
      </c>
      <c r="D17" s="113">
        <f t="shared" ref="D17:T17" si="14">+D46/$U46</f>
        <v>0</v>
      </c>
      <c r="E17" s="113">
        <f t="shared" si="14"/>
        <v>9.433962264150943E-3</v>
      </c>
      <c r="F17" s="113">
        <f t="shared" si="14"/>
        <v>0</v>
      </c>
      <c r="G17" s="113">
        <f t="shared" si="14"/>
        <v>0</v>
      </c>
      <c r="H17" s="113">
        <f t="shared" si="14"/>
        <v>0.86477987421383651</v>
      </c>
      <c r="I17" s="113">
        <f t="shared" si="14"/>
        <v>0</v>
      </c>
      <c r="J17" s="113">
        <f t="shared" si="14"/>
        <v>0</v>
      </c>
      <c r="K17" s="113">
        <f t="shared" si="14"/>
        <v>0</v>
      </c>
      <c r="L17" s="113">
        <f t="shared" si="14"/>
        <v>0</v>
      </c>
      <c r="M17" s="113">
        <f t="shared" si="14"/>
        <v>0</v>
      </c>
      <c r="N17" s="113">
        <f t="shared" si="14"/>
        <v>0</v>
      </c>
      <c r="O17" s="113">
        <f t="shared" si="14"/>
        <v>0.11635220125786164</v>
      </c>
      <c r="P17" s="113">
        <f t="shared" si="14"/>
        <v>0</v>
      </c>
      <c r="Q17" s="113">
        <f t="shared" si="14"/>
        <v>0</v>
      </c>
      <c r="R17" s="113">
        <f t="shared" si="14"/>
        <v>9.433962264150943E-3</v>
      </c>
      <c r="S17" s="113">
        <f t="shared" si="14"/>
        <v>0</v>
      </c>
      <c r="T17" s="113">
        <f t="shared" si="14"/>
        <v>0</v>
      </c>
      <c r="U17" s="114">
        <f t="shared" si="1"/>
        <v>1</v>
      </c>
    </row>
    <row r="18" spans="1:22" ht="18" customHeight="1">
      <c r="A18" s="222" t="s">
        <v>174</v>
      </c>
      <c r="B18" s="222" t="s">
        <v>167</v>
      </c>
      <c r="C18" s="258" t="s">
        <v>172</v>
      </c>
      <c r="D18" s="113">
        <f t="shared" ref="D18:T18" si="15">+D47/$U47</f>
        <v>0</v>
      </c>
      <c r="E18" s="113">
        <f t="shared" si="15"/>
        <v>0</v>
      </c>
      <c r="F18" s="113">
        <f t="shared" si="15"/>
        <v>0</v>
      </c>
      <c r="G18" s="113">
        <f t="shared" si="15"/>
        <v>0</v>
      </c>
      <c r="H18" s="113">
        <f t="shared" si="15"/>
        <v>1</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4">
        <f t="shared" si="1"/>
        <v>1</v>
      </c>
    </row>
    <row r="19" spans="1:22" ht="18" customHeight="1">
      <c r="A19" s="222" t="s">
        <v>158</v>
      </c>
      <c r="B19" s="222" t="s">
        <v>166</v>
      </c>
      <c r="C19" s="259" t="s">
        <v>166</v>
      </c>
      <c r="D19" s="113">
        <f t="shared" ref="D19:T19" si="16">+D48/$U48</f>
        <v>0</v>
      </c>
      <c r="E19" s="113">
        <f t="shared" si="16"/>
        <v>2.3809523809523808E-2</v>
      </c>
      <c r="F19" s="113">
        <f t="shared" si="16"/>
        <v>0</v>
      </c>
      <c r="G19" s="113">
        <f t="shared" si="16"/>
        <v>0</v>
      </c>
      <c r="H19" s="113">
        <f t="shared" si="16"/>
        <v>0.9642857142857143</v>
      </c>
      <c r="I19" s="113">
        <f t="shared" si="16"/>
        <v>0</v>
      </c>
      <c r="J19" s="113">
        <f t="shared" si="16"/>
        <v>0</v>
      </c>
      <c r="K19" s="113">
        <f t="shared" si="16"/>
        <v>0</v>
      </c>
      <c r="L19" s="113">
        <f t="shared" si="16"/>
        <v>0</v>
      </c>
      <c r="M19" s="113">
        <f t="shared" si="16"/>
        <v>0</v>
      </c>
      <c r="N19" s="113">
        <f t="shared" si="16"/>
        <v>0</v>
      </c>
      <c r="O19" s="113">
        <f t="shared" si="16"/>
        <v>1.1904761904761904E-2</v>
      </c>
      <c r="P19" s="113">
        <f t="shared" si="16"/>
        <v>0</v>
      </c>
      <c r="Q19" s="113">
        <f t="shared" si="16"/>
        <v>0</v>
      </c>
      <c r="R19" s="113">
        <f t="shared" si="16"/>
        <v>0</v>
      </c>
      <c r="S19" s="113">
        <f t="shared" si="16"/>
        <v>0</v>
      </c>
      <c r="T19" s="113">
        <f t="shared" si="16"/>
        <v>0</v>
      </c>
      <c r="U19" s="114">
        <f t="shared" si="1"/>
        <v>1</v>
      </c>
    </row>
    <row r="20" spans="1:22" ht="18" customHeight="1">
      <c r="A20" s="222" t="s">
        <v>148</v>
      </c>
      <c r="B20" s="222" t="s">
        <v>39</v>
      </c>
      <c r="C20" s="260" t="s">
        <v>39</v>
      </c>
      <c r="D20" s="113">
        <f t="shared" ref="D20:T20" si="17">+D49/$U49</f>
        <v>8.0481325207063612E-3</v>
      </c>
      <c r="E20" s="113">
        <f t="shared" si="17"/>
        <v>5.1101734646038441E-2</v>
      </c>
      <c r="F20" s="113">
        <f t="shared" si="17"/>
        <v>1.9143616190029692E-2</v>
      </c>
      <c r="G20" s="113">
        <f t="shared" si="17"/>
        <v>4.2194092827004216E-3</v>
      </c>
      <c r="H20" s="113">
        <f t="shared" si="17"/>
        <v>9.3764650726676048E-4</v>
      </c>
      <c r="I20" s="113">
        <f t="shared" si="17"/>
        <v>3.367713705266448E-2</v>
      </c>
      <c r="J20" s="113">
        <f t="shared" si="17"/>
        <v>1.1720581340834506E-3</v>
      </c>
      <c r="K20" s="113">
        <f t="shared" si="17"/>
        <v>3.7505860290670419E-3</v>
      </c>
      <c r="L20" s="113">
        <f t="shared" si="17"/>
        <v>0.85458665416471324</v>
      </c>
      <c r="M20" s="113">
        <f t="shared" si="17"/>
        <v>2.8129395218002813E-3</v>
      </c>
      <c r="N20" s="113">
        <f t="shared" si="17"/>
        <v>0</v>
      </c>
      <c r="O20" s="113">
        <f t="shared" si="17"/>
        <v>6.9542115955618065E-3</v>
      </c>
      <c r="P20" s="113">
        <f t="shared" si="17"/>
        <v>0</v>
      </c>
      <c r="Q20" s="113">
        <f t="shared" si="17"/>
        <v>0</v>
      </c>
      <c r="R20" s="113">
        <f t="shared" si="17"/>
        <v>1.3595874355368026E-2</v>
      </c>
      <c r="S20" s="113">
        <f t="shared" si="17"/>
        <v>0</v>
      </c>
      <c r="T20" s="113">
        <f t="shared" si="17"/>
        <v>0</v>
      </c>
      <c r="U20" s="114">
        <f t="shared" si="1"/>
        <v>1</v>
      </c>
      <c r="V20" s="28"/>
    </row>
    <row r="21" spans="1:22" ht="18" customHeight="1">
      <c r="A21" s="275" t="s">
        <v>175</v>
      </c>
      <c r="B21" s="222" t="s">
        <v>168</v>
      </c>
      <c r="C21" s="260" t="s">
        <v>168</v>
      </c>
      <c r="D21" s="113">
        <f t="shared" ref="D21:T21" si="18">+D50/$U50</f>
        <v>0</v>
      </c>
      <c r="E21" s="113">
        <f t="shared" si="18"/>
        <v>4.4444444444444446E-2</v>
      </c>
      <c r="F21" s="113">
        <f t="shared" si="18"/>
        <v>0</v>
      </c>
      <c r="G21" s="113">
        <f t="shared" si="18"/>
        <v>0</v>
      </c>
      <c r="H21" s="113">
        <f t="shared" si="18"/>
        <v>0</v>
      </c>
      <c r="I21" s="113">
        <f t="shared" si="18"/>
        <v>4.4444444444444446E-2</v>
      </c>
      <c r="J21" s="113">
        <f t="shared" si="18"/>
        <v>0</v>
      </c>
      <c r="K21" s="113">
        <f t="shared" si="18"/>
        <v>0</v>
      </c>
      <c r="L21" s="113">
        <f t="shared" si="18"/>
        <v>0.91111111111111109</v>
      </c>
      <c r="M21" s="113">
        <f t="shared" si="18"/>
        <v>0</v>
      </c>
      <c r="N21" s="113">
        <f t="shared" si="18"/>
        <v>0</v>
      </c>
      <c r="O21" s="113">
        <f t="shared" si="18"/>
        <v>0</v>
      </c>
      <c r="P21" s="113">
        <f t="shared" si="18"/>
        <v>0</v>
      </c>
      <c r="Q21" s="113">
        <f t="shared" si="18"/>
        <v>0</v>
      </c>
      <c r="R21" s="113">
        <f t="shared" si="18"/>
        <v>0</v>
      </c>
      <c r="S21" s="113">
        <f t="shared" si="18"/>
        <v>0</v>
      </c>
      <c r="T21" s="113">
        <f t="shared" si="18"/>
        <v>0</v>
      </c>
      <c r="U21" s="114">
        <f t="shared" si="1"/>
        <v>1</v>
      </c>
    </row>
    <row r="22" spans="1:22" ht="18" customHeight="1">
      <c r="A22" s="222" t="s">
        <v>149</v>
      </c>
      <c r="B22" s="222" t="s">
        <v>38</v>
      </c>
      <c r="C22" s="260" t="s">
        <v>38</v>
      </c>
      <c r="D22" s="113">
        <f t="shared" ref="D22:T22" si="19">+D51/$U51</f>
        <v>0</v>
      </c>
      <c r="E22" s="113">
        <f t="shared" si="19"/>
        <v>1.2322858903265558E-3</v>
      </c>
      <c r="F22" s="113">
        <f t="shared" si="19"/>
        <v>0.98182378311768326</v>
      </c>
      <c r="G22" s="113">
        <f t="shared" si="19"/>
        <v>3.0807147258163895E-4</v>
      </c>
      <c r="H22" s="113">
        <f t="shared" si="19"/>
        <v>4.1076196344218524E-4</v>
      </c>
      <c r="I22" s="113">
        <f t="shared" si="19"/>
        <v>2.5672622715136578E-3</v>
      </c>
      <c r="J22" s="113">
        <f t="shared" si="19"/>
        <v>0</v>
      </c>
      <c r="K22" s="113">
        <f t="shared" si="19"/>
        <v>1.0269049086054631E-3</v>
      </c>
      <c r="L22" s="113">
        <f t="shared" si="19"/>
        <v>8.7286917231464371E-3</v>
      </c>
      <c r="M22" s="113">
        <f t="shared" si="19"/>
        <v>0</v>
      </c>
      <c r="N22" s="113">
        <f t="shared" si="19"/>
        <v>0</v>
      </c>
      <c r="O22" s="113">
        <f t="shared" si="19"/>
        <v>6.1614294516327791E-4</v>
      </c>
      <c r="P22" s="113">
        <f t="shared" si="19"/>
        <v>3.0807147258163895E-4</v>
      </c>
      <c r="Q22" s="113">
        <f t="shared" si="19"/>
        <v>0</v>
      </c>
      <c r="R22" s="113">
        <f t="shared" si="19"/>
        <v>2.9780242349558431E-3</v>
      </c>
      <c r="S22" s="113">
        <f t="shared" si="19"/>
        <v>0</v>
      </c>
      <c r="T22" s="113">
        <f t="shared" si="19"/>
        <v>0</v>
      </c>
      <c r="U22" s="114">
        <f t="shared" si="1"/>
        <v>0.99999999999999978</v>
      </c>
    </row>
    <row r="23" spans="1:22" ht="18" customHeight="1">
      <c r="A23" s="222" t="s">
        <v>150</v>
      </c>
      <c r="B23" s="222" t="s">
        <v>31</v>
      </c>
      <c r="C23" s="260" t="s">
        <v>31</v>
      </c>
      <c r="D23" s="113">
        <f t="shared" ref="D23:T23" si="20">+D52/$U52</f>
        <v>1.2369093757730684E-4</v>
      </c>
      <c r="E23" s="113">
        <f t="shared" si="20"/>
        <v>1.0472499381545312E-2</v>
      </c>
      <c r="F23" s="113">
        <f t="shared" si="20"/>
        <v>6.1433165663395727E-3</v>
      </c>
      <c r="G23" s="113">
        <f t="shared" si="20"/>
        <v>4.9476375030922735E-4</v>
      </c>
      <c r="H23" s="113">
        <f t="shared" si="20"/>
        <v>0</v>
      </c>
      <c r="I23" s="113">
        <f t="shared" si="20"/>
        <v>1.6492125010307578E-4</v>
      </c>
      <c r="J23" s="113">
        <f t="shared" si="20"/>
        <v>5.7310134410818838E-3</v>
      </c>
      <c r="K23" s="113">
        <f t="shared" si="20"/>
        <v>0.97295291498309555</v>
      </c>
      <c r="L23" s="113">
        <f t="shared" si="20"/>
        <v>8.2460625051537892E-4</v>
      </c>
      <c r="M23" s="113">
        <f t="shared" si="20"/>
        <v>0</v>
      </c>
      <c r="N23" s="113">
        <f t="shared" si="20"/>
        <v>0</v>
      </c>
      <c r="O23" s="113">
        <f t="shared" si="20"/>
        <v>4.5353343778345841E-4</v>
      </c>
      <c r="P23" s="113">
        <f t="shared" si="20"/>
        <v>0</v>
      </c>
      <c r="Q23" s="113">
        <f t="shared" si="20"/>
        <v>0</v>
      </c>
      <c r="R23" s="113">
        <f t="shared" si="20"/>
        <v>2.6387400016492125E-3</v>
      </c>
      <c r="S23" s="113">
        <f t="shared" si="20"/>
        <v>0</v>
      </c>
      <c r="T23" s="113">
        <f t="shared" si="20"/>
        <v>0</v>
      </c>
      <c r="U23" s="114">
        <f t="shared" si="1"/>
        <v>1</v>
      </c>
    </row>
    <row r="24" spans="1:22" ht="18" customHeight="1">
      <c r="A24" s="222" t="s">
        <v>151</v>
      </c>
      <c r="B24" s="222" t="s">
        <v>152</v>
      </c>
      <c r="C24" s="260" t="s">
        <v>152</v>
      </c>
      <c r="D24" s="113">
        <f t="shared" ref="D24:T24" si="21">+D53/$U53</f>
        <v>6.3492063492063492E-4</v>
      </c>
      <c r="E24" s="113">
        <f t="shared" si="21"/>
        <v>2.7301587301587302E-2</v>
      </c>
      <c r="F24" s="113">
        <f t="shared" si="21"/>
        <v>0</v>
      </c>
      <c r="G24" s="113">
        <f t="shared" si="21"/>
        <v>0</v>
      </c>
      <c r="H24" s="113">
        <f t="shared" si="21"/>
        <v>0</v>
      </c>
      <c r="I24" s="113">
        <f t="shared" si="21"/>
        <v>1.2698412698412698E-3</v>
      </c>
      <c r="J24" s="113">
        <f t="shared" si="21"/>
        <v>0</v>
      </c>
      <c r="K24" s="113">
        <f t="shared" si="21"/>
        <v>0.96825396825396826</v>
      </c>
      <c r="L24" s="113">
        <f t="shared" si="21"/>
        <v>2.5396825396825397E-3</v>
      </c>
      <c r="M24" s="113">
        <f t="shared" si="21"/>
        <v>0</v>
      </c>
      <c r="N24" s="113">
        <f t="shared" si="21"/>
        <v>0</v>
      </c>
      <c r="O24" s="113">
        <f t="shared" si="21"/>
        <v>0</v>
      </c>
      <c r="P24" s="113">
        <f t="shared" si="21"/>
        <v>0</v>
      </c>
      <c r="Q24" s="113">
        <f t="shared" si="21"/>
        <v>0</v>
      </c>
      <c r="R24" s="113">
        <f t="shared" si="21"/>
        <v>0</v>
      </c>
      <c r="S24" s="113">
        <f t="shared" si="21"/>
        <v>0</v>
      </c>
      <c r="T24" s="113">
        <f t="shared" si="21"/>
        <v>0</v>
      </c>
      <c r="U24" s="114">
        <f t="shared" si="1"/>
        <v>1</v>
      </c>
    </row>
    <row r="25" spans="1:22" ht="18" customHeight="1">
      <c r="A25" s="222" t="s">
        <v>160</v>
      </c>
      <c r="B25" s="222" t="s">
        <v>161</v>
      </c>
      <c r="C25" s="259" t="s">
        <v>161</v>
      </c>
      <c r="D25" s="113">
        <f t="shared" ref="D25:T25" si="22">+D54/$U54</f>
        <v>0</v>
      </c>
      <c r="E25" s="113">
        <f t="shared" si="22"/>
        <v>4.4117647058823532E-2</v>
      </c>
      <c r="F25" s="113">
        <f t="shared" si="22"/>
        <v>0</v>
      </c>
      <c r="G25" s="113">
        <f t="shared" si="22"/>
        <v>0</v>
      </c>
      <c r="H25" s="113">
        <f t="shared" si="22"/>
        <v>0</v>
      </c>
      <c r="I25" s="113">
        <f t="shared" si="22"/>
        <v>0</v>
      </c>
      <c r="J25" s="113">
        <f t="shared" si="22"/>
        <v>0</v>
      </c>
      <c r="K25" s="113">
        <f t="shared" si="22"/>
        <v>0.91596638655462181</v>
      </c>
      <c r="L25" s="113">
        <f t="shared" si="22"/>
        <v>3.3613445378151259E-2</v>
      </c>
      <c r="M25" s="113">
        <f t="shared" si="22"/>
        <v>0</v>
      </c>
      <c r="N25" s="113">
        <f t="shared" si="22"/>
        <v>0</v>
      </c>
      <c r="O25" s="113">
        <f t="shared" si="22"/>
        <v>0</v>
      </c>
      <c r="P25" s="113">
        <f t="shared" si="22"/>
        <v>0</v>
      </c>
      <c r="Q25" s="113">
        <f t="shared" si="22"/>
        <v>6.3025210084033615E-3</v>
      </c>
      <c r="R25" s="113">
        <f t="shared" si="22"/>
        <v>0</v>
      </c>
      <c r="S25" s="113">
        <f t="shared" si="22"/>
        <v>0</v>
      </c>
      <c r="T25" s="113">
        <f t="shared" si="22"/>
        <v>0</v>
      </c>
      <c r="U25" s="114">
        <f t="shared" si="1"/>
        <v>0.99999999999999989</v>
      </c>
    </row>
    <row r="26" spans="1:22" ht="18" customHeight="1">
      <c r="A26" s="222" t="s">
        <v>153</v>
      </c>
      <c r="B26" s="222" t="s">
        <v>100</v>
      </c>
      <c r="C26" s="260" t="s">
        <v>100</v>
      </c>
      <c r="D26" s="113">
        <f t="shared" ref="D26:T26" si="23">+D55/$U55</f>
        <v>0</v>
      </c>
      <c r="E26" s="113">
        <f t="shared" si="23"/>
        <v>1.0913059294288832E-2</v>
      </c>
      <c r="F26" s="113">
        <f t="shared" si="23"/>
        <v>0</v>
      </c>
      <c r="G26" s="113">
        <f t="shared" si="23"/>
        <v>1.0913059294288831E-3</v>
      </c>
      <c r="H26" s="113">
        <f t="shared" si="23"/>
        <v>0</v>
      </c>
      <c r="I26" s="113">
        <f t="shared" si="23"/>
        <v>0</v>
      </c>
      <c r="J26" s="113">
        <f t="shared" si="23"/>
        <v>0</v>
      </c>
      <c r="K26" s="113">
        <f t="shared" si="23"/>
        <v>0</v>
      </c>
      <c r="L26" s="113">
        <f t="shared" si="23"/>
        <v>8.730447435431065E-3</v>
      </c>
      <c r="M26" s="113">
        <f t="shared" si="23"/>
        <v>4.3652237177155325E-3</v>
      </c>
      <c r="N26" s="113">
        <f t="shared" si="23"/>
        <v>0</v>
      </c>
      <c r="O26" s="113">
        <f t="shared" si="23"/>
        <v>4.0378319388868676E-2</v>
      </c>
      <c r="P26" s="113">
        <f t="shared" si="23"/>
        <v>0.83521280465623859</v>
      </c>
      <c r="Q26" s="113">
        <f t="shared" si="23"/>
        <v>3.8559476173153875E-2</v>
      </c>
      <c r="R26" s="113">
        <f t="shared" si="23"/>
        <v>6.0749363404874503E-2</v>
      </c>
      <c r="S26" s="113">
        <f t="shared" si="23"/>
        <v>0</v>
      </c>
      <c r="T26" s="113">
        <f t="shared" si="23"/>
        <v>0</v>
      </c>
      <c r="U26" s="114">
        <f t="shared" si="1"/>
        <v>1</v>
      </c>
    </row>
    <row r="27" spans="1:22" ht="18" customHeight="1">
      <c r="A27" s="222" t="s">
        <v>155</v>
      </c>
      <c r="B27" s="222" t="s">
        <v>42</v>
      </c>
      <c r="C27" s="260" t="s">
        <v>42</v>
      </c>
      <c r="D27" s="113">
        <f t="shared" ref="D27:T27" si="24">+D56/$U56</f>
        <v>0</v>
      </c>
      <c r="E27" s="113">
        <f t="shared" si="24"/>
        <v>5.5256250863378921E-4</v>
      </c>
      <c r="F27" s="113">
        <f t="shared" si="24"/>
        <v>2.2102500345351568E-4</v>
      </c>
      <c r="G27" s="113">
        <f t="shared" si="24"/>
        <v>0</v>
      </c>
      <c r="H27" s="113">
        <f t="shared" si="24"/>
        <v>2.762812543168946E-4</v>
      </c>
      <c r="I27" s="113">
        <f t="shared" si="24"/>
        <v>4.4205000690703135E-4</v>
      </c>
      <c r="J27" s="113">
        <f t="shared" si="24"/>
        <v>0</v>
      </c>
      <c r="K27" s="113">
        <f t="shared" si="24"/>
        <v>0</v>
      </c>
      <c r="L27" s="113">
        <f t="shared" si="24"/>
        <v>0</v>
      </c>
      <c r="M27" s="113">
        <f t="shared" si="24"/>
        <v>0</v>
      </c>
      <c r="N27" s="113">
        <f t="shared" si="24"/>
        <v>0</v>
      </c>
      <c r="O27" s="113">
        <f t="shared" si="24"/>
        <v>0.11916010498687664</v>
      </c>
      <c r="P27" s="113">
        <f t="shared" si="24"/>
        <v>3.4258875535294929E-3</v>
      </c>
      <c r="Q27" s="113">
        <f t="shared" si="24"/>
        <v>0.8697886448404476</v>
      </c>
      <c r="R27" s="113">
        <f t="shared" si="24"/>
        <v>6.1334438458350597E-3</v>
      </c>
      <c r="S27" s="113">
        <f t="shared" si="24"/>
        <v>0</v>
      </c>
      <c r="T27" s="113">
        <f t="shared" si="24"/>
        <v>0</v>
      </c>
      <c r="U27" s="114">
        <f t="shared" si="1"/>
        <v>1</v>
      </c>
    </row>
    <row r="28" spans="1:22" ht="18" customHeight="1">
      <c r="A28" s="222" t="s">
        <v>162</v>
      </c>
      <c r="B28" s="222" t="s">
        <v>76</v>
      </c>
      <c r="C28" s="260" t="s">
        <v>76</v>
      </c>
      <c r="D28" s="113">
        <f t="shared" ref="D28:T28" si="25">+D57/$U57</f>
        <v>0</v>
      </c>
      <c r="E28" s="113">
        <f t="shared" si="25"/>
        <v>6.3317855635289147E-4</v>
      </c>
      <c r="F28" s="113">
        <f t="shared" si="25"/>
        <v>4.690211528539937E-5</v>
      </c>
      <c r="G28" s="113">
        <f t="shared" si="25"/>
        <v>0</v>
      </c>
      <c r="H28" s="113">
        <f t="shared" si="25"/>
        <v>7.0353172928099055E-5</v>
      </c>
      <c r="I28" s="113">
        <f t="shared" si="25"/>
        <v>0</v>
      </c>
      <c r="J28" s="113">
        <f t="shared" si="25"/>
        <v>0</v>
      </c>
      <c r="K28" s="113">
        <f t="shared" si="25"/>
        <v>0</v>
      </c>
      <c r="L28" s="113">
        <f t="shared" si="25"/>
        <v>0</v>
      </c>
      <c r="M28" s="113">
        <f t="shared" si="25"/>
        <v>0</v>
      </c>
      <c r="N28" s="113">
        <f t="shared" si="25"/>
        <v>0</v>
      </c>
      <c r="O28" s="113">
        <f t="shared" si="25"/>
        <v>0.9968575582758783</v>
      </c>
      <c r="P28" s="113">
        <f t="shared" si="25"/>
        <v>2.3451057642699685E-5</v>
      </c>
      <c r="Q28" s="113">
        <f t="shared" si="25"/>
        <v>0</v>
      </c>
      <c r="R28" s="113">
        <f t="shared" si="25"/>
        <v>2.1105951878429719E-3</v>
      </c>
      <c r="S28" s="113">
        <f t="shared" si="25"/>
        <v>0</v>
      </c>
      <c r="T28" s="113">
        <f t="shared" si="25"/>
        <v>2.5796163406969656E-4</v>
      </c>
      <c r="U28" s="114">
        <f t="shared" si="1"/>
        <v>1</v>
      </c>
    </row>
    <row r="29" spans="1:22" ht="18" customHeight="1">
      <c r="A29" s="222" t="s">
        <v>156</v>
      </c>
      <c r="B29" s="222" t="s">
        <v>77</v>
      </c>
      <c r="C29" s="260" t="s">
        <v>77</v>
      </c>
      <c r="D29" s="113">
        <f t="shared" ref="D29:T29" si="26">+D58/$U58</f>
        <v>0</v>
      </c>
      <c r="E29" s="113">
        <f t="shared" si="26"/>
        <v>0</v>
      </c>
      <c r="F29" s="113">
        <f t="shared" si="26"/>
        <v>0</v>
      </c>
      <c r="G29" s="113">
        <f t="shared" si="26"/>
        <v>0</v>
      </c>
      <c r="H29" s="113">
        <f t="shared" si="26"/>
        <v>0</v>
      </c>
      <c r="I29" s="113">
        <f t="shared" si="26"/>
        <v>0</v>
      </c>
      <c r="J29" s="113">
        <f t="shared" si="26"/>
        <v>0</v>
      </c>
      <c r="K29" s="113">
        <f t="shared" si="26"/>
        <v>0</v>
      </c>
      <c r="L29" s="113">
        <f t="shared" si="26"/>
        <v>0</v>
      </c>
      <c r="M29" s="113">
        <f t="shared" si="26"/>
        <v>0</v>
      </c>
      <c r="N29" s="113">
        <f t="shared" si="26"/>
        <v>0.8679625086494307</v>
      </c>
      <c r="O29" s="113">
        <f t="shared" si="26"/>
        <v>0.13191168144933008</v>
      </c>
      <c r="P29" s="113">
        <f t="shared" si="26"/>
        <v>0</v>
      </c>
      <c r="Q29" s="113">
        <f t="shared" si="26"/>
        <v>0</v>
      </c>
      <c r="R29" s="113">
        <f t="shared" si="26"/>
        <v>1.2580990123922753E-4</v>
      </c>
      <c r="S29" s="113">
        <f t="shared" si="26"/>
        <v>0</v>
      </c>
      <c r="T29" s="113">
        <f t="shared" si="26"/>
        <v>0</v>
      </c>
      <c r="U29" s="114">
        <f t="shared" si="1"/>
        <v>1</v>
      </c>
    </row>
    <row r="30" spans="1:22" ht="18" customHeight="1">
      <c r="A30" s="221" t="s">
        <v>163</v>
      </c>
      <c r="B30" s="221" t="s">
        <v>164</v>
      </c>
      <c r="C30" s="260" t="s">
        <v>164</v>
      </c>
      <c r="D30" s="113">
        <f t="shared" ref="D30:T30" si="27">+D59/$U59</f>
        <v>0</v>
      </c>
      <c r="E30" s="113">
        <f t="shared" si="27"/>
        <v>0</v>
      </c>
      <c r="F30" s="113">
        <f t="shared" si="27"/>
        <v>0</v>
      </c>
      <c r="G30" s="113">
        <f t="shared" si="27"/>
        <v>0</v>
      </c>
      <c r="H30" s="113">
        <f t="shared" si="27"/>
        <v>0</v>
      </c>
      <c r="I30" s="113">
        <f t="shared" si="27"/>
        <v>0</v>
      </c>
      <c r="J30" s="113">
        <f t="shared" si="27"/>
        <v>0</v>
      </c>
      <c r="K30" s="113">
        <f t="shared" si="27"/>
        <v>0</v>
      </c>
      <c r="L30" s="113">
        <f t="shared" si="27"/>
        <v>0</v>
      </c>
      <c r="M30" s="113">
        <f t="shared" si="27"/>
        <v>0</v>
      </c>
      <c r="N30" s="113">
        <f t="shared" si="27"/>
        <v>0.96137826580840591</v>
      </c>
      <c r="O30" s="113">
        <f t="shared" si="27"/>
        <v>2.5747822794396063E-2</v>
      </c>
      <c r="P30" s="113">
        <f t="shared" si="27"/>
        <v>0</v>
      </c>
      <c r="Q30" s="113">
        <f t="shared" si="27"/>
        <v>0</v>
      </c>
      <c r="R30" s="113">
        <f t="shared" si="27"/>
        <v>1.1359333585762969E-2</v>
      </c>
      <c r="S30" s="113">
        <f t="shared" si="27"/>
        <v>0</v>
      </c>
      <c r="T30" s="113">
        <f t="shared" si="27"/>
        <v>1.5145778114350624E-3</v>
      </c>
      <c r="U30" s="114">
        <f t="shared" si="1"/>
        <v>1</v>
      </c>
    </row>
    <row r="31" spans="1:22" ht="18" customHeight="1">
      <c r="C31" s="264"/>
      <c r="E31" s="32"/>
      <c r="F31" s="32"/>
      <c r="G31" s="32"/>
      <c r="H31" s="32"/>
      <c r="I31" s="32"/>
      <c r="J31" s="32"/>
      <c r="K31" s="32"/>
      <c r="L31" s="32"/>
      <c r="M31" s="32"/>
      <c r="N31" s="32"/>
      <c r="O31" s="32"/>
    </row>
    <row r="32" spans="1:22" ht="42.75" customHeight="1">
      <c r="C32" s="257" t="s">
        <v>78</v>
      </c>
      <c r="D32" s="112" t="s">
        <v>51</v>
      </c>
      <c r="E32" s="112" t="s">
        <v>52</v>
      </c>
      <c r="F32" s="112" t="s">
        <v>53</v>
      </c>
      <c r="G32" s="112" t="s">
        <v>54</v>
      </c>
      <c r="H32" s="112" t="s">
        <v>55</v>
      </c>
      <c r="I32" s="112" t="s">
        <v>56</v>
      </c>
      <c r="J32" s="112" t="s">
        <v>58</v>
      </c>
      <c r="K32" s="112" t="s">
        <v>59</v>
      </c>
      <c r="L32" s="112" t="s">
        <v>60</v>
      </c>
      <c r="M32" s="112" t="s">
        <v>61</v>
      </c>
      <c r="N32" s="112" t="s">
        <v>63</v>
      </c>
      <c r="O32" s="112" t="s">
        <v>64</v>
      </c>
      <c r="P32" s="112" t="s">
        <v>65</v>
      </c>
      <c r="Q32" s="112" t="s">
        <v>66</v>
      </c>
      <c r="R32" s="112" t="s">
        <v>67</v>
      </c>
      <c r="S32" s="112" t="s">
        <v>62</v>
      </c>
      <c r="T32" s="112" t="s">
        <v>57</v>
      </c>
      <c r="U32" s="118" t="s">
        <v>17</v>
      </c>
    </row>
    <row r="33" spans="1:21" ht="18" customHeight="1">
      <c r="A33" s="220" t="s">
        <v>128</v>
      </c>
      <c r="B33" s="220" t="s">
        <v>21</v>
      </c>
      <c r="C33" s="257" t="s">
        <v>21</v>
      </c>
      <c r="D33" s="182">
        <v>18534</v>
      </c>
      <c r="E33" s="182">
        <v>795566</v>
      </c>
      <c r="F33" s="182">
        <v>73975</v>
      </c>
      <c r="G33" s="182">
        <v>14727</v>
      </c>
      <c r="H33" s="182">
        <v>94001.5</v>
      </c>
      <c r="I33" s="182">
        <v>65658</v>
      </c>
      <c r="J33" s="182">
        <v>11783</v>
      </c>
      <c r="K33" s="182">
        <v>49</v>
      </c>
      <c r="L33" s="182">
        <v>92</v>
      </c>
      <c r="M33" s="182">
        <v>3357</v>
      </c>
      <c r="N33" s="182">
        <v>98</v>
      </c>
      <c r="O33" s="182">
        <v>30840.5</v>
      </c>
      <c r="P33" s="182">
        <v>9395</v>
      </c>
      <c r="Q33" s="182">
        <v>407</v>
      </c>
      <c r="R33" s="182">
        <v>12180</v>
      </c>
      <c r="S33" s="182">
        <v>14918</v>
      </c>
      <c r="T33" s="182">
        <v>1686</v>
      </c>
      <c r="U33" s="181">
        <f t="shared" ref="U33:U59" si="28">SUM(D33:T33)</f>
        <v>1147267</v>
      </c>
    </row>
    <row r="34" spans="1:21" ht="18" customHeight="1">
      <c r="A34" s="222" t="s">
        <v>129</v>
      </c>
      <c r="B34" s="222" t="s">
        <v>35</v>
      </c>
      <c r="C34" s="257" t="s">
        <v>71</v>
      </c>
      <c r="D34" s="182">
        <v>854</v>
      </c>
      <c r="E34" s="182">
        <v>66154</v>
      </c>
      <c r="F34" s="182">
        <v>1953</v>
      </c>
      <c r="G34" s="182">
        <v>285</v>
      </c>
      <c r="H34" s="182">
        <v>4020</v>
      </c>
      <c r="I34" s="182">
        <v>486</v>
      </c>
      <c r="J34" s="182">
        <v>1288</v>
      </c>
      <c r="K34" s="182">
        <v>84</v>
      </c>
      <c r="L34" s="182">
        <v>736</v>
      </c>
      <c r="M34" s="182">
        <v>85</v>
      </c>
      <c r="N34" s="182">
        <v>3</v>
      </c>
      <c r="O34" s="182">
        <v>12153</v>
      </c>
      <c r="P34" s="182">
        <v>65</v>
      </c>
      <c r="Q34" s="182">
        <v>1465</v>
      </c>
      <c r="R34" s="182">
        <v>799</v>
      </c>
      <c r="S34" s="183"/>
      <c r="T34" s="182">
        <v>6269.5</v>
      </c>
      <c r="U34" s="181">
        <f t="shared" si="28"/>
        <v>96699.5</v>
      </c>
    </row>
    <row r="35" spans="1:21" ht="18" customHeight="1">
      <c r="A35" s="222" t="s">
        <v>140</v>
      </c>
      <c r="B35" s="222" t="s">
        <v>36</v>
      </c>
      <c r="C35" s="257" t="s">
        <v>72</v>
      </c>
      <c r="D35" s="183"/>
      <c r="E35" s="182">
        <v>213</v>
      </c>
      <c r="F35" s="183"/>
      <c r="G35" s="182">
        <v>18</v>
      </c>
      <c r="H35" s="183">
        <v>11</v>
      </c>
      <c r="I35" s="182"/>
      <c r="J35" s="182"/>
      <c r="K35" s="183">
        <v>6</v>
      </c>
      <c r="L35" s="182">
        <v>31</v>
      </c>
      <c r="M35" s="182">
        <v>704</v>
      </c>
      <c r="N35" s="182"/>
      <c r="O35" s="182">
        <v>3822</v>
      </c>
      <c r="P35" s="182">
        <v>12</v>
      </c>
      <c r="Q35" s="182">
        <v>9</v>
      </c>
      <c r="R35" s="182">
        <v>65</v>
      </c>
      <c r="S35" s="183">
        <v>2</v>
      </c>
      <c r="T35" s="182"/>
      <c r="U35" s="181">
        <f t="shared" si="28"/>
        <v>4893</v>
      </c>
    </row>
    <row r="36" spans="1:21" ht="18" customHeight="1">
      <c r="A36" s="222" t="s">
        <v>130</v>
      </c>
      <c r="B36" s="222" t="s">
        <v>37</v>
      </c>
      <c r="C36" s="257" t="s">
        <v>73</v>
      </c>
      <c r="D36" s="182">
        <v>144</v>
      </c>
      <c r="E36" s="182">
        <v>1595</v>
      </c>
      <c r="F36" s="182">
        <v>319</v>
      </c>
      <c r="G36" s="182">
        <v>114</v>
      </c>
      <c r="H36" s="182">
        <v>27054.5</v>
      </c>
      <c r="I36" s="182">
        <v>249</v>
      </c>
      <c r="J36" s="182">
        <v>27</v>
      </c>
      <c r="K36" s="182">
        <v>130</v>
      </c>
      <c r="L36" s="182">
        <v>36</v>
      </c>
      <c r="M36" s="182">
        <v>27</v>
      </c>
      <c r="N36" s="182"/>
      <c r="O36" s="182">
        <v>412.5</v>
      </c>
      <c r="P36" s="182">
        <v>1163</v>
      </c>
      <c r="Q36" s="182">
        <v>15</v>
      </c>
      <c r="R36" s="182">
        <v>402</v>
      </c>
      <c r="S36" s="183">
        <v>20</v>
      </c>
      <c r="T36" s="182">
        <v>5.5</v>
      </c>
      <c r="U36" s="181">
        <f t="shared" si="28"/>
        <v>31713.5</v>
      </c>
    </row>
    <row r="37" spans="1:21" ht="18" customHeight="1">
      <c r="A37" s="222" t="s">
        <v>131</v>
      </c>
      <c r="B37" s="222" t="s">
        <v>141</v>
      </c>
      <c r="C37" s="257" t="s">
        <v>141</v>
      </c>
      <c r="D37" s="182">
        <v>44</v>
      </c>
      <c r="E37" s="182">
        <v>658</v>
      </c>
      <c r="F37" s="182">
        <v>50</v>
      </c>
      <c r="G37" s="182">
        <v>26</v>
      </c>
      <c r="H37" s="182">
        <v>138</v>
      </c>
      <c r="I37" s="182">
        <v>16147</v>
      </c>
      <c r="J37" s="183">
        <v>3</v>
      </c>
      <c r="K37" s="182">
        <v>14</v>
      </c>
      <c r="L37" s="182">
        <v>131</v>
      </c>
      <c r="M37" s="183"/>
      <c r="N37" s="183"/>
      <c r="O37" s="183">
        <v>57</v>
      </c>
      <c r="P37" s="183"/>
      <c r="Q37" s="183">
        <v>3</v>
      </c>
      <c r="R37" s="182">
        <v>40</v>
      </c>
      <c r="S37" s="183"/>
      <c r="T37" s="183">
        <v>41</v>
      </c>
      <c r="U37" s="181">
        <f t="shared" si="28"/>
        <v>17352</v>
      </c>
    </row>
    <row r="38" spans="1:21" ht="18" customHeight="1">
      <c r="A38" s="222" t="s">
        <v>132</v>
      </c>
      <c r="B38" s="222" t="s">
        <v>142</v>
      </c>
      <c r="C38" s="257" t="s">
        <v>142</v>
      </c>
      <c r="D38" s="182"/>
      <c r="E38" s="182">
        <v>314</v>
      </c>
      <c r="F38" s="182">
        <v>16</v>
      </c>
      <c r="G38" s="182">
        <v>11509</v>
      </c>
      <c r="H38" s="182"/>
      <c r="I38" s="182">
        <v>191</v>
      </c>
      <c r="J38" s="182"/>
      <c r="K38" s="182"/>
      <c r="L38" s="182">
        <v>55</v>
      </c>
      <c r="M38" s="182">
        <v>1</v>
      </c>
      <c r="N38" s="183"/>
      <c r="O38" s="182">
        <v>3</v>
      </c>
      <c r="P38" s="182">
        <v>3</v>
      </c>
      <c r="Q38" s="182"/>
      <c r="R38" s="182">
        <v>13</v>
      </c>
      <c r="S38" s="183"/>
      <c r="T38" s="182">
        <v>20</v>
      </c>
      <c r="U38" s="181">
        <f t="shared" si="28"/>
        <v>12125</v>
      </c>
    </row>
    <row r="39" spans="1:21" ht="18" customHeight="1">
      <c r="A39" s="222" t="s">
        <v>133</v>
      </c>
      <c r="B39" s="222" t="s">
        <v>143</v>
      </c>
      <c r="C39" s="257" t="s">
        <v>143</v>
      </c>
      <c r="D39" s="183">
        <v>2</v>
      </c>
      <c r="E39" s="182">
        <v>554</v>
      </c>
      <c r="F39" s="183">
        <v>21</v>
      </c>
      <c r="G39" s="182">
        <v>6371</v>
      </c>
      <c r="H39" s="182">
        <v>4</v>
      </c>
      <c r="I39" s="183">
        <v>2</v>
      </c>
      <c r="J39" s="182"/>
      <c r="K39" s="183">
        <v>4</v>
      </c>
      <c r="L39" s="182">
        <v>73</v>
      </c>
      <c r="M39" s="183">
        <v>41</v>
      </c>
      <c r="N39" s="183"/>
      <c r="O39" s="182">
        <v>16</v>
      </c>
      <c r="P39" s="183">
        <v>12</v>
      </c>
      <c r="Q39" s="183"/>
      <c r="R39" s="182">
        <v>25</v>
      </c>
      <c r="S39" s="183">
        <v>6</v>
      </c>
      <c r="T39" s="182">
        <v>4</v>
      </c>
      <c r="U39" s="181">
        <f t="shared" si="28"/>
        <v>7135</v>
      </c>
    </row>
    <row r="40" spans="1:21" ht="18" customHeight="1">
      <c r="A40" s="222" t="s">
        <v>134</v>
      </c>
      <c r="B40" s="222" t="s">
        <v>40</v>
      </c>
      <c r="C40" s="257" t="s">
        <v>40</v>
      </c>
      <c r="D40" s="182"/>
      <c r="E40" s="182">
        <v>46</v>
      </c>
      <c r="F40" s="182"/>
      <c r="G40" s="182"/>
      <c r="H40" s="182"/>
      <c r="I40" s="182"/>
      <c r="J40" s="183">
        <v>133</v>
      </c>
      <c r="K40" s="183"/>
      <c r="L40" s="182">
        <v>9</v>
      </c>
      <c r="M40" s="182"/>
      <c r="N40" s="183"/>
      <c r="O40" s="182"/>
      <c r="P40" s="183"/>
      <c r="Q40" s="183"/>
      <c r="R40" s="182">
        <v>4</v>
      </c>
      <c r="S40" s="183"/>
      <c r="T40" s="183"/>
      <c r="U40" s="181">
        <f t="shared" si="28"/>
        <v>192</v>
      </c>
    </row>
    <row r="41" spans="1:21" ht="18" customHeight="1">
      <c r="A41" s="222" t="s">
        <v>135</v>
      </c>
      <c r="B41" s="222" t="s">
        <v>70</v>
      </c>
      <c r="C41" s="257" t="s">
        <v>70</v>
      </c>
      <c r="D41" s="182"/>
      <c r="E41" s="182">
        <v>105</v>
      </c>
      <c r="F41" s="183"/>
      <c r="G41" s="182">
        <v>24</v>
      </c>
      <c r="H41" s="183"/>
      <c r="I41" s="182">
        <v>1</v>
      </c>
      <c r="J41" s="182"/>
      <c r="K41" s="183">
        <v>2</v>
      </c>
      <c r="L41" s="182">
        <v>85</v>
      </c>
      <c r="M41" s="182">
        <v>9351</v>
      </c>
      <c r="N41" s="183"/>
      <c r="O41" s="182">
        <v>143</v>
      </c>
      <c r="P41" s="182">
        <v>15</v>
      </c>
      <c r="Q41" s="182"/>
      <c r="R41" s="182">
        <v>130</v>
      </c>
      <c r="S41" s="183"/>
      <c r="T41" s="183"/>
      <c r="U41" s="181">
        <f t="shared" si="28"/>
        <v>9856</v>
      </c>
    </row>
    <row r="42" spans="1:21" ht="18" customHeight="1">
      <c r="A42" s="222" t="s">
        <v>136</v>
      </c>
      <c r="B42" s="222" t="s">
        <v>144</v>
      </c>
      <c r="C42" s="257" t="s">
        <v>144</v>
      </c>
      <c r="D42" s="183">
        <v>6</v>
      </c>
      <c r="E42" s="182">
        <v>528</v>
      </c>
      <c r="F42" s="183">
        <v>13</v>
      </c>
      <c r="G42" s="183">
        <v>3</v>
      </c>
      <c r="H42" s="182">
        <v>45</v>
      </c>
      <c r="I42" s="182">
        <v>3</v>
      </c>
      <c r="J42" s="183">
        <v>8</v>
      </c>
      <c r="K42" s="183"/>
      <c r="L42" s="183">
        <v>8</v>
      </c>
      <c r="M42" s="183">
        <v>1</v>
      </c>
      <c r="N42" s="183">
        <v>3</v>
      </c>
      <c r="O42" s="182">
        <v>264.5</v>
      </c>
      <c r="P42" s="182">
        <v>17</v>
      </c>
      <c r="Q42" s="182">
        <v>61</v>
      </c>
      <c r="R42" s="182">
        <v>9302</v>
      </c>
      <c r="S42" s="183">
        <v>4</v>
      </c>
      <c r="T42" s="183">
        <v>44.5</v>
      </c>
      <c r="U42" s="181">
        <f t="shared" si="28"/>
        <v>10311</v>
      </c>
    </row>
    <row r="43" spans="1:21" ht="18" customHeight="1">
      <c r="A43" s="222" t="s">
        <v>137</v>
      </c>
      <c r="B43" s="222" t="s">
        <v>49</v>
      </c>
      <c r="C43" s="257" t="s">
        <v>49</v>
      </c>
      <c r="D43" s="182">
        <v>39</v>
      </c>
      <c r="E43" s="182">
        <v>155</v>
      </c>
      <c r="F43" s="182"/>
      <c r="G43" s="182"/>
      <c r="H43" s="183">
        <v>19</v>
      </c>
      <c r="I43" s="183">
        <v>6</v>
      </c>
      <c r="J43" s="182">
        <v>2</v>
      </c>
      <c r="K43" s="182">
        <v>9</v>
      </c>
      <c r="L43" s="182">
        <v>92</v>
      </c>
      <c r="M43" s="183">
        <v>68</v>
      </c>
      <c r="N43" s="183">
        <v>32</v>
      </c>
      <c r="O43" s="182">
        <v>867.5</v>
      </c>
      <c r="P43" s="183">
        <v>27</v>
      </c>
      <c r="Q43" s="183">
        <v>11</v>
      </c>
      <c r="R43" s="182">
        <v>4790</v>
      </c>
      <c r="S43" s="183">
        <v>2</v>
      </c>
      <c r="T43" s="183">
        <v>2</v>
      </c>
      <c r="U43" s="181">
        <f t="shared" si="28"/>
        <v>6121.5</v>
      </c>
    </row>
    <row r="44" spans="1:21" ht="18" customHeight="1">
      <c r="A44" s="222" t="s">
        <v>138</v>
      </c>
      <c r="B44" s="222" t="s">
        <v>157</v>
      </c>
      <c r="C44" s="257" t="s">
        <v>157</v>
      </c>
      <c r="D44" s="183">
        <v>4033</v>
      </c>
      <c r="E44" s="182">
        <v>55</v>
      </c>
      <c r="F44" s="182">
        <v>18</v>
      </c>
      <c r="G44" s="183"/>
      <c r="H44" s="183">
        <v>36</v>
      </c>
      <c r="I44" s="183">
        <v>174</v>
      </c>
      <c r="J44" s="183"/>
      <c r="K44" s="183"/>
      <c r="L44" s="183">
        <v>88</v>
      </c>
      <c r="M44" s="183">
        <v>3</v>
      </c>
      <c r="N44" s="182"/>
      <c r="O44" s="182">
        <v>6</v>
      </c>
      <c r="P44" s="183"/>
      <c r="Q44" s="183"/>
      <c r="R44" s="182">
        <v>6</v>
      </c>
      <c r="S44" s="183">
        <v>5</v>
      </c>
      <c r="T44" s="183"/>
      <c r="U44" s="181">
        <f t="shared" si="28"/>
        <v>4424</v>
      </c>
    </row>
    <row r="45" spans="1:21" ht="18" customHeight="1">
      <c r="A45" s="222" t="s">
        <v>145</v>
      </c>
      <c r="B45" s="222" t="s">
        <v>146</v>
      </c>
      <c r="C45" s="257" t="s">
        <v>146</v>
      </c>
      <c r="D45" s="183">
        <v>5421</v>
      </c>
      <c r="E45" s="183">
        <v>98</v>
      </c>
      <c r="F45" s="183">
        <v>134</v>
      </c>
      <c r="G45" s="183">
        <v>4</v>
      </c>
      <c r="H45" s="183">
        <v>18</v>
      </c>
      <c r="I45" s="183">
        <v>22</v>
      </c>
      <c r="J45" s="183"/>
      <c r="K45" s="183"/>
      <c r="L45" s="183">
        <v>40</v>
      </c>
      <c r="M45" s="183"/>
      <c r="N45" s="182"/>
      <c r="O45" s="182"/>
      <c r="P45" s="183"/>
      <c r="Q45" s="183"/>
      <c r="R45" s="182"/>
      <c r="S45" s="183">
        <v>4</v>
      </c>
      <c r="T45" s="183"/>
      <c r="U45" s="181">
        <f t="shared" si="28"/>
        <v>5741</v>
      </c>
    </row>
    <row r="46" spans="1:21" ht="18" customHeight="1">
      <c r="A46" s="222" t="s">
        <v>147</v>
      </c>
      <c r="B46" s="222" t="s">
        <v>165</v>
      </c>
      <c r="C46" s="257" t="s">
        <v>165</v>
      </c>
      <c r="D46" s="182"/>
      <c r="E46" s="182">
        <v>3</v>
      </c>
      <c r="F46" s="182"/>
      <c r="G46" s="182"/>
      <c r="H46" s="183">
        <v>275</v>
      </c>
      <c r="I46" s="182"/>
      <c r="J46" s="183"/>
      <c r="K46" s="182"/>
      <c r="L46" s="182"/>
      <c r="M46" s="182"/>
      <c r="N46" s="182"/>
      <c r="O46" s="182">
        <v>37</v>
      </c>
      <c r="P46" s="182"/>
      <c r="Q46" s="182"/>
      <c r="R46" s="182">
        <v>3</v>
      </c>
      <c r="S46" s="183"/>
      <c r="T46" s="183"/>
      <c r="U46" s="181">
        <f t="shared" si="28"/>
        <v>318</v>
      </c>
    </row>
    <row r="47" spans="1:21" ht="18" customHeight="1">
      <c r="A47" s="222" t="s">
        <v>174</v>
      </c>
      <c r="B47" s="222" t="s">
        <v>167</v>
      </c>
      <c r="C47" s="258" t="s">
        <v>172</v>
      </c>
      <c r="D47" s="183"/>
      <c r="E47" s="182"/>
      <c r="F47" s="183"/>
      <c r="G47" s="182"/>
      <c r="H47" s="183">
        <v>180</v>
      </c>
      <c r="I47" s="182"/>
      <c r="J47" s="183"/>
      <c r="K47" s="182"/>
      <c r="L47" s="182"/>
      <c r="M47" s="182"/>
      <c r="N47" s="183"/>
      <c r="O47" s="182"/>
      <c r="P47" s="182"/>
      <c r="Q47" s="183"/>
      <c r="R47" s="182"/>
      <c r="S47" s="183"/>
      <c r="T47" s="182"/>
      <c r="U47" s="181">
        <f t="shared" si="28"/>
        <v>180</v>
      </c>
    </row>
    <row r="48" spans="1:21" ht="18" customHeight="1">
      <c r="A48" s="222" t="s">
        <v>158</v>
      </c>
      <c r="B48" s="222" t="s">
        <v>166</v>
      </c>
      <c r="C48" s="259" t="s">
        <v>166</v>
      </c>
      <c r="D48" s="183"/>
      <c r="E48" s="182">
        <v>6</v>
      </c>
      <c r="F48" s="182"/>
      <c r="G48" s="183"/>
      <c r="H48" s="183">
        <v>243</v>
      </c>
      <c r="I48" s="183"/>
      <c r="J48" s="183"/>
      <c r="K48" s="182"/>
      <c r="L48" s="182"/>
      <c r="M48" s="183"/>
      <c r="N48" s="183"/>
      <c r="O48" s="183">
        <v>3</v>
      </c>
      <c r="P48" s="183"/>
      <c r="Q48" s="183"/>
      <c r="R48" s="182"/>
      <c r="S48" s="183"/>
      <c r="T48" s="183"/>
      <c r="U48" s="181">
        <f t="shared" si="28"/>
        <v>252</v>
      </c>
    </row>
    <row r="49" spans="1:21" ht="18" customHeight="1">
      <c r="A49" s="222" t="s">
        <v>148</v>
      </c>
      <c r="B49" s="222" t="s">
        <v>39</v>
      </c>
      <c r="C49" s="260" t="s">
        <v>39</v>
      </c>
      <c r="D49" s="182">
        <v>103</v>
      </c>
      <c r="E49" s="182">
        <v>654</v>
      </c>
      <c r="F49" s="182">
        <v>245</v>
      </c>
      <c r="G49" s="182">
        <v>54</v>
      </c>
      <c r="H49" s="182">
        <v>12</v>
      </c>
      <c r="I49" s="182">
        <v>431</v>
      </c>
      <c r="J49" s="182">
        <v>15</v>
      </c>
      <c r="K49" s="182">
        <v>48</v>
      </c>
      <c r="L49" s="182">
        <v>10937</v>
      </c>
      <c r="M49" s="182">
        <v>36</v>
      </c>
      <c r="N49" s="183"/>
      <c r="O49" s="182">
        <v>89</v>
      </c>
      <c r="P49" s="183"/>
      <c r="Q49" s="182"/>
      <c r="R49" s="182">
        <v>174</v>
      </c>
      <c r="S49" s="183"/>
      <c r="T49" s="182"/>
      <c r="U49" s="181">
        <f t="shared" si="28"/>
        <v>12798</v>
      </c>
    </row>
    <row r="50" spans="1:21" ht="18" customHeight="1">
      <c r="A50" s="264">
        <v>35</v>
      </c>
      <c r="B50" s="222" t="s">
        <v>168</v>
      </c>
      <c r="C50" s="260" t="s">
        <v>168</v>
      </c>
      <c r="D50" s="182"/>
      <c r="E50" s="182">
        <v>30</v>
      </c>
      <c r="F50" s="182"/>
      <c r="G50" s="182"/>
      <c r="H50" s="183"/>
      <c r="I50" s="182">
        <v>30</v>
      </c>
      <c r="J50" s="182"/>
      <c r="K50" s="182"/>
      <c r="L50" s="182">
        <v>615</v>
      </c>
      <c r="M50" s="182"/>
      <c r="N50" s="183"/>
      <c r="O50" s="182"/>
      <c r="P50" s="182"/>
      <c r="Q50" s="183"/>
      <c r="R50" s="183"/>
      <c r="S50" s="183"/>
      <c r="T50" s="182"/>
      <c r="U50" s="181">
        <f t="shared" si="28"/>
        <v>675</v>
      </c>
    </row>
    <row r="51" spans="1:21" ht="18" customHeight="1">
      <c r="A51" s="222" t="s">
        <v>149</v>
      </c>
      <c r="B51" s="222" t="s">
        <v>38</v>
      </c>
      <c r="C51" s="260" t="s">
        <v>38</v>
      </c>
      <c r="D51" s="183"/>
      <c r="E51" s="182">
        <v>12</v>
      </c>
      <c r="F51" s="183">
        <v>9561</v>
      </c>
      <c r="G51" s="182">
        <v>3</v>
      </c>
      <c r="H51" s="183">
        <v>4</v>
      </c>
      <c r="I51" s="183">
        <v>25</v>
      </c>
      <c r="J51" s="183"/>
      <c r="K51" s="183">
        <v>10</v>
      </c>
      <c r="L51" s="182">
        <v>85</v>
      </c>
      <c r="M51" s="183"/>
      <c r="N51" s="183"/>
      <c r="O51" s="183">
        <v>6</v>
      </c>
      <c r="P51" s="183">
        <v>3</v>
      </c>
      <c r="Q51" s="183"/>
      <c r="R51" s="183">
        <v>29</v>
      </c>
      <c r="S51" s="183"/>
      <c r="T51" s="183"/>
      <c r="U51" s="181">
        <f t="shared" si="28"/>
        <v>9738</v>
      </c>
    </row>
    <row r="52" spans="1:21" ht="18" customHeight="1">
      <c r="A52" s="222" t="s">
        <v>150</v>
      </c>
      <c r="B52" s="222" t="s">
        <v>31</v>
      </c>
      <c r="C52" s="260" t="s">
        <v>31</v>
      </c>
      <c r="D52" s="183">
        <v>3</v>
      </c>
      <c r="E52" s="183">
        <v>254</v>
      </c>
      <c r="F52" s="183">
        <v>149</v>
      </c>
      <c r="G52" s="183">
        <v>12</v>
      </c>
      <c r="H52" s="182"/>
      <c r="I52" s="183">
        <v>4</v>
      </c>
      <c r="J52" s="183">
        <v>139</v>
      </c>
      <c r="K52" s="183">
        <v>23598</v>
      </c>
      <c r="L52" s="183">
        <v>20</v>
      </c>
      <c r="M52" s="183"/>
      <c r="N52" s="183"/>
      <c r="O52" s="182">
        <v>11</v>
      </c>
      <c r="P52" s="183"/>
      <c r="Q52" s="183"/>
      <c r="R52" s="183">
        <v>64</v>
      </c>
      <c r="S52" s="183"/>
      <c r="T52" s="183"/>
      <c r="U52" s="181">
        <f t="shared" si="28"/>
        <v>24254</v>
      </c>
    </row>
    <row r="53" spans="1:21" ht="18" customHeight="1">
      <c r="A53" s="222" t="s">
        <v>151</v>
      </c>
      <c r="B53" s="222" t="s">
        <v>152</v>
      </c>
      <c r="C53" s="260" t="s">
        <v>152</v>
      </c>
      <c r="D53" s="183">
        <v>1</v>
      </c>
      <c r="E53" s="182">
        <v>43</v>
      </c>
      <c r="F53" s="183"/>
      <c r="G53" s="183"/>
      <c r="H53" s="182"/>
      <c r="I53" s="183">
        <v>2</v>
      </c>
      <c r="J53" s="183"/>
      <c r="K53" s="183">
        <v>1525</v>
      </c>
      <c r="L53" s="183">
        <v>4</v>
      </c>
      <c r="M53" s="183"/>
      <c r="N53" s="183"/>
      <c r="O53" s="182"/>
      <c r="P53" s="183"/>
      <c r="Q53" s="183"/>
      <c r="R53" s="183"/>
      <c r="S53" s="183"/>
      <c r="T53" s="183"/>
      <c r="U53" s="181">
        <f t="shared" si="28"/>
        <v>1575</v>
      </c>
    </row>
    <row r="54" spans="1:21" ht="18" customHeight="1">
      <c r="A54" s="222" t="s">
        <v>160</v>
      </c>
      <c r="B54" s="222" t="s">
        <v>161</v>
      </c>
      <c r="C54" s="259" t="s">
        <v>161</v>
      </c>
      <c r="D54" s="183"/>
      <c r="E54" s="182">
        <v>21</v>
      </c>
      <c r="F54" s="182"/>
      <c r="G54" s="183"/>
      <c r="H54" s="183"/>
      <c r="I54" s="183"/>
      <c r="J54" s="183"/>
      <c r="K54" s="182">
        <v>436</v>
      </c>
      <c r="L54" s="182">
        <v>16</v>
      </c>
      <c r="M54" s="183"/>
      <c r="N54" s="183"/>
      <c r="O54" s="183"/>
      <c r="P54" s="183"/>
      <c r="Q54" s="183">
        <v>3</v>
      </c>
      <c r="R54" s="182"/>
      <c r="S54" s="183"/>
      <c r="T54" s="183"/>
      <c r="U54" s="181">
        <f t="shared" si="28"/>
        <v>476</v>
      </c>
    </row>
    <row r="55" spans="1:21" ht="18" customHeight="1">
      <c r="A55" s="222" t="s">
        <v>153</v>
      </c>
      <c r="B55" s="222" t="s">
        <v>100</v>
      </c>
      <c r="C55" s="260" t="s">
        <v>100</v>
      </c>
      <c r="D55" s="182"/>
      <c r="E55" s="182">
        <v>30</v>
      </c>
      <c r="F55" s="182"/>
      <c r="G55" s="182">
        <v>3</v>
      </c>
      <c r="H55" s="182"/>
      <c r="I55" s="182"/>
      <c r="J55" s="182"/>
      <c r="K55" s="182"/>
      <c r="L55" s="182">
        <v>24</v>
      </c>
      <c r="M55" s="182">
        <v>12</v>
      </c>
      <c r="N55" s="183"/>
      <c r="O55" s="182">
        <v>111</v>
      </c>
      <c r="P55" s="183">
        <v>2296</v>
      </c>
      <c r="Q55" s="182">
        <v>106</v>
      </c>
      <c r="R55" s="182">
        <v>167</v>
      </c>
      <c r="S55" s="183"/>
      <c r="T55" s="182"/>
      <c r="U55" s="181">
        <f t="shared" si="28"/>
        <v>2749</v>
      </c>
    </row>
    <row r="56" spans="1:21" ht="18" customHeight="1">
      <c r="A56" s="222" t="s">
        <v>155</v>
      </c>
      <c r="B56" s="222" t="s">
        <v>42</v>
      </c>
      <c r="C56" s="260" t="s">
        <v>42</v>
      </c>
      <c r="D56" s="182"/>
      <c r="E56" s="182">
        <v>10</v>
      </c>
      <c r="F56" s="182">
        <v>4</v>
      </c>
      <c r="G56" s="182"/>
      <c r="H56" s="183">
        <v>5</v>
      </c>
      <c r="I56" s="182">
        <v>8</v>
      </c>
      <c r="J56" s="182"/>
      <c r="K56" s="182"/>
      <c r="L56" s="182"/>
      <c r="M56" s="182"/>
      <c r="N56" s="183"/>
      <c r="O56" s="182">
        <v>2156.5</v>
      </c>
      <c r="P56" s="182">
        <v>62</v>
      </c>
      <c r="Q56" s="183">
        <v>15741</v>
      </c>
      <c r="R56" s="183">
        <v>111</v>
      </c>
      <c r="S56" s="183"/>
      <c r="T56" s="182"/>
      <c r="U56" s="181">
        <f t="shared" si="28"/>
        <v>18097.5</v>
      </c>
    </row>
    <row r="57" spans="1:21" ht="18" customHeight="1">
      <c r="A57" s="222" t="s">
        <v>162</v>
      </c>
      <c r="B57" s="222" t="s">
        <v>76</v>
      </c>
      <c r="C57" s="260" t="s">
        <v>76</v>
      </c>
      <c r="D57" s="183"/>
      <c r="E57" s="182">
        <v>27</v>
      </c>
      <c r="F57" s="183">
        <v>2</v>
      </c>
      <c r="G57" s="182"/>
      <c r="H57" s="183">
        <v>3</v>
      </c>
      <c r="I57" s="183"/>
      <c r="J57" s="183"/>
      <c r="K57" s="183"/>
      <c r="L57" s="182"/>
      <c r="M57" s="183"/>
      <c r="N57" s="183"/>
      <c r="O57" s="183">
        <v>42508</v>
      </c>
      <c r="P57" s="183">
        <v>1</v>
      </c>
      <c r="Q57" s="183"/>
      <c r="R57" s="183">
        <v>90</v>
      </c>
      <c r="S57" s="183"/>
      <c r="T57" s="183">
        <v>11</v>
      </c>
      <c r="U57" s="181">
        <f t="shared" si="28"/>
        <v>42642</v>
      </c>
    </row>
    <row r="58" spans="1:21" ht="18" customHeight="1">
      <c r="A58" s="222" t="s">
        <v>156</v>
      </c>
      <c r="B58" s="222" t="s">
        <v>77</v>
      </c>
      <c r="C58" s="260" t="s">
        <v>77</v>
      </c>
      <c r="D58" s="183"/>
      <c r="E58" s="183"/>
      <c r="F58" s="183"/>
      <c r="G58" s="183"/>
      <c r="H58" s="182"/>
      <c r="I58" s="183"/>
      <c r="J58" s="183"/>
      <c r="K58" s="183"/>
      <c r="L58" s="183"/>
      <c r="M58" s="183"/>
      <c r="N58" s="183">
        <v>13798</v>
      </c>
      <c r="O58" s="182">
        <v>2097</v>
      </c>
      <c r="P58" s="183"/>
      <c r="Q58" s="183"/>
      <c r="R58" s="183">
        <v>2</v>
      </c>
      <c r="S58" s="183"/>
      <c r="T58" s="183"/>
      <c r="U58" s="181">
        <f t="shared" si="28"/>
        <v>15897</v>
      </c>
    </row>
    <row r="59" spans="1:21" ht="18" customHeight="1">
      <c r="A59" s="221" t="s">
        <v>163</v>
      </c>
      <c r="B59" s="221" t="s">
        <v>164</v>
      </c>
      <c r="C59" s="260" t="s">
        <v>164</v>
      </c>
      <c r="D59" s="183"/>
      <c r="E59" s="182"/>
      <c r="F59" s="183"/>
      <c r="G59" s="183"/>
      <c r="H59" s="182"/>
      <c r="I59" s="183"/>
      <c r="J59" s="183"/>
      <c r="K59" s="183"/>
      <c r="L59" s="183"/>
      <c r="M59" s="183"/>
      <c r="N59" s="183">
        <v>2539</v>
      </c>
      <c r="O59" s="182">
        <v>68</v>
      </c>
      <c r="P59" s="183"/>
      <c r="Q59" s="183"/>
      <c r="R59" s="183">
        <v>30</v>
      </c>
      <c r="S59" s="183"/>
      <c r="T59" s="183">
        <v>4</v>
      </c>
      <c r="U59" s="181">
        <f t="shared" si="28"/>
        <v>2641</v>
      </c>
    </row>
    <row r="60" spans="1:21" ht="18" customHeight="1">
      <c r="C60" s="260" t="s">
        <v>17</v>
      </c>
      <c r="D60" s="184">
        <f t="shared" ref="D60:U60" si="29">SUM(D33:D59)</f>
        <v>29184</v>
      </c>
      <c r="E60" s="185">
        <f t="shared" si="29"/>
        <v>867131</v>
      </c>
      <c r="F60" s="184">
        <f t="shared" si="29"/>
        <v>86460</v>
      </c>
      <c r="G60" s="184">
        <f t="shared" si="29"/>
        <v>33153</v>
      </c>
      <c r="H60" s="185">
        <f t="shared" si="29"/>
        <v>126069</v>
      </c>
      <c r="I60" s="184">
        <f t="shared" si="29"/>
        <v>83439</v>
      </c>
      <c r="J60" s="184">
        <f t="shared" si="29"/>
        <v>13398</v>
      </c>
      <c r="K60" s="184">
        <f t="shared" si="29"/>
        <v>25915</v>
      </c>
      <c r="L60" s="184">
        <f t="shared" si="29"/>
        <v>13177</v>
      </c>
      <c r="M60" s="184">
        <f t="shared" si="29"/>
        <v>13686</v>
      </c>
      <c r="N60" s="184">
        <f t="shared" si="29"/>
        <v>16473</v>
      </c>
      <c r="O60" s="185">
        <f t="shared" si="29"/>
        <v>95671.5</v>
      </c>
      <c r="P60" s="184">
        <f t="shared" si="29"/>
        <v>13071</v>
      </c>
      <c r="Q60" s="184">
        <f t="shared" si="29"/>
        <v>17821</v>
      </c>
      <c r="R60" s="184">
        <f t="shared" si="29"/>
        <v>28426</v>
      </c>
      <c r="S60" s="184">
        <f t="shared" si="29"/>
        <v>14961</v>
      </c>
      <c r="T60" s="184">
        <f t="shared" si="29"/>
        <v>8087.5</v>
      </c>
      <c r="U60" s="119">
        <f t="shared" si="29"/>
        <v>1486123</v>
      </c>
    </row>
    <row r="61" spans="1:21" ht="18" customHeight="1">
      <c r="E61" s="32"/>
      <c r="F61" s="32"/>
      <c r="G61" s="32"/>
      <c r="H61" s="32"/>
      <c r="I61" s="32"/>
      <c r="J61" s="32"/>
      <c r="K61" s="32"/>
      <c r="L61" s="32"/>
      <c r="M61" s="32"/>
      <c r="N61" s="32"/>
      <c r="O61" s="32"/>
    </row>
  </sheetData>
  <printOptions horizontalCentered="1"/>
  <pageMargins left="0.2" right="0.2" top="0.8" bottom="0.2" header="0.2" footer="0.2"/>
  <pageSetup paperSize="5" scale="55" orientation="landscape" r:id="rId1"/>
  <headerFooter>
    <oddFooter xml:space="preserve">&amp;L&amp;9&amp;Z&amp;F, &amp;A
Revised/Printed &amp;D, &amp;T&amp;R&amp;9Page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0"/>
  <sheetViews>
    <sheetView topLeftCell="C1" workbookViewId="0">
      <selection activeCell="B1" sqref="A1:B1048576"/>
    </sheetView>
  </sheetViews>
  <sheetFormatPr defaultColWidth="8.85546875" defaultRowHeight="18" customHeight="1"/>
  <cols>
    <col min="1" max="1" width="0" style="32" hidden="1" customWidth="1"/>
    <col min="2" max="2" width="59.42578125" style="32" hidden="1" customWidth="1"/>
    <col min="3" max="3" width="53.7109375" customWidth="1"/>
    <col min="4" max="20" width="25" customWidth="1"/>
    <col min="21" max="31" width="13.7109375" customWidth="1"/>
  </cols>
  <sheetData>
    <row r="1" spans="1:44" s="32" customFormat="1" ht="18" customHeight="1">
      <c r="C1" s="613" t="s">
        <v>414</v>
      </c>
    </row>
    <row r="2" spans="1:44" ht="60" customHeight="1">
      <c r="C2" s="176" t="s">
        <v>78</v>
      </c>
      <c r="D2" s="256" t="s">
        <v>51</v>
      </c>
      <c r="E2" s="256" t="s">
        <v>52</v>
      </c>
      <c r="F2" s="256" t="s">
        <v>53</v>
      </c>
      <c r="G2" s="256" t="s">
        <v>54</v>
      </c>
      <c r="H2" s="256" t="s">
        <v>55</v>
      </c>
      <c r="I2" s="256" t="s">
        <v>56</v>
      </c>
      <c r="J2" s="256" t="s">
        <v>58</v>
      </c>
      <c r="K2" s="256" t="s">
        <v>59</v>
      </c>
      <c r="L2" s="256" t="s">
        <v>60</v>
      </c>
      <c r="M2" s="256" t="s">
        <v>61</v>
      </c>
      <c r="N2" s="256" t="s">
        <v>63</v>
      </c>
      <c r="O2" s="256" t="s">
        <v>64</v>
      </c>
      <c r="P2" s="256" t="s">
        <v>65</v>
      </c>
      <c r="Q2" s="256" t="s">
        <v>66</v>
      </c>
      <c r="R2" s="256" t="s">
        <v>67</v>
      </c>
      <c r="S2" s="256" t="s">
        <v>62</v>
      </c>
      <c r="T2" s="256" t="s">
        <v>57</v>
      </c>
      <c r="U2" s="178" t="s">
        <v>17</v>
      </c>
      <c r="V2" s="13"/>
      <c r="AP2" s="32"/>
      <c r="AQ2" s="32"/>
      <c r="AR2" s="32"/>
    </row>
    <row r="3" spans="1:44" s="32" customFormat="1" ht="27.75" customHeight="1">
      <c r="C3" s="282"/>
      <c r="D3" s="256">
        <v>252</v>
      </c>
      <c r="E3" s="256">
        <v>254</v>
      </c>
      <c r="F3" s="256">
        <v>256</v>
      </c>
      <c r="G3" s="256">
        <v>258</v>
      </c>
      <c r="H3" s="256">
        <v>260</v>
      </c>
      <c r="I3" s="256">
        <v>263</v>
      </c>
      <c r="J3" s="256">
        <v>267</v>
      </c>
      <c r="K3" s="256">
        <v>268</v>
      </c>
      <c r="L3" s="256">
        <v>270</v>
      </c>
      <c r="M3" s="256">
        <v>272</v>
      </c>
      <c r="N3" s="256">
        <v>302</v>
      </c>
      <c r="O3" s="256">
        <v>304</v>
      </c>
      <c r="P3" s="256">
        <v>306</v>
      </c>
      <c r="Q3" s="256">
        <v>308</v>
      </c>
      <c r="R3" s="256">
        <v>310</v>
      </c>
      <c r="S3" s="256">
        <v>282</v>
      </c>
      <c r="T3" s="256">
        <v>266</v>
      </c>
      <c r="U3" s="178"/>
      <c r="V3" s="13"/>
    </row>
    <row r="4" spans="1:44" ht="27.75" customHeight="1">
      <c r="A4" s="220" t="s">
        <v>128</v>
      </c>
      <c r="B4" s="220" t="s">
        <v>21</v>
      </c>
      <c r="C4" s="257" t="s">
        <v>173</v>
      </c>
      <c r="D4" s="177">
        <f t="shared" ref="D4:T4" si="0">+D33/$U33</f>
        <v>1.4613778705636743E-2</v>
      </c>
      <c r="E4" s="177">
        <f t="shared" si="0"/>
        <v>0.67640918580375786</v>
      </c>
      <c r="F4" s="177">
        <f t="shared" si="0"/>
        <v>0.10064828040874629</v>
      </c>
      <c r="G4" s="177">
        <f t="shared" si="0"/>
        <v>8.1309746181738272E-3</v>
      </c>
      <c r="H4" s="177">
        <f t="shared" si="0"/>
        <v>9.130864740138446E-2</v>
      </c>
      <c r="I4" s="177">
        <f t="shared" si="0"/>
        <v>3.1095484012745853E-2</v>
      </c>
      <c r="J4" s="177">
        <f t="shared" si="0"/>
        <v>8.5704867596967365E-3</v>
      </c>
      <c r="K4" s="177">
        <f t="shared" si="0"/>
        <v>0</v>
      </c>
      <c r="L4" s="177">
        <f t="shared" si="0"/>
        <v>0</v>
      </c>
      <c r="M4" s="177">
        <f t="shared" si="0"/>
        <v>5.7136578397978246E-3</v>
      </c>
      <c r="N4" s="177">
        <f t="shared" si="0"/>
        <v>0</v>
      </c>
      <c r="O4" s="177">
        <f t="shared" si="0"/>
        <v>1.9118778156246567E-2</v>
      </c>
      <c r="P4" s="177">
        <f t="shared" si="0"/>
        <v>1.560268102406329E-2</v>
      </c>
      <c r="Q4" s="177">
        <f t="shared" si="0"/>
        <v>0</v>
      </c>
      <c r="R4" s="177">
        <f t="shared" si="0"/>
        <v>1.8679266014723656E-2</v>
      </c>
      <c r="S4" s="177">
        <f t="shared" si="0"/>
        <v>4.7247555213712775E-3</v>
      </c>
      <c r="T4" s="177">
        <f t="shared" si="0"/>
        <v>5.3840237336556422E-3</v>
      </c>
      <c r="U4" s="179">
        <f t="shared" ref="U4:U30" si="1">SUM(D4:T4)</f>
        <v>1</v>
      </c>
      <c r="V4" s="32"/>
      <c r="AP4" s="32"/>
      <c r="AQ4" s="32"/>
      <c r="AR4" s="32"/>
    </row>
    <row r="5" spans="1:44" ht="21" customHeight="1">
      <c r="A5" s="222" t="s">
        <v>129</v>
      </c>
      <c r="B5" s="222" t="s">
        <v>35</v>
      </c>
      <c r="C5" s="257" t="s">
        <v>71</v>
      </c>
      <c r="D5" s="177">
        <f t="shared" ref="D5:T5" si="2">+D34/$U34</f>
        <v>5.1747808638715805E-3</v>
      </c>
      <c r="E5" s="177">
        <f t="shared" si="2"/>
        <v>0.65561305312070961</v>
      </c>
      <c r="F5" s="177">
        <f t="shared" si="2"/>
        <v>2.3128102228324003E-2</v>
      </c>
      <c r="G5" s="177">
        <f t="shared" si="2"/>
        <v>0</v>
      </c>
      <c r="H5" s="177">
        <f t="shared" si="2"/>
        <v>3.833562150174253E-2</v>
      </c>
      <c r="I5" s="177">
        <f t="shared" si="2"/>
        <v>1.5841165909810961E-3</v>
      </c>
      <c r="J5" s="177">
        <f t="shared" si="2"/>
        <v>1.4679480409758158E-2</v>
      </c>
      <c r="K5" s="177">
        <f t="shared" si="2"/>
        <v>4.2243109092829226E-4</v>
      </c>
      <c r="L5" s="177">
        <f t="shared" si="2"/>
        <v>7.92058295490548E-3</v>
      </c>
      <c r="M5" s="177">
        <f t="shared" si="2"/>
        <v>0</v>
      </c>
      <c r="N5" s="177">
        <f t="shared" si="2"/>
        <v>0</v>
      </c>
      <c r="O5" s="177">
        <f t="shared" si="2"/>
        <v>0.13686767346076673</v>
      </c>
      <c r="P5" s="177">
        <f t="shared" si="2"/>
        <v>0</v>
      </c>
      <c r="Q5" s="177">
        <f t="shared" si="2"/>
        <v>1.8903791319041081E-2</v>
      </c>
      <c r="R5" s="177">
        <f t="shared" si="2"/>
        <v>1.9009399091773154E-3</v>
      </c>
      <c r="S5" s="177">
        <f t="shared" si="2"/>
        <v>0</v>
      </c>
      <c r="T5" s="177">
        <f t="shared" si="2"/>
        <v>9.5469426549794054E-2</v>
      </c>
      <c r="U5" s="180">
        <f t="shared" si="1"/>
        <v>1</v>
      </c>
      <c r="V5" s="32"/>
      <c r="AP5" s="32"/>
      <c r="AQ5" s="32"/>
      <c r="AR5" s="32"/>
    </row>
    <row r="6" spans="1:44" ht="21" customHeight="1">
      <c r="A6" s="222" t="s">
        <v>140</v>
      </c>
      <c r="B6" s="222" t="s">
        <v>36</v>
      </c>
      <c r="C6" s="257" t="s">
        <v>72</v>
      </c>
      <c r="D6" s="177">
        <f t="shared" ref="D6:T6" si="3">+D35/$U35</f>
        <v>0</v>
      </c>
      <c r="E6" s="177">
        <f t="shared" si="3"/>
        <v>0</v>
      </c>
      <c r="F6" s="177">
        <f t="shared" si="3"/>
        <v>0</v>
      </c>
      <c r="G6" s="177">
        <f t="shared" si="3"/>
        <v>0</v>
      </c>
      <c r="H6" s="177">
        <f t="shared" si="3"/>
        <v>0</v>
      </c>
      <c r="I6" s="177">
        <f t="shared" si="3"/>
        <v>0</v>
      </c>
      <c r="J6" s="177">
        <f t="shared" si="3"/>
        <v>0</v>
      </c>
      <c r="K6" s="177">
        <f t="shared" si="3"/>
        <v>0</v>
      </c>
      <c r="L6" s="177">
        <f t="shared" si="3"/>
        <v>0</v>
      </c>
      <c r="M6" s="177">
        <f t="shared" si="3"/>
        <v>0.2583979328165375</v>
      </c>
      <c r="N6" s="177">
        <f t="shared" si="3"/>
        <v>0</v>
      </c>
      <c r="O6" s="177">
        <f t="shared" si="3"/>
        <v>0.74160206718346255</v>
      </c>
      <c r="P6" s="177">
        <f t="shared" si="3"/>
        <v>0</v>
      </c>
      <c r="Q6" s="177">
        <f t="shared" si="3"/>
        <v>0</v>
      </c>
      <c r="R6" s="177">
        <f t="shared" si="3"/>
        <v>0</v>
      </c>
      <c r="S6" s="177">
        <f t="shared" si="3"/>
        <v>0</v>
      </c>
      <c r="T6" s="177">
        <f t="shared" si="3"/>
        <v>0</v>
      </c>
      <c r="U6" s="180">
        <f t="shared" si="1"/>
        <v>1</v>
      </c>
      <c r="V6" s="32"/>
      <c r="AP6" s="32"/>
      <c r="AQ6" s="32"/>
      <c r="AR6" s="32"/>
    </row>
    <row r="7" spans="1:44" ht="21" customHeight="1">
      <c r="A7" s="222" t="s">
        <v>130</v>
      </c>
      <c r="B7" s="222" t="s">
        <v>37</v>
      </c>
      <c r="C7" s="257" t="s">
        <v>73</v>
      </c>
      <c r="D7" s="177">
        <f t="shared" ref="D7:T7" si="4">+D36/$U36</f>
        <v>6.5274151436031332E-4</v>
      </c>
      <c r="E7" s="177">
        <f t="shared" si="4"/>
        <v>1.1422976501305485E-2</v>
      </c>
      <c r="F7" s="177">
        <f t="shared" si="4"/>
        <v>8.4856396866840739E-3</v>
      </c>
      <c r="G7" s="177">
        <f t="shared" si="4"/>
        <v>6.5274151436031332E-4</v>
      </c>
      <c r="H7" s="177">
        <f t="shared" si="4"/>
        <v>0.88707571801566587</v>
      </c>
      <c r="I7" s="177">
        <f t="shared" si="4"/>
        <v>1.6318537859007832E-3</v>
      </c>
      <c r="J7" s="177">
        <f t="shared" si="4"/>
        <v>3.2637075718015666E-4</v>
      </c>
      <c r="K7" s="177">
        <f t="shared" si="4"/>
        <v>3.2637075718015668E-3</v>
      </c>
      <c r="L7" s="177">
        <f t="shared" si="4"/>
        <v>6.5274151436031332E-4</v>
      </c>
      <c r="M7" s="177">
        <f t="shared" si="4"/>
        <v>0</v>
      </c>
      <c r="N7" s="177">
        <f t="shared" si="4"/>
        <v>0</v>
      </c>
      <c r="O7" s="177">
        <f t="shared" si="4"/>
        <v>3.5900783289817234E-3</v>
      </c>
      <c r="P7" s="177">
        <f t="shared" si="4"/>
        <v>5.7441253263707574E-2</v>
      </c>
      <c r="Q7" s="177">
        <f t="shared" si="4"/>
        <v>0</v>
      </c>
      <c r="R7" s="177">
        <f t="shared" si="4"/>
        <v>3.2637075718015668E-3</v>
      </c>
      <c r="S7" s="177">
        <f t="shared" si="4"/>
        <v>2.2845953002610967E-3</v>
      </c>
      <c r="T7" s="177">
        <f t="shared" si="4"/>
        <v>1.9255874673629245E-2</v>
      </c>
      <c r="U7" s="180">
        <f t="shared" si="1"/>
        <v>1.0000000000000002</v>
      </c>
      <c r="V7" s="32"/>
      <c r="AP7" s="32"/>
      <c r="AQ7" s="32"/>
      <c r="AR7" s="32"/>
    </row>
    <row r="8" spans="1:44" ht="21" customHeight="1">
      <c r="A8" s="222" t="s">
        <v>131</v>
      </c>
      <c r="B8" s="222" t="s">
        <v>141</v>
      </c>
      <c r="C8" s="257" t="s">
        <v>141</v>
      </c>
      <c r="D8" s="177">
        <f t="shared" ref="D8:T8" si="5">+D37/$U37</f>
        <v>2.4615384615384616E-3</v>
      </c>
      <c r="E8" s="177">
        <f t="shared" si="5"/>
        <v>2.2153846153846159E-2</v>
      </c>
      <c r="F8" s="177">
        <f t="shared" si="5"/>
        <v>1.2307692307692308E-3</v>
      </c>
      <c r="G8" s="177">
        <f t="shared" si="5"/>
        <v>0</v>
      </c>
      <c r="H8" s="177">
        <f t="shared" si="5"/>
        <v>1.8461538461538463E-3</v>
      </c>
      <c r="I8" s="177">
        <f t="shared" si="5"/>
        <v>0.96246153846153837</v>
      </c>
      <c r="J8" s="177">
        <f t="shared" si="5"/>
        <v>0</v>
      </c>
      <c r="K8" s="177">
        <f t="shared" si="5"/>
        <v>0</v>
      </c>
      <c r="L8" s="177">
        <f t="shared" si="5"/>
        <v>6.7692307692307696E-3</v>
      </c>
      <c r="M8" s="177">
        <f t="shared" si="5"/>
        <v>0</v>
      </c>
      <c r="N8" s="177">
        <f t="shared" si="5"/>
        <v>0</v>
      </c>
      <c r="O8" s="177">
        <f t="shared" si="5"/>
        <v>6.1538461538461541E-4</v>
      </c>
      <c r="P8" s="177">
        <f t="shared" si="5"/>
        <v>0</v>
      </c>
      <c r="Q8" s="177">
        <f t="shared" si="5"/>
        <v>0</v>
      </c>
      <c r="R8" s="177">
        <f t="shared" si="5"/>
        <v>6.1538461538461541E-4</v>
      </c>
      <c r="S8" s="177">
        <f t="shared" si="5"/>
        <v>0</v>
      </c>
      <c r="T8" s="177">
        <f t="shared" si="5"/>
        <v>1.8461538461538463E-3</v>
      </c>
      <c r="U8" s="180">
        <f t="shared" si="1"/>
        <v>0.99999999999999978</v>
      </c>
      <c r="V8" s="32"/>
      <c r="AP8" s="32"/>
      <c r="AQ8" s="32"/>
      <c r="AR8" s="32"/>
    </row>
    <row r="9" spans="1:44" ht="21" customHeight="1">
      <c r="A9" s="222" t="s">
        <v>132</v>
      </c>
      <c r="B9" s="222" t="s">
        <v>142</v>
      </c>
      <c r="C9" s="257" t="s">
        <v>142</v>
      </c>
      <c r="D9" s="177">
        <f t="shared" ref="D9:T9" si="6">+D38/$U38</f>
        <v>0</v>
      </c>
      <c r="E9" s="177">
        <f t="shared" si="6"/>
        <v>6.3291139240506328E-3</v>
      </c>
      <c r="F9" s="177">
        <f t="shared" si="6"/>
        <v>0</v>
      </c>
      <c r="G9" s="177">
        <f t="shared" si="6"/>
        <v>0.98839662447257381</v>
      </c>
      <c r="H9" s="177">
        <f t="shared" si="6"/>
        <v>0</v>
      </c>
      <c r="I9" s="177">
        <f t="shared" si="6"/>
        <v>0</v>
      </c>
      <c r="J9" s="177">
        <f t="shared" si="6"/>
        <v>0</v>
      </c>
      <c r="K9" s="177">
        <f t="shared" si="6"/>
        <v>0</v>
      </c>
      <c r="L9" s="177">
        <f t="shared" si="6"/>
        <v>2.1097046413502108E-3</v>
      </c>
      <c r="M9" s="177">
        <f t="shared" si="6"/>
        <v>0</v>
      </c>
      <c r="N9" s="177">
        <f t="shared" si="6"/>
        <v>0</v>
      </c>
      <c r="O9" s="177">
        <f t="shared" si="6"/>
        <v>0</v>
      </c>
      <c r="P9" s="177">
        <f t="shared" si="6"/>
        <v>0</v>
      </c>
      <c r="Q9" s="177">
        <f t="shared" si="6"/>
        <v>0</v>
      </c>
      <c r="R9" s="177">
        <f t="shared" si="6"/>
        <v>0</v>
      </c>
      <c r="S9" s="177">
        <f t="shared" si="6"/>
        <v>0</v>
      </c>
      <c r="T9" s="177">
        <f t="shared" si="6"/>
        <v>3.1645569620253164E-3</v>
      </c>
      <c r="U9" s="180">
        <f t="shared" si="1"/>
        <v>1</v>
      </c>
      <c r="V9" s="32"/>
      <c r="AP9" s="32"/>
      <c r="AQ9" s="32"/>
      <c r="AR9" s="32"/>
    </row>
    <row r="10" spans="1:44" ht="21" customHeight="1">
      <c r="A10" s="222" t="s">
        <v>133</v>
      </c>
      <c r="B10" s="222" t="s">
        <v>143</v>
      </c>
      <c r="C10" s="257" t="s">
        <v>143</v>
      </c>
      <c r="D10" s="177">
        <f t="shared" ref="D10:T10" si="7">+D39/$U39</f>
        <v>0</v>
      </c>
      <c r="E10" s="177">
        <f t="shared" si="7"/>
        <v>2.5031289111389233E-3</v>
      </c>
      <c r="F10" s="177">
        <f t="shared" si="7"/>
        <v>0</v>
      </c>
      <c r="G10" s="177">
        <f t="shared" si="7"/>
        <v>0.96245306633291616</v>
      </c>
      <c r="H10" s="177">
        <f t="shared" si="7"/>
        <v>0</v>
      </c>
      <c r="I10" s="177">
        <f t="shared" si="7"/>
        <v>0</v>
      </c>
      <c r="J10" s="177">
        <f t="shared" si="7"/>
        <v>0</v>
      </c>
      <c r="K10" s="177">
        <f t="shared" si="7"/>
        <v>0</v>
      </c>
      <c r="L10" s="177">
        <f t="shared" si="7"/>
        <v>5.0062578222778466E-3</v>
      </c>
      <c r="M10" s="177">
        <f t="shared" si="7"/>
        <v>0</v>
      </c>
      <c r="N10" s="177">
        <f t="shared" si="7"/>
        <v>0</v>
      </c>
      <c r="O10" s="177">
        <f t="shared" si="7"/>
        <v>0</v>
      </c>
      <c r="P10" s="177">
        <f t="shared" si="7"/>
        <v>1.0012515644555693E-2</v>
      </c>
      <c r="Q10" s="177">
        <f t="shared" si="7"/>
        <v>0</v>
      </c>
      <c r="R10" s="177">
        <f t="shared" si="7"/>
        <v>0</v>
      </c>
      <c r="S10" s="177">
        <f t="shared" si="7"/>
        <v>0</v>
      </c>
      <c r="T10" s="177">
        <f t="shared" si="7"/>
        <v>2.0025031289111386E-2</v>
      </c>
      <c r="U10" s="180">
        <f t="shared" si="1"/>
        <v>1</v>
      </c>
      <c r="V10" s="32"/>
      <c r="AP10" s="32"/>
      <c r="AQ10" s="32"/>
      <c r="AR10" s="32"/>
    </row>
    <row r="11" spans="1:44" ht="21" customHeight="1">
      <c r="A11" s="222" t="s">
        <v>134</v>
      </c>
      <c r="B11" s="222" t="s">
        <v>40</v>
      </c>
      <c r="C11" s="257" t="s">
        <v>40</v>
      </c>
      <c r="D11" s="177">
        <f t="shared" ref="D11:T11" si="8">+D40/$U40</f>
        <v>0</v>
      </c>
      <c r="E11" s="177">
        <f t="shared" si="8"/>
        <v>0.22222222222222221</v>
      </c>
      <c r="F11" s="177">
        <f t="shared" si="8"/>
        <v>0</v>
      </c>
      <c r="G11" s="177">
        <f t="shared" si="8"/>
        <v>0</v>
      </c>
      <c r="H11" s="177">
        <f t="shared" si="8"/>
        <v>0</v>
      </c>
      <c r="I11" s="177">
        <f t="shared" si="8"/>
        <v>0</v>
      </c>
      <c r="J11" s="177">
        <f t="shared" si="8"/>
        <v>0.77777777777777779</v>
      </c>
      <c r="K11" s="177">
        <f t="shared" si="8"/>
        <v>0</v>
      </c>
      <c r="L11" s="177">
        <f t="shared" si="8"/>
        <v>0</v>
      </c>
      <c r="M11" s="177">
        <f t="shared" si="8"/>
        <v>0</v>
      </c>
      <c r="N11" s="177">
        <f t="shared" si="8"/>
        <v>0</v>
      </c>
      <c r="O11" s="177">
        <f t="shared" si="8"/>
        <v>0</v>
      </c>
      <c r="P11" s="177">
        <f t="shared" si="8"/>
        <v>0</v>
      </c>
      <c r="Q11" s="177">
        <f t="shared" si="8"/>
        <v>0</v>
      </c>
      <c r="R11" s="177">
        <f t="shared" si="8"/>
        <v>0</v>
      </c>
      <c r="S11" s="177">
        <f t="shared" si="8"/>
        <v>0</v>
      </c>
      <c r="T11" s="177">
        <f t="shared" si="8"/>
        <v>0</v>
      </c>
      <c r="U11" s="180">
        <f t="shared" si="1"/>
        <v>1</v>
      </c>
      <c r="V11" s="32"/>
      <c r="AP11" s="32"/>
      <c r="AQ11" s="32"/>
      <c r="AR11" s="32"/>
    </row>
    <row r="12" spans="1:44" ht="21" customHeight="1">
      <c r="A12" s="222" t="s">
        <v>135</v>
      </c>
      <c r="B12" s="222" t="s">
        <v>70</v>
      </c>
      <c r="C12" s="257" t="s">
        <v>70</v>
      </c>
      <c r="D12" s="177">
        <f t="shared" ref="D12:T12" si="9">+D41/$U41</f>
        <v>0</v>
      </c>
      <c r="E12" s="177">
        <f t="shared" si="9"/>
        <v>8.9974293059125968E-3</v>
      </c>
      <c r="F12" s="177">
        <f t="shared" si="9"/>
        <v>0</v>
      </c>
      <c r="G12" s="177">
        <f t="shared" si="9"/>
        <v>0</v>
      </c>
      <c r="H12" s="177">
        <f t="shared" si="9"/>
        <v>0</v>
      </c>
      <c r="I12" s="177">
        <f t="shared" si="9"/>
        <v>0</v>
      </c>
      <c r="J12" s="177">
        <f t="shared" si="9"/>
        <v>0</v>
      </c>
      <c r="K12" s="177">
        <f t="shared" si="9"/>
        <v>0</v>
      </c>
      <c r="L12" s="177">
        <f t="shared" si="9"/>
        <v>1.5424164524421595E-2</v>
      </c>
      <c r="M12" s="177">
        <f t="shared" si="9"/>
        <v>0.96143958868894608</v>
      </c>
      <c r="N12" s="177">
        <f t="shared" si="9"/>
        <v>0</v>
      </c>
      <c r="O12" s="177">
        <f t="shared" si="9"/>
        <v>5.1413881748071984E-3</v>
      </c>
      <c r="P12" s="177">
        <f t="shared" si="9"/>
        <v>0</v>
      </c>
      <c r="Q12" s="177">
        <f t="shared" si="9"/>
        <v>0</v>
      </c>
      <c r="R12" s="177">
        <f t="shared" si="9"/>
        <v>8.9974293059125951E-3</v>
      </c>
      <c r="S12" s="177">
        <f t="shared" si="9"/>
        <v>0</v>
      </c>
      <c r="T12" s="177">
        <f t="shared" si="9"/>
        <v>0</v>
      </c>
      <c r="U12" s="180">
        <f t="shared" si="1"/>
        <v>1</v>
      </c>
      <c r="V12" s="32"/>
      <c r="AP12" s="32"/>
      <c r="AQ12" s="32"/>
      <c r="AR12" s="32"/>
    </row>
    <row r="13" spans="1:44" ht="21" customHeight="1">
      <c r="A13" s="222" t="s">
        <v>136</v>
      </c>
      <c r="B13" s="222" t="s">
        <v>144</v>
      </c>
      <c r="C13" s="257" t="s">
        <v>144</v>
      </c>
      <c r="D13" s="177">
        <f t="shared" ref="D13:T13" si="10">+D42/$U42</f>
        <v>0</v>
      </c>
      <c r="E13" s="177">
        <f t="shared" si="10"/>
        <v>0</v>
      </c>
      <c r="F13" s="177">
        <f t="shared" si="10"/>
        <v>0</v>
      </c>
      <c r="G13" s="177">
        <f t="shared" si="10"/>
        <v>0</v>
      </c>
      <c r="H13" s="177">
        <f t="shared" si="10"/>
        <v>0</v>
      </c>
      <c r="I13" s="177">
        <f t="shared" si="10"/>
        <v>2.006018054162487E-3</v>
      </c>
      <c r="J13" s="177">
        <f t="shared" si="10"/>
        <v>0</v>
      </c>
      <c r="K13" s="177">
        <f t="shared" si="10"/>
        <v>0</v>
      </c>
      <c r="L13" s="177">
        <f t="shared" si="10"/>
        <v>0</v>
      </c>
      <c r="M13" s="177">
        <f t="shared" si="10"/>
        <v>0</v>
      </c>
      <c r="N13" s="177">
        <f t="shared" si="10"/>
        <v>0</v>
      </c>
      <c r="O13" s="177">
        <f t="shared" si="10"/>
        <v>1.8054162487462385E-2</v>
      </c>
      <c r="P13" s="177">
        <f t="shared" si="10"/>
        <v>0</v>
      </c>
      <c r="Q13" s="177">
        <f t="shared" si="10"/>
        <v>0</v>
      </c>
      <c r="R13" s="177">
        <f t="shared" si="10"/>
        <v>0.97793380140421249</v>
      </c>
      <c r="S13" s="177">
        <f t="shared" si="10"/>
        <v>0</v>
      </c>
      <c r="T13" s="177">
        <f t="shared" si="10"/>
        <v>2.006018054162487E-3</v>
      </c>
      <c r="U13" s="180">
        <f t="shared" si="1"/>
        <v>0.99999999999999978</v>
      </c>
      <c r="V13" s="32"/>
      <c r="AP13" s="32"/>
      <c r="AQ13" s="32"/>
      <c r="AR13" s="32"/>
    </row>
    <row r="14" spans="1:44" ht="21" customHeight="1">
      <c r="A14" s="222" t="s">
        <v>137</v>
      </c>
      <c r="B14" s="222" t="s">
        <v>49</v>
      </c>
      <c r="C14" s="257" t="s">
        <v>49</v>
      </c>
      <c r="D14" s="177">
        <f t="shared" ref="D14:T14" si="11">+D43/$U43</f>
        <v>4.830917874396135E-3</v>
      </c>
      <c r="E14" s="177">
        <f t="shared" si="11"/>
        <v>1.932367149758454E-2</v>
      </c>
      <c r="F14" s="177">
        <f t="shared" si="11"/>
        <v>0</v>
      </c>
      <c r="G14" s="177">
        <f t="shared" si="11"/>
        <v>0</v>
      </c>
      <c r="H14" s="177">
        <f t="shared" si="11"/>
        <v>4.830917874396135E-3</v>
      </c>
      <c r="I14" s="177">
        <f t="shared" si="11"/>
        <v>0</v>
      </c>
      <c r="J14" s="177">
        <f t="shared" si="11"/>
        <v>0</v>
      </c>
      <c r="K14" s="177">
        <f t="shared" si="11"/>
        <v>0</v>
      </c>
      <c r="L14" s="177">
        <f t="shared" si="11"/>
        <v>9.6618357487922701E-3</v>
      </c>
      <c r="M14" s="177">
        <f t="shared" si="11"/>
        <v>1.4492753623188406E-2</v>
      </c>
      <c r="N14" s="177">
        <f t="shared" si="11"/>
        <v>4.830917874396135E-3</v>
      </c>
      <c r="O14" s="177">
        <f t="shared" si="11"/>
        <v>0.16586151368760066</v>
      </c>
      <c r="P14" s="177">
        <f t="shared" si="11"/>
        <v>4.830917874396135E-3</v>
      </c>
      <c r="Q14" s="177">
        <f t="shared" si="11"/>
        <v>0</v>
      </c>
      <c r="R14" s="177">
        <f t="shared" si="11"/>
        <v>0.75684380032206111</v>
      </c>
      <c r="S14" s="177">
        <f t="shared" si="11"/>
        <v>0</v>
      </c>
      <c r="T14" s="177">
        <f t="shared" si="11"/>
        <v>1.4492753623188406E-2</v>
      </c>
      <c r="U14" s="180">
        <f t="shared" si="1"/>
        <v>0.99999999999999989</v>
      </c>
      <c r="V14" s="32"/>
      <c r="AP14" s="32"/>
      <c r="AQ14" s="32"/>
      <c r="AR14" s="32"/>
    </row>
    <row r="15" spans="1:44" ht="21" customHeight="1">
      <c r="A15" s="222" t="s">
        <v>138</v>
      </c>
      <c r="B15" s="222" t="s">
        <v>157</v>
      </c>
      <c r="C15" s="257" t="s">
        <v>157</v>
      </c>
      <c r="D15" s="177">
        <f t="shared" ref="D15:T15" si="12">+D44/$U44</f>
        <v>0.88913525498891355</v>
      </c>
      <c r="E15" s="177">
        <f t="shared" si="12"/>
        <v>1.1086474501108648E-2</v>
      </c>
      <c r="F15" s="177">
        <f t="shared" si="12"/>
        <v>6.6518847006651893E-3</v>
      </c>
      <c r="G15" s="177">
        <f t="shared" si="12"/>
        <v>0</v>
      </c>
      <c r="H15" s="177">
        <f t="shared" si="12"/>
        <v>1.108647450110865E-2</v>
      </c>
      <c r="I15" s="177">
        <f t="shared" si="12"/>
        <v>1.1086474501108648E-2</v>
      </c>
      <c r="J15" s="177">
        <f t="shared" si="12"/>
        <v>0</v>
      </c>
      <c r="K15" s="177">
        <f t="shared" si="12"/>
        <v>0</v>
      </c>
      <c r="L15" s="177">
        <f t="shared" si="12"/>
        <v>3.3259423503325947E-2</v>
      </c>
      <c r="M15" s="177">
        <f t="shared" si="12"/>
        <v>0</v>
      </c>
      <c r="N15" s="177">
        <f t="shared" si="12"/>
        <v>0</v>
      </c>
      <c r="O15" s="177">
        <f t="shared" si="12"/>
        <v>2.2172949002217295E-3</v>
      </c>
      <c r="P15" s="177">
        <f t="shared" si="12"/>
        <v>0</v>
      </c>
      <c r="Q15" s="177">
        <f t="shared" si="12"/>
        <v>0</v>
      </c>
      <c r="R15" s="177">
        <f t="shared" si="12"/>
        <v>2.2172949002217295E-3</v>
      </c>
      <c r="S15" s="177">
        <f t="shared" si="12"/>
        <v>0</v>
      </c>
      <c r="T15" s="177">
        <f t="shared" si="12"/>
        <v>3.3259423503325947E-2</v>
      </c>
      <c r="U15" s="180">
        <f t="shared" si="1"/>
        <v>1</v>
      </c>
      <c r="V15" s="32"/>
      <c r="AP15" s="32"/>
      <c r="AQ15" s="32"/>
      <c r="AR15" s="32"/>
    </row>
    <row r="16" spans="1:44" ht="21" customHeight="1">
      <c r="A16" s="222" t="s">
        <v>145</v>
      </c>
      <c r="B16" s="222" t="s">
        <v>146</v>
      </c>
      <c r="C16" s="257" t="s">
        <v>146</v>
      </c>
      <c r="D16" s="177">
        <f t="shared" ref="D16:T16" si="13">+D45/$U45</f>
        <v>0.96064400715563503</v>
      </c>
      <c r="E16" s="177">
        <f t="shared" si="13"/>
        <v>0</v>
      </c>
      <c r="F16" s="177">
        <f t="shared" si="13"/>
        <v>0</v>
      </c>
      <c r="G16" s="177">
        <f t="shared" si="13"/>
        <v>0</v>
      </c>
      <c r="H16" s="177">
        <f t="shared" si="13"/>
        <v>0</v>
      </c>
      <c r="I16" s="177">
        <f t="shared" si="13"/>
        <v>0</v>
      </c>
      <c r="J16" s="177">
        <f t="shared" si="13"/>
        <v>0</v>
      </c>
      <c r="K16" s="177">
        <f t="shared" si="13"/>
        <v>0</v>
      </c>
      <c r="L16" s="177">
        <f t="shared" si="13"/>
        <v>0</v>
      </c>
      <c r="M16" s="177">
        <f t="shared" si="13"/>
        <v>0</v>
      </c>
      <c r="N16" s="177">
        <f t="shared" si="13"/>
        <v>0</v>
      </c>
      <c r="O16" s="177">
        <f t="shared" si="13"/>
        <v>0</v>
      </c>
      <c r="P16" s="177">
        <f t="shared" si="13"/>
        <v>0</v>
      </c>
      <c r="Q16" s="177">
        <f t="shared" si="13"/>
        <v>0</v>
      </c>
      <c r="R16" s="177">
        <f t="shared" si="13"/>
        <v>0</v>
      </c>
      <c r="S16" s="177">
        <f t="shared" si="13"/>
        <v>0</v>
      </c>
      <c r="T16" s="177">
        <f t="shared" si="13"/>
        <v>3.9355992844364932E-2</v>
      </c>
      <c r="U16" s="180">
        <f t="shared" si="1"/>
        <v>1</v>
      </c>
      <c r="V16" s="32"/>
      <c r="AP16" s="32"/>
      <c r="AQ16" s="32"/>
      <c r="AR16" s="32"/>
    </row>
    <row r="17" spans="1:44" ht="21" customHeight="1">
      <c r="A17" s="222" t="s">
        <v>147</v>
      </c>
      <c r="B17" s="222" t="s">
        <v>165</v>
      </c>
      <c r="C17" s="257" t="s">
        <v>165</v>
      </c>
      <c r="D17" s="177">
        <f t="shared" ref="D17:T17" si="14">+D46/$U46</f>
        <v>0</v>
      </c>
      <c r="E17" s="177">
        <f t="shared" si="14"/>
        <v>0</v>
      </c>
      <c r="F17" s="177">
        <f t="shared" si="14"/>
        <v>0</v>
      </c>
      <c r="G17" s="177">
        <f t="shared" si="14"/>
        <v>0</v>
      </c>
      <c r="H17" s="177">
        <f t="shared" si="14"/>
        <v>1</v>
      </c>
      <c r="I17" s="177">
        <f t="shared" si="14"/>
        <v>0</v>
      </c>
      <c r="J17" s="177">
        <f t="shared" si="14"/>
        <v>0</v>
      </c>
      <c r="K17" s="177">
        <f t="shared" si="14"/>
        <v>0</v>
      </c>
      <c r="L17" s="177">
        <f t="shared" si="14"/>
        <v>0</v>
      </c>
      <c r="M17" s="177">
        <f t="shared" si="14"/>
        <v>0</v>
      </c>
      <c r="N17" s="177">
        <f t="shared" si="14"/>
        <v>0</v>
      </c>
      <c r="O17" s="177">
        <f t="shared" si="14"/>
        <v>0</v>
      </c>
      <c r="P17" s="177">
        <f t="shared" si="14"/>
        <v>0</v>
      </c>
      <c r="Q17" s="177">
        <f t="shared" si="14"/>
        <v>0</v>
      </c>
      <c r="R17" s="177">
        <f t="shared" si="14"/>
        <v>0</v>
      </c>
      <c r="S17" s="177">
        <f t="shared" si="14"/>
        <v>0</v>
      </c>
      <c r="T17" s="177">
        <f t="shared" si="14"/>
        <v>0</v>
      </c>
      <c r="U17" s="180">
        <f t="shared" si="1"/>
        <v>1</v>
      </c>
      <c r="V17" s="32"/>
      <c r="AP17" s="32"/>
      <c r="AQ17" s="32"/>
      <c r="AR17" s="32"/>
    </row>
    <row r="18" spans="1:44" ht="21" customHeight="1">
      <c r="A18" s="222" t="s">
        <v>174</v>
      </c>
      <c r="B18" s="222" t="s">
        <v>167</v>
      </c>
      <c r="C18" s="258" t="s">
        <v>172</v>
      </c>
      <c r="D18" s="177">
        <f t="shared" ref="D18:T18" si="15">+D47/$U47</f>
        <v>0</v>
      </c>
      <c r="E18" s="177">
        <f t="shared" si="15"/>
        <v>0</v>
      </c>
      <c r="F18" s="177">
        <f t="shared" si="15"/>
        <v>0</v>
      </c>
      <c r="G18" s="177">
        <f t="shared" si="15"/>
        <v>0</v>
      </c>
      <c r="H18" s="177">
        <f t="shared" si="15"/>
        <v>1</v>
      </c>
      <c r="I18" s="177">
        <f t="shared" si="15"/>
        <v>0</v>
      </c>
      <c r="J18" s="177">
        <f t="shared" si="15"/>
        <v>0</v>
      </c>
      <c r="K18" s="177">
        <f t="shared" si="15"/>
        <v>0</v>
      </c>
      <c r="L18" s="177">
        <f t="shared" si="15"/>
        <v>0</v>
      </c>
      <c r="M18" s="177">
        <f t="shared" si="15"/>
        <v>0</v>
      </c>
      <c r="N18" s="177">
        <f t="shared" si="15"/>
        <v>0</v>
      </c>
      <c r="O18" s="177">
        <f t="shared" si="15"/>
        <v>0</v>
      </c>
      <c r="P18" s="177">
        <f t="shared" si="15"/>
        <v>0</v>
      </c>
      <c r="Q18" s="177">
        <f t="shared" si="15"/>
        <v>0</v>
      </c>
      <c r="R18" s="177">
        <f t="shared" si="15"/>
        <v>0</v>
      </c>
      <c r="S18" s="177">
        <f t="shared" si="15"/>
        <v>0</v>
      </c>
      <c r="T18" s="177">
        <f t="shared" si="15"/>
        <v>0</v>
      </c>
      <c r="U18" s="180">
        <f t="shared" si="1"/>
        <v>1</v>
      </c>
      <c r="V18" s="32"/>
      <c r="AP18" s="32"/>
      <c r="AQ18" s="32"/>
      <c r="AR18" s="32"/>
    </row>
    <row r="19" spans="1:44" ht="21" customHeight="1">
      <c r="A19" s="222" t="s">
        <v>158</v>
      </c>
      <c r="B19" s="222" t="s">
        <v>166</v>
      </c>
      <c r="C19" s="259" t="s">
        <v>166</v>
      </c>
      <c r="D19" s="177">
        <f t="shared" ref="D19:T19" si="16">+D48/$U48</f>
        <v>0</v>
      </c>
      <c r="E19" s="177">
        <f t="shared" si="16"/>
        <v>0</v>
      </c>
      <c r="F19" s="177">
        <f t="shared" si="16"/>
        <v>0</v>
      </c>
      <c r="G19" s="177">
        <f t="shared" si="16"/>
        <v>0</v>
      </c>
      <c r="H19" s="177">
        <f t="shared" si="16"/>
        <v>1</v>
      </c>
      <c r="I19" s="177">
        <f t="shared" si="16"/>
        <v>0</v>
      </c>
      <c r="J19" s="177">
        <f t="shared" si="16"/>
        <v>0</v>
      </c>
      <c r="K19" s="177">
        <f t="shared" si="16"/>
        <v>0</v>
      </c>
      <c r="L19" s="177">
        <f t="shared" si="16"/>
        <v>0</v>
      </c>
      <c r="M19" s="177">
        <f t="shared" si="16"/>
        <v>0</v>
      </c>
      <c r="N19" s="177">
        <f t="shared" si="16"/>
        <v>0</v>
      </c>
      <c r="O19" s="177">
        <f t="shared" si="16"/>
        <v>0</v>
      </c>
      <c r="P19" s="177">
        <f t="shared" si="16"/>
        <v>0</v>
      </c>
      <c r="Q19" s="177">
        <f t="shared" si="16"/>
        <v>0</v>
      </c>
      <c r="R19" s="177">
        <f t="shared" si="16"/>
        <v>0</v>
      </c>
      <c r="S19" s="177">
        <f t="shared" si="16"/>
        <v>0</v>
      </c>
      <c r="T19" s="177">
        <f t="shared" si="16"/>
        <v>0</v>
      </c>
      <c r="U19" s="180">
        <f t="shared" si="1"/>
        <v>1</v>
      </c>
      <c r="V19" s="32"/>
      <c r="AP19" s="32"/>
      <c r="AQ19" s="32"/>
      <c r="AR19" s="32"/>
    </row>
    <row r="20" spans="1:44" ht="21" customHeight="1">
      <c r="A20" s="222" t="s">
        <v>148</v>
      </c>
      <c r="B20" s="222" t="s">
        <v>39</v>
      </c>
      <c r="C20" s="260" t="s">
        <v>39</v>
      </c>
      <c r="D20" s="177">
        <f t="shared" ref="D20:T20" si="17">+D49/$U49</f>
        <v>1.5765765765765764E-2</v>
      </c>
      <c r="E20" s="177">
        <f t="shared" si="17"/>
        <v>9.0090090090090072E-2</v>
      </c>
      <c r="F20" s="177">
        <f t="shared" si="17"/>
        <v>0</v>
      </c>
      <c r="G20" s="177">
        <f t="shared" si="17"/>
        <v>7.5075075075075074E-4</v>
      </c>
      <c r="H20" s="177">
        <f t="shared" si="17"/>
        <v>0</v>
      </c>
      <c r="I20" s="177">
        <f t="shared" si="17"/>
        <v>4.2042042042042038E-2</v>
      </c>
      <c r="J20" s="177">
        <f t="shared" si="17"/>
        <v>6.7567567567567571E-3</v>
      </c>
      <c r="K20" s="177">
        <f t="shared" si="17"/>
        <v>0</v>
      </c>
      <c r="L20" s="177">
        <f t="shared" si="17"/>
        <v>0.82657657657657657</v>
      </c>
      <c r="M20" s="177">
        <f t="shared" si="17"/>
        <v>2.2522522522522522E-3</v>
      </c>
      <c r="N20" s="177">
        <f t="shared" si="17"/>
        <v>0</v>
      </c>
      <c r="O20" s="177">
        <f t="shared" si="17"/>
        <v>7.5075075075075074E-4</v>
      </c>
      <c r="P20" s="177">
        <f t="shared" si="17"/>
        <v>0</v>
      </c>
      <c r="Q20" s="177">
        <f t="shared" si="17"/>
        <v>0</v>
      </c>
      <c r="R20" s="177">
        <f t="shared" si="17"/>
        <v>1.5015015015015013E-2</v>
      </c>
      <c r="S20" s="177">
        <f t="shared" si="17"/>
        <v>0</v>
      </c>
      <c r="T20" s="177">
        <f t="shared" si="17"/>
        <v>0</v>
      </c>
      <c r="U20" s="180">
        <f t="shared" si="1"/>
        <v>0.99999999999999989</v>
      </c>
      <c r="V20" s="32"/>
      <c r="AP20" s="32"/>
      <c r="AQ20" s="32"/>
      <c r="AR20" s="32"/>
    </row>
    <row r="21" spans="1:44" ht="21" customHeight="1">
      <c r="A21" s="275" t="s">
        <v>175</v>
      </c>
      <c r="B21" s="222" t="s">
        <v>168</v>
      </c>
      <c r="C21" s="260" t="s">
        <v>168</v>
      </c>
      <c r="D21" s="177">
        <f t="shared" ref="D21:T21" si="18">+D50/$U50</f>
        <v>0</v>
      </c>
      <c r="E21" s="177">
        <f t="shared" si="18"/>
        <v>0</v>
      </c>
      <c r="F21" s="177">
        <f t="shared" si="18"/>
        <v>0</v>
      </c>
      <c r="G21" s="177">
        <f t="shared" si="18"/>
        <v>0</v>
      </c>
      <c r="H21" s="177">
        <f t="shared" si="18"/>
        <v>0</v>
      </c>
      <c r="I21" s="177">
        <f t="shared" si="18"/>
        <v>0</v>
      </c>
      <c r="J21" s="177">
        <f t="shared" si="18"/>
        <v>0</v>
      </c>
      <c r="K21" s="177">
        <f t="shared" si="18"/>
        <v>0</v>
      </c>
      <c r="L21" s="177">
        <f t="shared" si="18"/>
        <v>1</v>
      </c>
      <c r="M21" s="177">
        <f t="shared" si="18"/>
        <v>0</v>
      </c>
      <c r="N21" s="177">
        <f t="shared" si="18"/>
        <v>0</v>
      </c>
      <c r="O21" s="177">
        <f t="shared" si="18"/>
        <v>0</v>
      </c>
      <c r="P21" s="177">
        <f t="shared" si="18"/>
        <v>0</v>
      </c>
      <c r="Q21" s="177">
        <f t="shared" si="18"/>
        <v>0</v>
      </c>
      <c r="R21" s="177">
        <f t="shared" si="18"/>
        <v>0</v>
      </c>
      <c r="S21" s="177">
        <f t="shared" si="18"/>
        <v>0</v>
      </c>
      <c r="T21" s="177">
        <f t="shared" si="18"/>
        <v>0</v>
      </c>
      <c r="U21" s="180">
        <f t="shared" si="1"/>
        <v>1</v>
      </c>
      <c r="V21" s="28"/>
      <c r="AP21" s="32"/>
      <c r="AQ21" s="32"/>
      <c r="AR21" s="32"/>
    </row>
    <row r="22" spans="1:44" ht="18" customHeight="1">
      <c r="A22" s="222" t="s">
        <v>149</v>
      </c>
      <c r="B22" s="222" t="s">
        <v>38</v>
      </c>
      <c r="C22" s="260" t="s">
        <v>38</v>
      </c>
      <c r="D22" s="177">
        <f t="shared" ref="D22:T22" si="19">+D51/$U51</f>
        <v>0</v>
      </c>
      <c r="E22" s="177">
        <f t="shared" si="19"/>
        <v>1.0294117647058823E-2</v>
      </c>
      <c r="F22" s="177">
        <f t="shared" si="19"/>
        <v>0.95588235294117652</v>
      </c>
      <c r="G22" s="177">
        <f t="shared" si="19"/>
        <v>0</v>
      </c>
      <c r="H22" s="177">
        <f t="shared" si="19"/>
        <v>0</v>
      </c>
      <c r="I22" s="177">
        <f t="shared" si="19"/>
        <v>2.9411764705882353E-3</v>
      </c>
      <c r="J22" s="177">
        <f t="shared" si="19"/>
        <v>0</v>
      </c>
      <c r="K22" s="177">
        <f t="shared" si="19"/>
        <v>8.8235294117647058E-3</v>
      </c>
      <c r="L22" s="177">
        <f t="shared" si="19"/>
        <v>1.3235294117647059E-2</v>
      </c>
      <c r="M22" s="177">
        <f t="shared" si="19"/>
        <v>0</v>
      </c>
      <c r="N22" s="177">
        <f t="shared" si="19"/>
        <v>0</v>
      </c>
      <c r="O22" s="177">
        <f t="shared" si="19"/>
        <v>0</v>
      </c>
      <c r="P22" s="177">
        <f t="shared" si="19"/>
        <v>0</v>
      </c>
      <c r="Q22" s="177">
        <f t="shared" si="19"/>
        <v>0</v>
      </c>
      <c r="R22" s="177">
        <f t="shared" si="19"/>
        <v>4.4117647058823529E-3</v>
      </c>
      <c r="S22" s="177">
        <f t="shared" si="19"/>
        <v>0</v>
      </c>
      <c r="T22" s="177">
        <f t="shared" si="19"/>
        <v>4.4117647058823529E-3</v>
      </c>
      <c r="U22" s="180">
        <f t="shared" si="1"/>
        <v>0.99999999999999989</v>
      </c>
      <c r="V22" s="32"/>
      <c r="AP22" s="32"/>
      <c r="AQ22" s="32"/>
      <c r="AR22" s="32"/>
    </row>
    <row r="23" spans="1:44" ht="22.5" customHeight="1">
      <c r="A23" s="222" t="s">
        <v>150</v>
      </c>
      <c r="B23" s="222" t="s">
        <v>31</v>
      </c>
      <c r="C23" s="260" t="s">
        <v>31</v>
      </c>
      <c r="D23" s="177">
        <f t="shared" ref="D23:T23" si="20">+D52/$U52</f>
        <v>1.7688679245283021E-3</v>
      </c>
      <c r="E23" s="177">
        <f t="shared" si="20"/>
        <v>5.3066037735849062E-3</v>
      </c>
      <c r="F23" s="177">
        <f t="shared" si="20"/>
        <v>7.0754716981132086E-3</v>
      </c>
      <c r="G23" s="177">
        <f t="shared" si="20"/>
        <v>0</v>
      </c>
      <c r="H23" s="177">
        <f t="shared" si="20"/>
        <v>2.3584905660377362E-3</v>
      </c>
      <c r="I23" s="177">
        <f t="shared" si="20"/>
        <v>1.1792452830188681E-3</v>
      </c>
      <c r="J23" s="177">
        <f t="shared" si="20"/>
        <v>1.7688679245283021E-3</v>
      </c>
      <c r="K23" s="177">
        <f t="shared" si="20"/>
        <v>0.9722877358490567</v>
      </c>
      <c r="L23" s="177">
        <f t="shared" si="20"/>
        <v>2.9481132075471705E-3</v>
      </c>
      <c r="M23" s="177">
        <f t="shared" si="20"/>
        <v>0</v>
      </c>
      <c r="N23" s="177">
        <f t="shared" si="20"/>
        <v>0</v>
      </c>
      <c r="O23" s="177">
        <f t="shared" si="20"/>
        <v>1.7688679245283021E-3</v>
      </c>
      <c r="P23" s="177">
        <f t="shared" si="20"/>
        <v>0</v>
      </c>
      <c r="Q23" s="177">
        <f t="shared" si="20"/>
        <v>0</v>
      </c>
      <c r="R23" s="177">
        <f t="shared" si="20"/>
        <v>3.5377358490566043E-3</v>
      </c>
      <c r="S23" s="177">
        <f t="shared" si="20"/>
        <v>0</v>
      </c>
      <c r="T23" s="177">
        <f t="shared" si="20"/>
        <v>0</v>
      </c>
      <c r="U23" s="180">
        <f t="shared" si="1"/>
        <v>1.0000000000000002</v>
      </c>
      <c r="V23" s="32"/>
      <c r="AP23" s="32"/>
      <c r="AQ23" s="32"/>
      <c r="AR23" s="32"/>
    </row>
    <row r="24" spans="1:44" ht="21" customHeight="1">
      <c r="A24" s="222" t="s">
        <v>151</v>
      </c>
      <c r="B24" s="222" t="s">
        <v>152</v>
      </c>
      <c r="C24" s="260" t="s">
        <v>152</v>
      </c>
      <c r="D24" s="177">
        <f t="shared" ref="D24:T24" si="21">+D53/$U53</f>
        <v>0</v>
      </c>
      <c r="E24" s="177">
        <f t="shared" si="21"/>
        <v>0</v>
      </c>
      <c r="F24" s="177">
        <f t="shared" si="21"/>
        <v>0</v>
      </c>
      <c r="G24" s="177">
        <f t="shared" si="21"/>
        <v>0</v>
      </c>
      <c r="H24" s="177">
        <f t="shared" si="21"/>
        <v>0</v>
      </c>
      <c r="I24" s="177">
        <f t="shared" si="21"/>
        <v>0</v>
      </c>
      <c r="J24" s="177">
        <f t="shared" si="21"/>
        <v>0</v>
      </c>
      <c r="K24" s="177">
        <f t="shared" si="21"/>
        <v>1</v>
      </c>
      <c r="L24" s="177">
        <f t="shared" si="21"/>
        <v>0</v>
      </c>
      <c r="M24" s="177">
        <f t="shared" si="21"/>
        <v>0</v>
      </c>
      <c r="N24" s="177">
        <f t="shared" si="21"/>
        <v>0</v>
      </c>
      <c r="O24" s="177">
        <f t="shared" si="21"/>
        <v>0</v>
      </c>
      <c r="P24" s="177">
        <f t="shared" si="21"/>
        <v>0</v>
      </c>
      <c r="Q24" s="177">
        <f t="shared" si="21"/>
        <v>0</v>
      </c>
      <c r="R24" s="177">
        <f t="shared" si="21"/>
        <v>0</v>
      </c>
      <c r="S24" s="177">
        <f t="shared" si="21"/>
        <v>0</v>
      </c>
      <c r="T24" s="177">
        <f t="shared" si="21"/>
        <v>0</v>
      </c>
      <c r="U24" s="180">
        <f t="shared" si="1"/>
        <v>1</v>
      </c>
      <c r="V24" s="32"/>
      <c r="AP24" s="32"/>
      <c r="AQ24" s="32"/>
      <c r="AR24" s="32"/>
    </row>
    <row r="25" spans="1:44" ht="21" customHeight="1">
      <c r="A25" s="222" t="s">
        <v>160</v>
      </c>
      <c r="B25" s="222" t="s">
        <v>161</v>
      </c>
      <c r="C25" s="259" t="s">
        <v>161</v>
      </c>
      <c r="D25" s="177">
        <f t="shared" ref="D25:T25" si="22">+D54/$U54</f>
        <v>0</v>
      </c>
      <c r="E25" s="177">
        <f t="shared" si="22"/>
        <v>9.836065573770493E-2</v>
      </c>
      <c r="F25" s="177">
        <f t="shared" si="22"/>
        <v>0</v>
      </c>
      <c r="G25" s="177">
        <f t="shared" si="22"/>
        <v>0</v>
      </c>
      <c r="H25" s="177">
        <f t="shared" si="22"/>
        <v>0</v>
      </c>
      <c r="I25" s="177">
        <f t="shared" si="22"/>
        <v>0</v>
      </c>
      <c r="J25" s="177">
        <f t="shared" si="22"/>
        <v>0</v>
      </c>
      <c r="K25" s="177">
        <f t="shared" si="22"/>
        <v>0.90163934426229508</v>
      </c>
      <c r="L25" s="177">
        <f t="shared" si="22"/>
        <v>0</v>
      </c>
      <c r="M25" s="177">
        <f t="shared" si="22"/>
        <v>0</v>
      </c>
      <c r="N25" s="177">
        <f t="shared" si="22"/>
        <v>0</v>
      </c>
      <c r="O25" s="177">
        <f t="shared" si="22"/>
        <v>0</v>
      </c>
      <c r="P25" s="177">
        <f t="shared" si="22"/>
        <v>0</v>
      </c>
      <c r="Q25" s="177">
        <f t="shared" si="22"/>
        <v>0</v>
      </c>
      <c r="R25" s="177">
        <f t="shared" si="22"/>
        <v>0</v>
      </c>
      <c r="S25" s="177">
        <f t="shared" si="22"/>
        <v>0</v>
      </c>
      <c r="T25" s="177">
        <f t="shared" si="22"/>
        <v>0</v>
      </c>
      <c r="U25" s="180">
        <f t="shared" si="1"/>
        <v>1</v>
      </c>
      <c r="V25" s="32"/>
      <c r="AP25" s="32"/>
      <c r="AQ25" s="32"/>
      <c r="AR25" s="32"/>
    </row>
    <row r="26" spans="1:44" ht="21" customHeight="1">
      <c r="A26" s="222" t="s">
        <v>153</v>
      </c>
      <c r="B26" s="222" t="s">
        <v>100</v>
      </c>
      <c r="C26" s="260" t="s">
        <v>100</v>
      </c>
      <c r="D26" s="177">
        <f t="shared" ref="D26:T26" si="23">+D55/$U55</f>
        <v>0</v>
      </c>
      <c r="E26" s="177">
        <f t="shared" si="23"/>
        <v>6.7567567567567571E-3</v>
      </c>
      <c r="F26" s="177">
        <f t="shared" si="23"/>
        <v>0</v>
      </c>
      <c r="G26" s="177">
        <f t="shared" si="23"/>
        <v>0</v>
      </c>
      <c r="H26" s="177">
        <f t="shared" si="23"/>
        <v>0</v>
      </c>
      <c r="I26" s="177">
        <f t="shared" si="23"/>
        <v>0</v>
      </c>
      <c r="J26" s="177">
        <f t="shared" si="23"/>
        <v>0</v>
      </c>
      <c r="K26" s="177">
        <f t="shared" si="23"/>
        <v>0</v>
      </c>
      <c r="L26" s="177">
        <f t="shared" si="23"/>
        <v>6.7567567567567571E-3</v>
      </c>
      <c r="M26" s="177">
        <f t="shared" si="23"/>
        <v>0</v>
      </c>
      <c r="N26" s="177">
        <f t="shared" si="23"/>
        <v>0</v>
      </c>
      <c r="O26" s="177">
        <f t="shared" si="23"/>
        <v>1.0135135135135136E-2</v>
      </c>
      <c r="P26" s="177">
        <f t="shared" si="23"/>
        <v>0.95270270270270274</v>
      </c>
      <c r="Q26" s="177">
        <f t="shared" si="23"/>
        <v>0</v>
      </c>
      <c r="R26" s="177">
        <f t="shared" si="23"/>
        <v>2.3648648648648646E-2</v>
      </c>
      <c r="S26" s="177">
        <f t="shared" si="23"/>
        <v>0</v>
      </c>
      <c r="T26" s="177">
        <f t="shared" si="23"/>
        <v>0</v>
      </c>
      <c r="U26" s="180">
        <f t="shared" si="1"/>
        <v>1</v>
      </c>
      <c r="V26" s="32"/>
      <c r="AP26" s="32"/>
      <c r="AQ26" s="32"/>
      <c r="AR26" s="32"/>
    </row>
    <row r="27" spans="1:44" ht="21" customHeight="1">
      <c r="A27" s="222" t="s">
        <v>155</v>
      </c>
      <c r="B27" s="222" t="s">
        <v>42</v>
      </c>
      <c r="C27" s="260" t="s">
        <v>42</v>
      </c>
      <c r="D27" s="177">
        <f t="shared" ref="D27:T27" si="24">+D56/$U56</f>
        <v>0</v>
      </c>
      <c r="E27" s="177">
        <f t="shared" si="24"/>
        <v>0</v>
      </c>
      <c r="F27" s="177">
        <f t="shared" si="24"/>
        <v>0</v>
      </c>
      <c r="G27" s="177">
        <f t="shared" si="24"/>
        <v>0</v>
      </c>
      <c r="H27" s="177">
        <f t="shared" si="24"/>
        <v>0</v>
      </c>
      <c r="I27" s="177">
        <f t="shared" si="24"/>
        <v>0</v>
      </c>
      <c r="J27" s="177">
        <f t="shared" si="24"/>
        <v>0</v>
      </c>
      <c r="K27" s="177">
        <f t="shared" si="24"/>
        <v>0</v>
      </c>
      <c r="L27" s="177">
        <f t="shared" si="24"/>
        <v>0</v>
      </c>
      <c r="M27" s="177">
        <f t="shared" si="24"/>
        <v>0</v>
      </c>
      <c r="N27" s="177">
        <f t="shared" si="24"/>
        <v>0</v>
      </c>
      <c r="O27" s="177">
        <f t="shared" si="24"/>
        <v>0</v>
      </c>
      <c r="P27" s="177">
        <f t="shared" si="24"/>
        <v>0</v>
      </c>
      <c r="Q27" s="177">
        <f t="shared" si="24"/>
        <v>1</v>
      </c>
      <c r="R27" s="177">
        <f t="shared" si="24"/>
        <v>0</v>
      </c>
      <c r="S27" s="177">
        <f t="shared" si="24"/>
        <v>0</v>
      </c>
      <c r="T27" s="177">
        <f t="shared" si="24"/>
        <v>0</v>
      </c>
      <c r="U27" s="180">
        <f t="shared" si="1"/>
        <v>1</v>
      </c>
      <c r="V27" s="32"/>
      <c r="AP27" s="32"/>
      <c r="AQ27" s="32"/>
      <c r="AR27" s="32"/>
    </row>
    <row r="28" spans="1:44" ht="21" customHeight="1">
      <c r="A28" s="222" t="s">
        <v>162</v>
      </c>
      <c r="B28" s="222" t="s">
        <v>76</v>
      </c>
      <c r="C28" s="260" t="s">
        <v>76</v>
      </c>
      <c r="D28" s="177">
        <f t="shared" ref="D28:T28" si="25">+D57/$U57</f>
        <v>0</v>
      </c>
      <c r="E28" s="177">
        <f t="shared" si="25"/>
        <v>0</v>
      </c>
      <c r="F28" s="177">
        <f t="shared" si="25"/>
        <v>0</v>
      </c>
      <c r="G28" s="177">
        <f t="shared" si="25"/>
        <v>0</v>
      </c>
      <c r="H28" s="177">
        <f t="shared" si="25"/>
        <v>0</v>
      </c>
      <c r="I28" s="177">
        <f t="shared" si="25"/>
        <v>0</v>
      </c>
      <c r="J28" s="177">
        <f t="shared" si="25"/>
        <v>0</v>
      </c>
      <c r="K28" s="177">
        <f t="shared" si="25"/>
        <v>0</v>
      </c>
      <c r="L28" s="177">
        <f t="shared" si="25"/>
        <v>0</v>
      </c>
      <c r="M28" s="177">
        <f t="shared" si="25"/>
        <v>0</v>
      </c>
      <c r="N28" s="177">
        <f t="shared" si="25"/>
        <v>0</v>
      </c>
      <c r="O28" s="177">
        <f t="shared" si="25"/>
        <v>0.97949138638228062</v>
      </c>
      <c r="P28" s="177">
        <f t="shared" si="25"/>
        <v>0</v>
      </c>
      <c r="Q28" s="177">
        <f t="shared" si="25"/>
        <v>0</v>
      </c>
      <c r="R28" s="177">
        <f t="shared" si="25"/>
        <v>8.2034454470877784E-3</v>
      </c>
      <c r="S28" s="177">
        <f t="shared" si="25"/>
        <v>0</v>
      </c>
      <c r="T28" s="177">
        <f t="shared" si="25"/>
        <v>1.2305168170631665E-2</v>
      </c>
      <c r="U28" s="180">
        <f t="shared" si="1"/>
        <v>1</v>
      </c>
      <c r="V28" s="32"/>
      <c r="AP28" s="32"/>
      <c r="AQ28" s="32"/>
      <c r="AR28" s="32"/>
    </row>
    <row r="29" spans="1:44" ht="21" customHeight="1">
      <c r="A29" s="222" t="s">
        <v>156</v>
      </c>
      <c r="B29" s="222" t="s">
        <v>77</v>
      </c>
      <c r="C29" s="260" t="s">
        <v>77</v>
      </c>
      <c r="D29" s="177">
        <f t="shared" ref="D29:T29" si="26">+D58/$U58</f>
        <v>0</v>
      </c>
      <c r="E29" s="177">
        <f t="shared" si="26"/>
        <v>0</v>
      </c>
      <c r="F29" s="177">
        <f t="shared" si="26"/>
        <v>0</v>
      </c>
      <c r="G29" s="177">
        <f t="shared" si="26"/>
        <v>0</v>
      </c>
      <c r="H29" s="177">
        <f t="shared" si="26"/>
        <v>0</v>
      </c>
      <c r="I29" s="177">
        <f t="shared" si="26"/>
        <v>0</v>
      </c>
      <c r="J29" s="177">
        <f t="shared" si="26"/>
        <v>0</v>
      </c>
      <c r="K29" s="177">
        <f t="shared" si="26"/>
        <v>0</v>
      </c>
      <c r="L29" s="177">
        <f t="shared" si="26"/>
        <v>0</v>
      </c>
      <c r="M29" s="177">
        <f t="shared" si="26"/>
        <v>0</v>
      </c>
      <c r="N29" s="177">
        <f t="shared" si="26"/>
        <v>1</v>
      </c>
      <c r="O29" s="177">
        <f t="shared" si="26"/>
        <v>0</v>
      </c>
      <c r="P29" s="177">
        <f t="shared" si="26"/>
        <v>0</v>
      </c>
      <c r="Q29" s="177">
        <f t="shared" si="26"/>
        <v>0</v>
      </c>
      <c r="R29" s="177">
        <f t="shared" si="26"/>
        <v>0</v>
      </c>
      <c r="S29" s="177">
        <f t="shared" si="26"/>
        <v>0</v>
      </c>
      <c r="T29" s="177">
        <f t="shared" si="26"/>
        <v>0</v>
      </c>
      <c r="U29" s="180">
        <f t="shared" si="1"/>
        <v>1</v>
      </c>
      <c r="V29" s="32"/>
      <c r="AP29" s="32"/>
      <c r="AQ29" s="32"/>
      <c r="AR29" s="32"/>
    </row>
    <row r="30" spans="1:44" ht="21" customHeight="1">
      <c r="A30" s="221" t="s">
        <v>163</v>
      </c>
      <c r="B30" s="221" t="s">
        <v>164</v>
      </c>
      <c r="C30" s="260" t="s">
        <v>164</v>
      </c>
      <c r="D30" s="177">
        <f t="shared" ref="D30:T30" si="27">+D59/$U59</f>
        <v>0</v>
      </c>
      <c r="E30" s="177">
        <f t="shared" si="27"/>
        <v>0</v>
      </c>
      <c r="F30" s="177">
        <f t="shared" si="27"/>
        <v>0</v>
      </c>
      <c r="G30" s="177">
        <f t="shared" si="27"/>
        <v>0</v>
      </c>
      <c r="H30" s="177">
        <f t="shared" si="27"/>
        <v>0</v>
      </c>
      <c r="I30" s="177">
        <f t="shared" si="27"/>
        <v>0</v>
      </c>
      <c r="J30" s="177">
        <f t="shared" si="27"/>
        <v>0</v>
      </c>
      <c r="K30" s="177">
        <f t="shared" si="27"/>
        <v>0</v>
      </c>
      <c r="L30" s="177">
        <f t="shared" si="27"/>
        <v>0</v>
      </c>
      <c r="M30" s="177">
        <f t="shared" si="27"/>
        <v>0</v>
      </c>
      <c r="N30" s="177">
        <f t="shared" si="27"/>
        <v>1</v>
      </c>
      <c r="O30" s="177">
        <f t="shared" si="27"/>
        <v>0</v>
      </c>
      <c r="P30" s="177">
        <f t="shared" si="27"/>
        <v>0</v>
      </c>
      <c r="Q30" s="177">
        <f t="shared" si="27"/>
        <v>0</v>
      </c>
      <c r="R30" s="177">
        <f t="shared" si="27"/>
        <v>0</v>
      </c>
      <c r="S30" s="177">
        <f t="shared" si="27"/>
        <v>0</v>
      </c>
      <c r="T30" s="177">
        <f t="shared" si="27"/>
        <v>0</v>
      </c>
      <c r="U30" s="180">
        <f t="shared" si="1"/>
        <v>1</v>
      </c>
      <c r="V30" s="32"/>
      <c r="AP30" s="32"/>
      <c r="AQ30" s="32"/>
      <c r="AR30" s="32"/>
    </row>
    <row r="31" spans="1:44" ht="21" customHeight="1">
      <c r="C31" s="261"/>
      <c r="D31" s="32"/>
      <c r="E31" s="32"/>
      <c r="F31" s="32"/>
      <c r="G31" s="32"/>
      <c r="H31" s="32"/>
      <c r="I31" s="32"/>
      <c r="J31" s="32"/>
      <c r="K31" s="32"/>
      <c r="L31" s="32"/>
      <c r="M31" s="32"/>
      <c r="N31" s="32"/>
      <c r="O31" s="32"/>
      <c r="P31" s="32"/>
      <c r="Q31" s="32"/>
      <c r="R31" s="32"/>
      <c r="S31" s="32"/>
      <c r="T31" s="32"/>
      <c r="U31" s="32"/>
      <c r="V31" s="32"/>
      <c r="AP31" s="32"/>
      <c r="AQ31" s="32"/>
      <c r="AR31" s="32"/>
    </row>
    <row r="32" spans="1:44" ht="51" customHeight="1">
      <c r="C32" s="257" t="s">
        <v>78</v>
      </c>
      <c r="D32" s="262" t="s">
        <v>51</v>
      </c>
      <c r="E32" s="262" t="s">
        <v>52</v>
      </c>
      <c r="F32" s="262" t="s">
        <v>53</v>
      </c>
      <c r="G32" s="262" t="s">
        <v>54</v>
      </c>
      <c r="H32" s="262" t="s">
        <v>55</v>
      </c>
      <c r="I32" s="262" t="s">
        <v>56</v>
      </c>
      <c r="J32" s="262" t="s">
        <v>58</v>
      </c>
      <c r="K32" s="262" t="s">
        <v>59</v>
      </c>
      <c r="L32" s="262" t="s">
        <v>60</v>
      </c>
      <c r="M32" s="262" t="s">
        <v>61</v>
      </c>
      <c r="N32" s="262" t="s">
        <v>63</v>
      </c>
      <c r="O32" s="262" t="s">
        <v>64</v>
      </c>
      <c r="P32" s="262" t="s">
        <v>65</v>
      </c>
      <c r="Q32" s="262" t="s">
        <v>66</v>
      </c>
      <c r="R32" s="262" t="s">
        <v>67</v>
      </c>
      <c r="S32" s="262" t="s">
        <v>62</v>
      </c>
      <c r="T32" s="262" t="s">
        <v>57</v>
      </c>
      <c r="U32" s="263" t="s">
        <v>17</v>
      </c>
    </row>
    <row r="33" spans="1:21" ht="21" customHeight="1">
      <c r="A33" s="220" t="s">
        <v>128</v>
      </c>
      <c r="B33" s="220" t="s">
        <v>21</v>
      </c>
      <c r="C33" s="257" t="s">
        <v>173</v>
      </c>
      <c r="D33" s="173">
        <v>133</v>
      </c>
      <c r="E33" s="173">
        <v>6156</v>
      </c>
      <c r="F33" s="173">
        <v>916</v>
      </c>
      <c r="G33" s="173">
        <v>74</v>
      </c>
      <c r="H33" s="173">
        <v>831</v>
      </c>
      <c r="I33" s="173">
        <v>283</v>
      </c>
      <c r="J33" s="173">
        <v>78</v>
      </c>
      <c r="K33" s="173"/>
      <c r="L33" s="173"/>
      <c r="M33" s="173">
        <v>52</v>
      </c>
      <c r="N33" s="173"/>
      <c r="O33" s="173">
        <v>174</v>
      </c>
      <c r="P33" s="173">
        <v>142</v>
      </c>
      <c r="Q33" s="173"/>
      <c r="R33" s="173">
        <v>170</v>
      </c>
      <c r="S33" s="173">
        <v>43</v>
      </c>
      <c r="T33" s="173">
        <v>49</v>
      </c>
      <c r="U33" s="172">
        <f t="shared" ref="U33:U59" si="28">SUM(D33:T33)</f>
        <v>9101</v>
      </c>
    </row>
    <row r="34" spans="1:21" ht="21" customHeight="1">
      <c r="A34" s="222" t="s">
        <v>129</v>
      </c>
      <c r="B34" s="222" t="s">
        <v>35</v>
      </c>
      <c r="C34" s="257" t="s">
        <v>71</v>
      </c>
      <c r="D34" s="174">
        <v>16.333333333333332</v>
      </c>
      <c r="E34" s="174">
        <v>2069.333333333333</v>
      </c>
      <c r="F34" s="174">
        <v>73</v>
      </c>
      <c r="G34" s="174"/>
      <c r="H34" s="174">
        <v>121</v>
      </c>
      <c r="I34" s="174">
        <v>5</v>
      </c>
      <c r="J34" s="174">
        <v>46.333333333333336</v>
      </c>
      <c r="K34" s="174">
        <v>1.3333333333333333</v>
      </c>
      <c r="L34" s="174">
        <v>25</v>
      </c>
      <c r="M34" s="174"/>
      <c r="N34" s="174"/>
      <c r="O34" s="174">
        <v>432.00000000000006</v>
      </c>
      <c r="P34" s="174"/>
      <c r="Q34" s="174">
        <v>59.666666666666664</v>
      </c>
      <c r="R34" s="174">
        <v>6</v>
      </c>
      <c r="S34" s="175"/>
      <c r="T34" s="174">
        <v>301.33333333333331</v>
      </c>
      <c r="U34" s="172">
        <f t="shared" si="28"/>
        <v>3156.3333333333335</v>
      </c>
    </row>
    <row r="35" spans="1:21" ht="21" customHeight="1">
      <c r="A35" s="222" t="s">
        <v>140</v>
      </c>
      <c r="B35" s="222" t="s">
        <v>36</v>
      </c>
      <c r="C35" s="257" t="s">
        <v>72</v>
      </c>
      <c r="D35" s="175"/>
      <c r="E35" s="174"/>
      <c r="F35" s="175"/>
      <c r="G35" s="174"/>
      <c r="H35" s="175"/>
      <c r="I35" s="174"/>
      <c r="J35" s="174"/>
      <c r="K35" s="175"/>
      <c r="L35" s="174"/>
      <c r="M35" s="174">
        <v>33.333333333333336</v>
      </c>
      <c r="N35" s="174"/>
      <c r="O35" s="174">
        <v>95.666666666666671</v>
      </c>
      <c r="P35" s="174"/>
      <c r="Q35" s="174"/>
      <c r="R35" s="174"/>
      <c r="S35" s="175"/>
      <c r="T35" s="174"/>
      <c r="U35" s="172">
        <f t="shared" si="28"/>
        <v>129</v>
      </c>
    </row>
    <row r="36" spans="1:21" ht="21" customHeight="1">
      <c r="A36" s="222" t="s">
        <v>130</v>
      </c>
      <c r="B36" s="222" t="s">
        <v>37</v>
      </c>
      <c r="C36" s="257" t="s">
        <v>73</v>
      </c>
      <c r="D36" s="174">
        <v>0.66666666666666663</v>
      </c>
      <c r="E36" s="174">
        <v>11.666666666666668</v>
      </c>
      <c r="F36" s="174">
        <v>8.6666666666666661</v>
      </c>
      <c r="G36" s="174">
        <v>0.66666666666666663</v>
      </c>
      <c r="H36" s="174">
        <v>906</v>
      </c>
      <c r="I36" s="174">
        <v>1.6666666666666665</v>
      </c>
      <c r="J36" s="174">
        <v>0.33333333333333331</v>
      </c>
      <c r="K36" s="174">
        <v>3.3333333333333335</v>
      </c>
      <c r="L36" s="174">
        <v>0.66666666666666663</v>
      </c>
      <c r="M36" s="174"/>
      <c r="N36" s="174"/>
      <c r="O36" s="174">
        <v>3.6666666666666665</v>
      </c>
      <c r="P36" s="174">
        <v>58.666666666666664</v>
      </c>
      <c r="Q36" s="174"/>
      <c r="R36" s="174">
        <v>3.3333333333333335</v>
      </c>
      <c r="S36" s="175">
        <v>2.3333333333333335</v>
      </c>
      <c r="T36" s="174">
        <v>19.666666666666668</v>
      </c>
      <c r="U36" s="172">
        <f t="shared" si="28"/>
        <v>1021.3333333333333</v>
      </c>
    </row>
    <row r="37" spans="1:21" ht="21" customHeight="1">
      <c r="A37" s="222" t="s">
        <v>131</v>
      </c>
      <c r="B37" s="222" t="s">
        <v>141</v>
      </c>
      <c r="C37" s="257" t="s">
        <v>141</v>
      </c>
      <c r="D37" s="174">
        <v>1.3333333333333333</v>
      </c>
      <c r="E37" s="174">
        <v>12.000000000000002</v>
      </c>
      <c r="F37" s="174">
        <v>0.66666666666666663</v>
      </c>
      <c r="G37" s="174"/>
      <c r="H37" s="174">
        <v>1</v>
      </c>
      <c r="I37" s="174">
        <v>521.33333333333326</v>
      </c>
      <c r="J37" s="175"/>
      <c r="K37" s="174"/>
      <c r="L37" s="174">
        <v>3.6666666666666665</v>
      </c>
      <c r="M37" s="175"/>
      <c r="N37" s="175"/>
      <c r="O37" s="175">
        <v>0.33333333333333331</v>
      </c>
      <c r="P37" s="175"/>
      <c r="Q37" s="175"/>
      <c r="R37" s="174">
        <v>0.33333333333333331</v>
      </c>
      <c r="S37" s="175"/>
      <c r="T37" s="175">
        <v>1</v>
      </c>
      <c r="U37" s="172">
        <f t="shared" si="28"/>
        <v>541.66666666666663</v>
      </c>
    </row>
    <row r="38" spans="1:21" ht="21" customHeight="1">
      <c r="A38" s="222" t="s">
        <v>132</v>
      </c>
      <c r="B38" s="222" t="s">
        <v>142</v>
      </c>
      <c r="C38" s="257" t="s">
        <v>142</v>
      </c>
      <c r="D38" s="174"/>
      <c r="E38" s="174">
        <v>2</v>
      </c>
      <c r="F38" s="174"/>
      <c r="G38" s="174">
        <v>312.33333333333331</v>
      </c>
      <c r="H38" s="174"/>
      <c r="I38" s="174"/>
      <c r="J38" s="174"/>
      <c r="K38" s="174"/>
      <c r="L38" s="174">
        <v>0.66666666666666663</v>
      </c>
      <c r="M38" s="174"/>
      <c r="N38" s="175"/>
      <c r="O38" s="174"/>
      <c r="P38" s="174"/>
      <c r="Q38" s="174"/>
      <c r="R38" s="174"/>
      <c r="S38" s="175"/>
      <c r="T38" s="174">
        <v>1</v>
      </c>
      <c r="U38" s="172">
        <f t="shared" si="28"/>
        <v>316</v>
      </c>
    </row>
    <row r="39" spans="1:21" ht="21" customHeight="1">
      <c r="A39" s="222" t="s">
        <v>133</v>
      </c>
      <c r="B39" s="222" t="s">
        <v>143</v>
      </c>
      <c r="C39" s="257" t="s">
        <v>143</v>
      </c>
      <c r="D39" s="175"/>
      <c r="E39" s="174">
        <v>0.66666666666666663</v>
      </c>
      <c r="F39" s="175"/>
      <c r="G39" s="174">
        <v>256.33333333333337</v>
      </c>
      <c r="H39" s="174"/>
      <c r="I39" s="175"/>
      <c r="J39" s="174"/>
      <c r="K39" s="175"/>
      <c r="L39" s="174">
        <v>1.3333333333333333</v>
      </c>
      <c r="M39" s="175"/>
      <c r="N39" s="175"/>
      <c r="O39" s="174"/>
      <c r="P39" s="175">
        <v>2.6666666666666665</v>
      </c>
      <c r="Q39" s="175"/>
      <c r="R39" s="174"/>
      <c r="S39" s="175"/>
      <c r="T39" s="174">
        <v>5.333333333333333</v>
      </c>
      <c r="U39" s="172">
        <f t="shared" si="28"/>
        <v>266.33333333333337</v>
      </c>
    </row>
    <row r="40" spans="1:21" ht="21" customHeight="1">
      <c r="A40" s="222" t="s">
        <v>134</v>
      </c>
      <c r="B40" s="222" t="s">
        <v>40</v>
      </c>
      <c r="C40" s="257" t="s">
        <v>40</v>
      </c>
      <c r="D40" s="174"/>
      <c r="E40" s="174">
        <v>2</v>
      </c>
      <c r="F40" s="174"/>
      <c r="G40" s="174"/>
      <c r="H40" s="174"/>
      <c r="I40" s="174"/>
      <c r="J40" s="175">
        <v>7</v>
      </c>
      <c r="K40" s="175"/>
      <c r="L40" s="174"/>
      <c r="M40" s="174"/>
      <c r="N40" s="175"/>
      <c r="O40" s="174"/>
      <c r="P40" s="175"/>
      <c r="Q40" s="175"/>
      <c r="R40" s="174"/>
      <c r="S40" s="175"/>
      <c r="T40" s="175"/>
      <c r="U40" s="172">
        <f t="shared" si="28"/>
        <v>9</v>
      </c>
    </row>
    <row r="41" spans="1:21" ht="21" customHeight="1">
      <c r="A41" s="222" t="s">
        <v>135</v>
      </c>
      <c r="B41" s="222" t="s">
        <v>70</v>
      </c>
      <c r="C41" s="257" t="s">
        <v>70</v>
      </c>
      <c r="D41" s="174"/>
      <c r="E41" s="174">
        <v>2.3333333333333335</v>
      </c>
      <c r="F41" s="175"/>
      <c r="G41" s="174"/>
      <c r="H41" s="175"/>
      <c r="I41" s="174"/>
      <c r="J41" s="174"/>
      <c r="K41" s="175"/>
      <c r="L41" s="174">
        <v>4</v>
      </c>
      <c r="M41" s="174">
        <v>249.33333333333334</v>
      </c>
      <c r="N41" s="175"/>
      <c r="O41" s="174">
        <v>1.3333333333333333</v>
      </c>
      <c r="P41" s="174"/>
      <c r="Q41" s="174"/>
      <c r="R41" s="174">
        <v>2.333333333333333</v>
      </c>
      <c r="S41" s="175"/>
      <c r="T41" s="175"/>
      <c r="U41" s="172">
        <f t="shared" si="28"/>
        <v>259.33333333333331</v>
      </c>
    </row>
    <row r="42" spans="1:21" ht="18" customHeight="1">
      <c r="A42" s="222" t="s">
        <v>136</v>
      </c>
      <c r="B42" s="222" t="s">
        <v>144</v>
      </c>
      <c r="C42" s="257" t="s">
        <v>144</v>
      </c>
      <c r="D42" s="175"/>
      <c r="E42" s="174"/>
      <c r="F42" s="175"/>
      <c r="G42" s="175"/>
      <c r="H42" s="174"/>
      <c r="I42" s="174">
        <v>0.66666666666666663</v>
      </c>
      <c r="J42" s="175"/>
      <c r="K42" s="175"/>
      <c r="L42" s="175"/>
      <c r="M42" s="175"/>
      <c r="N42" s="175"/>
      <c r="O42" s="174">
        <v>6</v>
      </c>
      <c r="P42" s="174"/>
      <c r="Q42" s="174"/>
      <c r="R42" s="174">
        <v>325</v>
      </c>
      <c r="S42" s="175"/>
      <c r="T42" s="175">
        <v>0.66666666666666663</v>
      </c>
      <c r="U42" s="172">
        <f t="shared" si="28"/>
        <v>332.33333333333337</v>
      </c>
    </row>
    <row r="43" spans="1:21" ht="18" customHeight="1">
      <c r="A43" s="222" t="s">
        <v>137</v>
      </c>
      <c r="B43" s="222" t="s">
        <v>49</v>
      </c>
      <c r="C43" s="257" t="s">
        <v>49</v>
      </c>
      <c r="D43" s="174">
        <v>1</v>
      </c>
      <c r="E43" s="174">
        <v>4</v>
      </c>
      <c r="F43" s="174"/>
      <c r="G43" s="174"/>
      <c r="H43" s="175">
        <v>1</v>
      </c>
      <c r="I43" s="175"/>
      <c r="J43" s="174"/>
      <c r="K43" s="174"/>
      <c r="L43" s="174">
        <v>2</v>
      </c>
      <c r="M43" s="175">
        <v>3</v>
      </c>
      <c r="N43" s="175">
        <v>1</v>
      </c>
      <c r="O43" s="174">
        <v>34.333333333333336</v>
      </c>
      <c r="P43" s="175">
        <v>1</v>
      </c>
      <c r="Q43" s="175"/>
      <c r="R43" s="174">
        <v>156.66666666666666</v>
      </c>
      <c r="S43" s="175"/>
      <c r="T43" s="175">
        <v>3</v>
      </c>
      <c r="U43" s="172">
        <f t="shared" si="28"/>
        <v>207</v>
      </c>
    </row>
    <row r="44" spans="1:21" ht="18" customHeight="1">
      <c r="A44" s="222" t="s">
        <v>138</v>
      </c>
      <c r="B44" s="222" t="s">
        <v>157</v>
      </c>
      <c r="C44" s="257" t="s">
        <v>157</v>
      </c>
      <c r="D44" s="175">
        <v>133.66666666666666</v>
      </c>
      <c r="E44" s="174">
        <v>1.6666666666666665</v>
      </c>
      <c r="F44" s="174">
        <v>1</v>
      </c>
      <c r="G44" s="175"/>
      <c r="H44" s="175">
        <v>1.6666666666666667</v>
      </c>
      <c r="I44" s="175">
        <v>1.6666666666666665</v>
      </c>
      <c r="J44" s="175"/>
      <c r="K44" s="175"/>
      <c r="L44" s="175">
        <v>5</v>
      </c>
      <c r="M44" s="175"/>
      <c r="N44" s="174"/>
      <c r="O44" s="174">
        <v>0.33333333333333331</v>
      </c>
      <c r="P44" s="175"/>
      <c r="Q44" s="175"/>
      <c r="R44" s="174">
        <v>0.33333333333333331</v>
      </c>
      <c r="S44" s="175"/>
      <c r="T44" s="175">
        <v>5</v>
      </c>
      <c r="U44" s="172">
        <f t="shared" si="28"/>
        <v>150.33333333333331</v>
      </c>
    </row>
    <row r="45" spans="1:21" ht="18" customHeight="1">
      <c r="A45" s="222" t="s">
        <v>145</v>
      </c>
      <c r="B45" s="222" t="s">
        <v>146</v>
      </c>
      <c r="C45" s="257" t="s">
        <v>146</v>
      </c>
      <c r="D45" s="175">
        <v>179</v>
      </c>
      <c r="E45" s="175"/>
      <c r="F45" s="175"/>
      <c r="G45" s="175"/>
      <c r="H45" s="175"/>
      <c r="I45" s="175"/>
      <c r="J45" s="175"/>
      <c r="K45" s="175"/>
      <c r="L45" s="175"/>
      <c r="M45" s="175"/>
      <c r="N45" s="174"/>
      <c r="O45" s="174"/>
      <c r="P45" s="175"/>
      <c r="Q45" s="175"/>
      <c r="R45" s="174"/>
      <c r="S45" s="175"/>
      <c r="T45" s="175">
        <v>7.333333333333333</v>
      </c>
      <c r="U45" s="172">
        <f t="shared" si="28"/>
        <v>186.33333333333334</v>
      </c>
    </row>
    <row r="46" spans="1:21" ht="18" customHeight="1">
      <c r="A46" s="222" t="s">
        <v>147</v>
      </c>
      <c r="B46" s="222" t="s">
        <v>165</v>
      </c>
      <c r="C46" s="257" t="s">
        <v>165</v>
      </c>
      <c r="D46" s="174"/>
      <c r="E46" s="174"/>
      <c r="F46" s="174"/>
      <c r="G46" s="174"/>
      <c r="H46" s="175">
        <v>7</v>
      </c>
      <c r="I46" s="174"/>
      <c r="J46" s="175"/>
      <c r="K46" s="174"/>
      <c r="L46" s="174"/>
      <c r="M46" s="174"/>
      <c r="N46" s="174"/>
      <c r="O46" s="174"/>
      <c r="P46" s="174"/>
      <c r="Q46" s="174"/>
      <c r="R46" s="174"/>
      <c r="S46" s="175"/>
      <c r="T46" s="175"/>
      <c r="U46" s="172">
        <f t="shared" si="28"/>
        <v>7</v>
      </c>
    </row>
    <row r="47" spans="1:21" ht="18" customHeight="1">
      <c r="A47" s="222" t="s">
        <v>174</v>
      </c>
      <c r="B47" s="222" t="s">
        <v>167</v>
      </c>
      <c r="C47" s="258" t="s">
        <v>172</v>
      </c>
      <c r="D47" s="175"/>
      <c r="E47" s="174"/>
      <c r="F47" s="175"/>
      <c r="G47" s="174"/>
      <c r="H47" s="175">
        <v>6</v>
      </c>
      <c r="I47" s="174"/>
      <c r="J47" s="175"/>
      <c r="K47" s="174"/>
      <c r="L47" s="174"/>
      <c r="M47" s="174"/>
      <c r="N47" s="175"/>
      <c r="O47" s="174"/>
      <c r="P47" s="174"/>
      <c r="Q47" s="175"/>
      <c r="R47" s="174"/>
      <c r="S47" s="175"/>
      <c r="T47" s="174"/>
      <c r="U47" s="172">
        <f t="shared" si="28"/>
        <v>6</v>
      </c>
    </row>
    <row r="48" spans="1:21" ht="18" customHeight="1">
      <c r="A48" s="222" t="s">
        <v>158</v>
      </c>
      <c r="B48" s="222" t="s">
        <v>166</v>
      </c>
      <c r="C48" s="259" t="s">
        <v>166</v>
      </c>
      <c r="D48" s="175"/>
      <c r="E48" s="174"/>
      <c r="F48" s="174"/>
      <c r="G48" s="175"/>
      <c r="H48" s="175">
        <v>7.333333333333333</v>
      </c>
      <c r="I48" s="175"/>
      <c r="J48" s="175"/>
      <c r="K48" s="174"/>
      <c r="L48" s="174"/>
      <c r="M48" s="175"/>
      <c r="N48" s="175"/>
      <c r="O48" s="175"/>
      <c r="P48" s="175"/>
      <c r="Q48" s="175"/>
      <c r="R48" s="174"/>
      <c r="S48" s="175"/>
      <c r="T48" s="175"/>
      <c r="U48" s="172">
        <f t="shared" si="28"/>
        <v>7.333333333333333</v>
      </c>
    </row>
    <row r="49" spans="1:21" ht="18" customHeight="1">
      <c r="A49" s="222" t="s">
        <v>148</v>
      </c>
      <c r="B49" s="222" t="s">
        <v>39</v>
      </c>
      <c r="C49" s="260" t="s">
        <v>39</v>
      </c>
      <c r="D49" s="174">
        <v>7</v>
      </c>
      <c r="E49" s="174">
        <v>39.999999999999993</v>
      </c>
      <c r="F49" s="174"/>
      <c r="G49" s="174">
        <v>0.33333333333333331</v>
      </c>
      <c r="H49" s="174"/>
      <c r="I49" s="174">
        <v>18.666666666666664</v>
      </c>
      <c r="J49" s="174">
        <v>3</v>
      </c>
      <c r="K49" s="174"/>
      <c r="L49" s="174">
        <v>367</v>
      </c>
      <c r="M49" s="174">
        <v>1</v>
      </c>
      <c r="N49" s="175"/>
      <c r="O49" s="174">
        <v>0.33333333333333331</v>
      </c>
      <c r="P49" s="175"/>
      <c r="Q49" s="174"/>
      <c r="R49" s="174">
        <v>6.6666666666666661</v>
      </c>
      <c r="S49" s="175"/>
      <c r="T49" s="174"/>
      <c r="U49" s="172">
        <f t="shared" si="28"/>
        <v>444</v>
      </c>
    </row>
    <row r="50" spans="1:21" ht="18" customHeight="1">
      <c r="A50" s="264">
        <v>35</v>
      </c>
      <c r="B50" s="222" t="s">
        <v>168</v>
      </c>
      <c r="C50" s="260" t="s">
        <v>168</v>
      </c>
      <c r="D50" s="174"/>
      <c r="E50" s="174"/>
      <c r="F50" s="174"/>
      <c r="G50" s="174"/>
      <c r="H50" s="175"/>
      <c r="I50" s="174"/>
      <c r="J50" s="174"/>
      <c r="K50" s="174"/>
      <c r="L50" s="174">
        <v>5</v>
      </c>
      <c r="M50" s="174"/>
      <c r="N50" s="175"/>
      <c r="O50" s="174"/>
      <c r="P50" s="174"/>
      <c r="Q50" s="175"/>
      <c r="R50" s="175"/>
      <c r="S50" s="175"/>
      <c r="T50" s="174"/>
      <c r="U50" s="172">
        <f t="shared" si="28"/>
        <v>5</v>
      </c>
    </row>
    <row r="51" spans="1:21" ht="18" customHeight="1">
      <c r="A51" s="222" t="s">
        <v>149</v>
      </c>
      <c r="B51" s="222" t="s">
        <v>38</v>
      </c>
      <c r="C51" s="260" t="s">
        <v>38</v>
      </c>
      <c r="D51" s="175"/>
      <c r="E51" s="174">
        <v>2.333333333333333</v>
      </c>
      <c r="F51" s="175">
        <v>216.66666666666666</v>
      </c>
      <c r="G51" s="174"/>
      <c r="H51" s="175"/>
      <c r="I51" s="175">
        <v>0.66666666666666663</v>
      </c>
      <c r="J51" s="175"/>
      <c r="K51" s="175">
        <v>2</v>
      </c>
      <c r="L51" s="174">
        <v>3</v>
      </c>
      <c r="M51" s="175"/>
      <c r="N51" s="175"/>
      <c r="O51" s="175"/>
      <c r="P51" s="175"/>
      <c r="Q51" s="175"/>
      <c r="R51" s="175">
        <v>1</v>
      </c>
      <c r="S51" s="175"/>
      <c r="T51" s="175">
        <v>1</v>
      </c>
      <c r="U51" s="172">
        <f t="shared" si="28"/>
        <v>226.66666666666666</v>
      </c>
    </row>
    <row r="52" spans="1:21" ht="18" customHeight="1">
      <c r="A52" s="222" t="s">
        <v>150</v>
      </c>
      <c r="B52" s="222" t="s">
        <v>31</v>
      </c>
      <c r="C52" s="260" t="s">
        <v>31</v>
      </c>
      <c r="D52" s="175">
        <v>1</v>
      </c>
      <c r="E52" s="175">
        <v>3</v>
      </c>
      <c r="F52" s="175">
        <v>4</v>
      </c>
      <c r="G52" s="175"/>
      <c r="H52" s="174">
        <v>1.3333333333333333</v>
      </c>
      <c r="I52" s="175">
        <v>0.66666666666666663</v>
      </c>
      <c r="J52" s="175">
        <v>1</v>
      </c>
      <c r="K52" s="175">
        <v>549.66666666666663</v>
      </c>
      <c r="L52" s="175">
        <v>1.6666666666666667</v>
      </c>
      <c r="M52" s="175"/>
      <c r="N52" s="175"/>
      <c r="O52" s="174">
        <v>1</v>
      </c>
      <c r="P52" s="175"/>
      <c r="Q52" s="175"/>
      <c r="R52" s="175">
        <v>2</v>
      </c>
      <c r="S52" s="175"/>
      <c r="T52" s="175"/>
      <c r="U52" s="172">
        <f t="shared" si="28"/>
        <v>565.33333333333326</v>
      </c>
    </row>
    <row r="53" spans="1:21" ht="18" customHeight="1">
      <c r="A53" s="222" t="s">
        <v>151</v>
      </c>
      <c r="B53" s="222" t="s">
        <v>152</v>
      </c>
      <c r="C53" s="260" t="s">
        <v>152</v>
      </c>
      <c r="D53" s="175"/>
      <c r="E53" s="174"/>
      <c r="F53" s="175"/>
      <c r="G53" s="175"/>
      <c r="H53" s="174"/>
      <c r="I53" s="175"/>
      <c r="J53" s="175"/>
      <c r="K53" s="175">
        <v>40.333333333333336</v>
      </c>
      <c r="L53" s="175"/>
      <c r="M53" s="175"/>
      <c r="N53" s="175"/>
      <c r="O53" s="174"/>
      <c r="P53" s="175"/>
      <c r="Q53" s="175"/>
      <c r="R53" s="175"/>
      <c r="S53" s="175"/>
      <c r="T53" s="175"/>
      <c r="U53" s="172">
        <f t="shared" si="28"/>
        <v>40.333333333333336</v>
      </c>
    </row>
    <row r="54" spans="1:21" ht="18" customHeight="1">
      <c r="A54" s="222" t="s">
        <v>160</v>
      </c>
      <c r="B54" s="222" t="s">
        <v>161</v>
      </c>
      <c r="C54" s="259" t="s">
        <v>161</v>
      </c>
      <c r="D54" s="175"/>
      <c r="E54" s="174">
        <v>2</v>
      </c>
      <c r="F54" s="174"/>
      <c r="G54" s="175"/>
      <c r="H54" s="175"/>
      <c r="I54" s="175"/>
      <c r="J54" s="175"/>
      <c r="K54" s="174">
        <v>18.333333333333332</v>
      </c>
      <c r="L54" s="174"/>
      <c r="M54" s="175"/>
      <c r="N54" s="175"/>
      <c r="O54" s="175"/>
      <c r="P54" s="175"/>
      <c r="Q54" s="175"/>
      <c r="R54" s="174"/>
      <c r="S54" s="175"/>
      <c r="T54" s="175"/>
      <c r="U54" s="172">
        <f t="shared" si="28"/>
        <v>20.333333333333332</v>
      </c>
    </row>
    <row r="55" spans="1:21" ht="18" customHeight="1">
      <c r="A55" s="222" t="s">
        <v>153</v>
      </c>
      <c r="B55" s="222" t="s">
        <v>100</v>
      </c>
      <c r="C55" s="260" t="s">
        <v>100</v>
      </c>
      <c r="D55" s="174"/>
      <c r="E55" s="174">
        <v>0.66666666666666663</v>
      </c>
      <c r="F55" s="174"/>
      <c r="G55" s="174"/>
      <c r="H55" s="174"/>
      <c r="I55" s="174"/>
      <c r="J55" s="174"/>
      <c r="K55" s="174"/>
      <c r="L55" s="174">
        <v>0.66666666666666663</v>
      </c>
      <c r="M55" s="174"/>
      <c r="N55" s="175"/>
      <c r="O55" s="174">
        <v>1</v>
      </c>
      <c r="P55" s="175">
        <v>94</v>
      </c>
      <c r="Q55" s="174"/>
      <c r="R55" s="174">
        <v>2.333333333333333</v>
      </c>
      <c r="S55" s="175"/>
      <c r="T55" s="174"/>
      <c r="U55" s="172">
        <f t="shared" si="28"/>
        <v>98.666666666666657</v>
      </c>
    </row>
    <row r="56" spans="1:21" ht="18" customHeight="1">
      <c r="A56" s="222" t="s">
        <v>155</v>
      </c>
      <c r="B56" s="222" t="s">
        <v>42</v>
      </c>
      <c r="C56" s="260" t="s">
        <v>42</v>
      </c>
      <c r="D56" s="174"/>
      <c r="E56" s="174"/>
      <c r="F56" s="174"/>
      <c r="G56" s="174"/>
      <c r="H56" s="175"/>
      <c r="I56" s="174"/>
      <c r="J56" s="174"/>
      <c r="K56" s="174"/>
      <c r="L56" s="174"/>
      <c r="M56" s="174"/>
      <c r="N56" s="175"/>
      <c r="O56" s="174"/>
      <c r="P56" s="174"/>
      <c r="Q56" s="175">
        <v>347.33333333333331</v>
      </c>
      <c r="R56" s="175"/>
      <c r="S56" s="175"/>
      <c r="T56" s="174"/>
      <c r="U56" s="172">
        <f t="shared" si="28"/>
        <v>347.33333333333331</v>
      </c>
    </row>
    <row r="57" spans="1:21" ht="18" customHeight="1">
      <c r="A57" s="222" t="s">
        <v>162</v>
      </c>
      <c r="B57" s="222" t="s">
        <v>76</v>
      </c>
      <c r="C57" s="260" t="s">
        <v>76</v>
      </c>
      <c r="D57" s="175"/>
      <c r="E57" s="174"/>
      <c r="F57" s="175"/>
      <c r="G57" s="174"/>
      <c r="H57" s="175"/>
      <c r="I57" s="175"/>
      <c r="J57" s="175"/>
      <c r="K57" s="175"/>
      <c r="L57" s="174"/>
      <c r="M57" s="175"/>
      <c r="N57" s="175"/>
      <c r="O57" s="175">
        <v>796</v>
      </c>
      <c r="P57" s="175"/>
      <c r="Q57" s="175"/>
      <c r="R57" s="175">
        <v>6.666666666666667</v>
      </c>
      <c r="S57" s="175"/>
      <c r="T57" s="175">
        <v>10</v>
      </c>
      <c r="U57" s="172">
        <f t="shared" si="28"/>
        <v>812.66666666666663</v>
      </c>
    </row>
    <row r="58" spans="1:21" ht="18" customHeight="1">
      <c r="A58" s="222" t="s">
        <v>156</v>
      </c>
      <c r="B58" s="222" t="s">
        <v>77</v>
      </c>
      <c r="C58" s="260" t="s">
        <v>77</v>
      </c>
      <c r="D58" s="175"/>
      <c r="E58" s="175"/>
      <c r="F58" s="175"/>
      <c r="G58" s="175"/>
      <c r="H58" s="174"/>
      <c r="I58" s="175"/>
      <c r="J58" s="175"/>
      <c r="K58" s="175"/>
      <c r="L58" s="175"/>
      <c r="M58" s="175"/>
      <c r="N58" s="175">
        <v>242</v>
      </c>
      <c r="O58" s="174"/>
      <c r="P58" s="175"/>
      <c r="Q58" s="175"/>
      <c r="R58" s="175"/>
      <c r="S58" s="175"/>
      <c r="T58" s="175"/>
      <c r="U58" s="172">
        <f t="shared" si="28"/>
        <v>242</v>
      </c>
    </row>
    <row r="59" spans="1:21" ht="18" customHeight="1">
      <c r="A59" s="221" t="s">
        <v>163</v>
      </c>
      <c r="B59" s="221" t="s">
        <v>164</v>
      </c>
      <c r="C59" s="260" t="s">
        <v>164</v>
      </c>
      <c r="D59" s="175"/>
      <c r="E59" s="174"/>
      <c r="F59" s="175"/>
      <c r="G59" s="175"/>
      <c r="H59" s="174"/>
      <c r="I59" s="175"/>
      <c r="J59" s="175"/>
      <c r="K59" s="175"/>
      <c r="L59" s="175"/>
      <c r="M59" s="175"/>
      <c r="N59" s="175">
        <v>75.333333333333329</v>
      </c>
      <c r="O59" s="174"/>
      <c r="P59" s="175"/>
      <c r="Q59" s="175"/>
      <c r="R59" s="175"/>
      <c r="S59" s="175"/>
      <c r="T59" s="175"/>
      <c r="U59" s="172">
        <f t="shared" si="28"/>
        <v>75.333333333333329</v>
      </c>
    </row>
    <row r="60" spans="1:21" ht="18" customHeight="1">
      <c r="C60" s="260" t="s">
        <v>17</v>
      </c>
      <c r="D60" s="175">
        <f t="shared" ref="D60:U60" si="29">SUM(D33:D59)</f>
        <v>473</v>
      </c>
      <c r="E60" s="174">
        <f t="shared" si="29"/>
        <v>8309.6666666666642</v>
      </c>
      <c r="F60" s="175">
        <f t="shared" si="29"/>
        <v>1220</v>
      </c>
      <c r="G60" s="175">
        <f t="shared" si="29"/>
        <v>643.66666666666674</v>
      </c>
      <c r="H60" s="174">
        <f t="shared" si="29"/>
        <v>1883.3333333333333</v>
      </c>
      <c r="I60" s="175">
        <f t="shared" si="29"/>
        <v>833.33333333333314</v>
      </c>
      <c r="J60" s="175">
        <f t="shared" si="29"/>
        <v>135.66666666666669</v>
      </c>
      <c r="K60" s="175">
        <f t="shared" si="29"/>
        <v>615</v>
      </c>
      <c r="L60" s="175">
        <f t="shared" si="29"/>
        <v>419.66666666666669</v>
      </c>
      <c r="M60" s="175">
        <f t="shared" si="29"/>
        <v>338.66666666666669</v>
      </c>
      <c r="N60" s="175">
        <f t="shared" si="29"/>
        <v>318.33333333333331</v>
      </c>
      <c r="O60" s="174">
        <f t="shared" si="29"/>
        <v>1546</v>
      </c>
      <c r="P60" s="175">
        <f t="shared" si="29"/>
        <v>298.33333333333331</v>
      </c>
      <c r="Q60" s="175">
        <f t="shared" si="29"/>
        <v>407</v>
      </c>
      <c r="R60" s="175">
        <f t="shared" si="29"/>
        <v>682.66666666666663</v>
      </c>
      <c r="S60" s="175">
        <f t="shared" si="29"/>
        <v>45.333333333333336</v>
      </c>
      <c r="T60" s="175">
        <f t="shared" si="29"/>
        <v>404.33333333333331</v>
      </c>
      <c r="U60" s="172">
        <f t="shared" si="29"/>
        <v>18574</v>
      </c>
    </row>
  </sheetData>
  <printOptions horizontalCentered="1"/>
  <pageMargins left="0.2" right="0.2" top="0.5" bottom="0.5" header="0.05" footer="0.05"/>
  <pageSetup paperSize="5" scale="32" orientation="landscape" r:id="rId1"/>
  <headerFooter>
    <oddFooter xml:space="preserve">&amp;L&amp;9&amp;Z&amp;F, &amp;A
Revised/Printed &amp;D, &amp;T&amp;R&amp;9Page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selection activeCell="A2" sqref="A2"/>
    </sheetView>
  </sheetViews>
  <sheetFormatPr defaultColWidth="8.85546875" defaultRowHeight="15"/>
  <cols>
    <col min="1" max="1" width="27.85546875" style="32" customWidth="1"/>
    <col min="2" max="2" width="12.7109375" style="32" customWidth="1"/>
    <col min="3" max="3" width="14.7109375" style="32" customWidth="1"/>
    <col min="4" max="23" width="12.7109375" style="32" customWidth="1"/>
    <col min="24" max="24" width="14.28515625" style="32" customWidth="1"/>
    <col min="25" max="25" width="15.85546875" style="32" customWidth="1"/>
    <col min="26" max="16384" width="8.85546875" style="32"/>
  </cols>
  <sheetData>
    <row r="1" spans="1:25" ht="28.5" customHeight="1">
      <c r="A1" s="655" t="s">
        <v>413</v>
      </c>
      <c r="B1" s="656"/>
      <c r="C1" s="656"/>
      <c r="D1" s="656"/>
      <c r="E1" s="656"/>
      <c r="F1" s="656"/>
      <c r="G1" s="656"/>
      <c r="H1" s="656"/>
      <c r="I1" s="656"/>
      <c r="J1" s="656"/>
      <c r="K1" s="656"/>
      <c r="L1" s="656"/>
      <c r="M1" s="656"/>
      <c r="N1" s="656"/>
      <c r="O1" s="656"/>
      <c r="P1" s="656"/>
      <c r="Q1" s="656"/>
      <c r="R1" s="656"/>
      <c r="S1" s="656"/>
      <c r="T1" s="656"/>
      <c r="U1" s="656"/>
      <c r="V1" s="656"/>
      <c r="W1" s="657"/>
    </row>
    <row r="2" spans="1:25" s="5" customFormat="1" ht="54" customHeight="1">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c r="A3" s="36" t="s">
        <v>0</v>
      </c>
      <c r="B3" s="37">
        <f>+B22+B41</f>
        <v>-60665.235992382048</v>
      </c>
      <c r="C3" s="37">
        <f t="shared" ref="C3:V3" si="0">+C22+C41</f>
        <v>-4313.931094448817</v>
      </c>
      <c r="D3" s="37">
        <f t="shared" si="0"/>
        <v>0</v>
      </c>
      <c r="E3" s="37">
        <f t="shared" si="0"/>
        <v>-547.87117479803555</v>
      </c>
      <c r="F3" s="37">
        <f t="shared" si="0"/>
        <v>-1904.261108304685</v>
      </c>
      <c r="G3" s="37">
        <f t="shared" si="0"/>
        <v>55954.127941982399</v>
      </c>
      <c r="H3" s="37">
        <f t="shared" si="0"/>
        <v>0</v>
      </c>
      <c r="I3" s="37">
        <f t="shared" si="0"/>
        <v>-836017.6403187773</v>
      </c>
      <c r="J3" s="37">
        <f t="shared" si="0"/>
        <v>-232.33035360829504</v>
      </c>
      <c r="K3" s="37">
        <f t="shared" si="0"/>
        <v>0</v>
      </c>
      <c r="L3" s="37">
        <f t="shared" si="0"/>
        <v>4027.9180080316942</v>
      </c>
      <c r="M3" s="37">
        <f t="shared" si="0"/>
        <v>0</v>
      </c>
      <c r="N3" s="37">
        <f t="shared" si="0"/>
        <v>0</v>
      </c>
      <c r="O3" s="37">
        <f t="shared" si="0"/>
        <v>3850.7109208165143</v>
      </c>
      <c r="P3" s="37">
        <f t="shared" si="0"/>
        <v>0</v>
      </c>
      <c r="Q3" s="37">
        <f t="shared" si="0"/>
        <v>91.839841881426338</v>
      </c>
      <c r="R3" s="108">
        <f t="shared" si="0"/>
        <v>2310.8565575110115</v>
      </c>
      <c r="S3" s="108">
        <f t="shared" si="0"/>
        <v>-175.41682716901514</v>
      </c>
      <c r="T3" s="108">
        <f t="shared" si="0"/>
        <v>81.192981296585643</v>
      </c>
      <c r="U3" s="108">
        <f t="shared" si="0"/>
        <v>0</v>
      </c>
      <c r="V3" s="108">
        <f t="shared" si="0"/>
        <v>0</v>
      </c>
      <c r="W3" s="38">
        <f>SUM(B3:V3)</f>
        <v>-837540.04061796854</v>
      </c>
      <c r="Y3" s="61"/>
    </row>
    <row r="4" spans="1:25" s="6" customFormat="1" ht="17.100000000000001" customHeight="1">
      <c r="A4" s="39" t="s">
        <v>1</v>
      </c>
      <c r="B4" s="40">
        <f t="shared" ref="B4:V16" si="1">+B23+B42</f>
        <v>7408155.0197765753</v>
      </c>
      <c r="C4" s="40">
        <f t="shared" si="1"/>
        <v>-258668.12396037416</v>
      </c>
      <c r="D4" s="40">
        <f t="shared" si="1"/>
        <v>1410.0979489850997</v>
      </c>
      <c r="E4" s="40">
        <f t="shared" si="1"/>
        <v>773.41030548515846</v>
      </c>
      <c r="F4" s="40">
        <f t="shared" si="1"/>
        <v>30311.317242954785</v>
      </c>
      <c r="G4" s="40">
        <f t="shared" si="1"/>
        <v>12572.306509293237</v>
      </c>
      <c r="H4" s="40">
        <f t="shared" si="1"/>
        <v>-616.67470216684865</v>
      </c>
      <c r="I4" s="40">
        <f t="shared" si="1"/>
        <v>2212.0770358723239</v>
      </c>
      <c r="J4" s="40">
        <f t="shared" si="1"/>
        <v>4854.9472051657194</v>
      </c>
      <c r="K4" s="40">
        <f t="shared" si="1"/>
        <v>-109.27490225970701</v>
      </c>
      <c r="L4" s="40">
        <f t="shared" si="1"/>
        <v>-2493.7037876006179</v>
      </c>
      <c r="M4" s="40">
        <f t="shared" si="1"/>
        <v>750.28013462766137</v>
      </c>
      <c r="N4" s="40">
        <f t="shared" si="1"/>
        <v>0</v>
      </c>
      <c r="O4" s="40">
        <f t="shared" si="1"/>
        <v>-5780.1418061449604</v>
      </c>
      <c r="P4" s="40">
        <f t="shared" si="1"/>
        <v>10418.946723132321</v>
      </c>
      <c r="Q4" s="40">
        <f t="shared" si="1"/>
        <v>3586.4231333777857</v>
      </c>
      <c r="R4" s="109">
        <f t="shared" si="1"/>
        <v>-157269.79675415473</v>
      </c>
      <c r="S4" s="109">
        <f t="shared" si="1"/>
        <v>4857.8194423426321</v>
      </c>
      <c r="T4" s="109">
        <f t="shared" si="1"/>
        <v>15065.930223158259</v>
      </c>
      <c r="U4" s="109">
        <f t="shared" si="1"/>
        <v>203.41923396226417</v>
      </c>
      <c r="V4" s="109">
        <f t="shared" si="1"/>
        <v>-7183.840613203065</v>
      </c>
      <c r="W4" s="41">
        <f t="shared" ref="W4:W19" si="2">SUM(B4:V4)</f>
        <v>7063050.4383890294</v>
      </c>
      <c r="Y4" s="61"/>
    </row>
    <row r="5" spans="1:25" s="6" customFormat="1" ht="17.100000000000001" customHeight="1">
      <c r="A5" s="39" t="s">
        <v>6</v>
      </c>
      <c r="B5" s="40">
        <f t="shared" si="1"/>
        <v>1463713.6922810581</v>
      </c>
      <c r="C5" s="40">
        <f t="shared" si="1"/>
        <v>-26717.413897245518</v>
      </c>
      <c r="D5" s="40">
        <f t="shared" si="1"/>
        <v>0</v>
      </c>
      <c r="E5" s="40">
        <f t="shared" si="1"/>
        <v>36118.932935011544</v>
      </c>
      <c r="F5" s="40">
        <f t="shared" si="1"/>
        <v>-490921.73985848192</v>
      </c>
      <c r="G5" s="40">
        <f t="shared" si="1"/>
        <v>2673.9977868841024</v>
      </c>
      <c r="H5" s="40">
        <f t="shared" si="1"/>
        <v>0</v>
      </c>
      <c r="I5" s="40">
        <f t="shared" si="1"/>
        <v>-7101.9097118900454</v>
      </c>
      <c r="J5" s="40">
        <f t="shared" si="1"/>
        <v>0</v>
      </c>
      <c r="K5" s="40">
        <f t="shared" si="1"/>
        <v>238.07126107038715</v>
      </c>
      <c r="L5" s="40">
        <f t="shared" si="1"/>
        <v>-4937.700487305694</v>
      </c>
      <c r="M5" s="40">
        <f t="shared" si="1"/>
        <v>-0.44089481023969768</v>
      </c>
      <c r="N5" s="40">
        <f t="shared" si="1"/>
        <v>0</v>
      </c>
      <c r="O5" s="40">
        <f t="shared" si="1"/>
        <v>-192.24044408158352</v>
      </c>
      <c r="P5" s="40">
        <f t="shared" si="1"/>
        <v>0</v>
      </c>
      <c r="Q5" s="40">
        <f t="shared" si="1"/>
        <v>-362.69006752354693</v>
      </c>
      <c r="R5" s="109">
        <f t="shared" si="1"/>
        <v>4787.6437071989139</v>
      </c>
      <c r="S5" s="109">
        <f t="shared" si="1"/>
        <v>359.12815462462419</v>
      </c>
      <c r="T5" s="109">
        <f t="shared" si="1"/>
        <v>852.52630361414936</v>
      </c>
      <c r="U5" s="109">
        <f t="shared" si="1"/>
        <v>0</v>
      </c>
      <c r="V5" s="109">
        <f t="shared" si="1"/>
        <v>0</v>
      </c>
      <c r="W5" s="41">
        <f t="shared" si="2"/>
        <v>978509.85706812341</v>
      </c>
      <c r="Y5" s="61"/>
    </row>
    <row r="6" spans="1:25" s="6" customFormat="1" ht="17.100000000000001" customHeight="1">
      <c r="A6" s="42" t="s">
        <v>2</v>
      </c>
      <c r="B6" s="40">
        <f t="shared" si="1"/>
        <v>679365.42340163048</v>
      </c>
      <c r="C6" s="40">
        <f t="shared" si="1"/>
        <v>-745903.1583870817</v>
      </c>
      <c r="D6" s="40">
        <f t="shared" si="1"/>
        <v>273.59021222165336</v>
      </c>
      <c r="E6" s="40">
        <f t="shared" si="1"/>
        <v>-7415.3851671056955</v>
      </c>
      <c r="F6" s="40">
        <f t="shared" si="1"/>
        <v>-460.36244480070445</v>
      </c>
      <c r="G6" s="40">
        <f t="shared" si="1"/>
        <v>1359.8597869802315</v>
      </c>
      <c r="H6" s="40">
        <f t="shared" si="1"/>
        <v>-85.146152591842664</v>
      </c>
      <c r="I6" s="40">
        <f t="shared" si="1"/>
        <v>48.945953436092623</v>
      </c>
      <c r="J6" s="40">
        <f t="shared" si="1"/>
        <v>-463.78543520148901</v>
      </c>
      <c r="K6" s="40">
        <f t="shared" si="1"/>
        <v>0</v>
      </c>
      <c r="L6" s="40">
        <f t="shared" si="1"/>
        <v>213.62567192097345</v>
      </c>
      <c r="M6" s="40">
        <f t="shared" si="1"/>
        <v>0</v>
      </c>
      <c r="N6" s="40">
        <f t="shared" si="1"/>
        <v>0</v>
      </c>
      <c r="O6" s="40">
        <f t="shared" si="1"/>
        <v>-240.30055510197937</v>
      </c>
      <c r="P6" s="40">
        <f t="shared" si="1"/>
        <v>70.772578144985118</v>
      </c>
      <c r="Q6" s="40">
        <f t="shared" si="1"/>
        <v>0</v>
      </c>
      <c r="R6" s="109">
        <f t="shared" si="1"/>
        <v>-2463.0693266280359</v>
      </c>
      <c r="S6" s="109">
        <f t="shared" si="1"/>
        <v>-90761.739018856839</v>
      </c>
      <c r="T6" s="109">
        <f t="shared" si="1"/>
        <v>1012487.4629301919</v>
      </c>
      <c r="U6" s="109">
        <f t="shared" si="1"/>
        <v>0</v>
      </c>
      <c r="V6" s="109">
        <f t="shared" si="1"/>
        <v>0</v>
      </c>
      <c r="W6" s="41">
        <f t="shared" si="2"/>
        <v>846026.73404715804</v>
      </c>
      <c r="Y6" s="61"/>
    </row>
    <row r="7" spans="1:25" s="6" customFormat="1" ht="17.100000000000001" customHeight="1">
      <c r="A7" s="39" t="s">
        <v>3</v>
      </c>
      <c r="B7" s="40">
        <f t="shared" si="1"/>
        <v>1379439.395377852</v>
      </c>
      <c r="C7" s="40">
        <f t="shared" si="1"/>
        <v>-17366.578585458439</v>
      </c>
      <c r="D7" s="40">
        <f t="shared" si="1"/>
        <v>539.43936151846322</v>
      </c>
      <c r="E7" s="40">
        <f t="shared" si="1"/>
        <v>177464.19526657392</v>
      </c>
      <c r="F7" s="40">
        <f t="shared" si="1"/>
        <v>-2441.9072570401036</v>
      </c>
      <c r="G7" s="40">
        <f t="shared" si="1"/>
        <v>-2695.6348073608383</v>
      </c>
      <c r="H7" s="40">
        <f t="shared" si="1"/>
        <v>-28.382050863947551</v>
      </c>
      <c r="I7" s="40">
        <f t="shared" si="1"/>
        <v>-992.86485305574251</v>
      </c>
      <c r="J7" s="40">
        <f t="shared" si="1"/>
        <v>0</v>
      </c>
      <c r="K7" s="40">
        <f t="shared" si="1"/>
        <v>-214.74041816068876</v>
      </c>
      <c r="L7" s="40">
        <f t="shared" si="1"/>
        <v>19273.106250526092</v>
      </c>
      <c r="M7" s="40">
        <f t="shared" si="1"/>
        <v>173.85378422292447</v>
      </c>
      <c r="N7" s="40">
        <f t="shared" si="1"/>
        <v>0</v>
      </c>
      <c r="O7" s="40">
        <f t="shared" si="1"/>
        <v>5374.3815098691957</v>
      </c>
      <c r="P7" s="40">
        <f t="shared" si="1"/>
        <v>0</v>
      </c>
      <c r="Q7" s="40">
        <f t="shared" si="1"/>
        <v>0</v>
      </c>
      <c r="R7" s="109">
        <f t="shared" si="1"/>
        <v>-48064.309792591157</v>
      </c>
      <c r="S7" s="109">
        <f t="shared" si="1"/>
        <v>0</v>
      </c>
      <c r="T7" s="109">
        <f t="shared" si="1"/>
        <v>162.38596259317129</v>
      </c>
      <c r="U7" s="109">
        <f t="shared" si="1"/>
        <v>85192.142576689585</v>
      </c>
      <c r="V7" s="109">
        <f t="shared" si="1"/>
        <v>25208.763150802577</v>
      </c>
      <c r="W7" s="41">
        <f t="shared" si="2"/>
        <v>1621023.2454761169</v>
      </c>
      <c r="Y7" s="61"/>
    </row>
    <row r="8" spans="1:25" s="6" customFormat="1" ht="17.100000000000001" customHeight="1">
      <c r="A8" s="39" t="s">
        <v>4</v>
      </c>
      <c r="B8" s="40">
        <f t="shared" si="1"/>
        <v>961467.19272114756</v>
      </c>
      <c r="C8" s="40">
        <f t="shared" si="1"/>
        <v>-72871.725840693252</v>
      </c>
      <c r="D8" s="40">
        <f t="shared" si="1"/>
        <v>-101.5214571650629</v>
      </c>
      <c r="E8" s="40">
        <f t="shared" si="1"/>
        <v>-16453.989293600622</v>
      </c>
      <c r="F8" s="40">
        <f t="shared" si="1"/>
        <v>8647.2432471800312</v>
      </c>
      <c r="G8" s="40">
        <f t="shared" si="1"/>
        <v>-4570.4122543535195</v>
      </c>
      <c r="H8" s="40">
        <f t="shared" si="1"/>
        <v>0</v>
      </c>
      <c r="I8" s="40">
        <f t="shared" si="1"/>
        <v>-4561.1522007119947</v>
      </c>
      <c r="J8" s="40">
        <f t="shared" si="1"/>
        <v>-929.32141443318017</v>
      </c>
      <c r="K8" s="40">
        <f t="shared" si="1"/>
        <v>412.1013353284402</v>
      </c>
      <c r="L8" s="40">
        <f t="shared" si="1"/>
        <v>9973.4788715408995</v>
      </c>
      <c r="M8" s="40">
        <f t="shared" si="1"/>
        <v>0</v>
      </c>
      <c r="N8" s="40">
        <f t="shared" si="1"/>
        <v>0</v>
      </c>
      <c r="O8" s="40">
        <f t="shared" si="1"/>
        <v>-101.54334179115634</v>
      </c>
      <c r="P8" s="40">
        <f t="shared" si="1"/>
        <v>-3.6078297652135305</v>
      </c>
      <c r="Q8" s="40">
        <f t="shared" si="1"/>
        <v>183.67968376285268</v>
      </c>
      <c r="R8" s="109">
        <f t="shared" si="1"/>
        <v>252717.76887855993</v>
      </c>
      <c r="S8" s="109">
        <f t="shared" si="1"/>
        <v>230.57821754797624</v>
      </c>
      <c r="T8" s="109">
        <f t="shared" si="1"/>
        <v>-1087.1515115502802</v>
      </c>
      <c r="U8" s="109">
        <f t="shared" si="1"/>
        <v>0</v>
      </c>
      <c r="V8" s="109">
        <f t="shared" si="1"/>
        <v>0</v>
      </c>
      <c r="W8" s="41">
        <f t="shared" si="2"/>
        <v>1132951.6178110037</v>
      </c>
      <c r="Y8" s="61"/>
    </row>
    <row r="9" spans="1:25" s="6" customFormat="1" ht="17.100000000000001" customHeight="1">
      <c r="A9" s="39" t="s">
        <v>14</v>
      </c>
      <c r="B9" s="40">
        <f t="shared" si="1"/>
        <v>498138.30542648013</v>
      </c>
      <c r="C9" s="40">
        <f t="shared" si="1"/>
        <v>28681.28655261188</v>
      </c>
      <c r="D9" s="40">
        <f t="shared" si="1"/>
        <v>-152.28218574759435</v>
      </c>
      <c r="E9" s="40">
        <f t="shared" si="1"/>
        <v>-4983.4527073359986</v>
      </c>
      <c r="F9" s="40">
        <f t="shared" si="1"/>
        <v>0</v>
      </c>
      <c r="G9" s="40">
        <f t="shared" si="1"/>
        <v>-161.03345743471573</v>
      </c>
      <c r="H9" s="40">
        <f t="shared" si="1"/>
        <v>-179608.04023025546</v>
      </c>
      <c r="I9" s="40">
        <f t="shared" si="1"/>
        <v>0</v>
      </c>
      <c r="J9" s="40">
        <f t="shared" si="1"/>
        <v>-232.33035360829504</v>
      </c>
      <c r="K9" s="40">
        <f t="shared" si="1"/>
        <v>0</v>
      </c>
      <c r="L9" s="40">
        <f t="shared" si="1"/>
        <v>13231.429507801344</v>
      </c>
      <c r="M9" s="40">
        <f t="shared" si="1"/>
        <v>0</v>
      </c>
      <c r="N9" s="40">
        <f t="shared" si="1"/>
        <v>0</v>
      </c>
      <c r="O9" s="40">
        <f t="shared" si="1"/>
        <v>78.292478450538283</v>
      </c>
      <c r="P9" s="40">
        <f t="shared" si="1"/>
        <v>0</v>
      </c>
      <c r="Q9" s="40">
        <f t="shared" si="1"/>
        <v>0</v>
      </c>
      <c r="R9" s="109">
        <f t="shared" si="1"/>
        <v>-38.167832090073091</v>
      </c>
      <c r="S9" s="109">
        <f t="shared" si="1"/>
        <v>-175.41682716901514</v>
      </c>
      <c r="T9" s="109">
        <f t="shared" si="1"/>
        <v>0</v>
      </c>
      <c r="U9" s="109">
        <f t="shared" si="1"/>
        <v>0</v>
      </c>
      <c r="V9" s="109">
        <f t="shared" si="1"/>
        <v>0</v>
      </c>
      <c r="W9" s="41">
        <f t="shared" si="2"/>
        <v>354778.59037170268</v>
      </c>
      <c r="X9" s="61"/>
      <c r="Y9" s="61"/>
    </row>
    <row r="10" spans="1:25" s="6" customFormat="1" ht="17.100000000000001" customHeight="1">
      <c r="A10" s="39" t="s">
        <v>9</v>
      </c>
      <c r="B10" s="40">
        <f t="shared" si="1"/>
        <v>1859.256343389181</v>
      </c>
      <c r="C10" s="40">
        <f t="shared" si="1"/>
        <v>19034.103084488554</v>
      </c>
      <c r="D10" s="40">
        <f t="shared" si="1"/>
        <v>294.23965173734359</v>
      </c>
      <c r="E10" s="40">
        <f t="shared" si="1"/>
        <v>-6540.8397313149108</v>
      </c>
      <c r="F10" s="40">
        <f t="shared" si="1"/>
        <v>21902.95747079698</v>
      </c>
      <c r="G10" s="40">
        <f t="shared" si="1"/>
        <v>-886.07607480644856</v>
      </c>
      <c r="H10" s="40">
        <f t="shared" si="1"/>
        <v>0</v>
      </c>
      <c r="I10" s="40">
        <f t="shared" si="1"/>
        <v>0</v>
      </c>
      <c r="J10" s="40">
        <f t="shared" si="1"/>
        <v>0</v>
      </c>
      <c r="K10" s="40">
        <f t="shared" si="1"/>
        <v>0</v>
      </c>
      <c r="L10" s="40">
        <f t="shared" si="1"/>
        <v>-248828.43807696411</v>
      </c>
      <c r="M10" s="40">
        <f t="shared" si="1"/>
        <v>0</v>
      </c>
      <c r="N10" s="40">
        <f t="shared" si="1"/>
        <v>0</v>
      </c>
      <c r="O10" s="40">
        <f t="shared" si="1"/>
        <v>-560.82595636009944</v>
      </c>
      <c r="P10" s="40">
        <f t="shared" si="1"/>
        <v>-59.669157033797092</v>
      </c>
      <c r="Q10" s="40">
        <f t="shared" si="1"/>
        <v>79858.881296314095</v>
      </c>
      <c r="R10" s="109">
        <f t="shared" si="1"/>
        <v>-229.92155665070072</v>
      </c>
      <c r="S10" s="109">
        <f t="shared" si="1"/>
        <v>-263.12524075352269</v>
      </c>
      <c r="T10" s="109">
        <f t="shared" si="1"/>
        <v>162.38596259317129</v>
      </c>
      <c r="U10" s="109">
        <f t="shared" si="1"/>
        <v>0</v>
      </c>
      <c r="V10" s="109">
        <f t="shared" si="1"/>
        <v>0</v>
      </c>
      <c r="W10" s="41">
        <f t="shared" si="2"/>
        <v>-134257.07198456425</v>
      </c>
      <c r="Y10" s="61"/>
    </row>
    <row r="11" spans="1:25" s="6" customFormat="1" ht="17.100000000000001" customHeight="1">
      <c r="A11" s="39" t="s">
        <v>5</v>
      </c>
      <c r="B11" s="40">
        <f t="shared" si="1"/>
        <v>-7823.2875054144315</v>
      </c>
      <c r="C11" s="40">
        <f t="shared" si="1"/>
        <v>26202.8658132735</v>
      </c>
      <c r="D11" s="40">
        <f t="shared" si="1"/>
        <v>-1068.5589570661621</v>
      </c>
      <c r="E11" s="40">
        <f t="shared" si="1"/>
        <v>3136.2814908816213</v>
      </c>
      <c r="F11" s="40">
        <f t="shared" si="1"/>
        <v>32585.04699867274</v>
      </c>
      <c r="G11" s="40">
        <f t="shared" si="1"/>
        <v>250202.78154897166</v>
      </c>
      <c r="H11" s="40">
        <f t="shared" si="1"/>
        <v>-58.088815173160867</v>
      </c>
      <c r="I11" s="40">
        <f t="shared" si="1"/>
        <v>-58135.882339244868</v>
      </c>
      <c r="J11" s="40">
        <f t="shared" si="1"/>
        <v>5162.9704659465779</v>
      </c>
      <c r="K11" s="40">
        <f t="shared" si="1"/>
        <v>0</v>
      </c>
      <c r="L11" s="40">
        <f t="shared" si="1"/>
        <v>-33006.107596256894</v>
      </c>
      <c r="M11" s="40">
        <f t="shared" si="1"/>
        <v>0</v>
      </c>
      <c r="N11" s="40">
        <f t="shared" si="1"/>
        <v>0</v>
      </c>
      <c r="O11" s="40">
        <f t="shared" si="1"/>
        <v>6471.2450830321486</v>
      </c>
      <c r="P11" s="40">
        <f t="shared" si="1"/>
        <v>15854.290895852884</v>
      </c>
      <c r="Q11" s="40">
        <f t="shared" si="1"/>
        <v>-992.72838568759551</v>
      </c>
      <c r="R11" s="109">
        <f t="shared" si="1"/>
        <v>17537.594290164998</v>
      </c>
      <c r="S11" s="109">
        <f t="shared" si="1"/>
        <v>4919.5817235838422</v>
      </c>
      <c r="T11" s="109">
        <f t="shared" si="1"/>
        <v>4739.7189897624939</v>
      </c>
      <c r="U11" s="109">
        <f t="shared" si="1"/>
        <v>0</v>
      </c>
      <c r="V11" s="109">
        <f t="shared" si="1"/>
        <v>0</v>
      </c>
      <c r="W11" s="41">
        <f t="shared" si="2"/>
        <v>265727.72370129934</v>
      </c>
      <c r="Y11" s="61"/>
    </row>
    <row r="12" spans="1:25" s="6" customFormat="1" ht="17.100000000000001" customHeight="1">
      <c r="A12" s="39" t="s">
        <v>13</v>
      </c>
      <c r="B12" s="40">
        <f t="shared" si="1"/>
        <v>111493.89939270035</v>
      </c>
      <c r="C12" s="40">
        <f t="shared" si="1"/>
        <v>100.16562416919578</v>
      </c>
      <c r="D12" s="40">
        <f t="shared" si="1"/>
        <v>-50612.178984691425</v>
      </c>
      <c r="E12" s="40">
        <f t="shared" si="1"/>
        <v>317.32270457831135</v>
      </c>
      <c r="F12" s="40">
        <f t="shared" si="1"/>
        <v>0</v>
      </c>
      <c r="G12" s="40">
        <f t="shared" si="1"/>
        <v>-11140.302161510303</v>
      </c>
      <c r="H12" s="40">
        <f t="shared" si="1"/>
        <v>0</v>
      </c>
      <c r="I12" s="40">
        <f t="shared" si="1"/>
        <v>131.68952334806437</v>
      </c>
      <c r="J12" s="40">
        <f t="shared" si="1"/>
        <v>158.38799046593397</v>
      </c>
      <c r="K12" s="40">
        <f t="shared" si="1"/>
        <v>0</v>
      </c>
      <c r="L12" s="40">
        <f t="shared" si="1"/>
        <v>0</v>
      </c>
      <c r="M12" s="40">
        <f t="shared" si="1"/>
        <v>0</v>
      </c>
      <c r="N12" s="40">
        <f t="shared" si="1"/>
        <v>0</v>
      </c>
      <c r="O12" s="40">
        <f t="shared" si="1"/>
        <v>8913.065375105416</v>
      </c>
      <c r="P12" s="40">
        <f t="shared" si="1"/>
        <v>-300408.90354125435</v>
      </c>
      <c r="Q12" s="40">
        <f t="shared" si="1"/>
        <v>0</v>
      </c>
      <c r="R12" s="109">
        <f t="shared" si="1"/>
        <v>-1126.7589000103235</v>
      </c>
      <c r="S12" s="109">
        <f t="shared" si="1"/>
        <v>-174.89842090110301</v>
      </c>
      <c r="T12" s="109">
        <f t="shared" si="1"/>
        <v>1664.4561165800058</v>
      </c>
      <c r="U12" s="109">
        <f t="shared" si="1"/>
        <v>0</v>
      </c>
      <c r="V12" s="109">
        <f t="shared" si="1"/>
        <v>0</v>
      </c>
      <c r="W12" s="41">
        <f t="shared" si="2"/>
        <v>-240684.05528142024</v>
      </c>
      <c r="Y12" s="61"/>
    </row>
    <row r="13" spans="1:25" s="6" customFormat="1" ht="17.100000000000001" customHeight="1">
      <c r="A13" s="39" t="s">
        <v>8</v>
      </c>
      <c r="B13" s="40">
        <f t="shared" si="1"/>
        <v>-787.78068468051424</v>
      </c>
      <c r="C13" s="40">
        <f t="shared" si="1"/>
        <v>5524.0382571264672</v>
      </c>
      <c r="D13" s="40">
        <f t="shared" si="1"/>
        <v>18715.662626659934</v>
      </c>
      <c r="E13" s="40">
        <f t="shared" si="1"/>
        <v>-4517.4629304865002</v>
      </c>
      <c r="F13" s="40">
        <f t="shared" si="1"/>
        <v>0</v>
      </c>
      <c r="G13" s="40">
        <f t="shared" si="1"/>
        <v>0</v>
      </c>
      <c r="H13" s="40">
        <f t="shared" si="1"/>
        <v>0</v>
      </c>
      <c r="I13" s="40">
        <f t="shared" si="1"/>
        <v>0</v>
      </c>
      <c r="J13" s="40">
        <f t="shared" si="1"/>
        <v>0</v>
      </c>
      <c r="K13" s="40">
        <f t="shared" si="1"/>
        <v>0</v>
      </c>
      <c r="L13" s="40">
        <f t="shared" si="1"/>
        <v>0</v>
      </c>
      <c r="M13" s="40">
        <f t="shared" si="1"/>
        <v>-4642.9060835823047</v>
      </c>
      <c r="N13" s="40">
        <f t="shared" si="1"/>
        <v>-110307.85266549897</v>
      </c>
      <c r="O13" s="40">
        <f t="shared" si="1"/>
        <v>1222.0317616611705</v>
      </c>
      <c r="P13" s="40">
        <f t="shared" si="1"/>
        <v>0</v>
      </c>
      <c r="Q13" s="40">
        <f t="shared" si="1"/>
        <v>0</v>
      </c>
      <c r="R13" s="109">
        <f t="shared" si="1"/>
        <v>0</v>
      </c>
      <c r="S13" s="109">
        <f t="shared" si="1"/>
        <v>0</v>
      </c>
      <c r="T13" s="109">
        <f t="shared" si="1"/>
        <v>0</v>
      </c>
      <c r="U13" s="109">
        <f t="shared" si="1"/>
        <v>0</v>
      </c>
      <c r="V13" s="109">
        <f t="shared" si="1"/>
        <v>0</v>
      </c>
      <c r="W13" s="41">
        <f t="shared" si="2"/>
        <v>-94794.269718800715</v>
      </c>
      <c r="Y13" s="61"/>
    </row>
    <row r="14" spans="1:25" s="6" customFormat="1" ht="17.100000000000001" customHeight="1">
      <c r="A14" s="39" t="s">
        <v>10</v>
      </c>
      <c r="B14" s="40">
        <f t="shared" si="1"/>
        <v>-199941.64095185534</v>
      </c>
      <c r="C14" s="40">
        <f t="shared" si="1"/>
        <v>-127307.08135724498</v>
      </c>
      <c r="D14" s="40">
        <f t="shared" si="1"/>
        <v>119142.51745704099</v>
      </c>
      <c r="E14" s="40">
        <f t="shared" si="1"/>
        <v>5968.016583657165</v>
      </c>
      <c r="F14" s="40">
        <f t="shared" si="1"/>
        <v>450.34310837796426</v>
      </c>
      <c r="G14" s="40">
        <f t="shared" si="1"/>
        <v>-49.133185013351522</v>
      </c>
      <c r="H14" s="40">
        <f t="shared" si="1"/>
        <v>-141.91025431973776</v>
      </c>
      <c r="I14" s="40">
        <f t="shared" si="1"/>
        <v>2822.2280140309608</v>
      </c>
      <c r="J14" s="40">
        <f t="shared" si="1"/>
        <v>-9142.7789681941322</v>
      </c>
      <c r="K14" s="40">
        <f t="shared" si="1"/>
        <v>-7481.1886043881386</v>
      </c>
      <c r="L14" s="40">
        <f t="shared" si="1"/>
        <v>13964.217148980733</v>
      </c>
      <c r="M14" s="40">
        <f t="shared" si="1"/>
        <v>-52551.952112223953</v>
      </c>
      <c r="N14" s="40">
        <f t="shared" si="1"/>
        <v>1737.8407841489679</v>
      </c>
      <c r="O14" s="40">
        <f t="shared" si="1"/>
        <v>-75079.686519054405</v>
      </c>
      <c r="P14" s="40">
        <f t="shared" si="1"/>
        <v>7758.7499667750362</v>
      </c>
      <c r="Q14" s="40">
        <f t="shared" si="1"/>
        <v>0</v>
      </c>
      <c r="R14" s="109">
        <f t="shared" si="1"/>
        <v>-158580.96208405984</v>
      </c>
      <c r="S14" s="109">
        <f t="shared" si="1"/>
        <v>-42.29898798851741</v>
      </c>
      <c r="T14" s="109">
        <f t="shared" si="1"/>
        <v>649.54385037268514</v>
      </c>
      <c r="U14" s="109">
        <f t="shared" si="1"/>
        <v>2325.9659823341153</v>
      </c>
      <c r="V14" s="109">
        <f t="shared" si="1"/>
        <v>138.16002677554096</v>
      </c>
      <c r="W14" s="41">
        <f t="shared" si="2"/>
        <v>-475361.05010184826</v>
      </c>
      <c r="Y14" s="61"/>
    </row>
    <row r="15" spans="1:25" s="6" customFormat="1" ht="17.100000000000001" customHeight="1">
      <c r="A15" s="39" t="s">
        <v>11</v>
      </c>
      <c r="B15" s="40">
        <f t="shared" si="1"/>
        <v>198407.55709406501</v>
      </c>
      <c r="C15" s="40">
        <f t="shared" si="1"/>
        <v>-3515.2625879098923</v>
      </c>
      <c r="D15" s="40">
        <f t="shared" si="1"/>
        <v>-4877.2811807387261</v>
      </c>
      <c r="E15" s="40">
        <f t="shared" si="1"/>
        <v>-13602.391349151789</v>
      </c>
      <c r="F15" s="40">
        <f t="shared" si="1"/>
        <v>225.17155418898213</v>
      </c>
      <c r="G15" s="40">
        <f t="shared" si="1"/>
        <v>-194.09363977455618</v>
      </c>
      <c r="H15" s="40">
        <f t="shared" si="1"/>
        <v>0</v>
      </c>
      <c r="I15" s="40">
        <f t="shared" si="1"/>
        <v>0</v>
      </c>
      <c r="J15" s="40">
        <f t="shared" si="1"/>
        <v>-143639.75485067724</v>
      </c>
      <c r="K15" s="40">
        <f t="shared" si="1"/>
        <v>2281.198436719651</v>
      </c>
      <c r="L15" s="40">
        <f t="shared" si="1"/>
        <v>0</v>
      </c>
      <c r="M15" s="40">
        <f t="shared" si="1"/>
        <v>57.951261407641489</v>
      </c>
      <c r="N15" s="40">
        <f t="shared" si="1"/>
        <v>0</v>
      </c>
      <c r="O15" s="40">
        <f t="shared" si="1"/>
        <v>-9545.76403726852</v>
      </c>
      <c r="P15" s="40">
        <f t="shared" si="1"/>
        <v>575.32452356223712</v>
      </c>
      <c r="Q15" s="40">
        <f t="shared" si="1"/>
        <v>0</v>
      </c>
      <c r="R15" s="109">
        <f t="shared" si="1"/>
        <v>0</v>
      </c>
      <c r="S15" s="109">
        <f t="shared" si="1"/>
        <v>-11392.915538209369</v>
      </c>
      <c r="T15" s="109">
        <f t="shared" si="1"/>
        <v>12087.897242996309</v>
      </c>
      <c r="U15" s="109">
        <f t="shared" si="1"/>
        <v>0</v>
      </c>
      <c r="V15" s="109">
        <f t="shared" si="1"/>
        <v>0</v>
      </c>
      <c r="W15" s="41">
        <f t="shared" si="2"/>
        <v>26867.636929209719</v>
      </c>
      <c r="Y15" s="61"/>
    </row>
    <row r="16" spans="1:25" s="6" customFormat="1" ht="17.100000000000001" customHeight="1">
      <c r="A16" s="39" t="s">
        <v>12</v>
      </c>
      <c r="B16" s="40">
        <f t="shared" si="1"/>
        <v>1215.2308679110283</v>
      </c>
      <c r="C16" s="40">
        <f t="shared" si="1"/>
        <v>-13356.906931700985</v>
      </c>
      <c r="D16" s="40">
        <f t="shared" si="1"/>
        <v>289.07729185842106</v>
      </c>
      <c r="E16" s="40">
        <f t="shared" ref="E16:V16" si="3">+E35+E54</f>
        <v>-5346.2063913466372</v>
      </c>
      <c r="F16" s="40">
        <f t="shared" si="3"/>
        <v>0</v>
      </c>
      <c r="G16" s="40">
        <f t="shared" si="3"/>
        <v>-582.28091932366863</v>
      </c>
      <c r="H16" s="40">
        <f t="shared" si="3"/>
        <v>0</v>
      </c>
      <c r="I16" s="40">
        <f t="shared" si="3"/>
        <v>0</v>
      </c>
      <c r="J16" s="40">
        <f t="shared" si="3"/>
        <v>2818.8905211664432</v>
      </c>
      <c r="K16" s="40">
        <f t="shared" si="3"/>
        <v>-379308.81919191789</v>
      </c>
      <c r="L16" s="40">
        <f t="shared" si="3"/>
        <v>0</v>
      </c>
      <c r="M16" s="40">
        <f t="shared" si="3"/>
        <v>0</v>
      </c>
      <c r="N16" s="40">
        <f t="shared" si="3"/>
        <v>0</v>
      </c>
      <c r="O16" s="40">
        <f t="shared" si="3"/>
        <v>-434.47336688916516</v>
      </c>
      <c r="P16" s="40">
        <f t="shared" si="3"/>
        <v>0</v>
      </c>
      <c r="Q16" s="40">
        <f t="shared" si="3"/>
        <v>0</v>
      </c>
      <c r="R16" s="109">
        <f t="shared" si="3"/>
        <v>-115.87534243561262</v>
      </c>
      <c r="S16" s="109">
        <f t="shared" si="3"/>
        <v>0</v>
      </c>
      <c r="T16" s="109">
        <f t="shared" si="3"/>
        <v>0</v>
      </c>
      <c r="U16" s="109">
        <f t="shared" si="3"/>
        <v>0</v>
      </c>
      <c r="V16" s="109">
        <f t="shared" si="3"/>
        <v>0</v>
      </c>
      <c r="W16" s="41">
        <f t="shared" si="2"/>
        <v>-394821.3634626781</v>
      </c>
      <c r="Y16" s="61"/>
    </row>
    <row r="17" spans="1:25" s="6" customFormat="1" ht="17.100000000000001" customHeight="1">
      <c r="A17" s="39" t="s">
        <v>7</v>
      </c>
      <c r="B17" s="40">
        <f t="shared" ref="B17:V19" si="4">+B36+B55</f>
        <v>665164.77624651161</v>
      </c>
      <c r="C17" s="40">
        <f t="shared" si="4"/>
        <v>-775.94175577623173</v>
      </c>
      <c r="D17" s="40">
        <f t="shared" si="4"/>
        <v>874.1100682934125</v>
      </c>
      <c r="E17" s="40">
        <f t="shared" si="4"/>
        <v>154133.03776722809</v>
      </c>
      <c r="F17" s="40">
        <f t="shared" si="4"/>
        <v>-44465.434482874683</v>
      </c>
      <c r="G17" s="40">
        <f t="shared" si="4"/>
        <v>31795.075994931176</v>
      </c>
      <c r="H17" s="40">
        <f t="shared" si="4"/>
        <v>90.864513474823994</v>
      </c>
      <c r="I17" s="40">
        <f t="shared" si="4"/>
        <v>1606.4832681622265</v>
      </c>
      <c r="J17" s="40">
        <f t="shared" si="4"/>
        <v>-30915.758933471869</v>
      </c>
      <c r="K17" s="40">
        <f t="shared" si="4"/>
        <v>1611.2649233411839</v>
      </c>
      <c r="L17" s="40">
        <f t="shared" si="4"/>
        <v>31643.299426526173</v>
      </c>
      <c r="M17" s="40">
        <f t="shared" si="4"/>
        <v>14053.155167453227</v>
      </c>
      <c r="N17" s="40">
        <f t="shared" si="4"/>
        <v>-117.68851051177828</v>
      </c>
      <c r="O17" s="40">
        <f t="shared" si="4"/>
        <v>-416411.93753050669</v>
      </c>
      <c r="P17" s="40">
        <f t="shared" si="4"/>
        <v>9162.6382632972418</v>
      </c>
      <c r="Q17" s="40">
        <f t="shared" si="4"/>
        <v>-181.34503376177346</v>
      </c>
      <c r="R17" s="109">
        <f t="shared" si="4"/>
        <v>2844.0696534997928</v>
      </c>
      <c r="S17" s="109">
        <f t="shared" si="4"/>
        <v>576.84396978215682</v>
      </c>
      <c r="T17" s="109">
        <f t="shared" si="4"/>
        <v>1014.9122662073206</v>
      </c>
      <c r="U17" s="109">
        <f t="shared" si="4"/>
        <v>203.41923396226417</v>
      </c>
      <c r="V17" s="109">
        <f t="shared" si="4"/>
        <v>0</v>
      </c>
      <c r="W17" s="41">
        <f t="shared" si="2"/>
        <v>421905.84451576788</v>
      </c>
      <c r="Y17" s="61"/>
    </row>
    <row r="18" spans="1:25" s="6" customFormat="1" ht="17.100000000000001" customHeight="1">
      <c r="A18" s="39" t="s">
        <v>16</v>
      </c>
      <c r="B18" s="40">
        <f t="shared" si="4"/>
        <v>-767458.2181467358</v>
      </c>
      <c r="C18" s="40">
        <f t="shared" si="4"/>
        <v>0</v>
      </c>
      <c r="D18" s="40">
        <f t="shared" si="4"/>
        <v>98.079883912447869</v>
      </c>
      <c r="E18" s="40">
        <f t="shared" si="4"/>
        <v>-4296.9571630104256</v>
      </c>
      <c r="F18" s="40">
        <f t="shared" si="4"/>
        <v>0</v>
      </c>
      <c r="G18" s="40">
        <f t="shared" si="4"/>
        <v>0</v>
      </c>
      <c r="H18" s="40">
        <f t="shared" si="4"/>
        <v>0</v>
      </c>
      <c r="I18" s="40">
        <f t="shared" si="4"/>
        <v>623.0207098945807</v>
      </c>
      <c r="J18" s="40">
        <f t="shared" si="4"/>
        <v>0</v>
      </c>
      <c r="K18" s="40">
        <f t="shared" si="4"/>
        <v>0</v>
      </c>
      <c r="L18" s="40">
        <f t="shared" si="4"/>
        <v>0</v>
      </c>
      <c r="M18" s="40">
        <f t="shared" si="4"/>
        <v>0</v>
      </c>
      <c r="N18" s="40">
        <f t="shared" si="4"/>
        <v>0</v>
      </c>
      <c r="O18" s="40">
        <f t="shared" si="4"/>
        <v>78.292478450538283</v>
      </c>
      <c r="P18" s="40">
        <f t="shared" si="4"/>
        <v>0</v>
      </c>
      <c r="Q18" s="40">
        <f t="shared" si="4"/>
        <v>0</v>
      </c>
      <c r="R18" s="109">
        <f t="shared" si="4"/>
        <v>0</v>
      </c>
      <c r="S18" s="109">
        <f t="shared" si="4"/>
        <v>0</v>
      </c>
      <c r="T18" s="109">
        <f t="shared" si="4"/>
        <v>243.57894388975694</v>
      </c>
      <c r="U18" s="109">
        <f t="shared" si="4"/>
        <v>0</v>
      </c>
      <c r="V18" s="109">
        <f t="shared" si="4"/>
        <v>0</v>
      </c>
      <c r="W18" s="43">
        <f t="shared" si="2"/>
        <v>-770712.20329359884</v>
      </c>
      <c r="Y18" s="61"/>
    </row>
    <row r="19" spans="1:25" s="47" customFormat="1" ht="17.100000000000001" customHeight="1">
      <c r="A19" s="44" t="s">
        <v>15</v>
      </c>
      <c r="B19" s="45">
        <f t="shared" si="4"/>
        <v>22502.274349017302</v>
      </c>
      <c r="C19" s="45">
        <f t="shared" si="4"/>
        <v>-74045.941039354715</v>
      </c>
      <c r="D19" s="45">
        <f t="shared" si="4"/>
        <v>-1.7207866263075147</v>
      </c>
      <c r="E19" s="45">
        <f t="shared" si="4"/>
        <v>463.56399594568893</v>
      </c>
      <c r="F19" s="45">
        <f t="shared" si="4"/>
        <v>-32021.507226316386</v>
      </c>
      <c r="G19" s="45">
        <f t="shared" si="4"/>
        <v>-10737.535593659981</v>
      </c>
      <c r="H19" s="45">
        <f t="shared" si="4"/>
        <v>-3940.7386007250257</v>
      </c>
      <c r="I19" s="45">
        <f t="shared" si="4"/>
        <v>-10268.913853503152</v>
      </c>
      <c r="J19" s="45">
        <f t="shared" si="4"/>
        <v>0</v>
      </c>
      <c r="K19" s="45">
        <f t="shared" si="4"/>
        <v>0</v>
      </c>
      <c r="L19" s="45">
        <f t="shared" si="4"/>
        <v>0</v>
      </c>
      <c r="M19" s="45">
        <f t="shared" si="4"/>
        <v>1121.0676506114107</v>
      </c>
      <c r="N19" s="45">
        <f t="shared" si="4"/>
        <v>0</v>
      </c>
      <c r="O19" s="45">
        <f t="shared" si="4"/>
        <v>7915.3972499107176</v>
      </c>
      <c r="P19" s="45">
        <f t="shared" si="4"/>
        <v>-629.4419700404402</v>
      </c>
      <c r="Q19" s="45">
        <f t="shared" si="4"/>
        <v>0</v>
      </c>
      <c r="R19" s="110">
        <f t="shared" si="4"/>
        <v>-60611.801456887755</v>
      </c>
      <c r="S19" s="110">
        <f t="shared" si="4"/>
        <v>-3487.6893182355725</v>
      </c>
      <c r="T19" s="110">
        <f t="shared" si="4"/>
        <v>23363.864673026761</v>
      </c>
      <c r="U19" s="110">
        <f t="shared" si="4"/>
        <v>0</v>
      </c>
      <c r="V19" s="110">
        <f t="shared" si="4"/>
        <v>0</v>
      </c>
      <c r="W19" s="46">
        <f t="shared" si="2"/>
        <v>-140379.12192683748</v>
      </c>
      <c r="Y19" s="61"/>
    </row>
    <row r="20" spans="1:25" s="6" customFormat="1" ht="17.100000000000001" customHeight="1">
      <c r="A20" s="48" t="s">
        <v>34</v>
      </c>
      <c r="B20" s="49">
        <f>SUM(B3:B19)</f>
        <v>12354245.859997272</v>
      </c>
      <c r="C20" s="49">
        <f t="shared" ref="C20:W20" si="5">SUM(C3:C19)</f>
        <v>-1265299.6061056193</v>
      </c>
      <c r="D20" s="49">
        <f t="shared" si="5"/>
        <v>84823.270950192484</v>
      </c>
      <c r="E20" s="49">
        <f t="shared" si="5"/>
        <v>314670.20514121081</v>
      </c>
      <c r="F20" s="49">
        <f t="shared" si="5"/>
        <v>-478093.13275564706</v>
      </c>
      <c r="G20" s="49">
        <f t="shared" si="5"/>
        <v>323541.64747580542</v>
      </c>
      <c r="H20" s="49">
        <f t="shared" si="5"/>
        <v>-184388.11629262118</v>
      </c>
      <c r="I20" s="49">
        <f t="shared" si="5"/>
        <v>-909633.91877243877</v>
      </c>
      <c r="J20" s="49">
        <f t="shared" si="5"/>
        <v>-172560.86412644983</v>
      </c>
      <c r="K20" s="49">
        <f t="shared" si="5"/>
        <v>-382571.38716026681</v>
      </c>
      <c r="L20" s="49">
        <f t="shared" si="5"/>
        <v>-196938.8750627994</v>
      </c>
      <c r="M20" s="49">
        <f t="shared" si="5"/>
        <v>-41038.991092293625</v>
      </c>
      <c r="N20" s="49">
        <f t="shared" si="5"/>
        <v>-108687.70039186178</v>
      </c>
      <c r="O20" s="49">
        <f t="shared" si="5"/>
        <v>-474443.49669990235</v>
      </c>
      <c r="P20" s="49">
        <f t="shared" si="5"/>
        <v>-257260.89954732914</v>
      </c>
      <c r="Q20" s="49">
        <f t="shared" si="5"/>
        <v>82184.060468363241</v>
      </c>
      <c r="R20" s="111">
        <f t="shared" si="5"/>
        <v>-148302.72995857356</v>
      </c>
      <c r="S20" s="111">
        <f t="shared" si="5"/>
        <v>-95529.548671401717</v>
      </c>
      <c r="T20" s="111">
        <f t="shared" si="5"/>
        <v>1071488.7049347321</v>
      </c>
      <c r="U20" s="111">
        <f t="shared" si="5"/>
        <v>87924.947026948241</v>
      </c>
      <c r="V20" s="111">
        <f t="shared" si="5"/>
        <v>18163.082564375054</v>
      </c>
      <c r="W20" s="50">
        <f t="shared" si="5"/>
        <v>9622292.5119216964</v>
      </c>
      <c r="X20" s="61">
        <f>+W20-W18-W19</f>
        <v>10533383.837142132</v>
      </c>
      <c r="Y20" s="61"/>
    </row>
    <row r="21" spans="1:25" ht="29.25" customHeight="1">
      <c r="A21" s="658" t="s">
        <v>112</v>
      </c>
      <c r="B21" s="658"/>
      <c r="C21" s="658"/>
      <c r="D21" s="658"/>
      <c r="E21" s="658"/>
      <c r="F21" s="658"/>
      <c r="G21" s="658"/>
      <c r="H21" s="658"/>
      <c r="I21" s="658"/>
      <c r="J21" s="658"/>
      <c r="K21" s="658"/>
      <c r="L21" s="658"/>
      <c r="M21" s="658"/>
      <c r="N21" s="658"/>
      <c r="O21" s="658"/>
      <c r="P21" s="658"/>
      <c r="Q21" s="658"/>
      <c r="R21" s="658"/>
      <c r="S21" s="658"/>
      <c r="T21" s="658"/>
      <c r="U21" s="658"/>
      <c r="V21" s="658"/>
      <c r="W21" s="658"/>
    </row>
    <row r="22" spans="1:25" ht="17.100000000000001" customHeight="1">
      <c r="A22" s="79" t="s">
        <v>0</v>
      </c>
      <c r="B22" s="80">
        <f>+FY13RevToColl!B22-FY13ProjRevToColl!B22</f>
        <v>102946.73291514162</v>
      </c>
      <c r="C22" s="80">
        <f>+FY13RevToColl!C22-FY13ProjRevToColl!C22</f>
        <v>-1146.9019412543712</v>
      </c>
      <c r="D22" s="80">
        <f>+FY13RevToColl!D22-FY13ProjRevToColl!D22</f>
        <v>0</v>
      </c>
      <c r="E22" s="80">
        <f>+FY13RevToColl!E22-FY13ProjRevToColl!E22</f>
        <v>-4256.2853340180945</v>
      </c>
      <c r="F22" s="80">
        <f>+FY13RevToColl!F22-FY13ProjRevToColl!F22</f>
        <v>-1904.261108304685</v>
      </c>
      <c r="G22" s="80">
        <f>+FY13RevToColl!G22-FY13ProjRevToColl!G22</f>
        <v>3406.5503216459006</v>
      </c>
      <c r="H22" s="80">
        <f>+FY13RevToColl!H22-FY13ProjRevToColl!H22</f>
        <v>0</v>
      </c>
      <c r="I22" s="80">
        <f>+FY13RevToColl!I22-FY13ProjRevToColl!I22</f>
        <v>-171194.00705550786</v>
      </c>
      <c r="J22" s="80">
        <f>+FY13RevToColl!J22-FY13ProjRevToColl!J22</f>
        <v>-232.33035360829504</v>
      </c>
      <c r="K22" s="80">
        <f>+FY13RevToColl!K22-FY13ProjRevToColl!K22</f>
        <v>0</v>
      </c>
      <c r="L22" s="80">
        <f>+FY13RevToColl!L22-FY13ProjRevToColl!L22</f>
        <v>-367.3124645569556</v>
      </c>
      <c r="M22" s="80">
        <f>+FY13RevToColl!M22-FY13ProjRevToColl!M22</f>
        <v>0</v>
      </c>
      <c r="N22" s="80">
        <f>+FY13RevToColl!N22-FY13ProjRevToColl!N22</f>
        <v>0</v>
      </c>
      <c r="O22" s="80">
        <f>+FY13RevToColl!O22-FY13ProjRevToColl!O22</f>
        <v>1238.3426636631211</v>
      </c>
      <c r="P22" s="80">
        <f>+FY13RevToColl!P22-FY13ProjRevToColl!P22</f>
        <v>0</v>
      </c>
      <c r="Q22" s="80">
        <f>+FY13RevToColl!Q22-FY13ProjRevToColl!Q22</f>
        <v>91.839841881426338</v>
      </c>
      <c r="R22" s="80">
        <f>+FY13RevToColl!R22-FY13ProjRevToColl!R22</f>
        <v>-223.06232582373377</v>
      </c>
      <c r="S22" s="80">
        <f>+FY13RevToColl!S22-FY13ProjRevToColl!S22</f>
        <v>-175.41682716901514</v>
      </c>
      <c r="T22" s="80">
        <f>+FY13RevToColl!T22-FY13ProjRevToColl!T22</f>
        <v>81.192981296585643</v>
      </c>
      <c r="U22" s="80">
        <f>+FY13RevToColl!U22-FY13ProjRevToColl!U22</f>
        <v>0</v>
      </c>
      <c r="V22" s="80">
        <f>+FY13RevToColl!V22-FY13ProjRevToColl!V22</f>
        <v>0</v>
      </c>
      <c r="W22" s="81">
        <f>SUM(B22:V22)</f>
        <v>-71734.918686614343</v>
      </c>
    </row>
    <row r="23" spans="1:25" ht="17.100000000000001" customHeight="1">
      <c r="A23" s="82" t="s">
        <v>1</v>
      </c>
      <c r="B23" s="83">
        <f>+FY13RevToColl!B23-FY13ProjRevToColl!B23</f>
        <v>4572178.7390292138</v>
      </c>
      <c r="C23" s="83">
        <f>+FY13RevToColl!C23-FY13ProjRevToColl!C23</f>
        <v>-86009.476301255869</v>
      </c>
      <c r="D23" s="83">
        <f>+FY13RevToColl!D23-FY13ProjRevToColl!D23</f>
        <v>1410.0979489850997</v>
      </c>
      <c r="E23" s="83">
        <f>+FY13RevToColl!E23-FY13ProjRevToColl!E23</f>
        <v>1941.5070230678102</v>
      </c>
      <c r="F23" s="83">
        <f>+FY13RevToColl!F23-FY13ProjRevToColl!F23</f>
        <v>215.15221776624196</v>
      </c>
      <c r="G23" s="83">
        <f>+FY13RevToColl!G23-FY13ProjRevToColl!G23</f>
        <v>-4454.6111580865399</v>
      </c>
      <c r="H23" s="83">
        <f>+FY13RevToColl!H23-FY13ProjRevToColl!H23</f>
        <v>8.9970484263906201</v>
      </c>
      <c r="I23" s="83">
        <f>+FY13RevToColl!I23-FY13ProjRevToColl!I23</f>
        <v>-5593.2498611696537</v>
      </c>
      <c r="J23" s="83">
        <f>+FY13RevToColl!J23-FY13ProjRevToColl!J23</f>
        <v>-920.56869428216987</v>
      </c>
      <c r="K23" s="83">
        <f>+FY13RevToColl!K23-FY13ProjRevToColl!K23</f>
        <v>-109.27490225970701</v>
      </c>
      <c r="L23" s="83">
        <f>+FY13RevToColl!L23-FY13ProjRevToColl!L23</f>
        <v>-5619.7959900606475</v>
      </c>
      <c r="M23" s="83">
        <f>+FY13RevToColl!M23-FY13ProjRevToColl!M23</f>
        <v>750.28013462766137</v>
      </c>
      <c r="N23" s="83">
        <f>+FY13RevToColl!N23-FY13ProjRevToColl!N23</f>
        <v>0</v>
      </c>
      <c r="O23" s="83">
        <f>+FY13RevToColl!O23-FY13ProjRevToColl!O23</f>
        <v>1934.4975321626716</v>
      </c>
      <c r="P23" s="83">
        <f>+FY13RevToColl!P23-FY13ProjRevToColl!P23</f>
        <v>-1427.892075414823</v>
      </c>
      <c r="Q23" s="83">
        <f>+FY13RevToColl!Q23-FY13ProjRevToColl!Q23</f>
        <v>3586.4231333777857</v>
      </c>
      <c r="R23" s="83">
        <f>+FY13RevToColl!R23-FY13ProjRevToColl!R23</f>
        <v>-14342.004883304988</v>
      </c>
      <c r="S23" s="83">
        <f>+FY13RevToColl!S23-FY13ProjRevToColl!S23</f>
        <v>-4310.3495246854764</v>
      </c>
      <c r="T23" s="83">
        <f>+FY13RevToColl!T23-FY13ProjRevToColl!T23</f>
        <v>19175.812341435256</v>
      </c>
      <c r="U23" s="83">
        <f>+FY13RevToColl!U23-FY13ProjRevToColl!U23</f>
        <v>203.41923396226417</v>
      </c>
      <c r="V23" s="83">
        <f>+FY13RevToColl!V23-FY13ProjRevToColl!V23</f>
        <v>-1668.2715894417056</v>
      </c>
      <c r="W23" s="84">
        <f t="shared" ref="W23:W31" si="6">SUM(B23:V23)</f>
        <v>4476949.4306630623</v>
      </c>
    </row>
    <row r="24" spans="1:25" ht="17.100000000000001" customHeight="1">
      <c r="A24" s="82" t="s">
        <v>6</v>
      </c>
      <c r="B24" s="83">
        <f>+FY13RevToColl!B24-FY13ProjRevToColl!B24</f>
        <v>479997.90525631048</v>
      </c>
      <c r="C24" s="83">
        <f>+FY13RevToColl!C24-FY13ProjRevToColl!C24</f>
        <v>-5504.6329844101056</v>
      </c>
      <c r="D24" s="83">
        <f>+FY13RevToColl!D24-FY13ProjRevToColl!D24</f>
        <v>0</v>
      </c>
      <c r="E24" s="83">
        <f>+FY13RevToColl!E24-FY13ProjRevToColl!E24</f>
        <v>6261.0334495768093</v>
      </c>
      <c r="F24" s="83">
        <f>+FY13RevToColl!F24-FY13ProjRevToColl!F24</f>
        <v>-87271.342057938105</v>
      </c>
      <c r="G24" s="83">
        <f>+FY13RevToColl!G24-FY13ProjRevToColl!G24</f>
        <v>9999.298332974502</v>
      </c>
      <c r="H24" s="83">
        <f>+FY13RevToColl!H24-FY13ProjRevToColl!H24</f>
        <v>0</v>
      </c>
      <c r="I24" s="83">
        <f>+FY13RevToColl!I24-FY13ProjRevToColl!I24</f>
        <v>2923.7228832066639</v>
      </c>
      <c r="J24" s="83">
        <f>+FY13RevToColl!J24-FY13ProjRevToColl!J24</f>
        <v>0</v>
      </c>
      <c r="K24" s="83">
        <f>+FY13RevToColl!K24-FY13ProjRevToColl!K24</f>
        <v>238.07126107038715</v>
      </c>
      <c r="L24" s="83">
        <f>+FY13RevToColl!L24-FY13ProjRevToColl!L24</f>
        <v>2630.3756606045135</v>
      </c>
      <c r="M24" s="83">
        <f>+FY13RevToColl!M24-FY13ProjRevToColl!M24</f>
        <v>-0.44089481023969768</v>
      </c>
      <c r="N24" s="83">
        <f>+FY13RevToColl!N24-FY13ProjRevToColl!N24</f>
        <v>0</v>
      </c>
      <c r="O24" s="83">
        <f>+FY13RevToColl!O24-FY13ProjRevToColl!O24</f>
        <v>-192.24044408158352</v>
      </c>
      <c r="P24" s="83">
        <f>+FY13RevToColl!P24-FY13ProjRevToColl!P24</f>
        <v>0</v>
      </c>
      <c r="Q24" s="83">
        <f>+FY13RevToColl!Q24-FY13ProjRevToColl!Q24</f>
        <v>-362.69006752354693</v>
      </c>
      <c r="R24" s="83">
        <f>+FY13RevToColl!R24-FY13ProjRevToColl!R24</f>
        <v>1449.0209927707601</v>
      </c>
      <c r="S24" s="83">
        <f>+FY13RevToColl!S24-FY13ProjRevToColl!S24</f>
        <v>359.12815462462419</v>
      </c>
      <c r="T24" s="83">
        <f>+FY13RevToColl!T24-FY13ProjRevToColl!T24</f>
        <v>852.52630361414936</v>
      </c>
      <c r="U24" s="83">
        <f>+FY13RevToColl!U24-FY13ProjRevToColl!U24</f>
        <v>0</v>
      </c>
      <c r="V24" s="83">
        <f>+FY13RevToColl!V24-FY13ProjRevToColl!V24</f>
        <v>0</v>
      </c>
      <c r="W24" s="84">
        <f t="shared" si="6"/>
        <v>411379.7358459892</v>
      </c>
    </row>
    <row r="25" spans="1:25" ht="17.100000000000001" customHeight="1">
      <c r="A25" s="85" t="s">
        <v>2</v>
      </c>
      <c r="B25" s="83">
        <f>+FY13RevToColl!B25-FY13ProjRevToColl!B25</f>
        <v>347934.93500016234</v>
      </c>
      <c r="C25" s="83">
        <f>+FY13RevToColl!C25-FY13ProjRevToColl!C25</f>
        <v>-132228.72790048592</v>
      </c>
      <c r="D25" s="83">
        <f>+FY13RevToColl!D25-FY13ProjRevToColl!D25</f>
        <v>273.59021222165336</v>
      </c>
      <c r="E25" s="83">
        <f>+FY13RevToColl!E25-FY13ProjRevToColl!E25</f>
        <v>-112.90857567013973</v>
      </c>
      <c r="F25" s="83">
        <f>+FY13RevToColl!F25-FY13ProjRevToColl!F25</f>
        <v>-460.36244480070445</v>
      </c>
      <c r="G25" s="83">
        <f>+FY13RevToColl!G25-FY13ProjRevToColl!G25</f>
        <v>-1142.4058139881731</v>
      </c>
      <c r="H25" s="83">
        <f>+FY13RevToColl!H25-FY13ProjRevToColl!H25</f>
        <v>-85.146152591842664</v>
      </c>
      <c r="I25" s="83">
        <f>+FY13RevToColl!I25-FY13ProjRevToColl!I25</f>
        <v>48.945953436092623</v>
      </c>
      <c r="J25" s="83">
        <f>+FY13RevToColl!J25-FY13ProjRevToColl!J25</f>
        <v>-463.78543520148901</v>
      </c>
      <c r="K25" s="83">
        <f>+FY13RevToColl!K25-FY13ProjRevToColl!K25</f>
        <v>0</v>
      </c>
      <c r="L25" s="83">
        <f>+FY13RevToColl!L25-FY13ProjRevToColl!L25</f>
        <v>213.62567192097345</v>
      </c>
      <c r="M25" s="83">
        <f>+FY13RevToColl!M25-FY13ProjRevToColl!M25</f>
        <v>0</v>
      </c>
      <c r="N25" s="83">
        <f>+FY13RevToColl!N25-FY13ProjRevToColl!N25</f>
        <v>0</v>
      </c>
      <c r="O25" s="83">
        <f>+FY13RevToColl!O25-FY13ProjRevToColl!O25</f>
        <v>-240.30055510197937</v>
      </c>
      <c r="P25" s="83">
        <f>+FY13RevToColl!P25-FY13ProjRevToColl!P25</f>
        <v>70.772578144985118</v>
      </c>
      <c r="Q25" s="83">
        <f>+FY13RevToColl!Q25-FY13ProjRevToColl!Q25</f>
        <v>0</v>
      </c>
      <c r="R25" s="83">
        <f>+FY13RevToColl!R25-FY13ProjRevToColl!R25</f>
        <v>-1081.9604781208491</v>
      </c>
      <c r="S25" s="83">
        <f>+FY13RevToColl!S25-FY13ProjRevToColl!S25</f>
        <v>-13855.763732698106</v>
      </c>
      <c r="T25" s="83">
        <f>+FY13RevToColl!T25-FY13ProjRevToColl!T25</f>
        <v>187115.82663600042</v>
      </c>
      <c r="U25" s="83">
        <f>+FY13RevToColl!U25-FY13ProjRevToColl!U25</f>
        <v>0</v>
      </c>
      <c r="V25" s="83">
        <f>+FY13RevToColl!V25-FY13ProjRevToColl!V25</f>
        <v>0</v>
      </c>
      <c r="W25" s="84">
        <f t="shared" si="6"/>
        <v>385986.33496322727</v>
      </c>
    </row>
    <row r="26" spans="1:25" ht="17.100000000000001" customHeight="1">
      <c r="A26" s="82" t="s">
        <v>3</v>
      </c>
      <c r="B26" s="83">
        <f>+FY13RevToColl!B26-FY13ProjRevToColl!B26</f>
        <v>968124.06161456928</v>
      </c>
      <c r="C26" s="83">
        <f>+FY13RevToColl!C26-FY13ProjRevToColl!C26</f>
        <v>-1842.1010169061919</v>
      </c>
      <c r="D26" s="83">
        <f>+FY13RevToColl!D26-FY13ProjRevToColl!D26</f>
        <v>539.43936151846322</v>
      </c>
      <c r="E26" s="83">
        <f>+FY13RevToColl!E26-FY13ProjRevToColl!E26</f>
        <v>37575.736928262049</v>
      </c>
      <c r="F26" s="83">
        <f>+FY13RevToColl!F26-FY13ProjRevToColl!F26</f>
        <v>-2441.9072570401036</v>
      </c>
      <c r="G26" s="83">
        <f>+FY13RevToColl!G26-FY13ProjRevToColl!G26</f>
        <v>-253.86795866403816</v>
      </c>
      <c r="H26" s="83">
        <f>+FY13RevToColl!H26-FY13ProjRevToColl!H26</f>
        <v>-28.382050863947551</v>
      </c>
      <c r="I26" s="83">
        <f>+FY13RevToColl!I26-FY13ProjRevToColl!I26</f>
        <v>394.82620822846502</v>
      </c>
      <c r="J26" s="83">
        <f>+FY13RevToColl!J26-FY13ProjRevToColl!J26</f>
        <v>0</v>
      </c>
      <c r="K26" s="83">
        <f>+FY13RevToColl!K26-FY13ProjRevToColl!K26</f>
        <v>-214.74041816068876</v>
      </c>
      <c r="L26" s="83">
        <f>+FY13RevToColl!L26-FY13ProjRevToColl!L26</f>
        <v>0</v>
      </c>
      <c r="M26" s="83">
        <f>+FY13RevToColl!M26-FY13ProjRevToColl!M26</f>
        <v>173.85378422292447</v>
      </c>
      <c r="N26" s="83">
        <f>+FY13RevToColl!N26-FY13ProjRevToColl!N26</f>
        <v>0</v>
      </c>
      <c r="O26" s="83">
        <f>+FY13RevToColl!O26-FY13ProjRevToColl!O26</f>
        <v>743.77854528011358</v>
      </c>
      <c r="P26" s="83">
        <f>+FY13RevToColl!P26-FY13ProjRevToColl!P26</f>
        <v>0</v>
      </c>
      <c r="Q26" s="83">
        <f>+FY13RevToColl!Q26-FY13ProjRevToColl!Q26</f>
        <v>0</v>
      </c>
      <c r="R26" s="83">
        <f>+FY13RevToColl!R26-FY13ProjRevToColl!R26</f>
        <v>-590.10762096026883</v>
      </c>
      <c r="S26" s="83">
        <f>+FY13RevToColl!S26-FY13ProjRevToColl!S26</f>
        <v>0</v>
      </c>
      <c r="T26" s="83">
        <f>+FY13RevToColl!T26-FY13ProjRevToColl!T26</f>
        <v>162.38596259317129</v>
      </c>
      <c r="U26" s="83">
        <f>+FY13RevToColl!U26-FY13ProjRevToColl!U26</f>
        <v>14852.184955131004</v>
      </c>
      <c r="V26" s="83">
        <f>+FY13RevToColl!V26-FY13ProjRevToColl!V26</f>
        <v>5162.7280755411739</v>
      </c>
      <c r="W26" s="84">
        <f t="shared" si="6"/>
        <v>1022357.8891127515</v>
      </c>
    </row>
    <row r="27" spans="1:25" ht="17.100000000000001" customHeight="1">
      <c r="A27" s="82" t="s">
        <v>4</v>
      </c>
      <c r="B27" s="83">
        <f>+FY13RevToColl!B27-FY13ProjRevToColl!B27</f>
        <v>221878.88979753945</v>
      </c>
      <c r="C27" s="83">
        <f>+FY13RevToColl!C27-FY13ProjRevToColl!C27</f>
        <v>-6240.5127016131319</v>
      </c>
      <c r="D27" s="83">
        <f>+FY13RevToColl!D27-FY13ProjRevToColl!D27</f>
        <v>-101.5214571650629</v>
      </c>
      <c r="E27" s="83">
        <f>+FY13RevToColl!E27-FY13ProjRevToColl!E27</f>
        <v>-5576.5088911169969</v>
      </c>
      <c r="F27" s="83">
        <f>+FY13RevToColl!F27-FY13ProjRevToColl!F27</f>
        <v>48.338954269020405</v>
      </c>
      <c r="G27" s="83">
        <f>+FY13RevToColl!G27-FY13ProjRevToColl!G27</f>
        <v>-5516.5755328666128</v>
      </c>
      <c r="H27" s="83">
        <f>+FY13RevToColl!H27-FY13ProjRevToColl!H27</f>
        <v>0</v>
      </c>
      <c r="I27" s="83">
        <f>+FY13RevToColl!I27-FY13ProjRevToColl!I27</f>
        <v>-109.12181998572487</v>
      </c>
      <c r="J27" s="83">
        <f>+FY13RevToColl!J27-FY13ProjRevToColl!J27</f>
        <v>-929.32141443318017</v>
      </c>
      <c r="K27" s="83">
        <f>+FY13RevToColl!K27-FY13ProjRevToColl!K27</f>
        <v>412.1013353284402</v>
      </c>
      <c r="L27" s="83">
        <f>+FY13RevToColl!L27-FY13ProjRevToColl!L27</f>
        <v>336.92574627785365</v>
      </c>
      <c r="M27" s="83">
        <f>+FY13RevToColl!M27-FY13ProjRevToColl!M27</f>
        <v>0</v>
      </c>
      <c r="N27" s="83">
        <f>+FY13RevToColl!N27-FY13ProjRevToColl!N27</f>
        <v>0</v>
      </c>
      <c r="O27" s="83">
        <f>+FY13RevToColl!O27-FY13ProjRevToColl!O27</f>
        <v>-101.54334179115634</v>
      </c>
      <c r="P27" s="83">
        <f>+FY13RevToColl!P27-FY13ProjRevToColl!P27</f>
        <v>-3.6078297652135305</v>
      </c>
      <c r="Q27" s="83">
        <f>+FY13RevToColl!Q27-FY13ProjRevToColl!Q27</f>
        <v>183.67968376285268</v>
      </c>
      <c r="R27" s="83">
        <f>+FY13RevToColl!R27-FY13ProjRevToColl!R27</f>
        <v>-8819.0424935306655</v>
      </c>
      <c r="S27" s="83">
        <f>+FY13RevToColl!S27-FY13ProjRevToColl!S27</f>
        <v>230.57821754797624</v>
      </c>
      <c r="T27" s="83">
        <f>+FY13RevToColl!T27-FY13ProjRevToColl!T27</f>
        <v>81.192981296585643</v>
      </c>
      <c r="U27" s="83">
        <f>+FY13RevToColl!U27-FY13ProjRevToColl!U27</f>
        <v>0</v>
      </c>
      <c r="V27" s="83">
        <f>+FY13RevToColl!V27-FY13ProjRevToColl!V27</f>
        <v>0</v>
      </c>
      <c r="W27" s="84">
        <f t="shared" si="6"/>
        <v>195773.95123375443</v>
      </c>
    </row>
    <row r="28" spans="1:25" ht="17.100000000000001" customHeight="1">
      <c r="A28" s="82" t="s">
        <v>14</v>
      </c>
      <c r="B28" s="83">
        <f>+FY13RevToColl!B28-FY13ProjRevToColl!B28</f>
        <v>385535.65337349707</v>
      </c>
      <c r="C28" s="83">
        <f>+FY13RevToColl!C28-FY13ProjRevToColl!C28</f>
        <v>4275.9816587298665</v>
      </c>
      <c r="D28" s="83">
        <f>+FY13RevToColl!D28-FY13ProjRevToColl!D28</f>
        <v>-152.28218574759435</v>
      </c>
      <c r="E28" s="83">
        <f>+FY13RevToColl!E28-FY13ProjRevToColl!E28</f>
        <v>-1332.2144116182205</v>
      </c>
      <c r="F28" s="83">
        <f>+FY13RevToColl!F28-FY13ProjRevToColl!F28</f>
        <v>0</v>
      </c>
      <c r="G28" s="83">
        <f>+FY13RevToColl!G28-FY13ProjRevToColl!G28</f>
        <v>-705.52222787916025</v>
      </c>
      <c r="H28" s="83">
        <f>+FY13RevToColl!H28-FY13ProjRevToColl!H28</f>
        <v>-36209.844733653605</v>
      </c>
      <c r="I28" s="83">
        <f>+FY13RevToColl!I28-FY13ProjRevToColl!I28</f>
        <v>0</v>
      </c>
      <c r="J28" s="83">
        <f>+FY13RevToColl!J28-FY13ProjRevToColl!J28</f>
        <v>-232.33035360829504</v>
      </c>
      <c r="K28" s="83">
        <f>+FY13RevToColl!K28-FY13ProjRevToColl!K28</f>
        <v>0</v>
      </c>
      <c r="L28" s="83">
        <f>+FY13RevToColl!L28-FY13ProjRevToColl!L28</f>
        <v>-1223.4001800932256</v>
      </c>
      <c r="M28" s="83">
        <f>+FY13RevToColl!M28-FY13ProjRevToColl!M28</f>
        <v>0</v>
      </c>
      <c r="N28" s="83">
        <f>+FY13RevToColl!N28-FY13ProjRevToColl!N28</f>
        <v>0</v>
      </c>
      <c r="O28" s="83">
        <f>+FY13RevToColl!O28-FY13ProjRevToColl!O28</f>
        <v>78.292478450538283</v>
      </c>
      <c r="P28" s="83">
        <f>+FY13RevToColl!P28-FY13ProjRevToColl!P28</f>
        <v>0</v>
      </c>
      <c r="Q28" s="83">
        <f>+FY13RevToColl!Q28-FY13ProjRevToColl!Q28</f>
        <v>0</v>
      </c>
      <c r="R28" s="83">
        <f>+FY13RevToColl!R28-FY13ProjRevToColl!R28</f>
        <v>-38.167832090073091</v>
      </c>
      <c r="S28" s="83">
        <f>+FY13RevToColl!S28-FY13ProjRevToColl!S28</f>
        <v>-175.41682716901514</v>
      </c>
      <c r="T28" s="83">
        <f>+FY13RevToColl!T28-FY13ProjRevToColl!T28</f>
        <v>0</v>
      </c>
      <c r="U28" s="83">
        <f>+FY13RevToColl!U28-FY13ProjRevToColl!U28</f>
        <v>0</v>
      </c>
      <c r="V28" s="83">
        <f>+FY13RevToColl!V28-FY13ProjRevToColl!V28</f>
        <v>0</v>
      </c>
      <c r="W28" s="84">
        <f t="shared" si="6"/>
        <v>349820.74875881826</v>
      </c>
    </row>
    <row r="29" spans="1:25" ht="17.100000000000001" customHeight="1">
      <c r="A29" s="82" t="s">
        <v>9</v>
      </c>
      <c r="B29" s="83">
        <f>+FY13RevToColl!B29-FY13ProjRevToColl!B29</f>
        <v>1859.256343389181</v>
      </c>
      <c r="C29" s="83">
        <f>+FY13RevToColl!C29-FY13ProjRevToColl!C29</f>
        <v>4905.1576654007149</v>
      </c>
      <c r="D29" s="83">
        <f>+FY13RevToColl!D29-FY13ProjRevToColl!D29</f>
        <v>294.23965173734359</v>
      </c>
      <c r="E29" s="83">
        <f>+FY13RevToColl!E29-FY13ProjRevToColl!E29</f>
        <v>-1225.9805676613796</v>
      </c>
      <c r="F29" s="83">
        <f>+FY13RevToColl!F29-FY13ProjRevToColl!F29</f>
        <v>598.23095863223227</v>
      </c>
      <c r="G29" s="83">
        <f>+FY13RevToColl!G29-FY13ProjRevToColl!G29</f>
        <v>-886.07607480644856</v>
      </c>
      <c r="H29" s="83">
        <f>+FY13RevToColl!H29-FY13ProjRevToColl!H29</f>
        <v>0</v>
      </c>
      <c r="I29" s="83">
        <f>+FY13RevToColl!I29-FY13ProjRevToColl!I29</f>
        <v>0</v>
      </c>
      <c r="J29" s="83">
        <f>+FY13RevToColl!J29-FY13ProjRevToColl!J29</f>
        <v>0</v>
      </c>
      <c r="K29" s="83">
        <f>+FY13RevToColl!K29-FY13ProjRevToColl!K29</f>
        <v>0</v>
      </c>
      <c r="L29" s="83">
        <f>+FY13RevToColl!L29-FY13ProjRevToColl!L29</f>
        <v>-35831.526243243832</v>
      </c>
      <c r="M29" s="83">
        <f>+FY13RevToColl!M29-FY13ProjRevToColl!M29</f>
        <v>0</v>
      </c>
      <c r="N29" s="83">
        <f>+FY13RevToColl!N29-FY13ProjRevToColl!N29</f>
        <v>0</v>
      </c>
      <c r="O29" s="83">
        <f>+FY13RevToColl!O29-FY13ProjRevToColl!O29</f>
        <v>-560.82595636009944</v>
      </c>
      <c r="P29" s="83">
        <f>+FY13RevToColl!P29-FY13ProjRevToColl!P29</f>
        <v>-59.669157033797092</v>
      </c>
      <c r="Q29" s="83">
        <f>+FY13RevToColl!Q29-FY13ProjRevToColl!Q29</f>
        <v>14111.632921623503</v>
      </c>
      <c r="R29" s="83">
        <f>+FY13RevToColl!R29-FY13ProjRevToColl!R29</f>
        <v>-229.92155665070072</v>
      </c>
      <c r="S29" s="83">
        <f>+FY13RevToColl!S29-FY13ProjRevToColl!S29</f>
        <v>-263.12524075352269</v>
      </c>
      <c r="T29" s="83">
        <f>+FY13RevToColl!T29-FY13ProjRevToColl!T29</f>
        <v>162.38596259317129</v>
      </c>
      <c r="U29" s="83">
        <f>+FY13RevToColl!U29-FY13ProjRevToColl!U29</f>
        <v>0</v>
      </c>
      <c r="V29" s="83">
        <f>+FY13RevToColl!V29-FY13ProjRevToColl!V29</f>
        <v>0</v>
      </c>
      <c r="W29" s="84">
        <f t="shared" si="6"/>
        <v>-17126.221293133629</v>
      </c>
    </row>
    <row r="30" spans="1:25" ht="17.100000000000001" customHeight="1">
      <c r="A30" s="82" t="s">
        <v>5</v>
      </c>
      <c r="B30" s="83">
        <f>+FY13RevToColl!B30-FY13ProjRevToColl!B30</f>
        <v>-7823.2875054144315</v>
      </c>
      <c r="C30" s="83">
        <f>+FY13RevToColl!C30-FY13ProjRevToColl!C30</f>
        <v>3031.8428390378831</v>
      </c>
      <c r="D30" s="83">
        <f>+FY13RevToColl!D30-FY13ProjRevToColl!D30</f>
        <v>-1068.5589570661621</v>
      </c>
      <c r="E30" s="83">
        <f>+FY13RevToColl!E30-FY13ProjRevToColl!E30</f>
        <v>-572.13266833843772</v>
      </c>
      <c r="F30" s="83">
        <f>+FY13RevToColl!F30-FY13ProjRevToColl!F30</f>
        <v>-1618.0359528585168</v>
      </c>
      <c r="G30" s="83">
        <f>+FY13RevToColl!G30-FY13ProjRevToColl!G30</f>
        <v>73714.147106578457</v>
      </c>
      <c r="H30" s="83">
        <f>+FY13RevToColl!H30-FY13ProjRevToColl!H30</f>
        <v>-58.088815173160867</v>
      </c>
      <c r="I30" s="83">
        <f>+FY13RevToColl!I30-FY13ProjRevToColl!I30</f>
        <v>-8007.71936376132</v>
      </c>
      <c r="J30" s="83">
        <f>+FY13RevToColl!J30-FY13ProjRevToColl!J30</f>
        <v>-612.54543350131189</v>
      </c>
      <c r="K30" s="83">
        <f>+FY13RevToColl!K30-FY13ProjRevToColl!K30</f>
        <v>0</v>
      </c>
      <c r="L30" s="83">
        <f>+FY13RevToColl!L30-FY13ProjRevToColl!L30</f>
        <v>-1769.6947252319442</v>
      </c>
      <c r="M30" s="83">
        <f>+FY13RevToColl!M30-FY13ProjRevToColl!M30</f>
        <v>0</v>
      </c>
      <c r="N30" s="83">
        <f>+FY13RevToColl!N30-FY13ProjRevToColl!N30</f>
        <v>0</v>
      </c>
      <c r="O30" s="83">
        <f>+FY13RevToColl!O30-FY13ProjRevToColl!O30</f>
        <v>1246.5085687253627</v>
      </c>
      <c r="P30" s="83">
        <f>+FY13RevToColl!P30-FY13ProjRevToColl!P30</f>
        <v>-149.30503753304038</v>
      </c>
      <c r="Q30" s="83">
        <f>+FY13RevToColl!Q30-FY13ProjRevToColl!Q30</f>
        <v>-992.72838568759551</v>
      </c>
      <c r="R30" s="83">
        <f>+FY13RevToColl!R30-FY13ProjRevToColl!R30</f>
        <v>-824.83063918984681</v>
      </c>
      <c r="S30" s="83">
        <f>+FY13RevToColl!S30-FY13ProjRevToColl!S30</f>
        <v>379.34599907319671</v>
      </c>
      <c r="T30" s="83">
        <f>+FY13RevToColl!T30-FY13ProjRevToColl!T30</f>
        <v>2444.382790694694</v>
      </c>
      <c r="U30" s="83">
        <f>+FY13RevToColl!U30-FY13ProjRevToColl!U30</f>
        <v>0</v>
      </c>
      <c r="V30" s="83">
        <f>+FY13RevToColl!V30-FY13ProjRevToColl!V30</f>
        <v>0</v>
      </c>
      <c r="W30" s="84">
        <f t="shared" si="6"/>
        <v>57319.299820353823</v>
      </c>
    </row>
    <row r="31" spans="1:25" ht="17.100000000000001" customHeight="1">
      <c r="A31" s="82" t="s">
        <v>13</v>
      </c>
      <c r="B31" s="83">
        <f>+FY13RevToColl!B31-FY13ProjRevToColl!B31</f>
        <v>-19151.527265072451</v>
      </c>
      <c r="C31" s="83">
        <f>+FY13RevToColl!C31-FY13ProjRevToColl!C31</f>
        <v>100.16562416919578</v>
      </c>
      <c r="D31" s="83">
        <f>+FY13RevToColl!D31-FY13ProjRevToColl!D31</f>
        <v>-9789.9969153683123</v>
      </c>
      <c r="E31" s="83">
        <f>+FY13RevToColl!E31-FY13ProjRevToColl!E31</f>
        <v>317.32270457831135</v>
      </c>
      <c r="F31" s="83">
        <f>+FY13RevToColl!F31-FY13ProjRevToColl!F31</f>
        <v>0</v>
      </c>
      <c r="G31" s="83">
        <f>+FY13RevToColl!G31-FY13ProjRevToColl!G31</f>
        <v>-3996.4978722347182</v>
      </c>
      <c r="H31" s="83">
        <f>+FY13RevToColl!H31-FY13ProjRevToColl!H31</f>
        <v>0</v>
      </c>
      <c r="I31" s="83">
        <f>+FY13RevToColl!I31-FY13ProjRevToColl!I31</f>
        <v>131.68952334806437</v>
      </c>
      <c r="J31" s="83">
        <f>+FY13RevToColl!J31-FY13ProjRevToColl!J31</f>
        <v>158.38799046593397</v>
      </c>
      <c r="K31" s="83">
        <f>+FY13RevToColl!K31-FY13ProjRevToColl!K31</f>
        <v>0</v>
      </c>
      <c r="L31" s="83">
        <f>+FY13RevToColl!L31-FY13ProjRevToColl!L31</f>
        <v>0</v>
      </c>
      <c r="M31" s="83">
        <f>+FY13RevToColl!M31-FY13ProjRevToColl!M31</f>
        <v>0</v>
      </c>
      <c r="N31" s="83">
        <f>+FY13RevToColl!N31-FY13ProjRevToColl!N31</f>
        <v>0</v>
      </c>
      <c r="O31" s="83">
        <f>+FY13RevToColl!O31-FY13ProjRevToColl!O31</f>
        <v>1075.9606036452374</v>
      </c>
      <c r="P31" s="83">
        <f>+FY13RevToColl!P31-FY13ProjRevToColl!P31</f>
        <v>-47741.899967911653</v>
      </c>
      <c r="Q31" s="83">
        <f>+FY13RevToColl!Q31-FY13ProjRevToColl!Q31</f>
        <v>0</v>
      </c>
      <c r="R31" s="83">
        <f>+FY13RevToColl!R31-FY13ProjRevToColl!R31</f>
        <v>-1126.7589000103235</v>
      </c>
      <c r="S31" s="83">
        <f>+FY13RevToColl!S31-FY13ProjRevToColl!S31</f>
        <v>-174.89842090110301</v>
      </c>
      <c r="T31" s="83">
        <f>+FY13RevToColl!T31-FY13ProjRevToColl!T31</f>
        <v>1664.4561165800058</v>
      </c>
      <c r="U31" s="83">
        <f>+FY13RevToColl!U31-FY13ProjRevToColl!U31</f>
        <v>0</v>
      </c>
      <c r="V31" s="83">
        <f>+FY13RevToColl!V31-FY13ProjRevToColl!V31</f>
        <v>0</v>
      </c>
      <c r="W31" s="84">
        <f t="shared" si="6"/>
        <v>-78533.596778711799</v>
      </c>
    </row>
    <row r="32" spans="1:25" ht="17.100000000000001" customHeight="1">
      <c r="A32" s="82" t="s">
        <v>8</v>
      </c>
      <c r="B32" s="83">
        <f>+FY13RevToColl!B32-FY13ProjRevToColl!B32</f>
        <v>-787.78068468051424</v>
      </c>
      <c r="C32" s="83">
        <f>+FY13RevToColl!C32-FY13ProjRevToColl!C32</f>
        <v>1208.246973380687</v>
      </c>
      <c r="D32" s="83">
        <f>+FY13RevToColl!D32-FY13ProjRevToColl!D32</f>
        <v>-3394.2838200076076</v>
      </c>
      <c r="E32" s="83">
        <f>+FY13RevToColl!E32-FY13ProjRevToColl!E32</f>
        <v>-847.16601360129494</v>
      </c>
      <c r="F32" s="83">
        <f>+FY13RevToColl!F32-FY13ProjRevToColl!F32</f>
        <v>0</v>
      </c>
      <c r="G32" s="83">
        <f>+FY13RevToColl!G32-FY13ProjRevToColl!G32</f>
        <v>0</v>
      </c>
      <c r="H32" s="83">
        <f>+FY13RevToColl!H32-FY13ProjRevToColl!H32</f>
        <v>0</v>
      </c>
      <c r="I32" s="83">
        <f>+FY13RevToColl!I32-FY13ProjRevToColl!I32</f>
        <v>0</v>
      </c>
      <c r="J32" s="83">
        <f>+FY13RevToColl!J32-FY13ProjRevToColl!J32</f>
        <v>0</v>
      </c>
      <c r="K32" s="83">
        <f>+FY13RevToColl!K32-FY13ProjRevToColl!K32</f>
        <v>0</v>
      </c>
      <c r="L32" s="83">
        <f>+FY13RevToColl!L32-FY13ProjRevToColl!L32</f>
        <v>0</v>
      </c>
      <c r="M32" s="83">
        <f>+FY13RevToColl!M32-FY13ProjRevToColl!M32</f>
        <v>-465.3736705020907</v>
      </c>
      <c r="N32" s="83">
        <f>+FY13RevToColl!N32-FY13ProjRevToColl!N32</f>
        <v>-23357.692352009588</v>
      </c>
      <c r="O32" s="83">
        <f>+FY13RevToColl!O32-FY13ProjRevToColl!O32</f>
        <v>627.89821194346621</v>
      </c>
      <c r="P32" s="83">
        <f>+FY13RevToColl!P32-FY13ProjRevToColl!P32</f>
        <v>0</v>
      </c>
      <c r="Q32" s="83">
        <f>+FY13RevToColl!Q32-FY13ProjRevToColl!Q32</f>
        <v>0</v>
      </c>
      <c r="R32" s="83">
        <f>+FY13RevToColl!R32-FY13ProjRevToColl!R32</f>
        <v>0</v>
      </c>
      <c r="S32" s="83">
        <f>+FY13RevToColl!S32-FY13ProjRevToColl!S32</f>
        <v>0</v>
      </c>
      <c r="T32" s="83">
        <f>+FY13RevToColl!T32-FY13ProjRevToColl!T32</f>
        <v>0</v>
      </c>
      <c r="U32" s="83">
        <f>+FY13RevToColl!U32-FY13ProjRevToColl!U32</f>
        <v>0</v>
      </c>
      <c r="V32" s="83">
        <f>+FY13RevToColl!V32-FY13ProjRevToColl!V32</f>
        <v>0</v>
      </c>
      <c r="W32" s="84">
        <f>SUM(B32:V32)</f>
        <v>-27016.151355476941</v>
      </c>
    </row>
    <row r="33" spans="1:23">
      <c r="A33" s="82" t="s">
        <v>10</v>
      </c>
      <c r="B33" s="83">
        <f>+FY13RevToColl!B33-FY13ProjRevToColl!B33</f>
        <v>22213.340592663735</v>
      </c>
      <c r="C33" s="83">
        <f>+FY13RevToColl!C33-FY13ProjRevToColl!C33</f>
        <v>-16640.813661415712</v>
      </c>
      <c r="D33" s="83">
        <f>+FY13RevToColl!D33-FY13ProjRevToColl!D33</f>
        <v>27613.511875843309</v>
      </c>
      <c r="E33" s="83">
        <f>+FY13RevToColl!E33-FY13ProjRevToColl!E33</f>
        <v>-3760.4257224112262</v>
      </c>
      <c r="F33" s="83">
        <f>+FY13RevToColl!F33-FY13ProjRevToColl!F33</f>
        <v>450.34310837796426</v>
      </c>
      <c r="G33" s="83">
        <f>+FY13RevToColl!G33-FY13ProjRevToColl!G33</f>
        <v>-2551.3987859817562</v>
      </c>
      <c r="H33" s="83">
        <f>+FY13RevToColl!H33-FY13ProjRevToColl!H33</f>
        <v>-141.91025431973776</v>
      </c>
      <c r="I33" s="83">
        <f>+FY13RevToColl!I33-FY13ProjRevToColl!I33</f>
        <v>35.42690684574103</v>
      </c>
      <c r="J33" s="83">
        <f>+FY13RevToColl!J33-FY13ProjRevToColl!J33</f>
        <v>-5698.4303244458752</v>
      </c>
      <c r="K33" s="83">
        <f>+FY13RevToColl!K33-FY13ProjRevToColl!K33</f>
        <v>-7481.1886043881386</v>
      </c>
      <c r="L33" s="83">
        <f>+FY13RevToColl!L33-FY13ProjRevToColl!L33</f>
        <v>-490.61253891383592</v>
      </c>
      <c r="M33" s="83">
        <f>+FY13RevToColl!M33-FY13ProjRevToColl!M33</f>
        <v>-9167.1773159895092</v>
      </c>
      <c r="N33" s="83">
        <f>+FY13RevToColl!N33-FY13ProjRevToColl!N33</f>
        <v>1737.8407841489679</v>
      </c>
      <c r="O33" s="83">
        <f>+FY13RevToColl!O33-FY13ProjRevToColl!O33</f>
        <v>-10039.669111251453</v>
      </c>
      <c r="P33" s="83">
        <f>+FY13RevToColl!P33-FY13ProjRevToColl!P33</f>
        <v>-2141.9780790300065</v>
      </c>
      <c r="Q33" s="83">
        <f>+FY13RevToColl!Q33-FY13ProjRevToColl!Q33</f>
        <v>0</v>
      </c>
      <c r="R33" s="83">
        <f>+FY13RevToColl!R33-FY13ProjRevToColl!R33</f>
        <v>-2803.8647114545715</v>
      </c>
      <c r="S33" s="83">
        <f>+FY13RevToColl!S33-FY13ProjRevToColl!S33</f>
        <v>-42.29898798851741</v>
      </c>
      <c r="T33" s="83">
        <f>+FY13RevToColl!T33-FY13ProjRevToColl!T33</f>
        <v>649.54385037268514</v>
      </c>
      <c r="U33" s="83">
        <f>+FY13RevToColl!U33-FY13ProjRevToColl!U33</f>
        <v>2325.9659823341153</v>
      </c>
      <c r="V33" s="83">
        <f>+FY13RevToColl!V33-FY13ProjRevToColl!V33</f>
        <v>138.16002677554096</v>
      </c>
      <c r="W33" s="84">
        <f t="shared" ref="W33:W38" si="7">SUM(B33:V33)</f>
        <v>-5795.6349702282796</v>
      </c>
    </row>
    <row r="34" spans="1:23">
      <c r="A34" s="82" t="s">
        <v>11</v>
      </c>
      <c r="B34" s="83">
        <f>+FY13RevToColl!B34-FY13ProjRevToColl!B34</f>
        <v>5994.9992008341942</v>
      </c>
      <c r="C34" s="83">
        <f>+FY13RevToColl!C34-FY13ProjRevToColl!C34</f>
        <v>-21.859757815420608</v>
      </c>
      <c r="D34" s="83">
        <f>+FY13RevToColl!D34-FY13ProjRevToColl!D34</f>
        <v>80.872017649372651</v>
      </c>
      <c r="E34" s="83">
        <f>+FY13RevToColl!E34-FY13ProjRevToColl!E34</f>
        <v>-5945.8179239634192</v>
      </c>
      <c r="F34" s="83">
        <f>+FY13RevToColl!F34-FY13ProjRevToColl!F34</f>
        <v>225.17155418898213</v>
      </c>
      <c r="G34" s="83">
        <f>+FY13RevToColl!G34-FY13ProjRevToColl!G34</f>
        <v>-194.09363977455618</v>
      </c>
      <c r="H34" s="83">
        <f>+FY13RevToColl!H34-FY13ProjRevToColl!H34</f>
        <v>0</v>
      </c>
      <c r="I34" s="83">
        <f>+FY13RevToColl!I34-FY13ProjRevToColl!I34</f>
        <v>0</v>
      </c>
      <c r="J34" s="83">
        <f>+FY13RevToColl!J34-FY13ProjRevToColl!J34</f>
        <v>-7539.1309786024794</v>
      </c>
      <c r="K34" s="83">
        <f>+FY13RevToColl!K34-FY13ProjRevToColl!K34</f>
        <v>2281.198436719651</v>
      </c>
      <c r="L34" s="83">
        <f>+FY13RevToColl!L34-FY13ProjRevToColl!L34</f>
        <v>0</v>
      </c>
      <c r="M34" s="83">
        <f>+FY13RevToColl!M34-FY13ProjRevToColl!M34</f>
        <v>57.951261407641489</v>
      </c>
      <c r="N34" s="83">
        <f>+FY13RevToColl!N34-FY13ProjRevToColl!N34</f>
        <v>0</v>
      </c>
      <c r="O34" s="83">
        <f>+FY13RevToColl!O34-FY13ProjRevToColl!O34</f>
        <v>-2066.9587572434648</v>
      </c>
      <c r="P34" s="83">
        <f>+FY13RevToColl!P34-FY13ProjRevToColl!P34</f>
        <v>575.32452356223712</v>
      </c>
      <c r="Q34" s="83">
        <f>+FY13RevToColl!Q34-FY13ProjRevToColl!Q34</f>
        <v>0</v>
      </c>
      <c r="R34" s="83">
        <f>+FY13RevToColl!R34-FY13ProjRevToColl!R34</f>
        <v>0</v>
      </c>
      <c r="S34" s="83">
        <f>+FY13RevToColl!S34-FY13ProjRevToColl!S34</f>
        <v>-261.57002194978634</v>
      </c>
      <c r="T34" s="83">
        <f>+FY13RevToColl!T34-FY13ProjRevToColl!T34</f>
        <v>487.15788777951389</v>
      </c>
      <c r="U34" s="83">
        <f>+FY13RevToColl!U34-FY13ProjRevToColl!U34</f>
        <v>0</v>
      </c>
      <c r="V34" s="83">
        <f>+FY13RevToColl!V34-FY13ProjRevToColl!V34</f>
        <v>0</v>
      </c>
      <c r="W34" s="84">
        <f t="shared" si="7"/>
        <v>-6326.7561972075346</v>
      </c>
    </row>
    <row r="35" spans="1:23">
      <c r="A35" s="82" t="s">
        <v>12</v>
      </c>
      <c r="B35" s="83">
        <f>+FY13RevToColl!B35-FY13ProjRevToColl!B35</f>
        <v>1215.2308679110283</v>
      </c>
      <c r="C35" s="83">
        <f>+FY13RevToColl!C35-FY13ProjRevToColl!C35</f>
        <v>-5637.4280419723509</v>
      </c>
      <c r="D35" s="83">
        <f>+FY13RevToColl!D35-FY13ProjRevToColl!D35</f>
        <v>289.07729185842106</v>
      </c>
      <c r="E35" s="83">
        <f>+FY13RevToColl!E35-FY13ProjRevToColl!E35</f>
        <v>-3511.0579329040352</v>
      </c>
      <c r="F35" s="83">
        <f>+FY13RevToColl!F35-FY13ProjRevToColl!F35</f>
        <v>0</v>
      </c>
      <c r="G35" s="83">
        <f>+FY13RevToColl!G35-FY13ProjRevToColl!G35</f>
        <v>-582.28091932366863</v>
      </c>
      <c r="H35" s="83">
        <f>+FY13RevToColl!H35-FY13ProjRevToColl!H35</f>
        <v>0</v>
      </c>
      <c r="I35" s="83">
        <f>+FY13RevToColl!I35-FY13ProjRevToColl!I35</f>
        <v>0</v>
      </c>
      <c r="J35" s="83">
        <f>+FY13RevToColl!J35-FY13ProjRevToColl!J35</f>
        <v>2818.8905211664432</v>
      </c>
      <c r="K35" s="83">
        <f>+FY13RevToColl!K35-FY13ProjRevToColl!K35</f>
        <v>-73251.709463704494</v>
      </c>
      <c r="L35" s="83">
        <f>+FY13RevToColl!L35-FY13ProjRevToColl!L35</f>
        <v>0</v>
      </c>
      <c r="M35" s="83">
        <f>+FY13RevToColl!M35-FY13ProjRevToColl!M35</f>
        <v>0</v>
      </c>
      <c r="N35" s="83">
        <f>+FY13RevToColl!N35-FY13ProjRevToColl!N35</f>
        <v>0</v>
      </c>
      <c r="O35" s="83">
        <f>+FY13RevToColl!O35-FY13ProjRevToColl!O35</f>
        <v>-434.47336688916516</v>
      </c>
      <c r="P35" s="83">
        <f>+FY13RevToColl!P35-FY13ProjRevToColl!P35</f>
        <v>0</v>
      </c>
      <c r="Q35" s="83">
        <f>+FY13RevToColl!Q35-FY13ProjRevToColl!Q35</f>
        <v>0</v>
      </c>
      <c r="R35" s="83">
        <f>+FY13RevToColl!R35-FY13ProjRevToColl!R35</f>
        <v>-115.87534243561262</v>
      </c>
      <c r="S35" s="83">
        <f>+FY13RevToColl!S35-FY13ProjRevToColl!S35</f>
        <v>0</v>
      </c>
      <c r="T35" s="83">
        <f>+FY13RevToColl!T35-FY13ProjRevToColl!T35</f>
        <v>0</v>
      </c>
      <c r="U35" s="83">
        <f>+FY13RevToColl!U35-FY13ProjRevToColl!U35</f>
        <v>0</v>
      </c>
      <c r="V35" s="83">
        <f>+FY13RevToColl!V35-FY13ProjRevToColl!V35</f>
        <v>0</v>
      </c>
      <c r="W35" s="84">
        <f t="shared" si="7"/>
        <v>-79209.626386293443</v>
      </c>
    </row>
    <row r="36" spans="1:23">
      <c r="A36" s="82" t="s">
        <v>7</v>
      </c>
      <c r="B36" s="83">
        <f>+FY13RevToColl!B36-FY13ProjRevToColl!B36</f>
        <v>364984.70167746046</v>
      </c>
      <c r="C36" s="83">
        <f>+FY13RevToColl!C36-FY13ProjRevToColl!C36</f>
        <v>696.39709499742457</v>
      </c>
      <c r="D36" s="83">
        <f>+FY13RevToColl!D36-FY13ProjRevToColl!D36</f>
        <v>874.1100682934125</v>
      </c>
      <c r="E36" s="83">
        <f>+FY13RevToColl!E36-FY13ProjRevToColl!E36</f>
        <v>45438.021453624708</v>
      </c>
      <c r="F36" s="83">
        <f>+FY13RevToColl!F36-FY13ProjRevToColl!F36</f>
        <v>-3459.9545234217067</v>
      </c>
      <c r="G36" s="83">
        <f>+FY13RevToColl!G36-FY13ProjRevToColl!G36</f>
        <v>-1157.8680835593259</v>
      </c>
      <c r="H36" s="83">
        <f>+FY13RevToColl!H36-FY13ProjRevToColl!H36</f>
        <v>90.864513474823994</v>
      </c>
      <c r="I36" s="83">
        <f>+FY13RevToColl!I36-FY13ProjRevToColl!I36</f>
        <v>-1180.3178390229932</v>
      </c>
      <c r="J36" s="83">
        <f>+FY13RevToColl!J36-FY13ProjRevToColl!J36</f>
        <v>-20861.008349239259</v>
      </c>
      <c r="K36" s="83">
        <f>+FY13RevToColl!K36-FY13ProjRevToColl!K36</f>
        <v>1611.2649233411839</v>
      </c>
      <c r="L36" s="83">
        <f>+FY13RevToColl!L36-FY13ProjRevToColl!L36</f>
        <v>2733.6400507370336</v>
      </c>
      <c r="M36" s="83">
        <f>+FY13RevToColl!M36-FY13ProjRevToColl!M36</f>
        <v>-194.35539289907047</v>
      </c>
      <c r="N36" s="83">
        <f>+FY13RevToColl!N36-FY13ProjRevToColl!N36</f>
        <v>-117.68851051177828</v>
      </c>
      <c r="O36" s="83">
        <f>+FY13RevToColl!O36-FY13ProjRevToColl!O36</f>
        <v>-88354.551368033106</v>
      </c>
      <c r="P36" s="83">
        <f>+FY13RevToColl!P36-FY13ProjRevToColl!P36</f>
        <v>55.517105555939452</v>
      </c>
      <c r="Q36" s="83">
        <f>+FY13RevToColl!Q36-FY13ProjRevToColl!Q36</f>
        <v>-181.34503376177346</v>
      </c>
      <c r="R36" s="83">
        <f>+FY13RevToColl!R36-FY13ProjRevToColl!R36</f>
        <v>1174.7582962857159</v>
      </c>
      <c r="S36" s="83">
        <f>+FY13RevToColl!S36-FY13ProjRevToColl!S36</f>
        <v>576.84396978215682</v>
      </c>
      <c r="T36" s="83">
        <f>+FY13RevToColl!T36-FY13ProjRevToColl!T36</f>
        <v>1014.9122662073206</v>
      </c>
      <c r="U36" s="83">
        <f>+FY13RevToColl!U36-FY13ProjRevToColl!U36</f>
        <v>203.41923396226417</v>
      </c>
      <c r="V36" s="83">
        <f>+FY13RevToColl!V36-FY13ProjRevToColl!V36</f>
        <v>0</v>
      </c>
      <c r="W36" s="84">
        <f t="shared" si="7"/>
        <v>303947.36155327334</v>
      </c>
    </row>
    <row r="37" spans="1:23">
      <c r="A37" s="82" t="s">
        <v>16</v>
      </c>
      <c r="B37" s="83">
        <f>+FY13RevToColl!B37-FY13ProjRevToColl!B37</f>
        <v>-10144.560575301759</v>
      </c>
      <c r="C37" s="83">
        <f>+FY13RevToColl!C37-FY13ProjRevToColl!C37</f>
        <v>0</v>
      </c>
      <c r="D37" s="83">
        <f>+FY13RevToColl!D37-FY13ProjRevToColl!D37</f>
        <v>98.079883912447869</v>
      </c>
      <c r="E37" s="83">
        <f>+FY13RevToColl!E37-FY13ProjRevToColl!E37</f>
        <v>1075.0778641453908</v>
      </c>
      <c r="F37" s="83">
        <f>+FY13RevToColl!F37-FY13ProjRevToColl!F37</f>
        <v>0</v>
      </c>
      <c r="G37" s="83">
        <f>+FY13RevToColl!G37-FY13ProjRevToColl!G37</f>
        <v>0</v>
      </c>
      <c r="H37" s="83">
        <f>+FY13RevToColl!H37-FY13ProjRevToColl!H37</f>
        <v>0</v>
      </c>
      <c r="I37" s="83">
        <f>+FY13RevToColl!I37-FY13ProjRevToColl!I37</f>
        <v>623.0207098945807</v>
      </c>
      <c r="J37" s="83">
        <f>+FY13RevToColl!J37-FY13ProjRevToColl!J37</f>
        <v>0</v>
      </c>
      <c r="K37" s="83">
        <f>+FY13RevToColl!K37-FY13ProjRevToColl!K37</f>
        <v>0</v>
      </c>
      <c r="L37" s="83">
        <f>+FY13RevToColl!L37-FY13ProjRevToColl!L37</f>
        <v>0</v>
      </c>
      <c r="M37" s="83">
        <f>+FY13RevToColl!M37-FY13ProjRevToColl!M37</f>
        <v>0</v>
      </c>
      <c r="N37" s="83">
        <f>+FY13RevToColl!N37-FY13ProjRevToColl!N37</f>
        <v>0</v>
      </c>
      <c r="O37" s="83">
        <f>+FY13RevToColl!O37-FY13ProjRevToColl!O37</f>
        <v>78.292478450538283</v>
      </c>
      <c r="P37" s="83">
        <f>+FY13RevToColl!P37-FY13ProjRevToColl!P37</f>
        <v>0</v>
      </c>
      <c r="Q37" s="83">
        <f>+FY13RevToColl!Q37-FY13ProjRevToColl!Q37</f>
        <v>0</v>
      </c>
      <c r="R37" s="83">
        <f>+FY13RevToColl!R37-FY13ProjRevToColl!R37</f>
        <v>0</v>
      </c>
      <c r="S37" s="83">
        <f>+FY13RevToColl!S37-FY13ProjRevToColl!S37</f>
        <v>0</v>
      </c>
      <c r="T37" s="83">
        <f>+FY13RevToColl!T37-FY13ProjRevToColl!T37</f>
        <v>243.57894388975694</v>
      </c>
      <c r="U37" s="83">
        <f>+FY13RevToColl!U37-FY13ProjRevToColl!U37</f>
        <v>0</v>
      </c>
      <c r="V37" s="83">
        <f>+FY13RevToColl!V37-FY13ProjRevToColl!V37</f>
        <v>0</v>
      </c>
      <c r="W37" s="86">
        <f t="shared" si="7"/>
        <v>-8026.5106950090449</v>
      </c>
    </row>
    <row r="38" spans="1:23">
      <c r="A38" s="87" t="s">
        <v>15</v>
      </c>
      <c r="B38" s="88">
        <f>+FY13RevToColl!B38-FY13ProjRevToColl!B38</f>
        <v>-24409.773639860447</v>
      </c>
      <c r="C38" s="88">
        <f>+FY13RevToColl!C38-FY13ProjRevToColl!C38</f>
        <v>-12005.258769710723</v>
      </c>
      <c r="D38" s="88">
        <f>+FY13RevToColl!D38-FY13ProjRevToColl!D38</f>
        <v>-1.7207866263075147</v>
      </c>
      <c r="E38" s="88">
        <f>+FY13RevToColl!E38-FY13ProjRevToColl!E38</f>
        <v>-2534.1603537099732</v>
      </c>
      <c r="F38" s="88">
        <f>+FY13RevToColl!F38-FY13ProjRevToColl!F38</f>
        <v>0</v>
      </c>
      <c r="G38" s="88">
        <f>+FY13RevToColl!G38-FY13ProjRevToColl!G38</f>
        <v>-970.46819887278093</v>
      </c>
      <c r="H38" s="88">
        <f>+FY13RevToColl!H38-FY13ProjRevToColl!H38</f>
        <v>-454.11281382316082</v>
      </c>
      <c r="I38" s="88">
        <f>+FY13RevToColl!I38-FY13ProjRevToColl!I38</f>
        <v>0</v>
      </c>
      <c r="J38" s="88">
        <f>+FY13RevToColl!J38-FY13ProjRevToColl!J38</f>
        <v>0</v>
      </c>
      <c r="K38" s="88">
        <f>+FY13RevToColl!K38-FY13ProjRevToColl!K38</f>
        <v>0</v>
      </c>
      <c r="L38" s="88">
        <f>+FY13RevToColl!L38-FY13ProjRevToColl!L38</f>
        <v>0</v>
      </c>
      <c r="M38" s="88">
        <f>+FY13RevToColl!M38-FY13ProjRevToColl!M38</f>
        <v>637.46387548405642</v>
      </c>
      <c r="N38" s="88">
        <f>+FY13RevToColl!N38-FY13ProjRevToColl!N38</f>
        <v>0</v>
      </c>
      <c r="O38" s="88">
        <f>+FY13RevToColl!O38-FY13ProjRevToColl!O38</f>
        <v>78.292478450538283</v>
      </c>
      <c r="P38" s="88">
        <f>+FY13RevToColl!P38-FY13ProjRevToColl!P38</f>
        <v>-629.4419700404402</v>
      </c>
      <c r="Q38" s="88">
        <f>+FY13RevToColl!Q38-FY13ProjRevToColl!Q38</f>
        <v>0</v>
      </c>
      <c r="R38" s="88">
        <f>+FY13RevToColl!R38-FY13ProjRevToColl!R38</f>
        <v>-2088.7284971993799</v>
      </c>
      <c r="S38" s="88">
        <f>+FY13RevToColl!S38-FY13ProjRevToColl!S38</f>
        <v>-1392.9664919938784</v>
      </c>
      <c r="T38" s="88">
        <f>+FY13RevToColl!T38-FY13ProjRevToColl!T38</f>
        <v>162.38596259317129</v>
      </c>
      <c r="U38" s="88">
        <f>+FY13RevToColl!U38-FY13ProjRevToColl!U38</f>
        <v>0</v>
      </c>
      <c r="V38" s="88">
        <f>+FY13RevToColl!V38-FY13ProjRevToColl!V38</f>
        <v>0</v>
      </c>
      <c r="W38" s="89">
        <f t="shared" si="7"/>
        <v>-43608.489205309321</v>
      </c>
    </row>
    <row r="39" spans="1:23">
      <c r="A39" s="90" t="s">
        <v>34</v>
      </c>
      <c r="B39" s="91">
        <f t="shared" ref="B39:W39" si="8">SUM(B22:B36)+B37+B38</f>
        <v>7412547.5159983616</v>
      </c>
      <c r="C39" s="91">
        <f t="shared" si="8"/>
        <v>-253059.92122112404</v>
      </c>
      <c r="D39" s="91">
        <f t="shared" si="8"/>
        <v>16964.654190038476</v>
      </c>
      <c r="E39" s="91">
        <f t="shared" si="8"/>
        <v>62934.041028241874</v>
      </c>
      <c r="F39" s="91">
        <f t="shared" si="8"/>
        <v>-95618.62655112936</v>
      </c>
      <c r="G39" s="91">
        <f t="shared" si="8"/>
        <v>64708.329495161073</v>
      </c>
      <c r="H39" s="91">
        <f t="shared" si="8"/>
        <v>-36877.62325852424</v>
      </c>
      <c r="I39" s="91">
        <f t="shared" si="8"/>
        <v>-181926.78375448796</v>
      </c>
      <c r="J39" s="91">
        <f t="shared" si="8"/>
        <v>-34512.172825289977</v>
      </c>
      <c r="K39" s="91">
        <f t="shared" si="8"/>
        <v>-76514.277432053364</v>
      </c>
      <c r="L39" s="91">
        <f t="shared" si="8"/>
        <v>-39387.775012560065</v>
      </c>
      <c r="M39" s="91">
        <f t="shared" si="8"/>
        <v>-8207.7982184586253</v>
      </c>
      <c r="N39" s="91">
        <f t="shared" si="8"/>
        <v>-21737.5400783724</v>
      </c>
      <c r="O39" s="91">
        <f t="shared" si="8"/>
        <v>-94888.699339980405</v>
      </c>
      <c r="P39" s="91">
        <f t="shared" si="8"/>
        <v>-51452.179909465813</v>
      </c>
      <c r="Q39" s="91">
        <f t="shared" si="8"/>
        <v>16436.812093672652</v>
      </c>
      <c r="R39" s="91">
        <f t="shared" si="8"/>
        <v>-29660.545991714534</v>
      </c>
      <c r="S39" s="91">
        <f t="shared" si="8"/>
        <v>-19105.90973428046</v>
      </c>
      <c r="T39" s="91">
        <f t="shared" si="8"/>
        <v>214297.7409869465</v>
      </c>
      <c r="U39" s="91">
        <f t="shared" si="8"/>
        <v>17584.989405389646</v>
      </c>
      <c r="V39" s="91">
        <f t="shared" si="8"/>
        <v>3632.6165128750094</v>
      </c>
      <c r="W39" s="92">
        <f t="shared" si="8"/>
        <v>6866156.8463832457</v>
      </c>
    </row>
    <row r="40" spans="1:23" ht="15.75">
      <c r="A40" s="658" t="s">
        <v>113</v>
      </c>
      <c r="B40" s="658"/>
      <c r="C40" s="658"/>
      <c r="D40" s="658"/>
      <c r="E40" s="658"/>
      <c r="F40" s="658"/>
      <c r="G40" s="658"/>
      <c r="H40" s="658"/>
      <c r="I40" s="658"/>
      <c r="J40" s="658"/>
      <c r="K40" s="658"/>
      <c r="L40" s="658"/>
      <c r="M40" s="658"/>
      <c r="N40" s="658"/>
      <c r="O40" s="658"/>
      <c r="P40" s="658"/>
      <c r="Q40" s="658"/>
      <c r="R40" s="658"/>
      <c r="S40" s="658"/>
      <c r="T40" s="658"/>
      <c r="U40" s="658"/>
      <c r="V40" s="658"/>
      <c r="W40" s="658"/>
    </row>
    <row r="41" spans="1:23">
      <c r="A41" s="93" t="s">
        <v>0</v>
      </c>
      <c r="B41" s="94">
        <f>+FY13RevToColl!B41-FY13ProjRevToColl!B41</f>
        <v>-163611.96890752367</v>
      </c>
      <c r="C41" s="94">
        <f>+FY13RevToColl!C41-FY13ProjRevToColl!C41</f>
        <v>-3167.0291531944458</v>
      </c>
      <c r="D41" s="94">
        <f>+FY13RevToColl!D41-FY13ProjRevToColl!D41</f>
        <v>0</v>
      </c>
      <c r="E41" s="94">
        <f>+FY13RevToColl!E41-FY13ProjRevToColl!E41</f>
        <v>3708.414159220059</v>
      </c>
      <c r="F41" s="94">
        <f>+FY13RevToColl!F41-FY13ProjRevToColl!F41</f>
        <v>0</v>
      </c>
      <c r="G41" s="94">
        <f>+FY13RevToColl!G41-FY13ProjRevToColl!G41</f>
        <v>52547.577620336495</v>
      </c>
      <c r="H41" s="94">
        <f>+FY13RevToColl!H41-FY13ProjRevToColl!H41</f>
        <v>0</v>
      </c>
      <c r="I41" s="94">
        <f>+FY13RevToColl!I41-FY13ProjRevToColl!I41</f>
        <v>-664823.63326326944</v>
      </c>
      <c r="J41" s="94">
        <f>+FY13RevToColl!J41-FY13ProjRevToColl!J41</f>
        <v>0</v>
      </c>
      <c r="K41" s="94">
        <f>+FY13RevToColl!K41-FY13ProjRevToColl!K41</f>
        <v>0</v>
      </c>
      <c r="L41" s="94">
        <f>+FY13RevToColl!L41-FY13ProjRevToColl!L41</f>
        <v>4395.2304725886497</v>
      </c>
      <c r="M41" s="94">
        <f>+FY13RevToColl!M41-FY13ProjRevToColl!M41</f>
        <v>0</v>
      </c>
      <c r="N41" s="94">
        <f>+FY13RevToColl!N41-FY13ProjRevToColl!N41</f>
        <v>0</v>
      </c>
      <c r="O41" s="94">
        <f>+FY13RevToColl!O41-FY13ProjRevToColl!O41</f>
        <v>2612.3682571533932</v>
      </c>
      <c r="P41" s="94">
        <f>+FY13RevToColl!P41-FY13ProjRevToColl!P41</f>
        <v>0</v>
      </c>
      <c r="Q41" s="94">
        <f>+FY13RevToColl!Q41-FY13ProjRevToColl!Q41</f>
        <v>0</v>
      </c>
      <c r="R41" s="94">
        <f>+FY13RevToColl!R41-FY13ProjRevToColl!R41</f>
        <v>2533.9188833347453</v>
      </c>
      <c r="S41" s="94">
        <f>+FY13RevToColl!S41-FY13ProjRevToColl!S41</f>
        <v>0</v>
      </c>
      <c r="T41" s="94">
        <f>+FY13RevToColl!T41-FY13ProjRevToColl!T41</f>
        <v>0</v>
      </c>
      <c r="U41" s="94">
        <f>+FY13RevToColl!U41-FY13ProjRevToColl!U41</f>
        <v>0</v>
      </c>
      <c r="V41" s="94">
        <f>+FY13RevToColl!V41-FY13ProjRevToColl!V41</f>
        <v>0</v>
      </c>
      <c r="W41" s="95">
        <f>SUM(B41:V41)</f>
        <v>-765805.12193135417</v>
      </c>
    </row>
    <row r="42" spans="1:23">
      <c r="A42" s="96" t="s">
        <v>1</v>
      </c>
      <c r="B42" s="97">
        <f>+FY13RevToColl!B42-FY13ProjRevToColl!B42</f>
        <v>2835976.2807473615</v>
      </c>
      <c r="C42" s="97">
        <f>+FY13RevToColl!C42-FY13ProjRevToColl!C42</f>
        <v>-172658.64765911829</v>
      </c>
      <c r="D42" s="97">
        <f>+FY13RevToColl!D42-FY13ProjRevToColl!D42</f>
        <v>0</v>
      </c>
      <c r="E42" s="97">
        <f>+FY13RevToColl!E42-FY13ProjRevToColl!E42</f>
        <v>-1168.0967175826518</v>
      </c>
      <c r="F42" s="97">
        <f>+FY13RevToColl!F42-FY13ProjRevToColl!F42</f>
        <v>30096.165025188544</v>
      </c>
      <c r="G42" s="97">
        <f>+FY13RevToColl!G42-FY13ProjRevToColl!G42</f>
        <v>17026.917667379777</v>
      </c>
      <c r="H42" s="97">
        <f>+FY13RevToColl!H42-FY13ProjRevToColl!H42</f>
        <v>-625.67175059323927</v>
      </c>
      <c r="I42" s="97">
        <f>+FY13RevToColl!I42-FY13ProjRevToColl!I42</f>
        <v>7805.3268970419776</v>
      </c>
      <c r="J42" s="97">
        <f>+FY13RevToColl!J42-FY13ProjRevToColl!J42</f>
        <v>5775.5158994478898</v>
      </c>
      <c r="K42" s="97">
        <f>+FY13RevToColl!K42-FY13ProjRevToColl!K42</f>
        <v>0</v>
      </c>
      <c r="L42" s="97">
        <f>+FY13RevToColl!L42-FY13ProjRevToColl!L42</f>
        <v>3126.0922024600295</v>
      </c>
      <c r="M42" s="97">
        <f>+FY13RevToColl!M42-FY13ProjRevToColl!M42</f>
        <v>0</v>
      </c>
      <c r="N42" s="97">
        <f>+FY13RevToColl!N42-FY13ProjRevToColl!N42</f>
        <v>0</v>
      </c>
      <c r="O42" s="97">
        <f>+FY13RevToColl!O42-FY13ProjRevToColl!O42</f>
        <v>-7714.639338307632</v>
      </c>
      <c r="P42" s="97">
        <f>+FY13RevToColl!P42-FY13ProjRevToColl!P42</f>
        <v>11846.838798547145</v>
      </c>
      <c r="Q42" s="97">
        <f>+FY13RevToColl!Q42-FY13ProjRevToColl!Q42</f>
        <v>0</v>
      </c>
      <c r="R42" s="97">
        <f>+FY13RevToColl!R42-FY13ProjRevToColl!R42</f>
        <v>-142927.79187084973</v>
      </c>
      <c r="S42" s="97">
        <f>+FY13RevToColl!S42-FY13ProjRevToColl!S42</f>
        <v>9168.1689670281085</v>
      </c>
      <c r="T42" s="97">
        <f>+FY13RevToColl!T42-FY13ProjRevToColl!T42</f>
        <v>-4109.8821182769971</v>
      </c>
      <c r="U42" s="97">
        <f>+FY13RevToColl!U42-FY13ProjRevToColl!U42</f>
        <v>0</v>
      </c>
      <c r="V42" s="97">
        <f>+FY13RevToColl!V42-FY13ProjRevToColl!V42</f>
        <v>-5515.5690237613599</v>
      </c>
      <c r="W42" s="98">
        <f t="shared" ref="W42:W50" si="9">SUM(B42:V42)</f>
        <v>2586101.0077259648</v>
      </c>
    </row>
    <row r="43" spans="1:23">
      <c r="A43" s="96" t="s">
        <v>6</v>
      </c>
      <c r="B43" s="97">
        <f>+FY13RevToColl!B43-FY13ProjRevToColl!B43</f>
        <v>983715.78702474758</v>
      </c>
      <c r="C43" s="97">
        <f>+FY13RevToColl!C43-FY13ProjRevToColl!C43</f>
        <v>-21212.780912835413</v>
      </c>
      <c r="D43" s="97">
        <f>+FY13RevToColl!D43-FY13ProjRevToColl!D43</f>
        <v>0</v>
      </c>
      <c r="E43" s="97">
        <f>+FY13RevToColl!E43-FY13ProjRevToColl!E43</f>
        <v>29857.899485434737</v>
      </c>
      <c r="F43" s="97">
        <f>+FY13RevToColl!F43-FY13ProjRevToColl!F43</f>
        <v>-403650.39780054381</v>
      </c>
      <c r="G43" s="97">
        <f>+FY13RevToColl!G43-FY13ProjRevToColl!G43</f>
        <v>-7325.3005460903996</v>
      </c>
      <c r="H43" s="97">
        <f>+FY13RevToColl!H43-FY13ProjRevToColl!H43</f>
        <v>0</v>
      </c>
      <c r="I43" s="97">
        <f>+FY13RevToColl!I43-FY13ProjRevToColl!I43</f>
        <v>-10025.632595096709</v>
      </c>
      <c r="J43" s="97">
        <f>+FY13RevToColl!J43-FY13ProjRevToColl!J43</f>
        <v>0</v>
      </c>
      <c r="K43" s="97">
        <f>+FY13RevToColl!K43-FY13ProjRevToColl!K43</f>
        <v>0</v>
      </c>
      <c r="L43" s="97">
        <f>+FY13RevToColl!L43-FY13ProjRevToColl!L43</f>
        <v>-7568.0761479102075</v>
      </c>
      <c r="M43" s="97">
        <f>+FY13RevToColl!M43-FY13ProjRevToColl!M43</f>
        <v>0</v>
      </c>
      <c r="N43" s="97">
        <f>+FY13RevToColl!N43-FY13ProjRevToColl!N43</f>
        <v>0</v>
      </c>
      <c r="O43" s="97">
        <f>+FY13RevToColl!O43-FY13ProjRevToColl!O43</f>
        <v>0</v>
      </c>
      <c r="P43" s="97">
        <f>+FY13RevToColl!P43-FY13ProjRevToColl!P43</f>
        <v>0</v>
      </c>
      <c r="Q43" s="97">
        <f>+FY13RevToColl!Q43-FY13ProjRevToColl!Q43</f>
        <v>0</v>
      </c>
      <c r="R43" s="97">
        <f>+FY13RevToColl!R43-FY13ProjRevToColl!R43</f>
        <v>3338.6227144281538</v>
      </c>
      <c r="S43" s="97">
        <f>+FY13RevToColl!S43-FY13ProjRevToColl!S43</f>
        <v>0</v>
      </c>
      <c r="T43" s="97">
        <f>+FY13RevToColl!T43-FY13ProjRevToColl!T43</f>
        <v>0</v>
      </c>
      <c r="U43" s="97">
        <f>+FY13RevToColl!U43-FY13ProjRevToColl!U43</f>
        <v>0</v>
      </c>
      <c r="V43" s="97">
        <f>+FY13RevToColl!V43-FY13ProjRevToColl!V43</f>
        <v>0</v>
      </c>
      <c r="W43" s="98">
        <f t="shared" si="9"/>
        <v>567130.12122213398</v>
      </c>
    </row>
    <row r="44" spans="1:23">
      <c r="A44" s="99" t="s">
        <v>2</v>
      </c>
      <c r="B44" s="97">
        <f>+FY13RevToColl!B44-FY13ProjRevToColl!B44</f>
        <v>331430.48840146814</v>
      </c>
      <c r="C44" s="97">
        <f>+FY13RevToColl!C44-FY13ProjRevToColl!C44</f>
        <v>-613674.43048659572</v>
      </c>
      <c r="D44" s="97">
        <f>+FY13RevToColl!D44-FY13ProjRevToColl!D44</f>
        <v>0</v>
      </c>
      <c r="E44" s="97">
        <f>+FY13RevToColl!E44-FY13ProjRevToColl!E44</f>
        <v>-7302.4765914355557</v>
      </c>
      <c r="F44" s="97">
        <f>+FY13RevToColl!F44-FY13ProjRevToColl!F44</f>
        <v>0</v>
      </c>
      <c r="G44" s="97">
        <f>+FY13RevToColl!G44-FY13ProjRevToColl!G44</f>
        <v>2502.2656009684047</v>
      </c>
      <c r="H44" s="97">
        <f>+FY13RevToColl!H44-FY13ProjRevToColl!H44</f>
        <v>0</v>
      </c>
      <c r="I44" s="97">
        <f>+FY13RevToColl!I44-FY13ProjRevToColl!I44</f>
        <v>0</v>
      </c>
      <c r="J44" s="97">
        <f>+FY13RevToColl!J44-FY13ProjRevToColl!J44</f>
        <v>0</v>
      </c>
      <c r="K44" s="97">
        <f>+FY13RevToColl!K44-FY13ProjRevToColl!K44</f>
        <v>0</v>
      </c>
      <c r="L44" s="97">
        <f>+FY13RevToColl!L44-FY13ProjRevToColl!L44</f>
        <v>0</v>
      </c>
      <c r="M44" s="97">
        <f>+FY13RevToColl!M44-FY13ProjRevToColl!M44</f>
        <v>0</v>
      </c>
      <c r="N44" s="97">
        <f>+FY13RevToColl!N44-FY13ProjRevToColl!N44</f>
        <v>0</v>
      </c>
      <c r="O44" s="97">
        <f>+FY13RevToColl!O44-FY13ProjRevToColl!O44</f>
        <v>0</v>
      </c>
      <c r="P44" s="97">
        <f>+FY13RevToColl!P44-FY13ProjRevToColl!P44</f>
        <v>0</v>
      </c>
      <c r="Q44" s="97">
        <f>+FY13RevToColl!Q44-FY13ProjRevToColl!Q44</f>
        <v>0</v>
      </c>
      <c r="R44" s="97">
        <f>+FY13RevToColl!R44-FY13ProjRevToColl!R44</f>
        <v>-1381.1088485071871</v>
      </c>
      <c r="S44" s="97">
        <f>+FY13RevToColl!S44-FY13ProjRevToColl!S44</f>
        <v>-76905.975286158733</v>
      </c>
      <c r="T44" s="97">
        <f>+FY13RevToColl!T44-FY13ProjRevToColl!T44</f>
        <v>825371.63629419147</v>
      </c>
      <c r="U44" s="97">
        <f>+FY13RevToColl!U44-FY13ProjRevToColl!U44</f>
        <v>0</v>
      </c>
      <c r="V44" s="97">
        <f>+FY13RevToColl!V44-FY13ProjRevToColl!V44</f>
        <v>0</v>
      </c>
      <c r="W44" s="98">
        <f t="shared" si="9"/>
        <v>460040.39908393082</v>
      </c>
    </row>
    <row r="45" spans="1:23">
      <c r="A45" s="96" t="s">
        <v>3</v>
      </c>
      <c r="B45" s="97">
        <f>+FY13RevToColl!B45-FY13ProjRevToColl!B45</f>
        <v>411315.33376328275</v>
      </c>
      <c r="C45" s="97">
        <f>+FY13RevToColl!C45-FY13ProjRevToColl!C45</f>
        <v>-15524.477568552247</v>
      </c>
      <c r="D45" s="97">
        <f>+FY13RevToColl!D45-FY13ProjRevToColl!D45</f>
        <v>0</v>
      </c>
      <c r="E45" s="97">
        <f>+FY13RevToColl!E45-FY13ProjRevToColl!E45</f>
        <v>139888.45833831187</v>
      </c>
      <c r="F45" s="97">
        <f>+FY13RevToColl!F45-FY13ProjRevToColl!F45</f>
        <v>0</v>
      </c>
      <c r="G45" s="97">
        <f>+FY13RevToColl!G45-FY13ProjRevToColl!G45</f>
        <v>-2441.7668486968</v>
      </c>
      <c r="H45" s="97">
        <f>+FY13RevToColl!H45-FY13ProjRevToColl!H45</f>
        <v>0</v>
      </c>
      <c r="I45" s="97">
        <f>+FY13RevToColl!I45-FY13ProjRevToColl!I45</f>
        <v>-1387.6910612842075</v>
      </c>
      <c r="J45" s="97">
        <f>+FY13RevToColl!J45-FY13ProjRevToColl!J45</f>
        <v>0</v>
      </c>
      <c r="K45" s="97">
        <f>+FY13RevToColl!K45-FY13ProjRevToColl!K45</f>
        <v>0</v>
      </c>
      <c r="L45" s="97">
        <f>+FY13RevToColl!L45-FY13ProjRevToColl!L45</f>
        <v>19273.106250526092</v>
      </c>
      <c r="M45" s="97">
        <f>+FY13RevToColl!M45-FY13ProjRevToColl!M45</f>
        <v>0</v>
      </c>
      <c r="N45" s="97">
        <f>+FY13RevToColl!N45-FY13ProjRevToColl!N45</f>
        <v>0</v>
      </c>
      <c r="O45" s="97">
        <f>+FY13RevToColl!O45-FY13ProjRevToColl!O45</f>
        <v>4630.6029645890821</v>
      </c>
      <c r="P45" s="97">
        <f>+FY13RevToColl!P45-FY13ProjRevToColl!P45</f>
        <v>0</v>
      </c>
      <c r="Q45" s="97">
        <f>+FY13RevToColl!Q45-FY13ProjRevToColl!Q45</f>
        <v>0</v>
      </c>
      <c r="R45" s="97">
        <f>+FY13RevToColl!R45-FY13ProjRevToColl!R45</f>
        <v>-47474.202171630888</v>
      </c>
      <c r="S45" s="97">
        <f>+FY13RevToColl!S45-FY13ProjRevToColl!S45</f>
        <v>0</v>
      </c>
      <c r="T45" s="97">
        <f>+FY13RevToColl!T45-FY13ProjRevToColl!T45</f>
        <v>0</v>
      </c>
      <c r="U45" s="97">
        <f>+FY13RevToColl!U45-FY13ProjRevToColl!U45</f>
        <v>70339.957621558584</v>
      </c>
      <c r="V45" s="97">
        <f>+FY13RevToColl!V45-FY13ProjRevToColl!V45</f>
        <v>20046.035075261403</v>
      </c>
      <c r="W45" s="98">
        <f t="shared" si="9"/>
        <v>598665.35636336589</v>
      </c>
    </row>
    <row r="46" spans="1:23">
      <c r="A46" s="96" t="s">
        <v>4</v>
      </c>
      <c r="B46" s="97">
        <f>+FY13RevToColl!B46-FY13ProjRevToColl!B46</f>
        <v>739588.30292360811</v>
      </c>
      <c r="C46" s="97">
        <f>+FY13RevToColl!C46-FY13ProjRevToColl!C46</f>
        <v>-66631.213139080122</v>
      </c>
      <c r="D46" s="97">
        <f>+FY13RevToColl!D46-FY13ProjRevToColl!D46</f>
        <v>0</v>
      </c>
      <c r="E46" s="97">
        <f>+FY13RevToColl!E46-FY13ProjRevToColl!E46</f>
        <v>-10877.480402483623</v>
      </c>
      <c r="F46" s="97">
        <f>+FY13RevToColl!F46-FY13ProjRevToColl!F46</f>
        <v>8598.904292911011</v>
      </c>
      <c r="G46" s="97">
        <f>+FY13RevToColl!G46-FY13ProjRevToColl!G46</f>
        <v>946.16327851309325</v>
      </c>
      <c r="H46" s="97">
        <f>+FY13RevToColl!H46-FY13ProjRevToColl!H46</f>
        <v>0</v>
      </c>
      <c r="I46" s="97">
        <f>+FY13RevToColl!I46-FY13ProjRevToColl!I46</f>
        <v>-4452.0303807262699</v>
      </c>
      <c r="J46" s="97">
        <f>+FY13RevToColl!J46-FY13ProjRevToColl!J46</f>
        <v>0</v>
      </c>
      <c r="K46" s="97">
        <f>+FY13RevToColl!K46-FY13ProjRevToColl!K46</f>
        <v>0</v>
      </c>
      <c r="L46" s="97">
        <f>+FY13RevToColl!L46-FY13ProjRevToColl!L46</f>
        <v>9636.5531252630462</v>
      </c>
      <c r="M46" s="97">
        <f>+FY13RevToColl!M46-FY13ProjRevToColl!M46</f>
        <v>0</v>
      </c>
      <c r="N46" s="97">
        <f>+FY13RevToColl!N46-FY13ProjRevToColl!N46</f>
        <v>0</v>
      </c>
      <c r="O46" s="97">
        <f>+FY13RevToColl!O46-FY13ProjRevToColl!O46</f>
        <v>0</v>
      </c>
      <c r="P46" s="97">
        <f>+FY13RevToColl!P46-FY13ProjRevToColl!P46</f>
        <v>0</v>
      </c>
      <c r="Q46" s="97">
        <f>+FY13RevToColl!Q46-FY13ProjRevToColl!Q46</f>
        <v>0</v>
      </c>
      <c r="R46" s="97">
        <f>+FY13RevToColl!R46-FY13ProjRevToColl!R46</f>
        <v>261536.8113720906</v>
      </c>
      <c r="S46" s="97">
        <f>+FY13RevToColl!S46-FY13ProjRevToColl!S46</f>
        <v>0</v>
      </c>
      <c r="T46" s="97">
        <f>+FY13RevToColl!T46-FY13ProjRevToColl!T46</f>
        <v>-1168.3444928468659</v>
      </c>
      <c r="U46" s="97">
        <f>+FY13RevToColl!U46-FY13ProjRevToColl!U46</f>
        <v>0</v>
      </c>
      <c r="V46" s="97">
        <f>+FY13RevToColl!V46-FY13ProjRevToColl!V46</f>
        <v>0</v>
      </c>
      <c r="W46" s="98">
        <f t="shared" si="9"/>
        <v>937177.66657724907</v>
      </c>
    </row>
    <row r="47" spans="1:23">
      <c r="A47" s="96" t="s">
        <v>14</v>
      </c>
      <c r="B47" s="97">
        <f>+FY13RevToColl!B47-FY13ProjRevToColl!B47</f>
        <v>112602.65205298306</v>
      </c>
      <c r="C47" s="97">
        <f>+FY13RevToColl!C47-FY13ProjRevToColl!C47</f>
        <v>24405.304893882014</v>
      </c>
      <c r="D47" s="97">
        <f>+FY13RevToColl!D47-FY13ProjRevToColl!D47</f>
        <v>0</v>
      </c>
      <c r="E47" s="97">
        <f>+FY13RevToColl!E47-FY13ProjRevToColl!E47</f>
        <v>-3651.2382957177779</v>
      </c>
      <c r="F47" s="97">
        <f>+FY13RevToColl!F47-FY13ProjRevToColl!F47</f>
        <v>0</v>
      </c>
      <c r="G47" s="97">
        <f>+FY13RevToColl!G47-FY13ProjRevToColl!G47</f>
        <v>544.48877044444453</v>
      </c>
      <c r="H47" s="97">
        <f>+FY13RevToColl!H47-FY13ProjRevToColl!H47</f>
        <v>-143398.19549660187</v>
      </c>
      <c r="I47" s="97">
        <f>+FY13RevToColl!I47-FY13ProjRevToColl!I47</f>
        <v>0</v>
      </c>
      <c r="J47" s="97">
        <f>+FY13RevToColl!J47-FY13ProjRevToColl!J47</f>
        <v>0</v>
      </c>
      <c r="K47" s="97">
        <f>+FY13RevToColl!K47-FY13ProjRevToColl!K47</f>
        <v>0</v>
      </c>
      <c r="L47" s="97">
        <f>+FY13RevToColl!L47-FY13ProjRevToColl!L47</f>
        <v>14454.829687894569</v>
      </c>
      <c r="M47" s="97">
        <f>+FY13RevToColl!M47-FY13ProjRevToColl!M47</f>
        <v>0</v>
      </c>
      <c r="N47" s="97">
        <f>+FY13RevToColl!N47-FY13ProjRevToColl!N47</f>
        <v>0</v>
      </c>
      <c r="O47" s="97">
        <f>+FY13RevToColl!O47-FY13ProjRevToColl!O47</f>
        <v>0</v>
      </c>
      <c r="P47" s="97">
        <f>+FY13RevToColl!P47-FY13ProjRevToColl!P47</f>
        <v>0</v>
      </c>
      <c r="Q47" s="97">
        <f>+FY13RevToColl!Q47-FY13ProjRevToColl!Q47</f>
        <v>0</v>
      </c>
      <c r="R47" s="97">
        <f>+FY13RevToColl!R47-FY13ProjRevToColl!R47</f>
        <v>0</v>
      </c>
      <c r="S47" s="97">
        <f>+FY13RevToColl!S47-FY13ProjRevToColl!S47</f>
        <v>0</v>
      </c>
      <c r="T47" s="97">
        <f>+FY13RevToColl!T47-FY13ProjRevToColl!T47</f>
        <v>0</v>
      </c>
      <c r="U47" s="97">
        <f>+FY13RevToColl!U47-FY13ProjRevToColl!U47</f>
        <v>0</v>
      </c>
      <c r="V47" s="97">
        <f>+FY13RevToColl!V47-FY13ProjRevToColl!V47</f>
        <v>0</v>
      </c>
      <c r="W47" s="98">
        <f t="shared" si="9"/>
        <v>4957.8416128844401</v>
      </c>
    </row>
    <row r="48" spans="1:23">
      <c r="A48" s="96" t="s">
        <v>9</v>
      </c>
      <c r="B48" s="97">
        <f>+FY13RevToColl!B48-FY13ProjRevToColl!B48</f>
        <v>0</v>
      </c>
      <c r="C48" s="97">
        <f>+FY13RevToColl!C48-FY13ProjRevToColl!C48</f>
        <v>14128.945419087839</v>
      </c>
      <c r="D48" s="97">
        <f>+FY13RevToColl!D48-FY13ProjRevToColl!D48</f>
        <v>0</v>
      </c>
      <c r="E48" s="97">
        <f>+FY13RevToColl!E48-FY13ProjRevToColl!E48</f>
        <v>-5314.8591636535311</v>
      </c>
      <c r="F48" s="97">
        <f>+FY13RevToColl!F48-FY13ProjRevToColl!F48</f>
        <v>21304.726512164747</v>
      </c>
      <c r="G48" s="97">
        <f>+FY13RevToColl!G48-FY13ProjRevToColl!G48</f>
        <v>0</v>
      </c>
      <c r="H48" s="97">
        <f>+FY13RevToColl!H48-FY13ProjRevToColl!H48</f>
        <v>0</v>
      </c>
      <c r="I48" s="97">
        <f>+FY13RevToColl!I48-FY13ProjRevToColl!I48</f>
        <v>0</v>
      </c>
      <c r="J48" s="97">
        <f>+FY13RevToColl!J48-FY13ProjRevToColl!J48</f>
        <v>0</v>
      </c>
      <c r="K48" s="97">
        <f>+FY13RevToColl!K48-FY13ProjRevToColl!K48</f>
        <v>0</v>
      </c>
      <c r="L48" s="97">
        <f>+FY13RevToColl!L48-FY13ProjRevToColl!L48</f>
        <v>-212996.91183372028</v>
      </c>
      <c r="M48" s="97">
        <f>+FY13RevToColl!M48-FY13ProjRevToColl!M48</f>
        <v>0</v>
      </c>
      <c r="N48" s="97">
        <f>+FY13RevToColl!N48-FY13ProjRevToColl!N48</f>
        <v>0</v>
      </c>
      <c r="O48" s="97">
        <f>+FY13RevToColl!O48-FY13ProjRevToColl!O48</f>
        <v>0</v>
      </c>
      <c r="P48" s="97">
        <f>+FY13RevToColl!P48-FY13ProjRevToColl!P48</f>
        <v>0</v>
      </c>
      <c r="Q48" s="97">
        <f>+FY13RevToColl!Q48-FY13ProjRevToColl!Q48</f>
        <v>65747.248374690593</v>
      </c>
      <c r="R48" s="97">
        <f>+FY13RevToColl!R48-FY13ProjRevToColl!R48</f>
        <v>0</v>
      </c>
      <c r="S48" s="97">
        <f>+FY13RevToColl!S48-FY13ProjRevToColl!S48</f>
        <v>0</v>
      </c>
      <c r="T48" s="97">
        <f>+FY13RevToColl!T48-FY13ProjRevToColl!T48</f>
        <v>0</v>
      </c>
      <c r="U48" s="97">
        <f>+FY13RevToColl!U48-FY13ProjRevToColl!U48</f>
        <v>0</v>
      </c>
      <c r="V48" s="97">
        <f>+FY13RevToColl!V48-FY13ProjRevToColl!V48</f>
        <v>0</v>
      </c>
      <c r="W48" s="98">
        <f t="shared" si="9"/>
        <v>-117130.85069143062</v>
      </c>
    </row>
    <row r="49" spans="1:23">
      <c r="A49" s="96" t="s">
        <v>5</v>
      </c>
      <c r="B49" s="97">
        <f>+FY13RevToColl!B49-FY13ProjRevToColl!B49</f>
        <v>0</v>
      </c>
      <c r="C49" s="97">
        <f>+FY13RevToColl!C49-FY13ProjRevToColl!C49</f>
        <v>23171.022974235617</v>
      </c>
      <c r="D49" s="97">
        <f>+FY13RevToColl!D49-FY13ProjRevToColl!D49</f>
        <v>0</v>
      </c>
      <c r="E49" s="97">
        <f>+FY13RevToColl!E49-FY13ProjRevToColl!E49</f>
        <v>3708.414159220059</v>
      </c>
      <c r="F49" s="97">
        <f>+FY13RevToColl!F49-FY13ProjRevToColl!F49</f>
        <v>34203.082951531258</v>
      </c>
      <c r="G49" s="97">
        <f>+FY13RevToColl!G49-FY13ProjRevToColl!G49</f>
        <v>176488.6344423932</v>
      </c>
      <c r="H49" s="97">
        <f>+FY13RevToColl!H49-FY13ProjRevToColl!H49</f>
        <v>0</v>
      </c>
      <c r="I49" s="97">
        <f>+FY13RevToColl!I49-FY13ProjRevToColl!I49</f>
        <v>-50128.162975483552</v>
      </c>
      <c r="J49" s="97">
        <f>+FY13RevToColl!J49-FY13ProjRevToColl!J49</f>
        <v>5775.5158994478898</v>
      </c>
      <c r="K49" s="97">
        <f>+FY13RevToColl!K49-FY13ProjRevToColl!K49</f>
        <v>0</v>
      </c>
      <c r="L49" s="97">
        <f>+FY13RevToColl!L49-FY13ProjRevToColl!L49</f>
        <v>-31236.41287102495</v>
      </c>
      <c r="M49" s="97">
        <f>+FY13RevToColl!M49-FY13ProjRevToColl!M49</f>
        <v>0</v>
      </c>
      <c r="N49" s="97">
        <f>+FY13RevToColl!N49-FY13ProjRevToColl!N49</f>
        <v>0</v>
      </c>
      <c r="O49" s="97">
        <f>+FY13RevToColl!O49-FY13ProjRevToColl!O49</f>
        <v>5224.7365143067864</v>
      </c>
      <c r="P49" s="97">
        <f>+FY13RevToColl!P49-FY13ProjRevToColl!P49</f>
        <v>16003.595933385925</v>
      </c>
      <c r="Q49" s="97">
        <f>+FY13RevToColl!Q49-FY13ProjRevToColl!Q49</f>
        <v>0</v>
      </c>
      <c r="R49" s="97">
        <f>+FY13RevToColl!R49-FY13ProjRevToColl!R49</f>
        <v>18362.424929354846</v>
      </c>
      <c r="S49" s="97">
        <f>+FY13RevToColl!S49-FY13ProjRevToColl!S49</f>
        <v>4540.2357245106459</v>
      </c>
      <c r="T49" s="97">
        <f>+FY13RevToColl!T49-FY13ProjRevToColl!T49</f>
        <v>2295.3361990677995</v>
      </c>
      <c r="U49" s="97">
        <f>+FY13RevToColl!U49-FY13ProjRevToColl!U49</f>
        <v>0</v>
      </c>
      <c r="V49" s="97">
        <f>+FY13RevToColl!V49-FY13ProjRevToColl!V49</f>
        <v>0</v>
      </c>
      <c r="W49" s="98">
        <f t="shared" si="9"/>
        <v>208408.42388094551</v>
      </c>
    </row>
    <row r="50" spans="1:23">
      <c r="A50" s="96" t="s">
        <v>13</v>
      </c>
      <c r="B50" s="97">
        <f>+FY13RevToColl!B50-FY13ProjRevToColl!B50</f>
        <v>130645.4266577728</v>
      </c>
      <c r="C50" s="97">
        <f>+FY13RevToColl!C50-FY13ProjRevToColl!C50</f>
        <v>0</v>
      </c>
      <c r="D50" s="97">
        <f>+FY13RevToColl!D50-FY13ProjRevToColl!D50</f>
        <v>-40822.182069323113</v>
      </c>
      <c r="E50" s="97">
        <f>+FY13RevToColl!E50-FY13ProjRevToColl!E50</f>
        <v>0</v>
      </c>
      <c r="F50" s="97">
        <f>+FY13RevToColl!F50-FY13ProjRevToColl!F50</f>
        <v>0</v>
      </c>
      <c r="G50" s="97">
        <f>+FY13RevToColl!G50-FY13ProjRevToColl!G50</f>
        <v>-7143.8042892755848</v>
      </c>
      <c r="H50" s="97">
        <f>+FY13RevToColl!H50-FY13ProjRevToColl!H50</f>
        <v>0</v>
      </c>
      <c r="I50" s="97">
        <f>+FY13RevToColl!I50-FY13ProjRevToColl!I50</f>
        <v>0</v>
      </c>
      <c r="J50" s="97">
        <f>+FY13RevToColl!J50-FY13ProjRevToColl!J50</f>
        <v>0</v>
      </c>
      <c r="K50" s="97">
        <f>+FY13RevToColl!K50-FY13ProjRevToColl!K50</f>
        <v>0</v>
      </c>
      <c r="L50" s="97">
        <f>+FY13RevToColl!L50-FY13ProjRevToColl!L50</f>
        <v>0</v>
      </c>
      <c r="M50" s="97">
        <f>+FY13RevToColl!M50-FY13ProjRevToColl!M50</f>
        <v>0</v>
      </c>
      <c r="N50" s="97">
        <f>+FY13RevToColl!N50-FY13ProjRevToColl!N50</f>
        <v>0</v>
      </c>
      <c r="O50" s="97">
        <f>+FY13RevToColl!O50-FY13ProjRevToColl!O50</f>
        <v>7837.1047714601791</v>
      </c>
      <c r="P50" s="97">
        <f>+FY13RevToColl!P50-FY13ProjRevToColl!P50</f>
        <v>-252667.00357334269</v>
      </c>
      <c r="Q50" s="97">
        <f>+FY13RevToColl!Q50-FY13ProjRevToColl!Q50</f>
        <v>0</v>
      </c>
      <c r="R50" s="97">
        <f>+FY13RevToColl!R50-FY13ProjRevToColl!R50</f>
        <v>0</v>
      </c>
      <c r="S50" s="97">
        <f>+FY13RevToColl!S50-FY13ProjRevToColl!S50</f>
        <v>0</v>
      </c>
      <c r="T50" s="97">
        <f>+FY13RevToColl!T50-FY13ProjRevToColl!T50</f>
        <v>0</v>
      </c>
      <c r="U50" s="97">
        <f>+FY13RevToColl!U50-FY13ProjRevToColl!U50</f>
        <v>0</v>
      </c>
      <c r="V50" s="97">
        <f>+FY13RevToColl!V50-FY13ProjRevToColl!V50</f>
        <v>0</v>
      </c>
      <c r="W50" s="98">
        <f t="shared" si="9"/>
        <v>-162150.45850270841</v>
      </c>
    </row>
    <row r="51" spans="1:23">
      <c r="A51" s="96" t="s">
        <v>8</v>
      </c>
      <c r="B51" s="97">
        <f>+FY13RevToColl!B51-FY13ProjRevToColl!B51</f>
        <v>0</v>
      </c>
      <c r="C51" s="97">
        <f>+FY13RevToColl!C51-FY13ProjRevToColl!C51</f>
        <v>4315.7912837457807</v>
      </c>
      <c r="D51" s="97">
        <f>+FY13RevToColl!D51-FY13ProjRevToColl!D51</f>
        <v>22109.946446667542</v>
      </c>
      <c r="E51" s="97">
        <f>+FY13RevToColl!E51-FY13ProjRevToColl!E51</f>
        <v>-3670.2969168852051</v>
      </c>
      <c r="F51" s="97">
        <f>+FY13RevToColl!F51-FY13ProjRevToColl!F51</f>
        <v>0</v>
      </c>
      <c r="G51" s="97">
        <f>+FY13RevToColl!G51-FY13ProjRevToColl!G51</f>
        <v>0</v>
      </c>
      <c r="H51" s="97">
        <f>+FY13RevToColl!H51-FY13ProjRevToColl!H51</f>
        <v>0</v>
      </c>
      <c r="I51" s="97">
        <f>+FY13RevToColl!I51-FY13ProjRevToColl!I51</f>
        <v>0</v>
      </c>
      <c r="J51" s="97">
        <f>+FY13RevToColl!J51-FY13ProjRevToColl!J51</f>
        <v>0</v>
      </c>
      <c r="K51" s="97">
        <f>+FY13RevToColl!K51-FY13ProjRevToColl!K51</f>
        <v>0</v>
      </c>
      <c r="L51" s="97">
        <f>+FY13RevToColl!L51-FY13ProjRevToColl!L51</f>
        <v>0</v>
      </c>
      <c r="M51" s="97">
        <f>+FY13RevToColl!M51-FY13ProjRevToColl!M51</f>
        <v>-4177.5324130802137</v>
      </c>
      <c r="N51" s="97">
        <f>+FY13RevToColl!N51-FY13ProjRevToColl!N51</f>
        <v>-86950.160313489381</v>
      </c>
      <c r="O51" s="97">
        <f>+FY13RevToColl!O51-FY13ProjRevToColl!O51</f>
        <v>594.13354971770423</v>
      </c>
      <c r="P51" s="97">
        <f>+FY13RevToColl!P51-FY13ProjRevToColl!P51</f>
        <v>0</v>
      </c>
      <c r="Q51" s="97">
        <f>+FY13RevToColl!Q51-FY13ProjRevToColl!Q51</f>
        <v>0</v>
      </c>
      <c r="R51" s="97">
        <f>+FY13RevToColl!R51-FY13ProjRevToColl!R51</f>
        <v>0</v>
      </c>
      <c r="S51" s="97">
        <f>+FY13RevToColl!S51-FY13ProjRevToColl!S51</f>
        <v>0</v>
      </c>
      <c r="T51" s="97">
        <f>+FY13RevToColl!T51-FY13ProjRevToColl!T51</f>
        <v>0</v>
      </c>
      <c r="U51" s="97">
        <f>+FY13RevToColl!U51-FY13ProjRevToColl!U51</f>
        <v>0</v>
      </c>
      <c r="V51" s="97">
        <f>+FY13RevToColl!V51-FY13ProjRevToColl!V51</f>
        <v>0</v>
      </c>
      <c r="W51" s="98">
        <f>SUM(B51:V51)</f>
        <v>-67778.118363323767</v>
      </c>
    </row>
    <row r="52" spans="1:23">
      <c r="A52" s="96" t="s">
        <v>10</v>
      </c>
      <c r="B52" s="97">
        <f>+FY13RevToColl!B52-FY13ProjRevToColl!B52</f>
        <v>-222154.98154451908</v>
      </c>
      <c r="C52" s="97">
        <f>+FY13RevToColl!C52-FY13ProjRevToColl!C52</f>
        <v>-110666.26769582927</v>
      </c>
      <c r="D52" s="97">
        <f>+FY13RevToColl!D52-FY13ProjRevToColl!D52</f>
        <v>91529.005581197678</v>
      </c>
      <c r="E52" s="97">
        <f>+FY13RevToColl!E52-FY13ProjRevToColl!E52</f>
        <v>9728.4423060683912</v>
      </c>
      <c r="F52" s="97">
        <f>+FY13RevToColl!F52-FY13ProjRevToColl!F52</f>
        <v>0</v>
      </c>
      <c r="G52" s="97">
        <f>+FY13RevToColl!G52-FY13ProjRevToColl!G52</f>
        <v>2502.2656009684047</v>
      </c>
      <c r="H52" s="97">
        <f>+FY13RevToColl!H52-FY13ProjRevToColl!H52</f>
        <v>0</v>
      </c>
      <c r="I52" s="97">
        <f>+FY13RevToColl!I52-FY13ProjRevToColl!I52</f>
        <v>2786.8011071852197</v>
      </c>
      <c r="J52" s="97">
        <f>+FY13RevToColl!J52-FY13ProjRevToColl!J52</f>
        <v>-3444.348643748257</v>
      </c>
      <c r="K52" s="97">
        <f>+FY13RevToColl!K52-FY13ProjRevToColl!K52</f>
        <v>0</v>
      </c>
      <c r="L52" s="97">
        <f>+FY13RevToColl!L52-FY13ProjRevToColl!L52</f>
        <v>14454.829687894569</v>
      </c>
      <c r="M52" s="97">
        <f>+FY13RevToColl!M52-FY13ProjRevToColl!M52</f>
        <v>-43384.774796234444</v>
      </c>
      <c r="N52" s="97">
        <f>+FY13RevToColl!N52-FY13ProjRevToColl!N52</f>
        <v>0</v>
      </c>
      <c r="O52" s="97">
        <f>+FY13RevToColl!O52-FY13ProjRevToColl!O52</f>
        <v>-65040.017407802952</v>
      </c>
      <c r="P52" s="97">
        <f>+FY13RevToColl!P52-FY13ProjRevToColl!P52</f>
        <v>9900.7280458050427</v>
      </c>
      <c r="Q52" s="97">
        <f>+FY13RevToColl!Q52-FY13ProjRevToColl!Q52</f>
        <v>0</v>
      </c>
      <c r="R52" s="97">
        <f>+FY13RevToColl!R52-FY13ProjRevToColl!R52</f>
        <v>-155777.09737260526</v>
      </c>
      <c r="S52" s="97">
        <f>+FY13RevToColl!S52-FY13ProjRevToColl!S52</f>
        <v>0</v>
      </c>
      <c r="T52" s="97">
        <f>+FY13RevToColl!T52-FY13ProjRevToColl!T52</f>
        <v>0</v>
      </c>
      <c r="U52" s="97">
        <f>+FY13RevToColl!U52-FY13ProjRevToColl!U52</f>
        <v>0</v>
      </c>
      <c r="V52" s="97">
        <f>+FY13RevToColl!V52-FY13ProjRevToColl!V52</f>
        <v>0</v>
      </c>
      <c r="W52" s="98">
        <f t="shared" ref="W52:W57" si="10">SUM(B52:V52)</f>
        <v>-469565.41513162002</v>
      </c>
    </row>
    <row r="53" spans="1:23">
      <c r="A53" s="96" t="s">
        <v>11</v>
      </c>
      <c r="B53" s="97">
        <f>+FY13RevToColl!B53-FY13ProjRevToColl!B53</f>
        <v>192412.55789323081</v>
      </c>
      <c r="C53" s="97">
        <f>+FY13RevToColl!C53-FY13ProjRevToColl!C53</f>
        <v>-3493.4028300944719</v>
      </c>
      <c r="D53" s="97">
        <f>+FY13RevToColl!D53-FY13ProjRevToColl!D53</f>
        <v>-4958.1531983880986</v>
      </c>
      <c r="E53" s="97">
        <f>+FY13RevToColl!E53-FY13ProjRevToColl!E53</f>
        <v>-7656.5734251883696</v>
      </c>
      <c r="F53" s="97">
        <f>+FY13RevToColl!F53-FY13ProjRevToColl!F53</f>
        <v>0</v>
      </c>
      <c r="G53" s="97">
        <f>+FY13RevToColl!G53-FY13ProjRevToColl!G53</f>
        <v>0</v>
      </c>
      <c r="H53" s="97">
        <f>+FY13RevToColl!H53-FY13ProjRevToColl!H53</f>
        <v>0</v>
      </c>
      <c r="I53" s="97">
        <f>+FY13RevToColl!I53-FY13ProjRevToColl!I53</f>
        <v>0</v>
      </c>
      <c r="J53" s="97">
        <f>+FY13RevToColl!J53-FY13ProjRevToColl!J53</f>
        <v>-136100.62387207476</v>
      </c>
      <c r="K53" s="97">
        <f>+FY13RevToColl!K53-FY13ProjRevToColl!K53</f>
        <v>0</v>
      </c>
      <c r="L53" s="97">
        <f>+FY13RevToColl!L53-FY13ProjRevToColl!L53</f>
        <v>0</v>
      </c>
      <c r="M53" s="97">
        <f>+FY13RevToColl!M53-FY13ProjRevToColl!M53</f>
        <v>0</v>
      </c>
      <c r="N53" s="97">
        <f>+FY13RevToColl!N53-FY13ProjRevToColl!N53</f>
        <v>0</v>
      </c>
      <c r="O53" s="97">
        <f>+FY13RevToColl!O53-FY13ProjRevToColl!O53</f>
        <v>-7478.8052800250543</v>
      </c>
      <c r="P53" s="97">
        <f>+FY13RevToColl!P53-FY13ProjRevToColl!P53</f>
        <v>0</v>
      </c>
      <c r="Q53" s="97">
        <f>+FY13RevToColl!Q53-FY13ProjRevToColl!Q53</f>
        <v>0</v>
      </c>
      <c r="R53" s="97">
        <f>+FY13RevToColl!R53-FY13ProjRevToColl!R53</f>
        <v>0</v>
      </c>
      <c r="S53" s="97">
        <f>+FY13RevToColl!S53-FY13ProjRevToColl!S53</f>
        <v>-11131.345516259582</v>
      </c>
      <c r="T53" s="97">
        <f>+FY13RevToColl!T53-FY13ProjRevToColl!T53</f>
        <v>11600.739355216794</v>
      </c>
      <c r="U53" s="97">
        <f>+FY13RevToColl!U53-FY13ProjRevToColl!U53</f>
        <v>0</v>
      </c>
      <c r="V53" s="97">
        <f>+FY13RevToColl!V53-FY13ProjRevToColl!V53</f>
        <v>0</v>
      </c>
      <c r="W53" s="98">
        <f t="shared" si="10"/>
        <v>33194.393126417272</v>
      </c>
    </row>
    <row r="54" spans="1:23">
      <c r="A54" s="96" t="s">
        <v>12</v>
      </c>
      <c r="B54" s="97">
        <f>+FY13RevToColl!B54-FY13ProjRevToColl!B54</f>
        <v>0</v>
      </c>
      <c r="C54" s="97">
        <f>+FY13RevToColl!C54-FY13ProjRevToColl!C54</f>
        <v>-7719.4788897286344</v>
      </c>
      <c r="D54" s="97">
        <f>+FY13RevToColl!D54-FY13ProjRevToColl!D54</f>
        <v>0</v>
      </c>
      <c r="E54" s="97">
        <f>+FY13RevToColl!E54-FY13ProjRevToColl!E54</f>
        <v>-1835.1484584426025</v>
      </c>
      <c r="F54" s="97">
        <f>+FY13RevToColl!F54-FY13ProjRevToColl!F54</f>
        <v>0</v>
      </c>
      <c r="G54" s="97">
        <f>+FY13RevToColl!G54-FY13ProjRevToColl!G54</f>
        <v>0</v>
      </c>
      <c r="H54" s="97">
        <f>+FY13RevToColl!H54-FY13ProjRevToColl!H54</f>
        <v>0</v>
      </c>
      <c r="I54" s="97">
        <f>+FY13RevToColl!I54-FY13ProjRevToColl!I54</f>
        <v>0</v>
      </c>
      <c r="J54" s="97">
        <f>+FY13RevToColl!J54-FY13ProjRevToColl!J54</f>
        <v>0</v>
      </c>
      <c r="K54" s="97">
        <f>+FY13RevToColl!K54-FY13ProjRevToColl!K54</f>
        <v>-306057.1097282134</v>
      </c>
      <c r="L54" s="97">
        <f>+FY13RevToColl!L54-FY13ProjRevToColl!L54</f>
        <v>0</v>
      </c>
      <c r="M54" s="97">
        <f>+FY13RevToColl!M54-FY13ProjRevToColl!M54</f>
        <v>0</v>
      </c>
      <c r="N54" s="97">
        <f>+FY13RevToColl!N54-FY13ProjRevToColl!N54</f>
        <v>0</v>
      </c>
      <c r="O54" s="97">
        <f>+FY13RevToColl!O54-FY13ProjRevToColl!O54</f>
        <v>0</v>
      </c>
      <c r="P54" s="97">
        <f>+FY13RevToColl!P54-FY13ProjRevToColl!P54</f>
        <v>0</v>
      </c>
      <c r="Q54" s="97">
        <f>+FY13RevToColl!Q54-FY13ProjRevToColl!Q54</f>
        <v>0</v>
      </c>
      <c r="R54" s="97">
        <f>+FY13RevToColl!R54-FY13ProjRevToColl!R54</f>
        <v>0</v>
      </c>
      <c r="S54" s="97">
        <f>+FY13RevToColl!S54-FY13ProjRevToColl!S54</f>
        <v>0</v>
      </c>
      <c r="T54" s="97">
        <f>+FY13RevToColl!T54-FY13ProjRevToColl!T54</f>
        <v>0</v>
      </c>
      <c r="U54" s="97">
        <f>+FY13RevToColl!U54-FY13ProjRevToColl!U54</f>
        <v>0</v>
      </c>
      <c r="V54" s="97">
        <f>+FY13RevToColl!V54-FY13ProjRevToColl!V54</f>
        <v>0</v>
      </c>
      <c r="W54" s="98">
        <f t="shared" si="10"/>
        <v>-315611.73707638466</v>
      </c>
    </row>
    <row r="55" spans="1:23">
      <c r="A55" s="96" t="s">
        <v>7</v>
      </c>
      <c r="B55" s="97">
        <f>+FY13RevToColl!B55-FY13ProjRevToColl!B55</f>
        <v>300180.07456905115</v>
      </c>
      <c r="C55" s="97">
        <f>+FY13RevToColl!C55-FY13ProjRevToColl!C55</f>
        <v>-1472.3388507736563</v>
      </c>
      <c r="D55" s="97">
        <f>+FY13RevToColl!D55-FY13ProjRevToColl!D55</f>
        <v>0</v>
      </c>
      <c r="E55" s="97">
        <f>+FY13RevToColl!E55-FY13ProjRevToColl!E55</f>
        <v>108695.01631360338</v>
      </c>
      <c r="F55" s="97">
        <f>+FY13RevToColl!F55-FY13ProjRevToColl!F55</f>
        <v>-41005.479959452976</v>
      </c>
      <c r="G55" s="97">
        <f>+FY13RevToColl!G55-FY13ProjRevToColl!G55</f>
        <v>32952.944078490502</v>
      </c>
      <c r="H55" s="97">
        <f>+FY13RevToColl!H55-FY13ProjRevToColl!H55</f>
        <v>0</v>
      </c>
      <c r="I55" s="97">
        <f>+FY13RevToColl!I55-FY13ProjRevToColl!I55</f>
        <v>2786.8011071852197</v>
      </c>
      <c r="J55" s="97">
        <f>+FY13RevToColl!J55-FY13ProjRevToColl!J55</f>
        <v>-10054.75058423261</v>
      </c>
      <c r="K55" s="97">
        <f>+FY13RevToColl!K55-FY13ProjRevToColl!K55</f>
        <v>0</v>
      </c>
      <c r="L55" s="97">
        <f>+FY13RevToColl!L55-FY13ProjRevToColl!L55</f>
        <v>28909.659375789139</v>
      </c>
      <c r="M55" s="97">
        <f>+FY13RevToColl!M55-FY13ProjRevToColl!M55</f>
        <v>14247.510560352297</v>
      </c>
      <c r="N55" s="97">
        <f>+FY13RevToColl!N55-FY13ProjRevToColl!N55</f>
        <v>0</v>
      </c>
      <c r="O55" s="97">
        <f>+FY13RevToColl!O55-FY13ProjRevToColl!O55</f>
        <v>-328057.38616247359</v>
      </c>
      <c r="P55" s="97">
        <f>+FY13RevToColl!P55-FY13ProjRevToColl!P55</f>
        <v>9107.1211577413033</v>
      </c>
      <c r="Q55" s="97">
        <f>+FY13RevToColl!Q55-FY13ProjRevToColl!Q55</f>
        <v>0</v>
      </c>
      <c r="R55" s="97">
        <f>+FY13RevToColl!R55-FY13ProjRevToColl!R55</f>
        <v>1669.3113572140769</v>
      </c>
      <c r="S55" s="97">
        <f>+FY13RevToColl!S55-FY13ProjRevToColl!S55</f>
        <v>0</v>
      </c>
      <c r="T55" s="97">
        <f>+FY13RevToColl!T55-FY13ProjRevToColl!T55</f>
        <v>0</v>
      </c>
      <c r="U55" s="97">
        <f>+FY13RevToColl!U55-FY13ProjRevToColl!U55</f>
        <v>0</v>
      </c>
      <c r="V55" s="97">
        <f>+FY13RevToColl!V55-FY13ProjRevToColl!V55</f>
        <v>0</v>
      </c>
      <c r="W55" s="98">
        <f t="shared" si="10"/>
        <v>117958.48296249416</v>
      </c>
    </row>
    <row r="56" spans="1:23">
      <c r="A56" s="96" t="s">
        <v>16</v>
      </c>
      <c r="B56" s="97">
        <f>+FY13RevToColl!B56-FY13ProjRevToColl!B56</f>
        <v>-757313.65757143404</v>
      </c>
      <c r="C56" s="97">
        <f>+FY13RevToColl!C56-FY13ProjRevToColl!C56</f>
        <v>0</v>
      </c>
      <c r="D56" s="97">
        <f>+FY13RevToColl!D56-FY13ProjRevToColl!D56</f>
        <v>0</v>
      </c>
      <c r="E56" s="97">
        <f>+FY13RevToColl!E56-FY13ProjRevToColl!E56</f>
        <v>-5372.0350271558164</v>
      </c>
      <c r="F56" s="97">
        <f>+FY13RevToColl!F56-FY13ProjRevToColl!F56</f>
        <v>0</v>
      </c>
      <c r="G56" s="97">
        <f>+FY13RevToColl!G56-FY13ProjRevToColl!G56</f>
        <v>0</v>
      </c>
      <c r="H56" s="97">
        <f>+FY13RevToColl!H56-FY13ProjRevToColl!H56</f>
        <v>0</v>
      </c>
      <c r="I56" s="97">
        <f>+FY13RevToColl!I56-FY13ProjRevToColl!I56</f>
        <v>0</v>
      </c>
      <c r="J56" s="97">
        <f>+FY13RevToColl!J56-FY13ProjRevToColl!J56</f>
        <v>0</v>
      </c>
      <c r="K56" s="97">
        <f>+FY13RevToColl!K56-FY13ProjRevToColl!K56</f>
        <v>0</v>
      </c>
      <c r="L56" s="97">
        <f>+FY13RevToColl!L56-FY13ProjRevToColl!L56</f>
        <v>0</v>
      </c>
      <c r="M56" s="97">
        <f>+FY13RevToColl!M56-FY13ProjRevToColl!M56</f>
        <v>0</v>
      </c>
      <c r="N56" s="97">
        <f>+FY13RevToColl!N56-FY13ProjRevToColl!N56</f>
        <v>0</v>
      </c>
      <c r="O56" s="97">
        <f>+FY13RevToColl!O56-FY13ProjRevToColl!O56</f>
        <v>0</v>
      </c>
      <c r="P56" s="97">
        <f>+FY13RevToColl!P56-FY13ProjRevToColl!P56</f>
        <v>0</v>
      </c>
      <c r="Q56" s="97">
        <f>+FY13RevToColl!Q56-FY13ProjRevToColl!Q56</f>
        <v>0</v>
      </c>
      <c r="R56" s="97">
        <f>+FY13RevToColl!R56-FY13ProjRevToColl!R56</f>
        <v>0</v>
      </c>
      <c r="S56" s="97">
        <f>+FY13RevToColl!S56-FY13ProjRevToColl!S56</f>
        <v>0</v>
      </c>
      <c r="T56" s="97">
        <f>+FY13RevToColl!T56-FY13ProjRevToColl!T56</f>
        <v>0</v>
      </c>
      <c r="U56" s="97">
        <f>+FY13RevToColl!U56-FY13ProjRevToColl!U56</f>
        <v>0</v>
      </c>
      <c r="V56" s="97">
        <f>+FY13RevToColl!V56-FY13ProjRevToColl!V56</f>
        <v>0</v>
      </c>
      <c r="W56" s="100">
        <f t="shared" si="10"/>
        <v>-762685.69259858981</v>
      </c>
    </row>
    <row r="57" spans="1:23">
      <c r="A57" s="101" t="s">
        <v>15</v>
      </c>
      <c r="B57" s="102">
        <f>+FY13RevToColl!B57-FY13ProjRevToColl!B57</f>
        <v>46912.047988877748</v>
      </c>
      <c r="C57" s="102">
        <f>+FY13RevToColl!C57-FY13ProjRevToColl!C57</f>
        <v>-62040.682269643992</v>
      </c>
      <c r="D57" s="102">
        <f>+FY13RevToColl!D57-FY13ProjRevToColl!D57</f>
        <v>0</v>
      </c>
      <c r="E57" s="102">
        <f>+FY13RevToColl!E57-FY13ProjRevToColl!E57</f>
        <v>2997.7243496556621</v>
      </c>
      <c r="F57" s="102">
        <f>+FY13RevToColl!F57-FY13ProjRevToColl!F57</f>
        <v>-32021.507226316386</v>
      </c>
      <c r="G57" s="102">
        <f>+FY13RevToColl!G57-FY13ProjRevToColl!G57</f>
        <v>-9767.0673947872001</v>
      </c>
      <c r="H57" s="102">
        <f>+FY13RevToColl!H57-FY13ProjRevToColl!H57</f>
        <v>-3486.625786901865</v>
      </c>
      <c r="I57" s="102">
        <f>+FY13RevToColl!I57-FY13ProjRevToColl!I57</f>
        <v>-10268.913853503152</v>
      </c>
      <c r="J57" s="102">
        <f>+FY13RevToColl!J57-FY13ProjRevToColl!J57</f>
        <v>0</v>
      </c>
      <c r="K57" s="102">
        <f>+FY13RevToColl!K57-FY13ProjRevToColl!K57</f>
        <v>0</v>
      </c>
      <c r="L57" s="102">
        <f>+FY13RevToColl!L57-FY13ProjRevToColl!L57</f>
        <v>0</v>
      </c>
      <c r="M57" s="102">
        <f>+FY13RevToColl!M57-FY13ProjRevToColl!M57</f>
        <v>483.60377512735431</v>
      </c>
      <c r="N57" s="102">
        <f>+FY13RevToColl!N57-FY13ProjRevToColl!N57</f>
        <v>0</v>
      </c>
      <c r="O57" s="102">
        <f>+FY13RevToColl!O57-FY13ProjRevToColl!O57</f>
        <v>7837.1047714601791</v>
      </c>
      <c r="P57" s="102">
        <f>+FY13RevToColl!P57-FY13ProjRevToColl!P57</f>
        <v>0</v>
      </c>
      <c r="Q57" s="102">
        <f>+FY13RevToColl!Q57-FY13ProjRevToColl!Q57</f>
        <v>0</v>
      </c>
      <c r="R57" s="102">
        <f>+FY13RevToColl!R57-FY13ProjRevToColl!R57</f>
        <v>-58523.072959688376</v>
      </c>
      <c r="S57" s="102">
        <f>+FY13RevToColl!S57-FY13ProjRevToColl!S57</f>
        <v>-2094.7228262416938</v>
      </c>
      <c r="T57" s="102">
        <f>+FY13RevToColl!T57-FY13ProjRevToColl!T57</f>
        <v>23201.478710433588</v>
      </c>
      <c r="U57" s="102">
        <f>+FY13RevToColl!U57-FY13ProjRevToColl!U57</f>
        <v>0</v>
      </c>
      <c r="V57" s="102">
        <f>+FY13RevToColl!V57-FY13ProjRevToColl!V57</f>
        <v>0</v>
      </c>
      <c r="W57" s="103">
        <f t="shared" si="10"/>
        <v>-96770.632721528149</v>
      </c>
    </row>
    <row r="58" spans="1:23">
      <c r="A58" s="104" t="s">
        <v>34</v>
      </c>
      <c r="B58" s="105">
        <f t="shared" ref="B58:W58" si="11">SUM(B41:B55)+B56+B57</f>
        <v>4941698.3439989053</v>
      </c>
      <c r="C58" s="105">
        <f t="shared" si="11"/>
        <v>-1012239.684884495</v>
      </c>
      <c r="D58" s="105">
        <f t="shared" si="11"/>
        <v>67858.616760154007</v>
      </c>
      <c r="E58" s="105">
        <f t="shared" si="11"/>
        <v>251736.16411296901</v>
      </c>
      <c r="F58" s="105">
        <f t="shared" si="11"/>
        <v>-382474.50620451762</v>
      </c>
      <c r="G58" s="105">
        <f t="shared" si="11"/>
        <v>258833.31798064435</v>
      </c>
      <c r="H58" s="105">
        <f t="shared" si="11"/>
        <v>-147510.49303409696</v>
      </c>
      <c r="I58" s="105">
        <f t="shared" si="11"/>
        <v>-727707.13501795102</v>
      </c>
      <c r="J58" s="105">
        <f t="shared" si="11"/>
        <v>-138048.69130115985</v>
      </c>
      <c r="K58" s="105">
        <f t="shared" si="11"/>
        <v>-306057.1097282134</v>
      </c>
      <c r="L58" s="105">
        <f t="shared" si="11"/>
        <v>-157551.10005023933</v>
      </c>
      <c r="M58" s="105">
        <f t="shared" si="11"/>
        <v>-32831.192873835003</v>
      </c>
      <c r="N58" s="105">
        <f t="shared" si="11"/>
        <v>-86950.160313489381</v>
      </c>
      <c r="O58" s="105">
        <f t="shared" si="11"/>
        <v>-379554.79735992191</v>
      </c>
      <c r="P58" s="105">
        <f t="shared" si="11"/>
        <v>-205808.71963786331</v>
      </c>
      <c r="Q58" s="105">
        <f t="shared" si="11"/>
        <v>65747.248374690593</v>
      </c>
      <c r="R58" s="105">
        <f t="shared" si="11"/>
        <v>-118642.18396685904</v>
      </c>
      <c r="S58" s="105">
        <f t="shared" si="11"/>
        <v>-76423.638937121257</v>
      </c>
      <c r="T58" s="105">
        <f t="shared" si="11"/>
        <v>857190.96394778579</v>
      </c>
      <c r="U58" s="105">
        <f t="shared" si="11"/>
        <v>70339.957621558584</v>
      </c>
      <c r="V58" s="105">
        <f t="shared" si="11"/>
        <v>14530.466051500043</v>
      </c>
      <c r="W58" s="106">
        <f t="shared" si="11"/>
        <v>2756135.6655384488</v>
      </c>
    </row>
    <row r="59" spans="1:23">
      <c r="A59" s="76"/>
      <c r="B59" s="8"/>
    </row>
    <row r="60" spans="1:23">
      <c r="B60" s="8"/>
    </row>
  </sheetData>
  <mergeCells count="3">
    <mergeCell ref="A1:W1"/>
    <mergeCell ref="A21:W21"/>
    <mergeCell ref="A40:W40"/>
  </mergeCells>
  <pageMargins left="0.25" right="0.25" top="0.5" bottom="0.5" header="0.05" footer="0.05"/>
  <pageSetup paperSize="5" scale="56"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workbookViewId="0">
      <pane xSplit="1" ySplit="2" topLeftCell="B3" activePane="bottomRight" state="frozen"/>
      <selection sqref="A1:XFD1048576"/>
      <selection pane="topRight" sqref="A1:XFD1048576"/>
      <selection pane="bottomLeft" sqref="A1:XFD1048576"/>
      <selection pane="bottomRight" activeCell="A2" sqref="A2"/>
    </sheetView>
  </sheetViews>
  <sheetFormatPr defaultColWidth="8.85546875" defaultRowHeight="15.95" customHeight="1"/>
  <cols>
    <col min="1" max="1" width="27.85546875" style="32" customWidth="1"/>
    <col min="2" max="2" width="12.7109375" style="32" customWidth="1"/>
    <col min="3" max="3" width="14.7109375" style="32" customWidth="1"/>
    <col min="4" max="23" width="12.7109375" style="32" customWidth="1"/>
    <col min="24" max="16384" width="8.85546875" style="32"/>
  </cols>
  <sheetData>
    <row r="1" spans="1:23" ht="28.5" customHeight="1">
      <c r="A1" s="655" t="s">
        <v>412</v>
      </c>
      <c r="B1" s="656"/>
      <c r="C1" s="656"/>
      <c r="D1" s="656"/>
      <c r="E1" s="656"/>
      <c r="F1" s="656"/>
      <c r="G1" s="656"/>
      <c r="H1" s="656"/>
      <c r="I1" s="656"/>
      <c r="J1" s="656"/>
      <c r="K1" s="656"/>
      <c r="L1" s="656"/>
      <c r="M1" s="656"/>
      <c r="N1" s="656"/>
      <c r="O1" s="656"/>
      <c r="P1" s="656"/>
      <c r="Q1" s="656"/>
      <c r="R1" s="656"/>
      <c r="S1" s="656"/>
      <c r="T1" s="656"/>
      <c r="U1" s="656"/>
      <c r="V1" s="656"/>
      <c r="W1" s="657"/>
    </row>
    <row r="2" spans="1:23" s="5" customFormat="1" ht="54" customHeight="1">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3" s="6" customFormat="1" ht="17.100000000000001" customHeight="1">
      <c r="A3" s="36" t="s">
        <v>0</v>
      </c>
      <c r="B3" s="37">
        <f>+B22+B41</f>
        <v>3710033.8985840492</v>
      </c>
      <c r="C3" s="37">
        <f t="shared" ref="C3:V3" si="0">+C22+C41</f>
        <v>80239.180709821609</v>
      </c>
      <c r="D3" s="37">
        <f t="shared" si="0"/>
        <v>0</v>
      </c>
      <c r="E3" s="37">
        <f t="shared" si="0"/>
        <v>10427.650810128751</v>
      </c>
      <c r="F3" s="37">
        <f t="shared" si="0"/>
        <v>0</v>
      </c>
      <c r="G3" s="37">
        <f t="shared" si="0"/>
        <v>59253.719818149853</v>
      </c>
      <c r="H3" s="37">
        <f t="shared" si="0"/>
        <v>0</v>
      </c>
      <c r="I3" s="37">
        <f t="shared" si="0"/>
        <v>3268468.0820223326</v>
      </c>
      <c r="J3" s="37">
        <f t="shared" si="0"/>
        <v>0</v>
      </c>
      <c r="K3" s="37">
        <f t="shared" si="0"/>
        <v>0</v>
      </c>
      <c r="L3" s="37">
        <f t="shared" si="0"/>
        <v>14707.523997602959</v>
      </c>
      <c r="M3" s="37">
        <f t="shared" si="0"/>
        <v>0</v>
      </c>
      <c r="N3" s="37">
        <f t="shared" si="0"/>
        <v>0</v>
      </c>
      <c r="O3" s="37">
        <f t="shared" si="0"/>
        <v>6157.306294374579</v>
      </c>
      <c r="P3" s="37">
        <f t="shared" si="0"/>
        <v>0</v>
      </c>
      <c r="Q3" s="37">
        <f t="shared" si="0"/>
        <v>91.839841881426338</v>
      </c>
      <c r="R3" s="108">
        <f t="shared" si="0"/>
        <v>8396.8708616710628</v>
      </c>
      <c r="S3" s="108">
        <f t="shared" si="0"/>
        <v>0</v>
      </c>
      <c r="T3" s="108">
        <f t="shared" si="0"/>
        <v>81.192981296585643</v>
      </c>
      <c r="U3" s="108">
        <f t="shared" si="0"/>
        <v>0</v>
      </c>
      <c r="V3" s="108">
        <f t="shared" si="0"/>
        <v>0</v>
      </c>
      <c r="W3" s="38">
        <f>SUM(B3:V3)</f>
        <v>7157857.2659213077</v>
      </c>
    </row>
    <row r="4" spans="1:23" s="6" customFormat="1" ht="17.100000000000001" customHeight="1">
      <c r="A4" s="39" t="s">
        <v>1</v>
      </c>
      <c r="B4" s="40">
        <f t="shared" ref="B4:V4" si="1">+B23+B42</f>
        <v>164060157.15066496</v>
      </c>
      <c r="C4" s="40">
        <f t="shared" si="1"/>
        <v>8990859.5251288731</v>
      </c>
      <c r="D4" s="40">
        <f t="shared" si="1"/>
        <v>10445.507636675698</v>
      </c>
      <c r="E4" s="40">
        <f t="shared" si="1"/>
        <v>159996.84385221207</v>
      </c>
      <c r="F4" s="40">
        <f t="shared" si="1"/>
        <v>30996.851241944474</v>
      </c>
      <c r="G4" s="40">
        <f t="shared" si="1"/>
        <v>342852.61966348946</v>
      </c>
      <c r="H4" s="40">
        <f t="shared" si="1"/>
        <v>9533.9110786111105</v>
      </c>
      <c r="I4" s="40">
        <f t="shared" si="1"/>
        <v>24525.357604133969</v>
      </c>
      <c r="J4" s="40">
        <f t="shared" si="1"/>
        <v>8107.5721556818498</v>
      </c>
      <c r="K4" s="40">
        <f t="shared" si="1"/>
        <v>595.17815267596791</v>
      </c>
      <c r="L4" s="40">
        <f t="shared" si="1"/>
        <v>64759.273952327414</v>
      </c>
      <c r="M4" s="40">
        <f t="shared" si="1"/>
        <v>1564.6840580063201</v>
      </c>
      <c r="N4" s="40">
        <f t="shared" si="1"/>
        <v>0</v>
      </c>
      <c r="O4" s="40">
        <f t="shared" si="1"/>
        <v>24590.078938273044</v>
      </c>
      <c r="P4" s="40">
        <f t="shared" si="1"/>
        <v>22455.069192665254</v>
      </c>
      <c r="Q4" s="40">
        <f t="shared" si="1"/>
        <v>3949.1132009013327</v>
      </c>
      <c r="R4" s="109">
        <f t="shared" si="1"/>
        <v>85811.425559527415</v>
      </c>
      <c r="S4" s="109">
        <f t="shared" si="1"/>
        <v>27553.707674424037</v>
      </c>
      <c r="T4" s="109">
        <f t="shared" si="1"/>
        <v>25390.640657958425</v>
      </c>
      <c r="U4" s="109">
        <f t="shared" si="1"/>
        <v>203.41923396226417</v>
      </c>
      <c r="V4" s="109">
        <f t="shared" si="1"/>
        <v>568.00880000000006</v>
      </c>
      <c r="W4" s="41">
        <f t="shared" ref="W4:W19" si="2">SUM(B4:V4)</f>
        <v>173894915.9384473</v>
      </c>
    </row>
    <row r="5" spans="1:23" s="6" customFormat="1" ht="17.100000000000001" customHeight="1">
      <c r="A5" s="39" t="s">
        <v>6</v>
      </c>
      <c r="B5" s="40">
        <f t="shared" ref="B5:V5" si="3">+B24+B43</f>
        <v>18911655.852801703</v>
      </c>
      <c r="C5" s="40">
        <f t="shared" si="3"/>
        <v>306199.87695456127</v>
      </c>
      <c r="D5" s="40">
        <f t="shared" si="3"/>
        <v>0</v>
      </c>
      <c r="E5" s="40">
        <f t="shared" si="3"/>
        <v>63081.294523871999</v>
      </c>
      <c r="F5" s="40">
        <f t="shared" si="3"/>
        <v>3512265.6383963646</v>
      </c>
      <c r="G5" s="40">
        <f t="shared" si="3"/>
        <v>15951.503286060892</v>
      </c>
      <c r="H5" s="40">
        <f t="shared" si="3"/>
        <v>0</v>
      </c>
      <c r="I5" s="40">
        <f t="shared" si="3"/>
        <v>18882.530866441914</v>
      </c>
      <c r="J5" s="40">
        <f t="shared" si="3"/>
        <v>0</v>
      </c>
      <c r="K5" s="40">
        <f t="shared" si="3"/>
        <v>238.07126107038715</v>
      </c>
      <c r="L5" s="40">
        <f t="shared" si="3"/>
        <v>70369.802800428326</v>
      </c>
      <c r="M5" s="40">
        <f t="shared" si="3"/>
        <v>115.90252281528298</v>
      </c>
      <c r="N5" s="40">
        <f t="shared" si="3"/>
        <v>0</v>
      </c>
      <c r="O5" s="40">
        <f t="shared" si="3"/>
        <v>0</v>
      </c>
      <c r="P5" s="40">
        <f t="shared" si="3"/>
        <v>0</v>
      </c>
      <c r="Q5" s="40">
        <f t="shared" si="3"/>
        <v>0</v>
      </c>
      <c r="R5" s="109">
        <f t="shared" si="3"/>
        <v>5292.7425244449205</v>
      </c>
      <c r="S5" s="109">
        <f t="shared" si="3"/>
        <v>709.96180896265446</v>
      </c>
      <c r="T5" s="109">
        <f t="shared" si="3"/>
        <v>852.52630361414936</v>
      </c>
      <c r="U5" s="109">
        <f t="shared" si="3"/>
        <v>0</v>
      </c>
      <c r="V5" s="109">
        <f t="shared" si="3"/>
        <v>0</v>
      </c>
      <c r="W5" s="41">
        <f t="shared" si="2"/>
        <v>22905615.704050336</v>
      </c>
    </row>
    <row r="6" spans="1:23" s="6" customFormat="1" ht="17.100000000000001" customHeight="1">
      <c r="A6" s="42" t="s">
        <v>2</v>
      </c>
      <c r="B6" s="40">
        <f t="shared" ref="B6:V6" si="4">+B25+B44</f>
        <v>2622257.2229379136</v>
      </c>
      <c r="C6" s="40">
        <f t="shared" si="4"/>
        <v>8015.4954322621197</v>
      </c>
      <c r="D6" s="40">
        <f t="shared" si="4"/>
        <v>882.71895521203078</v>
      </c>
      <c r="E6" s="40">
        <f t="shared" si="4"/>
        <v>8949.418746928839</v>
      </c>
      <c r="F6" s="40">
        <f t="shared" si="4"/>
        <v>225.17155418898213</v>
      </c>
      <c r="G6" s="40">
        <f t="shared" si="4"/>
        <v>6018.1071415695806</v>
      </c>
      <c r="H6" s="40">
        <f t="shared" si="4"/>
        <v>0</v>
      </c>
      <c r="I6" s="40">
        <f t="shared" si="4"/>
        <v>276.89809328648028</v>
      </c>
      <c r="J6" s="40">
        <f t="shared" si="4"/>
        <v>233.20562562339603</v>
      </c>
      <c r="K6" s="40">
        <f t="shared" si="4"/>
        <v>0</v>
      </c>
      <c r="L6" s="40">
        <f t="shared" si="4"/>
        <v>1010.7772388335609</v>
      </c>
      <c r="M6" s="40">
        <f t="shared" si="4"/>
        <v>0</v>
      </c>
      <c r="N6" s="40">
        <f t="shared" si="4"/>
        <v>0</v>
      </c>
      <c r="O6" s="40">
        <f t="shared" si="4"/>
        <v>0</v>
      </c>
      <c r="P6" s="40">
        <f t="shared" si="4"/>
        <v>1172.2960257157554</v>
      </c>
      <c r="Q6" s="40">
        <f t="shared" si="4"/>
        <v>0</v>
      </c>
      <c r="R6" s="109">
        <f t="shared" si="4"/>
        <v>1016.1423012087189</v>
      </c>
      <c r="S6" s="109">
        <f t="shared" si="4"/>
        <v>2637784.8406426874</v>
      </c>
      <c r="T6" s="109">
        <f t="shared" si="4"/>
        <v>1373761.3124404878</v>
      </c>
      <c r="U6" s="109">
        <f t="shared" si="4"/>
        <v>0</v>
      </c>
      <c r="V6" s="109">
        <f t="shared" si="4"/>
        <v>0</v>
      </c>
      <c r="W6" s="41">
        <f t="shared" si="2"/>
        <v>6661603.6071359189</v>
      </c>
    </row>
    <row r="7" spans="1:23" s="6" customFormat="1" ht="17.100000000000001" customHeight="1">
      <c r="A7" s="39" t="s">
        <v>3</v>
      </c>
      <c r="B7" s="40">
        <f t="shared" ref="B7:V7" si="5">+B26+B45</f>
        <v>20551616.795755647</v>
      </c>
      <c r="C7" s="40">
        <f t="shared" si="5"/>
        <v>529553.67816609133</v>
      </c>
      <c r="D7" s="40">
        <f t="shared" si="5"/>
        <v>539.43936151846322</v>
      </c>
      <c r="E7" s="40">
        <f t="shared" si="5"/>
        <v>6253654.5331887286</v>
      </c>
      <c r="F7" s="40">
        <f t="shared" si="5"/>
        <v>300.22873891864282</v>
      </c>
      <c r="G7" s="40">
        <f t="shared" si="5"/>
        <v>781.29812013359481</v>
      </c>
      <c r="H7" s="40">
        <f t="shared" si="5"/>
        <v>0</v>
      </c>
      <c r="I7" s="40">
        <f t="shared" si="5"/>
        <v>17672.129795293586</v>
      </c>
      <c r="J7" s="40">
        <f t="shared" si="5"/>
        <v>0</v>
      </c>
      <c r="K7" s="40">
        <f t="shared" si="5"/>
        <v>297.58907633798395</v>
      </c>
      <c r="L7" s="40">
        <f t="shared" si="5"/>
        <v>19273.106250526092</v>
      </c>
      <c r="M7" s="40">
        <f t="shared" si="5"/>
        <v>173.85378422292447</v>
      </c>
      <c r="N7" s="40">
        <f t="shared" si="5"/>
        <v>0</v>
      </c>
      <c r="O7" s="40">
        <f t="shared" si="5"/>
        <v>5374.3815098691957</v>
      </c>
      <c r="P7" s="40">
        <f t="shared" si="5"/>
        <v>0</v>
      </c>
      <c r="Q7" s="40">
        <f t="shared" si="5"/>
        <v>0</v>
      </c>
      <c r="R7" s="109">
        <f t="shared" si="5"/>
        <v>10401.304747288508</v>
      </c>
      <c r="S7" s="109">
        <f t="shared" si="5"/>
        <v>0</v>
      </c>
      <c r="T7" s="109">
        <f t="shared" si="5"/>
        <v>162.38596259317129</v>
      </c>
      <c r="U7" s="109">
        <f t="shared" si="5"/>
        <v>104896.51831320756</v>
      </c>
      <c r="V7" s="109">
        <f t="shared" si="5"/>
        <v>118429.83480000001</v>
      </c>
      <c r="W7" s="41">
        <f t="shared" si="2"/>
        <v>27613127.077570379</v>
      </c>
    </row>
    <row r="8" spans="1:23" s="6" customFormat="1" ht="17.100000000000001" customHeight="1">
      <c r="A8" s="39" t="s">
        <v>4</v>
      </c>
      <c r="B8" s="40">
        <f t="shared" ref="B8:V8" si="6">+B27+B46</f>
        <v>11185606.9203791</v>
      </c>
      <c r="C8" s="40">
        <f t="shared" si="6"/>
        <v>30878.983836097366</v>
      </c>
      <c r="D8" s="40">
        <f t="shared" si="6"/>
        <v>0</v>
      </c>
      <c r="E8" s="40">
        <f t="shared" si="6"/>
        <v>24267.767130796812</v>
      </c>
      <c r="F8" s="40">
        <f t="shared" si="6"/>
        <v>10475.333911152529</v>
      </c>
      <c r="G8" s="40">
        <f t="shared" si="6"/>
        <v>168188.49780236228</v>
      </c>
      <c r="H8" s="40">
        <f t="shared" si="6"/>
        <v>0</v>
      </c>
      <c r="I8" s="40">
        <f t="shared" si="6"/>
        <v>27502.012106963637</v>
      </c>
      <c r="J8" s="40">
        <f t="shared" si="6"/>
        <v>0</v>
      </c>
      <c r="K8" s="40">
        <f t="shared" si="6"/>
        <v>476.1425221407743</v>
      </c>
      <c r="L8" s="40">
        <f t="shared" si="6"/>
        <v>9973.4788715408995</v>
      </c>
      <c r="M8" s="40">
        <f t="shared" si="6"/>
        <v>0</v>
      </c>
      <c r="N8" s="40">
        <f t="shared" si="6"/>
        <v>0</v>
      </c>
      <c r="O8" s="40">
        <f t="shared" si="6"/>
        <v>234.87743535161482</v>
      </c>
      <c r="P8" s="40">
        <f t="shared" si="6"/>
        <v>48.845667738156479</v>
      </c>
      <c r="Q8" s="40">
        <f t="shared" si="6"/>
        <v>183.67968376285268</v>
      </c>
      <c r="R8" s="109">
        <f t="shared" si="6"/>
        <v>3241866.4141296311</v>
      </c>
      <c r="S8" s="109">
        <f t="shared" si="6"/>
        <v>8475.1690944916882</v>
      </c>
      <c r="T8" s="109">
        <f t="shared" si="6"/>
        <v>81.192981296585643</v>
      </c>
      <c r="U8" s="109">
        <f t="shared" si="6"/>
        <v>0</v>
      </c>
      <c r="V8" s="109">
        <f t="shared" si="6"/>
        <v>0</v>
      </c>
      <c r="W8" s="41">
        <f t="shared" si="2"/>
        <v>14708259.31555243</v>
      </c>
    </row>
    <row r="9" spans="1:23" s="6" customFormat="1" ht="17.100000000000001" customHeight="1">
      <c r="A9" s="39" t="s">
        <v>14</v>
      </c>
      <c r="B9" s="40">
        <f t="shared" ref="B9:V9" si="7">+B28+B47</f>
        <v>2296236.3887949586</v>
      </c>
      <c r="C9" s="40">
        <f t="shared" si="7"/>
        <v>195707.96210228445</v>
      </c>
      <c r="D9" s="40">
        <f t="shared" si="7"/>
        <v>0</v>
      </c>
      <c r="E9" s="40">
        <f t="shared" si="7"/>
        <v>3422.0289648220578</v>
      </c>
      <c r="F9" s="40">
        <f t="shared" si="7"/>
        <v>0</v>
      </c>
      <c r="G9" s="40">
        <f t="shared" si="7"/>
        <v>23497.013058882636</v>
      </c>
      <c r="H9" s="40">
        <f t="shared" si="7"/>
        <v>32136.614112672221</v>
      </c>
      <c r="I9" s="40">
        <f t="shared" si="7"/>
        <v>0</v>
      </c>
      <c r="J9" s="40">
        <f t="shared" si="7"/>
        <v>0</v>
      </c>
      <c r="K9" s="40">
        <f t="shared" si="7"/>
        <v>0</v>
      </c>
      <c r="L9" s="40">
        <f t="shared" si="7"/>
        <v>26162.999371049984</v>
      </c>
      <c r="M9" s="40">
        <f t="shared" si="7"/>
        <v>0</v>
      </c>
      <c r="N9" s="40">
        <f t="shared" si="7"/>
        <v>0</v>
      </c>
      <c r="O9" s="40">
        <f t="shared" si="7"/>
        <v>78.292478450538283</v>
      </c>
      <c r="P9" s="40">
        <f t="shared" si="7"/>
        <v>0</v>
      </c>
      <c r="Q9" s="40">
        <f t="shared" si="7"/>
        <v>0</v>
      </c>
      <c r="R9" s="109">
        <f t="shared" si="7"/>
        <v>117.24718860100603</v>
      </c>
      <c r="S9" s="109">
        <f t="shared" si="7"/>
        <v>0</v>
      </c>
      <c r="T9" s="109">
        <f t="shared" si="7"/>
        <v>0</v>
      </c>
      <c r="U9" s="109">
        <f t="shared" si="7"/>
        <v>0</v>
      </c>
      <c r="V9" s="109">
        <f t="shared" si="7"/>
        <v>0</v>
      </c>
      <c r="W9" s="41">
        <f t="shared" si="2"/>
        <v>2577358.5460717222</v>
      </c>
    </row>
    <row r="10" spans="1:23" s="6" customFormat="1" ht="17.100000000000001" customHeight="1">
      <c r="A10" s="39" t="s">
        <v>9</v>
      </c>
      <c r="B10" s="40">
        <f t="shared" ref="B10:V10" si="8">+B29+B48</f>
        <v>6128.3763795081177</v>
      </c>
      <c r="C10" s="40">
        <f t="shared" si="8"/>
        <v>82319.219076242734</v>
      </c>
      <c r="D10" s="40">
        <f t="shared" si="8"/>
        <v>294.23965173734359</v>
      </c>
      <c r="E10" s="40">
        <f t="shared" si="8"/>
        <v>24365.40922688783</v>
      </c>
      <c r="F10" s="40">
        <f t="shared" si="8"/>
        <v>26547.284726029644</v>
      </c>
      <c r="G10" s="40">
        <f t="shared" si="8"/>
        <v>3125.1924805343792</v>
      </c>
      <c r="H10" s="40">
        <f t="shared" si="8"/>
        <v>0</v>
      </c>
      <c r="I10" s="40">
        <f t="shared" si="8"/>
        <v>0</v>
      </c>
      <c r="J10" s="40">
        <f t="shared" si="8"/>
        <v>0</v>
      </c>
      <c r="K10" s="40">
        <f t="shared" si="8"/>
        <v>0</v>
      </c>
      <c r="L10" s="40">
        <f t="shared" si="8"/>
        <v>9933031.4919455778</v>
      </c>
      <c r="M10" s="40">
        <f t="shared" si="8"/>
        <v>0</v>
      </c>
      <c r="N10" s="40">
        <f t="shared" si="8"/>
        <v>0</v>
      </c>
      <c r="O10" s="40">
        <f t="shared" si="8"/>
        <v>352.31615302742227</v>
      </c>
      <c r="P10" s="40">
        <f t="shared" si="8"/>
        <v>97.691335476312958</v>
      </c>
      <c r="Q10" s="40">
        <f t="shared" si="8"/>
        <v>718646.76272216113</v>
      </c>
      <c r="R10" s="109">
        <f t="shared" si="8"/>
        <v>547.15354680469477</v>
      </c>
      <c r="S10" s="109">
        <f t="shared" si="8"/>
        <v>0</v>
      </c>
      <c r="T10" s="109">
        <f t="shared" si="8"/>
        <v>162.38596259317129</v>
      </c>
      <c r="U10" s="109">
        <f t="shared" si="8"/>
        <v>0</v>
      </c>
      <c r="V10" s="109">
        <f t="shared" si="8"/>
        <v>0</v>
      </c>
      <c r="W10" s="41">
        <f t="shared" si="2"/>
        <v>10795617.52320658</v>
      </c>
    </row>
    <row r="11" spans="1:23" s="6" customFormat="1" ht="17.100000000000001" customHeight="1">
      <c r="A11" s="39" t="s">
        <v>5</v>
      </c>
      <c r="B11" s="40">
        <f t="shared" ref="B11:V11" si="9">+B30+B49</f>
        <v>11506.339324790752</v>
      </c>
      <c r="C11" s="40">
        <f t="shared" si="9"/>
        <v>107201.93203895757</v>
      </c>
      <c r="D11" s="40">
        <f t="shared" si="9"/>
        <v>1520.2382006429418</v>
      </c>
      <c r="E11" s="40">
        <f t="shared" si="9"/>
        <v>5679.3902434866086</v>
      </c>
      <c r="F11" s="40">
        <f t="shared" si="9"/>
        <v>45074.930020120708</v>
      </c>
      <c r="G11" s="40">
        <f t="shared" si="9"/>
        <v>3467082.5549913077</v>
      </c>
      <c r="H11" s="40">
        <f t="shared" si="9"/>
        <v>396.02399864999995</v>
      </c>
      <c r="I11" s="40">
        <f t="shared" si="9"/>
        <v>50662.755592945672</v>
      </c>
      <c r="J11" s="40">
        <f t="shared" si="9"/>
        <v>7641.160904435058</v>
      </c>
      <c r="K11" s="40">
        <f t="shared" si="9"/>
        <v>0</v>
      </c>
      <c r="L11" s="40">
        <f t="shared" si="9"/>
        <v>25776.011544546884</v>
      </c>
      <c r="M11" s="40">
        <f t="shared" si="9"/>
        <v>0</v>
      </c>
      <c r="N11" s="40">
        <f t="shared" si="9"/>
        <v>0</v>
      </c>
      <c r="O11" s="40">
        <f t="shared" si="9"/>
        <v>12862.659937902925</v>
      </c>
      <c r="P11" s="40">
        <f t="shared" si="9"/>
        <v>33854.065895158434</v>
      </c>
      <c r="Q11" s="40">
        <f t="shared" si="9"/>
        <v>367.35936752570535</v>
      </c>
      <c r="R11" s="109">
        <f t="shared" si="9"/>
        <v>23482.218831598773</v>
      </c>
      <c r="S11" s="109">
        <f t="shared" si="9"/>
        <v>6980.7294428197711</v>
      </c>
      <c r="T11" s="109">
        <f t="shared" si="9"/>
        <v>8763.9134949337731</v>
      </c>
      <c r="U11" s="109">
        <f t="shared" si="9"/>
        <v>0</v>
      </c>
      <c r="V11" s="109">
        <f t="shared" si="9"/>
        <v>0</v>
      </c>
      <c r="W11" s="41">
        <f t="shared" si="2"/>
        <v>3808852.2838298231</v>
      </c>
    </row>
    <row r="12" spans="1:23" s="6" customFormat="1" ht="17.100000000000001" customHeight="1">
      <c r="A12" s="39" t="s">
        <v>13</v>
      </c>
      <c r="B12" s="40">
        <f t="shared" ref="B12:V12" si="10">+B31+B50</f>
        <v>957677.12564111268</v>
      </c>
      <c r="C12" s="40">
        <f t="shared" si="10"/>
        <v>2390.5863569904573</v>
      </c>
      <c r="D12" s="40">
        <f t="shared" si="10"/>
        <v>276316.66937598016</v>
      </c>
      <c r="E12" s="40">
        <f t="shared" si="10"/>
        <v>1254.2575081696225</v>
      </c>
      <c r="F12" s="40">
        <f t="shared" si="10"/>
        <v>0</v>
      </c>
      <c r="G12" s="40">
        <f t="shared" si="10"/>
        <v>9850.691163305999</v>
      </c>
      <c r="H12" s="40">
        <f t="shared" si="10"/>
        <v>0</v>
      </c>
      <c r="I12" s="40">
        <f t="shared" si="10"/>
        <v>207.67356996486023</v>
      </c>
      <c r="J12" s="40">
        <f t="shared" si="10"/>
        <v>932.82250249358412</v>
      </c>
      <c r="K12" s="40">
        <f t="shared" si="10"/>
        <v>0</v>
      </c>
      <c r="L12" s="40">
        <f t="shared" si="10"/>
        <v>0</v>
      </c>
      <c r="M12" s="40">
        <f t="shared" si="10"/>
        <v>0</v>
      </c>
      <c r="N12" s="40">
        <f t="shared" si="10"/>
        <v>0</v>
      </c>
      <c r="O12" s="40">
        <f t="shared" si="10"/>
        <v>16553.753161085548</v>
      </c>
      <c r="P12" s="40">
        <f t="shared" si="10"/>
        <v>2308191.9835850443</v>
      </c>
      <c r="Q12" s="40">
        <f t="shared" si="10"/>
        <v>0</v>
      </c>
      <c r="R12" s="109">
        <f t="shared" si="10"/>
        <v>0</v>
      </c>
      <c r="S12" s="109">
        <f t="shared" si="10"/>
        <v>44.372613060165904</v>
      </c>
      <c r="T12" s="109">
        <f t="shared" si="10"/>
        <v>1664.4561165800058</v>
      </c>
      <c r="U12" s="109">
        <f t="shared" si="10"/>
        <v>0</v>
      </c>
      <c r="V12" s="109">
        <f t="shared" si="10"/>
        <v>0</v>
      </c>
      <c r="W12" s="41">
        <f t="shared" si="2"/>
        <v>3575084.3915937874</v>
      </c>
    </row>
    <row r="13" spans="1:23" s="6" customFormat="1" ht="17.100000000000001" customHeight="1">
      <c r="A13" s="39" t="s">
        <v>8</v>
      </c>
      <c r="B13" s="40">
        <f t="shared" ref="B13:V13" si="11">+B32+B51</f>
        <v>12256.752759016235</v>
      </c>
      <c r="C13" s="40">
        <f t="shared" si="11"/>
        <v>28178.438484252278</v>
      </c>
      <c r="D13" s="40">
        <f t="shared" si="11"/>
        <v>613630.75674078858</v>
      </c>
      <c r="E13" s="40">
        <f t="shared" si="11"/>
        <v>134.38473301817385</v>
      </c>
      <c r="F13" s="40">
        <f t="shared" si="11"/>
        <v>0</v>
      </c>
      <c r="G13" s="40">
        <f t="shared" si="11"/>
        <v>0</v>
      </c>
      <c r="H13" s="40">
        <f t="shared" si="11"/>
        <v>0</v>
      </c>
      <c r="I13" s="40">
        <f t="shared" si="11"/>
        <v>0</v>
      </c>
      <c r="J13" s="40">
        <f t="shared" si="11"/>
        <v>0</v>
      </c>
      <c r="K13" s="40">
        <f t="shared" si="11"/>
        <v>0</v>
      </c>
      <c r="L13" s="40">
        <f t="shared" si="11"/>
        <v>0</v>
      </c>
      <c r="M13" s="40">
        <f t="shared" si="11"/>
        <v>0</v>
      </c>
      <c r="N13" s="40">
        <f t="shared" si="11"/>
        <v>4330350.5824908363</v>
      </c>
      <c r="O13" s="40">
        <f t="shared" si="11"/>
        <v>5883.2826197976947</v>
      </c>
      <c r="P13" s="40">
        <f t="shared" si="11"/>
        <v>0</v>
      </c>
      <c r="Q13" s="40">
        <f t="shared" si="11"/>
        <v>0</v>
      </c>
      <c r="R13" s="109">
        <f t="shared" si="11"/>
        <v>0</v>
      </c>
      <c r="S13" s="109">
        <f t="shared" si="11"/>
        <v>0</v>
      </c>
      <c r="T13" s="109">
        <f t="shared" si="11"/>
        <v>0</v>
      </c>
      <c r="U13" s="109">
        <f t="shared" si="11"/>
        <v>0</v>
      </c>
      <c r="V13" s="109">
        <f t="shared" si="11"/>
        <v>0</v>
      </c>
      <c r="W13" s="41">
        <f t="shared" si="2"/>
        <v>4990434.1978277089</v>
      </c>
    </row>
    <row r="14" spans="1:23" s="6" customFormat="1" ht="17.100000000000001" customHeight="1">
      <c r="A14" s="39" t="s">
        <v>10</v>
      </c>
      <c r="B14" s="40">
        <f t="shared" ref="B14:V14" si="12">+B33+B52</f>
        <v>5660469.1230742745</v>
      </c>
      <c r="C14" s="40">
        <f t="shared" si="12"/>
        <v>1829498.0691333557</v>
      </c>
      <c r="D14" s="40">
        <f t="shared" si="12"/>
        <v>883459.47487517912</v>
      </c>
      <c r="E14" s="40">
        <f t="shared" si="12"/>
        <v>84098.160059792077</v>
      </c>
      <c r="F14" s="40">
        <f t="shared" si="12"/>
        <v>450.34310837796426</v>
      </c>
      <c r="G14" s="40">
        <f t="shared" si="12"/>
        <v>8296.8933252925654</v>
      </c>
      <c r="H14" s="40">
        <f t="shared" si="12"/>
        <v>0</v>
      </c>
      <c r="I14" s="40">
        <f t="shared" si="12"/>
        <v>3202.1482471149402</v>
      </c>
      <c r="J14" s="40">
        <f t="shared" si="12"/>
        <v>17291.881997237484</v>
      </c>
      <c r="K14" s="40">
        <f t="shared" si="12"/>
        <v>128350.16862457247</v>
      </c>
      <c r="L14" s="40">
        <f t="shared" si="12"/>
        <v>15381.375490158667</v>
      </c>
      <c r="M14" s="40">
        <f t="shared" si="12"/>
        <v>12145302.90277053</v>
      </c>
      <c r="N14" s="40">
        <f t="shared" si="12"/>
        <v>117343.51396225783</v>
      </c>
      <c r="O14" s="40">
        <f t="shared" si="12"/>
        <v>192943.3976454795</v>
      </c>
      <c r="P14" s="40">
        <f t="shared" si="12"/>
        <v>16885.65853236142</v>
      </c>
      <c r="Q14" s="40">
        <f t="shared" si="12"/>
        <v>0</v>
      </c>
      <c r="R14" s="109">
        <f t="shared" si="12"/>
        <v>3897.0079406331915</v>
      </c>
      <c r="S14" s="109">
        <f t="shared" si="12"/>
        <v>133.11783918049773</v>
      </c>
      <c r="T14" s="109">
        <f t="shared" si="12"/>
        <v>649.54385037268514</v>
      </c>
      <c r="U14" s="109">
        <f t="shared" si="12"/>
        <v>2508.837218867925</v>
      </c>
      <c r="V14" s="109">
        <f t="shared" si="12"/>
        <v>284.00440000000003</v>
      </c>
      <c r="W14" s="41">
        <f t="shared" si="2"/>
        <v>21110445.622095045</v>
      </c>
    </row>
    <row r="15" spans="1:23" s="6" customFormat="1" ht="17.100000000000001" customHeight="1">
      <c r="A15" s="39" t="s">
        <v>11</v>
      </c>
      <c r="B15" s="40">
        <f t="shared" ref="B15:V15" si="13">+B34+B53</f>
        <v>2672484.2299788063</v>
      </c>
      <c r="C15" s="40">
        <f t="shared" si="13"/>
        <v>1828.0954494632906</v>
      </c>
      <c r="D15" s="40">
        <f t="shared" si="13"/>
        <v>588.47930347468719</v>
      </c>
      <c r="E15" s="40">
        <f t="shared" si="13"/>
        <v>379198.4409985136</v>
      </c>
      <c r="F15" s="40">
        <f t="shared" si="13"/>
        <v>225.17155418898213</v>
      </c>
      <c r="G15" s="40">
        <f t="shared" si="13"/>
        <v>0</v>
      </c>
      <c r="H15" s="40">
        <f t="shared" si="13"/>
        <v>0</v>
      </c>
      <c r="I15" s="40">
        <f t="shared" si="13"/>
        <v>0</v>
      </c>
      <c r="J15" s="40">
        <f t="shared" si="13"/>
        <v>992827.78063259146</v>
      </c>
      <c r="K15" s="40">
        <f t="shared" si="13"/>
        <v>3690.1045465910006</v>
      </c>
      <c r="L15" s="40">
        <f t="shared" si="13"/>
        <v>0</v>
      </c>
      <c r="M15" s="40">
        <f t="shared" si="13"/>
        <v>57.951261407641489</v>
      </c>
      <c r="N15" s="40">
        <f t="shared" si="13"/>
        <v>0</v>
      </c>
      <c r="O15" s="40">
        <f t="shared" si="13"/>
        <v>5687.5514236713489</v>
      </c>
      <c r="P15" s="40">
        <f t="shared" si="13"/>
        <v>732.68501607234714</v>
      </c>
      <c r="Q15" s="40">
        <f t="shared" si="13"/>
        <v>0</v>
      </c>
      <c r="R15" s="109">
        <f t="shared" si="13"/>
        <v>0</v>
      </c>
      <c r="S15" s="109">
        <f t="shared" si="13"/>
        <v>133.11783918049773</v>
      </c>
      <c r="T15" s="109">
        <f t="shared" si="13"/>
        <v>12087.897242996309</v>
      </c>
      <c r="U15" s="109">
        <f t="shared" si="13"/>
        <v>0</v>
      </c>
      <c r="V15" s="109">
        <f t="shared" si="13"/>
        <v>0</v>
      </c>
      <c r="W15" s="41">
        <f t="shared" si="2"/>
        <v>4069541.5052469578</v>
      </c>
    </row>
    <row r="16" spans="1:23" s="6" customFormat="1" ht="17.100000000000001" customHeight="1">
      <c r="A16" s="39" t="s">
        <v>12</v>
      </c>
      <c r="B16" s="40">
        <f t="shared" ref="B16:V16" si="14">+B35+B54</f>
        <v>50903.044621628651</v>
      </c>
      <c r="C16" s="40">
        <f t="shared" si="14"/>
        <v>246664.9263585282</v>
      </c>
      <c r="D16" s="40">
        <f t="shared" si="14"/>
        <v>441.35947760601539</v>
      </c>
      <c r="E16" s="40">
        <f t="shared" si="14"/>
        <v>3404.4132364604043</v>
      </c>
      <c r="F16" s="40">
        <f t="shared" si="14"/>
        <v>0</v>
      </c>
      <c r="G16" s="40">
        <f t="shared" si="14"/>
        <v>0</v>
      </c>
      <c r="H16" s="40">
        <f t="shared" si="14"/>
        <v>0</v>
      </c>
      <c r="I16" s="40">
        <f t="shared" si="14"/>
        <v>0</v>
      </c>
      <c r="J16" s="40">
        <f t="shared" si="14"/>
        <v>8239.9321053599942</v>
      </c>
      <c r="K16" s="40">
        <f t="shared" si="14"/>
        <v>5245364.5773485722</v>
      </c>
      <c r="L16" s="40">
        <f t="shared" si="14"/>
        <v>0</v>
      </c>
      <c r="M16" s="40">
        <f t="shared" si="14"/>
        <v>0</v>
      </c>
      <c r="N16" s="40">
        <f t="shared" si="14"/>
        <v>0</v>
      </c>
      <c r="O16" s="40">
        <f t="shared" si="14"/>
        <v>430.60863147796056</v>
      </c>
      <c r="P16" s="40">
        <f t="shared" si="14"/>
        <v>0</v>
      </c>
      <c r="Q16" s="40">
        <f t="shared" si="14"/>
        <v>0</v>
      </c>
      <c r="R16" s="109">
        <f t="shared" si="14"/>
        <v>117.24718860100603</v>
      </c>
      <c r="S16" s="109">
        <f t="shared" si="14"/>
        <v>0</v>
      </c>
      <c r="T16" s="109">
        <f t="shared" si="14"/>
        <v>0</v>
      </c>
      <c r="U16" s="109">
        <f t="shared" si="14"/>
        <v>0</v>
      </c>
      <c r="V16" s="109">
        <f t="shared" si="14"/>
        <v>0</v>
      </c>
      <c r="W16" s="41">
        <f t="shared" si="2"/>
        <v>5555566.1089682337</v>
      </c>
    </row>
    <row r="17" spans="1:23" s="6" customFormat="1" ht="17.100000000000001" customHeight="1">
      <c r="A17" s="39" t="s">
        <v>7</v>
      </c>
      <c r="B17" s="40">
        <f t="shared" ref="B17:V17" si="15">+B36+B55</f>
        <v>3358257.3263679296</v>
      </c>
      <c r="C17" s="40">
        <f t="shared" si="15"/>
        <v>43489.676585427624</v>
      </c>
      <c r="D17" s="40">
        <f t="shared" si="15"/>
        <v>4021.2752404103626</v>
      </c>
      <c r="E17" s="40">
        <f t="shared" si="15"/>
        <v>2261083.7898186655</v>
      </c>
      <c r="F17" s="40">
        <f t="shared" si="15"/>
        <v>15075.014796526679</v>
      </c>
      <c r="G17" s="40">
        <f t="shared" si="15"/>
        <v>61374.13476130522</v>
      </c>
      <c r="H17" s="40">
        <f t="shared" si="15"/>
        <v>176.01066606666666</v>
      </c>
      <c r="I17" s="40">
        <f t="shared" si="15"/>
        <v>3202.1482471149402</v>
      </c>
      <c r="J17" s="40">
        <f t="shared" si="15"/>
        <v>33196.085474436666</v>
      </c>
      <c r="K17" s="40">
        <f t="shared" si="15"/>
        <v>6606.4774947032429</v>
      </c>
      <c r="L17" s="40">
        <f t="shared" si="15"/>
        <v>34300.471316234798</v>
      </c>
      <c r="M17" s="40">
        <f t="shared" si="15"/>
        <v>86303.64269632347</v>
      </c>
      <c r="N17" s="40">
        <f t="shared" si="15"/>
        <v>111.91560702170511</v>
      </c>
      <c r="O17" s="40">
        <f t="shared" si="15"/>
        <v>912971.61700799549</v>
      </c>
      <c r="P17" s="40">
        <f t="shared" si="15"/>
        <v>23676.210886119166</v>
      </c>
      <c r="Q17" s="40">
        <f t="shared" si="15"/>
        <v>0</v>
      </c>
      <c r="R17" s="109">
        <f t="shared" si="15"/>
        <v>3232.6072052274903</v>
      </c>
      <c r="S17" s="109">
        <f t="shared" si="15"/>
        <v>576.84396978215682</v>
      </c>
      <c r="T17" s="109">
        <f t="shared" si="15"/>
        <v>1014.9122662073206</v>
      </c>
      <c r="U17" s="109">
        <f t="shared" si="15"/>
        <v>203.41923396226417</v>
      </c>
      <c r="V17" s="109">
        <f t="shared" si="15"/>
        <v>0</v>
      </c>
      <c r="W17" s="41">
        <f t="shared" si="2"/>
        <v>6848873.5796414632</v>
      </c>
    </row>
    <row r="18" spans="1:23" s="6" customFormat="1" ht="17.100000000000001" customHeight="1">
      <c r="A18" s="39" t="s">
        <v>16</v>
      </c>
      <c r="B18" s="40">
        <f t="shared" ref="B18:V18" si="16">+B37+B56</f>
        <v>2350871.2141749789</v>
      </c>
      <c r="C18" s="40">
        <f t="shared" si="16"/>
        <v>0</v>
      </c>
      <c r="D18" s="40">
        <f t="shared" si="16"/>
        <v>98.079883912447869</v>
      </c>
      <c r="E18" s="40">
        <f t="shared" si="16"/>
        <v>14054.527421415598</v>
      </c>
      <c r="F18" s="40">
        <f t="shared" si="16"/>
        <v>0</v>
      </c>
      <c r="G18" s="40">
        <f t="shared" si="16"/>
        <v>0</v>
      </c>
      <c r="H18" s="40">
        <f t="shared" si="16"/>
        <v>0</v>
      </c>
      <c r="I18" s="40">
        <f t="shared" si="16"/>
        <v>623.0207098945807</v>
      </c>
      <c r="J18" s="40">
        <f t="shared" si="16"/>
        <v>0</v>
      </c>
      <c r="K18" s="40">
        <f t="shared" si="16"/>
        <v>0</v>
      </c>
      <c r="L18" s="40">
        <f t="shared" si="16"/>
        <v>0</v>
      </c>
      <c r="M18" s="40">
        <f t="shared" si="16"/>
        <v>0</v>
      </c>
      <c r="N18" s="40">
        <f t="shared" si="16"/>
        <v>0</v>
      </c>
      <c r="O18" s="40">
        <f t="shared" si="16"/>
        <v>78.292478450538283</v>
      </c>
      <c r="P18" s="40">
        <f t="shared" si="16"/>
        <v>0</v>
      </c>
      <c r="Q18" s="40">
        <f t="shared" si="16"/>
        <v>0</v>
      </c>
      <c r="R18" s="109">
        <f t="shared" si="16"/>
        <v>0</v>
      </c>
      <c r="S18" s="109">
        <f t="shared" si="16"/>
        <v>0</v>
      </c>
      <c r="T18" s="109">
        <f t="shared" si="16"/>
        <v>243.57894388975694</v>
      </c>
      <c r="U18" s="109">
        <f t="shared" si="16"/>
        <v>0</v>
      </c>
      <c r="V18" s="109">
        <f t="shared" si="16"/>
        <v>0</v>
      </c>
      <c r="W18" s="43">
        <f t="shared" si="2"/>
        <v>2365968.713612542</v>
      </c>
    </row>
    <row r="19" spans="1:23" s="47" customFormat="1" ht="17.100000000000001" customHeight="1">
      <c r="A19" s="44" t="s">
        <v>15</v>
      </c>
      <c r="B19" s="45">
        <f t="shared" ref="B19:V19" si="17">+B38+B57</f>
        <v>727595.97208414075</v>
      </c>
      <c r="C19" s="45">
        <f t="shared" si="17"/>
        <v>1213627.952473291</v>
      </c>
      <c r="D19" s="45">
        <f t="shared" si="17"/>
        <v>49.039941956223934</v>
      </c>
      <c r="E19" s="45">
        <f t="shared" si="17"/>
        <v>115346.37740651469</v>
      </c>
      <c r="F19" s="45">
        <f t="shared" si="17"/>
        <v>12898.356439366518</v>
      </c>
      <c r="G19" s="45">
        <f t="shared" si="17"/>
        <v>0</v>
      </c>
      <c r="H19" s="45">
        <f t="shared" si="17"/>
        <v>0</v>
      </c>
      <c r="I19" s="45">
        <f t="shared" si="17"/>
        <v>103111.64096585313</v>
      </c>
      <c r="J19" s="45">
        <f t="shared" si="17"/>
        <v>0</v>
      </c>
      <c r="K19" s="45">
        <f t="shared" si="17"/>
        <v>0</v>
      </c>
      <c r="L19" s="45">
        <f t="shared" si="17"/>
        <v>0</v>
      </c>
      <c r="M19" s="45">
        <f t="shared" si="17"/>
        <v>122269.50762993762</v>
      </c>
      <c r="N19" s="45">
        <f t="shared" si="17"/>
        <v>0</v>
      </c>
      <c r="O19" s="45">
        <f t="shared" si="17"/>
        <v>13970.101372217785</v>
      </c>
      <c r="P19" s="45">
        <f t="shared" si="17"/>
        <v>0</v>
      </c>
      <c r="Q19" s="45">
        <f t="shared" si="17"/>
        <v>0</v>
      </c>
      <c r="R19" s="110">
        <f t="shared" si="17"/>
        <v>6610.3123158559802</v>
      </c>
      <c r="S19" s="110">
        <f t="shared" si="17"/>
        <v>7697.8058479692882</v>
      </c>
      <c r="T19" s="110">
        <f t="shared" si="17"/>
        <v>23363.864673026761</v>
      </c>
      <c r="U19" s="110">
        <f t="shared" si="17"/>
        <v>0</v>
      </c>
      <c r="V19" s="110">
        <f t="shared" si="17"/>
        <v>0</v>
      </c>
      <c r="W19" s="46">
        <f t="shared" si="2"/>
        <v>2346540.93115013</v>
      </c>
    </row>
    <row r="20" spans="1:23" s="6" customFormat="1" ht="17.100000000000001" customHeight="1">
      <c r="A20" s="48" t="s">
        <v>34</v>
      </c>
      <c r="B20" s="49">
        <f>SUM(B3:B19)</f>
        <v>239145713.73432449</v>
      </c>
      <c r="C20" s="49">
        <f t="shared" ref="C20:W20" si="18">SUM(C3:C19)</f>
        <v>13696653.598286498</v>
      </c>
      <c r="D20" s="49">
        <f t="shared" si="18"/>
        <v>1792287.278645094</v>
      </c>
      <c r="E20" s="49">
        <f t="shared" si="18"/>
        <v>9412418.6878704131</v>
      </c>
      <c r="F20" s="49">
        <f t="shared" si="18"/>
        <v>3654534.32448718</v>
      </c>
      <c r="G20" s="49">
        <f t="shared" si="18"/>
        <v>4166272.225612394</v>
      </c>
      <c r="H20" s="49">
        <f t="shared" si="18"/>
        <v>42242.559856</v>
      </c>
      <c r="I20" s="49">
        <f t="shared" si="18"/>
        <v>3518336.3978213398</v>
      </c>
      <c r="J20" s="49">
        <f t="shared" si="18"/>
        <v>1068470.4413978595</v>
      </c>
      <c r="K20" s="49">
        <f t="shared" si="18"/>
        <v>5385618.3090266641</v>
      </c>
      <c r="L20" s="49">
        <f t="shared" si="18"/>
        <v>10214746.312778827</v>
      </c>
      <c r="M20" s="49">
        <f t="shared" si="18"/>
        <v>12355788.444723243</v>
      </c>
      <c r="N20" s="49">
        <f t="shared" si="18"/>
        <v>4447806.012060116</v>
      </c>
      <c r="O20" s="49">
        <f t="shared" si="18"/>
        <v>1198168.5170874251</v>
      </c>
      <c r="P20" s="49">
        <f t="shared" si="18"/>
        <v>2407114.5061363513</v>
      </c>
      <c r="Q20" s="49">
        <f t="shared" si="18"/>
        <v>723238.75481623237</v>
      </c>
      <c r="R20" s="111">
        <f t="shared" si="18"/>
        <v>3390788.6943410942</v>
      </c>
      <c r="S20" s="111">
        <f t="shared" si="18"/>
        <v>2690089.6667725588</v>
      </c>
      <c r="T20" s="111">
        <f t="shared" si="18"/>
        <v>1448279.8038778468</v>
      </c>
      <c r="U20" s="111">
        <f t="shared" si="18"/>
        <v>107812.19400000002</v>
      </c>
      <c r="V20" s="111">
        <f t="shared" si="18"/>
        <v>119281.84800000001</v>
      </c>
      <c r="W20" s="50">
        <f t="shared" si="18"/>
        <v>320985662.31192172</v>
      </c>
    </row>
    <row r="21" spans="1:23" ht="29.25" customHeight="1">
      <c r="A21" s="658" t="s">
        <v>112</v>
      </c>
      <c r="B21" s="658"/>
      <c r="C21" s="658"/>
      <c r="D21" s="658"/>
      <c r="E21" s="658"/>
      <c r="F21" s="658"/>
      <c r="G21" s="658"/>
      <c r="H21" s="658"/>
      <c r="I21" s="658"/>
      <c r="J21" s="658"/>
      <c r="K21" s="658"/>
      <c r="L21" s="658"/>
      <c r="M21" s="658"/>
      <c r="N21" s="658"/>
      <c r="O21" s="658"/>
      <c r="P21" s="658"/>
      <c r="Q21" s="658"/>
      <c r="R21" s="658"/>
      <c r="S21" s="658"/>
      <c r="T21" s="658"/>
      <c r="U21" s="658"/>
      <c r="V21" s="658"/>
      <c r="W21" s="658"/>
    </row>
    <row r="22" spans="1:23" ht="17.100000000000001" customHeight="1">
      <c r="A22" s="79" t="s">
        <v>0</v>
      </c>
      <c r="B22" s="80">
        <f>+UGpcntSCH*FY13SCH!B3*FY13Revenue!F$3</f>
        <v>2318027.0983225196</v>
      </c>
      <c r="C22" s="80">
        <f>+FY13Revenue!F$4*GPpcntSCH*FY13SCH!C3</f>
        <v>24018.361751410004</v>
      </c>
      <c r="D22" s="80">
        <f>+FY13Revenue!F$5*GPpcntSCH*FY13SCH!D3</f>
        <v>0</v>
      </c>
      <c r="E22" s="80">
        <f>+FY13Revenue!F$6*GPpcntSCH*FY13SCH!E3</f>
        <v>6719.2366509086924</v>
      </c>
      <c r="F22" s="80">
        <f>+FY13Revenue!F$7*GPpcntSCH*FY13SCH!F3</f>
        <v>0</v>
      </c>
      <c r="G22" s="80">
        <f>+FY13Revenue!F$8*GPpcntSCH*FY13SCH!G3</f>
        <v>6706.1421978133558</v>
      </c>
      <c r="H22" s="80">
        <f>FY13Revenue!F$9*GPpcntSCH*FY13SCH!H3</f>
        <v>0</v>
      </c>
      <c r="I22" s="80">
        <f>+FY13Revenue!F$10*GPpcntSCH*FY13SCH!I3</f>
        <v>654448.64348259626</v>
      </c>
      <c r="J22" s="80">
        <f>+FY13Revenue!F$11*GPpcntSCH*FY13SCH!J3</f>
        <v>0</v>
      </c>
      <c r="K22" s="80">
        <f>+FY13Revenue!F$12*GPpcntSCH*FY13SCH!K3</f>
        <v>0</v>
      </c>
      <c r="L22" s="80">
        <f>+FY13Revenue!F$13*GPpcntSCH*FY13SCH!L3</f>
        <v>252.69430970839022</v>
      </c>
      <c r="M22" s="80">
        <f>+FY13Revenue!F$14*GPpcntSCH*FY13SCH!M3</f>
        <v>0</v>
      </c>
      <c r="N22" s="80">
        <f>+FY13Revenue!F$15*GPpcntSCH*FY13SCH!N3</f>
        <v>0</v>
      </c>
      <c r="O22" s="80">
        <f>FY13Revenue!F$16*GPpcntSCH*FY13SCH!O3</f>
        <v>1526.7033297854964</v>
      </c>
      <c r="P22" s="80">
        <f>FY13Revenue!F$17*GPpcntSCH*FY13SCH!P3</f>
        <v>0</v>
      </c>
      <c r="Q22" s="80">
        <f>FY13Revenue!F$18*GPpcntSCH*FY13SCH!Q3</f>
        <v>91.839841881426338</v>
      </c>
      <c r="R22" s="80">
        <f>FY13Revenue!F$19*GPpcntSCH*FY13SCH!R3</f>
        <v>1719.6254328147552</v>
      </c>
      <c r="S22" s="80">
        <f>FY13Revenue!F$20*GPpcntSCH*FY13SCH!S3</f>
        <v>0</v>
      </c>
      <c r="T22" s="80">
        <f>FY13Revenue!F$21*GPpcntSCH*FY13SCH!T3</f>
        <v>81.192981296585643</v>
      </c>
      <c r="U22" s="80">
        <f>FY13Revenue!F$22*GPpcntSCH*FY13SCH!U3</f>
        <v>0</v>
      </c>
      <c r="V22" s="80">
        <f>FY13Revenue!F$23*GPpcntSCH*FY13SCH!V3</f>
        <v>0</v>
      </c>
      <c r="W22" s="81">
        <f>SUM(B22:V22)</f>
        <v>3013591.5383007349</v>
      </c>
    </row>
    <row r="23" spans="1:23" ht="17.100000000000001" customHeight="1">
      <c r="A23" s="82" t="s">
        <v>1</v>
      </c>
      <c r="B23" s="83">
        <f>+UGpcntSCH*FY13SCH!B4*FY13Revenue!F$3</f>
        <v>99500569.03550522</v>
      </c>
      <c r="C23" s="83">
        <f>+FY13Revenue!F$4*GPpcntSCH*FY13SCH!C4</f>
        <v>1861141.7902805116</v>
      </c>
      <c r="D23" s="83">
        <f>+FY13Revenue!F$5*GPpcntSCH*FY13SCH!D4</f>
        <v>10445.507636675698</v>
      </c>
      <c r="E23" s="83">
        <f>+FY13Revenue!F$6*GPpcntSCH*FY13SCH!E4</f>
        <v>95099.596065861027</v>
      </c>
      <c r="F23" s="83">
        <f>+FY13Revenue!F$7*GPpcntSCH*FY13SCH!F4</f>
        <v>900.68621675592851</v>
      </c>
      <c r="G23" s="83">
        <f>+FY13Revenue!F$8*GPpcntSCH*FY13SCH!G4</f>
        <v>42580.747547280909</v>
      </c>
      <c r="H23" s="83">
        <f>FY13Revenue!F$9*GPpcntSCH*FY13SCH!H4</f>
        <v>2024.1226597666666</v>
      </c>
      <c r="I23" s="83">
        <f>+FY13Revenue!F$10*GPpcntSCH*FY13SCH!I4</f>
        <v>10591.352068207871</v>
      </c>
      <c r="J23" s="83">
        <f>+FY13Revenue!F$11*GPpcntSCH*FY13SCH!J4</f>
        <v>2332.0562562339605</v>
      </c>
      <c r="K23" s="83">
        <f>+FY13Revenue!F$12*GPpcntSCH*FY13SCH!K4</f>
        <v>595.17815267596791</v>
      </c>
      <c r="L23" s="83">
        <f>+FY13Revenue!F$13*GPpcntSCH*FY13SCH!L4</f>
        <v>21394.784888643706</v>
      </c>
      <c r="M23" s="83">
        <f>+FY13Revenue!F$14*GPpcntSCH*FY13SCH!M4</f>
        <v>1564.6840580063201</v>
      </c>
      <c r="N23" s="83">
        <f>+FY13Revenue!F$15*GPpcntSCH*FY13SCH!N4</f>
        <v>0</v>
      </c>
      <c r="O23" s="83">
        <f>FY13Revenue!F$16*GPpcntSCH*FY13SCH!O4</f>
        <v>6067.6670799167168</v>
      </c>
      <c r="P23" s="83">
        <f>FY13Revenue!F$17*GPpcntSCH*FY13SCH!P4</f>
        <v>5128.7951125064292</v>
      </c>
      <c r="Q23" s="83">
        <f>FY13Revenue!F$18*GPpcntSCH*FY13SCH!Q4</f>
        <v>3949.1132009013327</v>
      </c>
      <c r="R23" s="83">
        <f>FY13Revenue!F$19*GPpcntSCH*FY13SCH!R4</f>
        <v>25716.216699820652</v>
      </c>
      <c r="S23" s="83">
        <f>FY13Revenue!F$20*GPpcntSCH*FY13SCH!S4</f>
        <v>13933.000500892096</v>
      </c>
      <c r="T23" s="83">
        <f>FY13Revenue!F$21*GPpcntSCH*FY13SCH!T4</f>
        <v>22490.455819154227</v>
      </c>
      <c r="U23" s="83">
        <f>FY13Revenue!F$22*GPpcntSCH*FY13SCH!U4</f>
        <v>203.41923396226417</v>
      </c>
      <c r="V23" s="83">
        <f>FY13Revenue!F$23*GPpcntSCH*FY13SCH!V4</f>
        <v>568.00880000000006</v>
      </c>
      <c r="W23" s="84">
        <f t="shared" ref="W23:W31" si="19">SUM(B23:V23)</f>
        <v>101627296.217783</v>
      </c>
    </row>
    <row r="24" spans="1:23" ht="17.100000000000001" customHeight="1">
      <c r="A24" s="82" t="s">
        <v>6</v>
      </c>
      <c r="B24" s="83">
        <f>+UGpcntSCH*FY13SCH!B5*FY13Revenue!F$3</f>
        <v>9251972.299471695</v>
      </c>
      <c r="C24" s="83">
        <f>+FY13Revenue!F$4*GPpcntSCH*FY13SCH!C5</f>
        <v>54927.237120027792</v>
      </c>
      <c r="D24" s="83">
        <f>+FY13Revenue!F$5*GPpcntSCH*FY13SCH!D5</f>
        <v>0</v>
      </c>
      <c r="E24" s="83">
        <f>+FY13Revenue!F$6*GPpcntSCH*FY13SCH!E5</f>
        <v>14871.91045401124</v>
      </c>
      <c r="F24" s="83">
        <f>+FY13Revenue!F$7*GPpcntSCH*FY13SCH!F5</f>
        <v>717621.74320028606</v>
      </c>
      <c r="G24" s="83">
        <f>+FY13Revenue!F$8*GPpcntSCH*FY13SCH!G5</f>
        <v>15951.503286060892</v>
      </c>
      <c r="H24" s="83">
        <f>FY13Revenue!F$9*GPpcntSCH*FY13SCH!H5</f>
        <v>0</v>
      </c>
      <c r="I24" s="83">
        <f>+FY13Revenue!F$10*GPpcntSCH*FY13SCH!I5</f>
        <v>10522.127544886253</v>
      </c>
      <c r="J24" s="83">
        <f>+FY13Revenue!F$11*GPpcntSCH*FY13SCH!J5</f>
        <v>0</v>
      </c>
      <c r="K24" s="83">
        <f>+FY13Revenue!F$12*GPpcntSCH*FY13SCH!K5</f>
        <v>238.07126107038715</v>
      </c>
      <c r="L24" s="83">
        <f>+FY13Revenue!F$13*GPpcntSCH*FY13SCH!L5</f>
        <v>12550.484048850047</v>
      </c>
      <c r="M24" s="83">
        <f>+FY13Revenue!F$14*GPpcntSCH*FY13SCH!M5</f>
        <v>115.90252281528298</v>
      </c>
      <c r="N24" s="83">
        <f>+FY13Revenue!F$15*GPpcntSCH*FY13SCH!N5</f>
        <v>0</v>
      </c>
      <c r="O24" s="83">
        <f>FY13Revenue!F$16*GPpcntSCH*FY13SCH!O5</f>
        <v>0</v>
      </c>
      <c r="P24" s="83">
        <f>FY13Revenue!F$17*GPpcntSCH*FY13SCH!P5</f>
        <v>0</v>
      </c>
      <c r="Q24" s="83">
        <f>FY13Revenue!F$18*GPpcntSCH*FY13SCH!Q5</f>
        <v>0</v>
      </c>
      <c r="R24" s="83">
        <f>FY13Revenue!F$19*GPpcntSCH*FY13SCH!R5</f>
        <v>1954.1198100167671</v>
      </c>
      <c r="S24" s="83">
        <f>FY13Revenue!F$20*GPpcntSCH*FY13SCH!S5</f>
        <v>709.96180896265446</v>
      </c>
      <c r="T24" s="83">
        <f>FY13Revenue!F$21*GPpcntSCH*FY13SCH!T5</f>
        <v>852.52630361414936</v>
      </c>
      <c r="U24" s="83">
        <f>FY13Revenue!F$22*GPpcntSCH*FY13SCH!U5</f>
        <v>0</v>
      </c>
      <c r="V24" s="83">
        <f>FY13Revenue!F$23*GPpcntSCH*FY13SCH!V5</f>
        <v>0</v>
      </c>
      <c r="W24" s="84">
        <f t="shared" si="19"/>
        <v>10082287.886832297</v>
      </c>
    </row>
    <row r="25" spans="1:23" ht="17.100000000000001" customHeight="1">
      <c r="A25" s="85" t="s">
        <v>2</v>
      </c>
      <c r="B25" s="83">
        <f>+UGpcntSCH*FY13SCH!B6*FY13Revenue!F$3</f>
        <v>1841889.77430645</v>
      </c>
      <c r="C25" s="83">
        <f>+FY13Revenue!F$4*GPpcntSCH*FY13SCH!C6</f>
        <v>8015.4954322621197</v>
      </c>
      <c r="D25" s="83">
        <f>+FY13Revenue!F$5*GPpcntSCH*FY13SCH!D6</f>
        <v>882.71895521203078</v>
      </c>
      <c r="E25" s="83">
        <f>+FY13Revenue!F$6*GPpcntSCH*FY13SCH!E6</f>
        <v>5241.0045877087805</v>
      </c>
      <c r="F25" s="83">
        <f>+FY13Revenue!F$7*GPpcntSCH*FY13SCH!F6</f>
        <v>225.17155418898213</v>
      </c>
      <c r="G25" s="83">
        <f>+FY13Revenue!F$8*GPpcntSCH*FY13SCH!G6</f>
        <v>3515.8415406011759</v>
      </c>
      <c r="H25" s="83">
        <f>FY13Revenue!F$9*GPpcntSCH*FY13SCH!H6</f>
        <v>0</v>
      </c>
      <c r="I25" s="83">
        <f>+FY13Revenue!F$10*GPpcntSCH*FY13SCH!I6</f>
        <v>276.89809328648028</v>
      </c>
      <c r="J25" s="83">
        <f>+FY13Revenue!F$11*GPpcntSCH*FY13SCH!J6</f>
        <v>233.20562562339603</v>
      </c>
      <c r="K25" s="83">
        <f>+FY13Revenue!F$12*GPpcntSCH*FY13SCH!K6</f>
        <v>0</v>
      </c>
      <c r="L25" s="83">
        <f>+FY13Revenue!F$13*GPpcntSCH*FY13SCH!L6</f>
        <v>1010.7772388335609</v>
      </c>
      <c r="M25" s="83">
        <f>+FY13Revenue!F$14*GPpcntSCH*FY13SCH!M6</f>
        <v>0</v>
      </c>
      <c r="N25" s="83">
        <f>+FY13Revenue!F$15*GPpcntSCH*FY13SCH!N6</f>
        <v>0</v>
      </c>
      <c r="O25" s="83">
        <f>FY13Revenue!F$16*GPpcntSCH*FY13SCH!O6</f>
        <v>0</v>
      </c>
      <c r="P25" s="83">
        <f>FY13Revenue!F$17*GPpcntSCH*FY13SCH!P6</f>
        <v>1172.2960257157554</v>
      </c>
      <c r="Q25" s="83">
        <f>FY13Revenue!F$18*GPpcntSCH*FY13SCH!Q6</f>
        <v>0</v>
      </c>
      <c r="R25" s="83">
        <f>FY13Revenue!F$19*GPpcntSCH*FY13SCH!R6</f>
        <v>1016.1423012087189</v>
      </c>
      <c r="S25" s="83">
        <f>FY13Revenue!F$20*GPpcntSCH*FY13SCH!S6</f>
        <v>510684.4037094494</v>
      </c>
      <c r="T25" s="83">
        <f>FY13Revenue!F$21*GPpcntSCH*FY13SCH!T6</f>
        <v>258640.24192027361</v>
      </c>
      <c r="U25" s="83">
        <f>FY13Revenue!F$22*GPpcntSCH*FY13SCH!U6</f>
        <v>0</v>
      </c>
      <c r="V25" s="83">
        <f>FY13Revenue!F$23*GPpcntSCH*FY13SCH!V6</f>
        <v>0</v>
      </c>
      <c r="W25" s="84">
        <f t="shared" si="19"/>
        <v>2632803.9712908142</v>
      </c>
    </row>
    <row r="26" spans="1:23" ht="17.100000000000001" customHeight="1">
      <c r="A26" s="82" t="s">
        <v>3</v>
      </c>
      <c r="B26" s="83">
        <f>+UGpcntSCH*FY13SCH!B7*FY13Revenue!F$3</f>
        <v>11756664.739557803</v>
      </c>
      <c r="C26" s="83">
        <f>+FY13Revenue!F$4*GPpcntSCH*FY13SCH!C7</f>
        <v>113060.67241296043</v>
      </c>
      <c r="D26" s="83">
        <f>+FY13Revenue!F$5*GPpcntSCH*FY13SCH!D7</f>
        <v>539.43936151846322</v>
      </c>
      <c r="E26" s="83">
        <f>+FY13Revenue!F$6*GPpcntSCH*FY13SCH!E7</f>
        <v>1213919.6908086673</v>
      </c>
      <c r="F26" s="83">
        <f>+FY13Revenue!F$7*GPpcntSCH*FY13SCH!F7</f>
        <v>300.22873891864282</v>
      </c>
      <c r="G26" s="83">
        <f>+FY13Revenue!F$8*GPpcntSCH*FY13SCH!G7</f>
        <v>781.29812013359481</v>
      </c>
      <c r="H26" s="83">
        <f>FY13Revenue!F$9*GPpcntSCH*FY13SCH!H7</f>
        <v>0</v>
      </c>
      <c r="I26" s="83">
        <f>+FY13Revenue!F$10*GPpcntSCH*FY13SCH!I7</f>
        <v>3738.1242593674842</v>
      </c>
      <c r="J26" s="83">
        <f>+FY13Revenue!F$11*GPpcntSCH*FY13SCH!J7</f>
        <v>0</v>
      </c>
      <c r="K26" s="83">
        <f>+FY13Revenue!F$12*GPpcntSCH*FY13SCH!K7</f>
        <v>297.58907633798395</v>
      </c>
      <c r="L26" s="83">
        <f>+FY13Revenue!F$13*GPpcntSCH*FY13SCH!L7</f>
        <v>0</v>
      </c>
      <c r="M26" s="83">
        <f>+FY13Revenue!F$14*GPpcntSCH*FY13SCH!M7</f>
        <v>173.85378422292447</v>
      </c>
      <c r="N26" s="83">
        <f>+FY13Revenue!F$15*GPpcntSCH*FY13SCH!N7</f>
        <v>0</v>
      </c>
      <c r="O26" s="83">
        <f>FY13Revenue!F$16*GPpcntSCH*FY13SCH!O7</f>
        <v>743.77854528011358</v>
      </c>
      <c r="P26" s="83">
        <f>FY13Revenue!F$17*GPpcntSCH*FY13SCH!P7</f>
        <v>0</v>
      </c>
      <c r="Q26" s="83">
        <f>FY13Revenue!F$18*GPpcntSCH*FY13SCH!Q7</f>
        <v>0</v>
      </c>
      <c r="R26" s="83">
        <f>FY13Revenue!F$19*GPpcntSCH*FY13SCH!R7</f>
        <v>5393.370675646277</v>
      </c>
      <c r="S26" s="83">
        <f>FY13Revenue!F$20*GPpcntSCH*FY13SCH!S7</f>
        <v>0</v>
      </c>
      <c r="T26" s="83">
        <f>FY13Revenue!F$21*GPpcntSCH*FY13SCH!T7</f>
        <v>162.38596259317129</v>
      </c>
      <c r="U26" s="83">
        <f>FY13Revenue!F$22*GPpcntSCH*FY13SCH!U7</f>
        <v>18646.763113207551</v>
      </c>
      <c r="V26" s="83">
        <f>FY13Revenue!F$23*GPpcntSCH*FY13SCH!V7</f>
        <v>23004.356400000001</v>
      </c>
      <c r="W26" s="84">
        <f t="shared" si="19"/>
        <v>13137426.290816655</v>
      </c>
    </row>
    <row r="27" spans="1:23" ht="17.100000000000001" customHeight="1">
      <c r="A27" s="82" t="s">
        <v>4</v>
      </c>
      <c r="B27" s="83">
        <f>+UGpcntSCH*FY13SCH!B8*FY13Revenue!F$3</f>
        <v>8211774.2107294686</v>
      </c>
      <c r="C27" s="83">
        <f>+FY13Revenue!F$4*GPpcntSCH*FY13SCH!C8</f>
        <v>13668.529052910142</v>
      </c>
      <c r="D27" s="83">
        <f>+FY13Revenue!F$5*GPpcntSCH*FY13SCH!D8</f>
        <v>0</v>
      </c>
      <c r="E27" s="83">
        <f>+FY13Revenue!F$6*GPpcntSCH*FY13SCH!E8</f>
        <v>11288.317573526603</v>
      </c>
      <c r="F27" s="83">
        <f>+FY13Revenue!F$7*GPpcntSCH*FY13SCH!F8</f>
        <v>1876.4296182415178</v>
      </c>
      <c r="G27" s="83">
        <f>+FY13Revenue!F$8*GPpcntSCH*FY13SCH!G8</f>
        <v>28061.62414813161</v>
      </c>
      <c r="H27" s="83">
        <f>FY13Revenue!F$9*GPpcntSCH*FY13SCH!H8</f>
        <v>0</v>
      </c>
      <c r="I27" s="83">
        <f>+FY13Revenue!F$10*GPpcntSCH*FY13SCH!I8</f>
        <v>13568.006571037535</v>
      </c>
      <c r="J27" s="83">
        <f>+FY13Revenue!F$11*GPpcntSCH*FY13SCH!J8</f>
        <v>0</v>
      </c>
      <c r="K27" s="83">
        <f>+FY13Revenue!F$12*GPpcntSCH*FY13SCH!K8</f>
        <v>476.1425221407743</v>
      </c>
      <c r="L27" s="83">
        <f>+FY13Revenue!F$13*GPpcntSCH*FY13SCH!L8</f>
        <v>336.92574627785365</v>
      </c>
      <c r="M27" s="83">
        <f>+FY13Revenue!F$14*GPpcntSCH*FY13SCH!M8</f>
        <v>0</v>
      </c>
      <c r="N27" s="83">
        <f>+FY13Revenue!F$15*GPpcntSCH*FY13SCH!N8</f>
        <v>0</v>
      </c>
      <c r="O27" s="83">
        <f>FY13Revenue!F$16*GPpcntSCH*FY13SCH!O8</f>
        <v>234.87743535161482</v>
      </c>
      <c r="P27" s="83">
        <f>FY13Revenue!F$17*GPpcntSCH*FY13SCH!P8</f>
        <v>48.845667738156479</v>
      </c>
      <c r="Q27" s="83">
        <f>FY13Revenue!F$18*GPpcntSCH*FY13SCH!Q8</f>
        <v>183.67968376285268</v>
      </c>
      <c r="R27" s="83">
        <f>FY13Revenue!F$19*GPpcntSCH*FY13SCH!R8</f>
        <v>631063.45144681481</v>
      </c>
      <c r="S27" s="83">
        <f>FY13Revenue!F$20*GPpcntSCH*FY13SCH!S8</f>
        <v>8475.1690944916882</v>
      </c>
      <c r="T27" s="83">
        <f>FY13Revenue!F$21*GPpcntSCH*FY13SCH!T8</f>
        <v>81.192981296585643</v>
      </c>
      <c r="U27" s="83">
        <f>FY13Revenue!F$22*GPpcntSCH*FY13SCH!U8</f>
        <v>0</v>
      </c>
      <c r="V27" s="83">
        <f>FY13Revenue!F$23*GPpcntSCH*FY13SCH!V8</f>
        <v>0</v>
      </c>
      <c r="W27" s="84">
        <f t="shared" si="19"/>
        <v>8921137.4022711907</v>
      </c>
    </row>
    <row r="28" spans="1:23" ht="17.100000000000001" customHeight="1">
      <c r="A28" s="82" t="s">
        <v>14</v>
      </c>
      <c r="B28" s="83">
        <f>+UGpcntSCH*FY13SCH!B9*FY13Revenue!F$3</f>
        <v>1473686.915913146</v>
      </c>
      <c r="C28" s="83">
        <f>+FY13Revenue!F$4*GPpcntSCH*FY13SCH!C9</f>
        <v>36224.414444749513</v>
      </c>
      <c r="D28" s="83">
        <f>+FY13Revenue!F$5*GPpcntSCH*FY13SCH!D9</f>
        <v>0</v>
      </c>
      <c r="E28" s="83">
        <f>+FY13Revenue!F$6*GPpcntSCH*FY13SCH!E9</f>
        <v>1567.8218852120283</v>
      </c>
      <c r="F28" s="83">
        <f>+FY13Revenue!F$7*GPpcntSCH*FY13SCH!F9</f>
        <v>0</v>
      </c>
      <c r="G28" s="83">
        <f>+FY13Revenue!F$8*GPpcntSCH*FY13SCH!G9</f>
        <v>976.62265016699348</v>
      </c>
      <c r="H28" s="83">
        <f>FY13Revenue!F$9*GPpcntSCH*FY13SCH!H9</f>
        <v>5852.354646716667</v>
      </c>
      <c r="I28" s="83">
        <f>+FY13Revenue!F$10*GPpcntSCH*FY13SCH!I9</f>
        <v>0</v>
      </c>
      <c r="J28" s="83">
        <f>+FY13Revenue!F$11*GPpcntSCH*FY13SCH!J9</f>
        <v>0</v>
      </c>
      <c r="K28" s="83">
        <f>+FY13Revenue!F$12*GPpcntSCH*FY13SCH!K9</f>
        <v>0</v>
      </c>
      <c r="L28" s="83">
        <f>+FY13Revenue!F$13*GPpcntSCH*FY13SCH!L9</f>
        <v>11708.169683155415</v>
      </c>
      <c r="M28" s="83">
        <f>+FY13Revenue!F$14*GPpcntSCH*FY13SCH!M9</f>
        <v>0</v>
      </c>
      <c r="N28" s="83">
        <f>+FY13Revenue!F$15*GPpcntSCH*FY13SCH!N9</f>
        <v>0</v>
      </c>
      <c r="O28" s="83">
        <f>FY13Revenue!F$16*GPpcntSCH*FY13SCH!O9</f>
        <v>78.292478450538283</v>
      </c>
      <c r="P28" s="83">
        <f>FY13Revenue!F$17*GPpcntSCH*FY13SCH!P9</f>
        <v>0</v>
      </c>
      <c r="Q28" s="83">
        <f>FY13Revenue!F$18*GPpcntSCH*FY13SCH!Q9</f>
        <v>0</v>
      </c>
      <c r="R28" s="83">
        <f>FY13Revenue!F$19*GPpcntSCH*FY13SCH!R9</f>
        <v>117.24718860100603</v>
      </c>
      <c r="S28" s="83">
        <f>FY13Revenue!F$20*GPpcntSCH*FY13SCH!S9</f>
        <v>0</v>
      </c>
      <c r="T28" s="83">
        <f>FY13Revenue!F$21*GPpcntSCH*FY13SCH!T9</f>
        <v>0</v>
      </c>
      <c r="U28" s="83">
        <f>FY13Revenue!F$22*GPpcntSCH*FY13SCH!U9</f>
        <v>0</v>
      </c>
      <c r="V28" s="83">
        <f>FY13Revenue!F$23*GPpcntSCH*FY13SCH!V9</f>
        <v>0</v>
      </c>
      <c r="W28" s="84">
        <f t="shared" si="19"/>
        <v>1530211.8388901982</v>
      </c>
    </row>
    <row r="29" spans="1:23" ht="17.100000000000001" customHeight="1">
      <c r="A29" s="82" t="s">
        <v>9</v>
      </c>
      <c r="B29" s="83">
        <f>+UGpcntSCH*FY13SCH!B10*FY13Revenue!F$3</f>
        <v>6128.3763795081177</v>
      </c>
      <c r="C29" s="83">
        <f>+FY13Revenue!F$4*GPpcntSCH*FY13SCH!C10</f>
        <v>14624.763595706325</v>
      </c>
      <c r="D29" s="83">
        <f>+FY13Revenue!F$5*GPpcntSCH*FY13SCH!D10</f>
        <v>294.23965173734359</v>
      </c>
      <c r="E29" s="83">
        <f>+FY13Revenue!F$6*GPpcntSCH*FY13SCH!E10</f>
        <v>5823.3384307875331</v>
      </c>
      <c r="F29" s="83">
        <f>+FY13Revenue!F$7*GPpcntSCH*FY13SCH!F10</f>
        <v>750.57184729660707</v>
      </c>
      <c r="G29" s="83">
        <f>+FY13Revenue!F$8*GPpcntSCH*FY13SCH!G10</f>
        <v>3125.1924805343792</v>
      </c>
      <c r="H29" s="83">
        <f>FY13Revenue!F$9*GPpcntSCH*FY13SCH!H10</f>
        <v>0</v>
      </c>
      <c r="I29" s="83">
        <f>+FY13Revenue!F$10*GPpcntSCH*FY13SCH!I10</f>
        <v>0</v>
      </c>
      <c r="J29" s="83">
        <f>+FY13Revenue!F$11*GPpcntSCH*FY13SCH!J10</f>
        <v>0</v>
      </c>
      <c r="K29" s="83">
        <f>+FY13Revenue!F$12*GPpcntSCH*FY13SCH!K10</f>
        <v>0</v>
      </c>
      <c r="L29" s="83">
        <f>+FY13Revenue!F$13*GPpcntSCH*FY13SCH!L10</f>
        <v>1987693.4401661975</v>
      </c>
      <c r="M29" s="83">
        <f>+FY13Revenue!F$14*GPpcntSCH*FY13SCH!M10</f>
        <v>0</v>
      </c>
      <c r="N29" s="83">
        <f>+FY13Revenue!F$15*GPpcntSCH*FY13SCH!N10</f>
        <v>0</v>
      </c>
      <c r="O29" s="83">
        <f>FY13Revenue!F$16*GPpcntSCH*FY13SCH!O10</f>
        <v>352.31615302742227</v>
      </c>
      <c r="P29" s="83">
        <f>FY13Revenue!F$17*GPpcntSCH*FY13SCH!P10</f>
        <v>97.691335476312958</v>
      </c>
      <c r="Q29" s="83">
        <f>FY13Revenue!F$18*GPpcntSCH*FY13SCH!Q10</f>
        <v>140055.75886917516</v>
      </c>
      <c r="R29" s="83">
        <f>FY13Revenue!F$19*GPpcntSCH*FY13SCH!R10</f>
        <v>547.15354680469477</v>
      </c>
      <c r="S29" s="83">
        <f>FY13Revenue!F$20*GPpcntSCH*FY13SCH!S10</f>
        <v>0</v>
      </c>
      <c r="T29" s="83">
        <f>FY13Revenue!F$21*GPpcntSCH*FY13SCH!T10</f>
        <v>162.38596259317129</v>
      </c>
      <c r="U29" s="83">
        <f>FY13Revenue!F$22*GPpcntSCH*FY13SCH!U10</f>
        <v>0</v>
      </c>
      <c r="V29" s="83">
        <f>FY13Revenue!F$23*GPpcntSCH*FY13SCH!V10</f>
        <v>0</v>
      </c>
      <c r="W29" s="84">
        <f t="shared" si="19"/>
        <v>2159655.2284188448</v>
      </c>
    </row>
    <row r="30" spans="1:23" ht="17.100000000000001" customHeight="1">
      <c r="A30" s="82" t="s">
        <v>5</v>
      </c>
      <c r="B30" s="83">
        <f>+UGpcntSCH*FY13SCH!B11*FY13Revenue!F$3</f>
        <v>11506.339324790752</v>
      </c>
      <c r="C30" s="83">
        <f>+FY13Revenue!F$4*GPpcntSCH*FY13SCH!C11</f>
        <v>21149.658123021454</v>
      </c>
      <c r="D30" s="83">
        <f>+FY13Revenue!F$5*GPpcntSCH*FY13SCH!D11</f>
        <v>1520.2382006429418</v>
      </c>
      <c r="E30" s="83">
        <f>+FY13Revenue!F$6*GPpcntSCH*FY13SCH!E11</f>
        <v>1970.9760842665496</v>
      </c>
      <c r="F30" s="83">
        <f>+FY13Revenue!F$7*GPpcntSCH*FY13SCH!F11</f>
        <v>6379.8607020211603</v>
      </c>
      <c r="G30" s="83">
        <f>+FY13Revenue!F$8*GPpcntSCH*FY13SCH!G11</f>
        <v>712088.12832509377</v>
      </c>
      <c r="H30" s="83">
        <f>FY13Revenue!F$9*GPpcntSCH*FY13SCH!H11</f>
        <v>396.02399864999995</v>
      </c>
      <c r="I30" s="83">
        <f>+FY13Revenue!F$10*GPpcntSCH*FY13SCH!I11</f>
        <v>8860.7389851673688</v>
      </c>
      <c r="J30" s="83">
        <f>+FY13Revenue!F$11*GPpcntSCH*FY13SCH!J11</f>
        <v>1865.6450049871682</v>
      </c>
      <c r="K30" s="83">
        <f>+FY13Revenue!F$12*GPpcntSCH*FY13SCH!K11</f>
        <v>0</v>
      </c>
      <c r="L30" s="83">
        <f>+FY13Revenue!F$13*GPpcntSCH*FY13SCH!L11</f>
        <v>1684.6287313892681</v>
      </c>
      <c r="M30" s="83">
        <f>+FY13Revenue!F$14*GPpcntSCH*FY13SCH!M11</f>
        <v>0</v>
      </c>
      <c r="N30" s="83">
        <f>+FY13Revenue!F$15*GPpcntSCH*FY13SCH!N11</f>
        <v>0</v>
      </c>
      <c r="O30" s="83">
        <f>FY13Revenue!F$16*GPpcntSCH*FY13SCH!O11</f>
        <v>3601.4540087247606</v>
      </c>
      <c r="P30" s="83">
        <f>FY13Revenue!F$17*GPpcntSCH*FY13SCH!P11</f>
        <v>4151.8817577433001</v>
      </c>
      <c r="Q30" s="83">
        <f>FY13Revenue!F$18*GPpcntSCH*FY13SCH!Q11</f>
        <v>367.35936752570535</v>
      </c>
      <c r="R30" s="83">
        <f>FY13Revenue!F$19*GPpcntSCH*FY13SCH!R11</f>
        <v>5119.7939022439296</v>
      </c>
      <c r="S30" s="83">
        <f>FY13Revenue!F$20*GPpcntSCH*FY13SCH!S11</f>
        <v>2440.4937183091247</v>
      </c>
      <c r="T30" s="83">
        <f>FY13Revenue!F$21*GPpcntSCH*FY13SCH!T11</f>
        <v>2963.543817325376</v>
      </c>
      <c r="U30" s="83">
        <f>FY13Revenue!F$22*GPpcntSCH*FY13SCH!U11</f>
        <v>0</v>
      </c>
      <c r="V30" s="83">
        <f>FY13Revenue!F$23*GPpcntSCH*FY13SCH!V11</f>
        <v>0</v>
      </c>
      <c r="W30" s="84">
        <f t="shared" si="19"/>
        <v>786066.76405190257</v>
      </c>
    </row>
    <row r="31" spans="1:23" ht="17.100000000000001" customHeight="1">
      <c r="A31" s="82" t="s">
        <v>13</v>
      </c>
      <c r="B31" s="83">
        <f>+UGpcntSCH*FY13SCH!B12*FY13Revenue!F$3</f>
        <v>419856.31644915818</v>
      </c>
      <c r="C31" s="83">
        <f>+FY13Revenue!F$4*GPpcntSCH*FY13SCH!C12</f>
        <v>2390.5863569904573</v>
      </c>
      <c r="D31" s="83">
        <f>+FY13Revenue!F$5*GPpcntSCH*FY13SCH!D12</f>
        <v>34524.119137181646</v>
      </c>
      <c r="E31" s="83">
        <f>+FY13Revenue!F$6*GPpcntSCH*FY13SCH!E12</f>
        <v>1254.2575081696225</v>
      </c>
      <c r="F31" s="83">
        <f>+FY13Revenue!F$7*GPpcntSCH*FY13SCH!F12</f>
        <v>0</v>
      </c>
      <c r="G31" s="83">
        <f>+FY13Revenue!F$8*GPpcntSCH*FY13SCH!G12</f>
        <v>2343.8943604007841</v>
      </c>
      <c r="H31" s="83">
        <f>FY13Revenue!F$9*GPpcntSCH*FY13SCH!H12</f>
        <v>0</v>
      </c>
      <c r="I31" s="83">
        <f>+FY13Revenue!F$10*GPpcntSCH*FY13SCH!I12</f>
        <v>207.67356996486023</v>
      </c>
      <c r="J31" s="83">
        <f>+FY13Revenue!F$11*GPpcntSCH*FY13SCH!J12</f>
        <v>932.82250249358412</v>
      </c>
      <c r="K31" s="83">
        <f>+FY13Revenue!F$12*GPpcntSCH*FY13SCH!K12</f>
        <v>0</v>
      </c>
      <c r="L31" s="83">
        <f>+FY13Revenue!F$13*GPpcntSCH*FY13SCH!L12</f>
        <v>0</v>
      </c>
      <c r="M31" s="83">
        <f>+FY13Revenue!F$14*GPpcntSCH*FY13SCH!M12</f>
        <v>0</v>
      </c>
      <c r="N31" s="83">
        <f>+FY13Revenue!F$15*GPpcntSCH*FY13SCH!N12</f>
        <v>0</v>
      </c>
      <c r="O31" s="83">
        <f>FY13Revenue!F$16*GPpcntSCH*FY13SCH!O12</f>
        <v>2661.9442673183012</v>
      </c>
      <c r="P31" s="83">
        <f>FY13Revenue!F$17*GPpcntSCH*FY13SCH!P12</f>
        <v>456755.83901950117</v>
      </c>
      <c r="Q31" s="83">
        <f>FY13Revenue!F$18*GPpcntSCH*FY13SCH!Q12</f>
        <v>0</v>
      </c>
      <c r="R31" s="83">
        <f>FY13Revenue!F$19*GPpcntSCH*FY13SCH!R12</f>
        <v>0</v>
      </c>
      <c r="S31" s="83">
        <f>FY13Revenue!F$20*GPpcntSCH*FY13SCH!S12</f>
        <v>44.372613060165904</v>
      </c>
      <c r="T31" s="83">
        <f>FY13Revenue!F$21*GPpcntSCH*FY13SCH!T12</f>
        <v>1664.4561165800058</v>
      </c>
      <c r="U31" s="83">
        <f>FY13Revenue!F$22*GPpcntSCH*FY13SCH!U12</f>
        <v>0</v>
      </c>
      <c r="V31" s="83">
        <f>FY13Revenue!F$23*GPpcntSCH*FY13SCH!V12</f>
        <v>0</v>
      </c>
      <c r="W31" s="84">
        <f t="shared" si="19"/>
        <v>922636.28190081893</v>
      </c>
    </row>
    <row r="32" spans="1:23" ht="17.100000000000001" customHeight="1">
      <c r="A32" s="82" t="s">
        <v>8</v>
      </c>
      <c r="B32" s="83">
        <f>+UGpcntSCH*FY13SCH!B13*FY13Revenue!F$3</f>
        <v>12256.752759016235</v>
      </c>
      <c r="C32" s="83">
        <f>+FY13Revenue!F$4*GPpcntSCH*FY13SCH!C13</f>
        <v>5231.1654400026464</v>
      </c>
      <c r="D32" s="83">
        <f>+FY13Revenue!F$5*GPpcntSCH*FY13SCH!D13</f>
        <v>115538.10324886358</v>
      </c>
      <c r="E32" s="83">
        <f>+FY13Revenue!F$6*GPpcntSCH*FY13SCH!E13</f>
        <v>134.38473301817385</v>
      </c>
      <c r="F32" s="83">
        <f>+FY13Revenue!F$7*GPpcntSCH*FY13SCH!F13</f>
        <v>0</v>
      </c>
      <c r="G32" s="83">
        <f>+FY13Revenue!F$8*GPpcntSCH*FY13SCH!G13</f>
        <v>0</v>
      </c>
      <c r="H32" s="83">
        <f>FY13Revenue!F$9*GPpcntSCH*FY13SCH!H13</f>
        <v>0</v>
      </c>
      <c r="I32" s="83">
        <f>+FY13Revenue!F$10*GPpcntSCH*FY13SCH!I13</f>
        <v>0</v>
      </c>
      <c r="J32" s="83">
        <f>+FY13Revenue!F$11*GPpcntSCH*FY13SCH!J13</f>
        <v>0</v>
      </c>
      <c r="K32" s="83">
        <f>+FY13Revenue!F$12*GPpcntSCH*FY13SCH!K13</f>
        <v>0</v>
      </c>
      <c r="L32" s="83">
        <f>+FY13Revenue!F$13*GPpcntSCH*FY13SCH!L13</f>
        <v>0</v>
      </c>
      <c r="M32" s="83">
        <f>+FY13Revenue!F$14*GPpcntSCH*FY13SCH!M13</f>
        <v>0</v>
      </c>
      <c r="N32" s="83">
        <f>+FY13Revenue!F$15*GPpcntSCH*FY13SCH!N13</f>
        <v>772105.77284274355</v>
      </c>
      <c r="O32" s="83">
        <f>FY13Revenue!F$16*GPpcntSCH*FY13SCH!O13</f>
        <v>1252.6796552086125</v>
      </c>
      <c r="P32" s="83">
        <f>FY13Revenue!F$17*GPpcntSCH*FY13SCH!P13</f>
        <v>0</v>
      </c>
      <c r="Q32" s="83">
        <f>FY13Revenue!F$18*GPpcntSCH*FY13SCH!Q13</f>
        <v>0</v>
      </c>
      <c r="R32" s="83">
        <f>FY13Revenue!F$19*GPpcntSCH*FY13SCH!R13</f>
        <v>0</v>
      </c>
      <c r="S32" s="83">
        <f>FY13Revenue!F$20*GPpcntSCH*FY13SCH!S13</f>
        <v>0</v>
      </c>
      <c r="T32" s="83">
        <f>FY13Revenue!F$21*GPpcntSCH*FY13SCH!T13</f>
        <v>0</v>
      </c>
      <c r="U32" s="83">
        <f>FY13Revenue!F$22*GPpcntSCH*FY13SCH!U13</f>
        <v>0</v>
      </c>
      <c r="V32" s="83">
        <f>FY13Revenue!F$23*GPpcntSCH*FY13SCH!V13</f>
        <v>0</v>
      </c>
      <c r="W32" s="84">
        <f>SUM(B32:V32)</f>
        <v>906518.85867885279</v>
      </c>
    </row>
    <row r="33" spans="1:23" ht="17.100000000000001" customHeight="1">
      <c r="A33" s="82" t="s">
        <v>10</v>
      </c>
      <c r="B33" s="83">
        <f>+UGpcntSCH*FY13SCH!B14*FY13Revenue!F$3</f>
        <v>3857187.5863718386</v>
      </c>
      <c r="C33" s="83">
        <f>+FY13Revenue!F$4*GPpcntSCH*FY13SCH!C14</f>
        <v>342514.77586597978</v>
      </c>
      <c r="D33" s="83">
        <f>+FY13Revenue!F$5*GPpcntSCH*FY13SCH!D14</f>
        <v>189514.85568982738</v>
      </c>
      <c r="E33" s="83">
        <f>+FY13Revenue!F$6*GPpcntSCH*FY13SCH!E14</f>
        <v>30326.154751101229</v>
      </c>
      <c r="F33" s="83">
        <f>+FY13Revenue!F$7*GPpcntSCH*FY13SCH!F14</f>
        <v>450.34310837796426</v>
      </c>
      <c r="G33" s="83">
        <f>+FY13Revenue!F$8*GPpcntSCH*FY13SCH!G14</f>
        <v>5794.6277243241611</v>
      </c>
      <c r="H33" s="83">
        <f>FY13Revenue!F$9*GPpcntSCH*FY13SCH!H14</f>
        <v>0</v>
      </c>
      <c r="I33" s="83">
        <f>+FY13Revenue!F$10*GPpcntSCH*FY13SCH!I14</f>
        <v>415.34713992972047</v>
      </c>
      <c r="J33" s="83">
        <f>+FY13Revenue!F$11*GPpcntSCH*FY13SCH!J14</f>
        <v>8628.6081480656521</v>
      </c>
      <c r="K33" s="83">
        <f>+FY13Revenue!F$12*GPpcntSCH*FY13SCH!K14</f>
        <v>128350.16862457247</v>
      </c>
      <c r="L33" s="83">
        <f>+FY13Revenue!F$13*GPpcntSCH*FY13SCH!L14</f>
        <v>926.54580226409746</v>
      </c>
      <c r="M33" s="83">
        <f>+FY13Revenue!F$14*GPpcntSCH*FY13SCH!M14</f>
        <v>2463392.2199160247</v>
      </c>
      <c r="N33" s="83">
        <f>+FY13Revenue!F$15*GPpcntSCH*FY13SCH!N14</f>
        <v>117343.51396225783</v>
      </c>
      <c r="O33" s="83">
        <f>FY13Revenue!F$16*GPpcntSCH*FY13SCH!O14</f>
        <v>33959.362527920974</v>
      </c>
      <c r="P33" s="83">
        <f>FY13Revenue!F$17*GPpcntSCH*FY13SCH!P14</f>
        <v>6984.9304865563754</v>
      </c>
      <c r="Q33" s="83">
        <f>FY13Revenue!F$18*GPpcntSCH*FY13SCH!Q14</f>
        <v>0</v>
      </c>
      <c r="R33" s="83">
        <f>FY13Revenue!F$19*GPpcntSCH*FY13SCH!R14</f>
        <v>2227.6965834191146</v>
      </c>
      <c r="S33" s="83">
        <f>FY13Revenue!F$20*GPpcntSCH*FY13SCH!S14</f>
        <v>133.11783918049773</v>
      </c>
      <c r="T33" s="83">
        <f>FY13Revenue!F$21*GPpcntSCH*FY13SCH!T14</f>
        <v>649.54385037268514</v>
      </c>
      <c r="U33" s="83">
        <f>FY13Revenue!F$22*GPpcntSCH*FY13SCH!U14</f>
        <v>2508.837218867925</v>
      </c>
      <c r="V33" s="83">
        <f>FY13Revenue!F$23*GPpcntSCH*FY13SCH!V14</f>
        <v>284.00440000000003</v>
      </c>
      <c r="W33" s="84">
        <f t="shared" ref="W33:W38" si="20">SUM(B33:V33)</f>
        <v>7191592.2400108818</v>
      </c>
    </row>
    <row r="34" spans="1:23" ht="17.100000000000001" customHeight="1">
      <c r="A34" s="82" t="s">
        <v>11</v>
      </c>
      <c r="B34" s="83">
        <f>+UGpcntSCH*FY13SCH!B15*FY13Revenue!F$3</f>
        <v>1175022.3690914032</v>
      </c>
      <c r="C34" s="83">
        <f>+FY13Revenue!F$4*GPpcntSCH*FY13SCH!C15</f>
        <v>1828.0954494632906</v>
      </c>
      <c r="D34" s="83">
        <f>+FY13Revenue!F$5*GPpcntSCH*FY13SCH!D15</f>
        <v>588.47930347468719</v>
      </c>
      <c r="E34" s="83">
        <f>+FY13Revenue!F$6*GPpcntSCH*FY13SCH!E15</f>
        <v>52857.994987148384</v>
      </c>
      <c r="F34" s="83">
        <f>+FY13Revenue!F$7*GPpcntSCH*FY13SCH!F15</f>
        <v>225.17155418898213</v>
      </c>
      <c r="G34" s="83">
        <f>+FY13Revenue!F$8*GPpcntSCH*FY13SCH!G15</f>
        <v>0</v>
      </c>
      <c r="H34" s="83">
        <f>FY13Revenue!F$9*GPpcntSCH*FY13SCH!H15</f>
        <v>0</v>
      </c>
      <c r="I34" s="83">
        <f>+FY13Revenue!F$10*GPpcntSCH*FY13SCH!I15</f>
        <v>0</v>
      </c>
      <c r="J34" s="83">
        <f>+FY13Revenue!F$11*GPpcntSCH*FY13SCH!J15</f>
        <v>178480.03881043909</v>
      </c>
      <c r="K34" s="83">
        <f>+FY13Revenue!F$12*GPpcntSCH*FY13SCH!K15</f>
        <v>3690.1045465910006</v>
      </c>
      <c r="L34" s="83">
        <f>+FY13Revenue!F$13*GPpcntSCH*FY13SCH!L15</f>
        <v>0</v>
      </c>
      <c r="M34" s="83">
        <f>+FY13Revenue!F$14*GPpcntSCH*FY13SCH!M15</f>
        <v>57.951261407641489</v>
      </c>
      <c r="N34" s="83">
        <f>+FY13Revenue!F$15*GPpcntSCH*FY13SCH!N15</f>
        <v>0</v>
      </c>
      <c r="O34" s="83">
        <f>FY13Revenue!F$16*GPpcntSCH*FY13SCH!O15</f>
        <v>1056.9484590822667</v>
      </c>
      <c r="P34" s="83">
        <f>FY13Revenue!F$17*GPpcntSCH*FY13SCH!P15</f>
        <v>732.68501607234714</v>
      </c>
      <c r="Q34" s="83">
        <f>FY13Revenue!F$18*GPpcntSCH*FY13SCH!Q15</f>
        <v>0</v>
      </c>
      <c r="R34" s="83">
        <f>FY13Revenue!F$19*GPpcntSCH*FY13SCH!R15</f>
        <v>0</v>
      </c>
      <c r="S34" s="83">
        <f>FY13Revenue!F$20*GPpcntSCH*FY13SCH!S15</f>
        <v>133.11783918049773</v>
      </c>
      <c r="T34" s="83">
        <f>FY13Revenue!F$21*GPpcntSCH*FY13SCH!T15</f>
        <v>487.15788777951389</v>
      </c>
      <c r="U34" s="83">
        <f>FY13Revenue!F$22*GPpcntSCH*FY13SCH!U15</f>
        <v>0</v>
      </c>
      <c r="V34" s="83">
        <f>FY13Revenue!F$23*GPpcntSCH*FY13SCH!V15</f>
        <v>0</v>
      </c>
      <c r="W34" s="84">
        <f t="shared" si="20"/>
        <v>1415160.1142062307</v>
      </c>
    </row>
    <row r="35" spans="1:23" ht="17.100000000000001" customHeight="1">
      <c r="A35" s="82" t="s">
        <v>12</v>
      </c>
      <c r="B35" s="83">
        <f>+UGpcntSCH*FY13SCH!B16*FY13Revenue!F$3</f>
        <v>50903.044621628651</v>
      </c>
      <c r="C35" s="83">
        <f>+FY13Revenue!F$4*GPpcntSCH*FY13SCH!C16</f>
        <v>41286.832612494007</v>
      </c>
      <c r="D35" s="83">
        <f>+FY13Revenue!F$5*GPpcntSCH*FY13SCH!D16</f>
        <v>441.35947760601539</v>
      </c>
      <c r="E35" s="83">
        <f>+FY13Revenue!F$6*GPpcntSCH*FY13SCH!E16</f>
        <v>3404.4132364604043</v>
      </c>
      <c r="F35" s="83">
        <f>+FY13Revenue!F$7*GPpcntSCH*FY13SCH!F16</f>
        <v>0</v>
      </c>
      <c r="G35" s="83">
        <f>+FY13Revenue!F$8*GPpcntSCH*FY13SCH!G16</f>
        <v>0</v>
      </c>
      <c r="H35" s="83">
        <f>FY13Revenue!F$9*GPpcntSCH*FY13SCH!H16</f>
        <v>0</v>
      </c>
      <c r="I35" s="83">
        <f>+FY13Revenue!F$10*GPpcntSCH*FY13SCH!I16</f>
        <v>0</v>
      </c>
      <c r="J35" s="83">
        <f>+FY13Revenue!F$11*GPpcntSCH*FY13SCH!J16</f>
        <v>8239.9321053599942</v>
      </c>
      <c r="K35" s="83">
        <f>+FY13Revenue!F$12*GPpcntSCH*FY13SCH!K16</f>
        <v>936869.93012724107</v>
      </c>
      <c r="L35" s="83">
        <f>+FY13Revenue!F$13*GPpcntSCH*FY13SCH!L16</f>
        <v>0</v>
      </c>
      <c r="M35" s="83">
        <f>+FY13Revenue!F$14*GPpcntSCH*FY13SCH!M16</f>
        <v>0</v>
      </c>
      <c r="N35" s="83">
        <f>+FY13Revenue!F$15*GPpcntSCH*FY13SCH!N16</f>
        <v>0</v>
      </c>
      <c r="O35" s="83">
        <f>FY13Revenue!F$16*GPpcntSCH*FY13SCH!O16</f>
        <v>430.60863147796056</v>
      </c>
      <c r="P35" s="83">
        <f>FY13Revenue!F$17*GPpcntSCH*FY13SCH!P16</f>
        <v>0</v>
      </c>
      <c r="Q35" s="83">
        <f>FY13Revenue!F$18*GPpcntSCH*FY13SCH!Q16</f>
        <v>0</v>
      </c>
      <c r="R35" s="83">
        <f>FY13Revenue!F$19*GPpcntSCH*FY13SCH!R16</f>
        <v>117.24718860100603</v>
      </c>
      <c r="S35" s="83">
        <f>FY13Revenue!F$20*GPpcntSCH*FY13SCH!S16</f>
        <v>0</v>
      </c>
      <c r="T35" s="83">
        <f>FY13Revenue!F$21*GPpcntSCH*FY13SCH!T16</f>
        <v>0</v>
      </c>
      <c r="U35" s="83">
        <f>FY13Revenue!F$22*GPpcntSCH*FY13SCH!U16</f>
        <v>0</v>
      </c>
      <c r="V35" s="83">
        <f>FY13Revenue!F$23*GPpcntSCH*FY13SCH!V16</f>
        <v>0</v>
      </c>
      <c r="W35" s="84">
        <f t="shared" si="20"/>
        <v>1041693.3680008692</v>
      </c>
    </row>
    <row r="36" spans="1:23" ht="17.100000000000001" customHeight="1">
      <c r="A36" s="82" t="s">
        <v>7</v>
      </c>
      <c r="B36" s="83">
        <f>+UGpcntSCH*FY13SCH!B17*FY13Revenue!F$3</f>
        <v>1523339.2714777321</v>
      </c>
      <c r="C36" s="83">
        <f>+FY13Revenue!F$4*GPpcntSCH*FY13SCH!C17</f>
        <v>22837.130845602955</v>
      </c>
      <c r="D36" s="83">
        <f>+FY13Revenue!F$5*GPpcntSCH*FY13SCH!D17</f>
        <v>4021.2752404103626</v>
      </c>
      <c r="E36" s="83">
        <f>+FY13Revenue!F$6*GPpcntSCH*FY13SCH!E17</f>
        <v>434689.81640278635</v>
      </c>
      <c r="F36" s="83">
        <f>+FY13Revenue!F$7*GPpcntSCH*FY13SCH!F17</f>
        <v>2176.6583571601604</v>
      </c>
      <c r="G36" s="83">
        <f>+FY13Revenue!F$8*GPpcntSCH*FY13SCH!G17</f>
        <v>11328.822741937123</v>
      </c>
      <c r="H36" s="83">
        <f>FY13Revenue!F$9*GPpcntSCH*FY13SCH!H17</f>
        <v>176.01066606666666</v>
      </c>
      <c r="I36" s="83">
        <f>+FY13Revenue!F$10*GPpcntSCH*FY13SCH!I17</f>
        <v>415.34713992972047</v>
      </c>
      <c r="J36" s="83">
        <f>+FY13Revenue!F$11*GPpcntSCH*FY13SCH!J17</f>
        <v>12981.779826369047</v>
      </c>
      <c r="K36" s="83">
        <f>+FY13Revenue!F$12*GPpcntSCH*FY13SCH!K17</f>
        <v>6606.4774947032429</v>
      </c>
      <c r="L36" s="83">
        <f>+FY13Revenue!F$13*GPpcntSCH*FY13SCH!L17</f>
        <v>5390.8119404456584</v>
      </c>
      <c r="M36" s="83">
        <f>+FY13Revenue!F$14*GPpcntSCH*FY13SCH!M17</f>
        <v>5215.6135266877345</v>
      </c>
      <c r="N36" s="83">
        <f>+FY13Revenue!F$15*GPpcntSCH*FY13SCH!N17</f>
        <v>111.91560702170511</v>
      </c>
      <c r="O36" s="83">
        <f>FY13Revenue!F$16*GPpcntSCH*FY13SCH!O17</f>
        <v>187510.48588903918</v>
      </c>
      <c r="P36" s="83">
        <f>FY13Revenue!F$17*GPpcntSCH*FY13SCH!P17</f>
        <v>6349.9368059603412</v>
      </c>
      <c r="Q36" s="83">
        <f>FY13Revenue!F$18*GPpcntSCH*FY13SCH!Q17</f>
        <v>0</v>
      </c>
      <c r="R36" s="83">
        <f>FY13Revenue!F$19*GPpcntSCH*FY13SCH!R17</f>
        <v>1563.2958480134137</v>
      </c>
      <c r="S36" s="83">
        <f>FY13Revenue!F$20*GPpcntSCH*FY13SCH!S17</f>
        <v>576.84396978215682</v>
      </c>
      <c r="T36" s="83">
        <f>FY13Revenue!F$21*GPpcntSCH*FY13SCH!T17</f>
        <v>1014.9122662073206</v>
      </c>
      <c r="U36" s="83">
        <f>FY13Revenue!F$22*GPpcntSCH*FY13SCH!U17</f>
        <v>203.41923396226417</v>
      </c>
      <c r="V36" s="83">
        <f>FY13Revenue!F$23*GPpcntSCH*FY13SCH!V17</f>
        <v>0</v>
      </c>
      <c r="W36" s="84">
        <f t="shared" si="20"/>
        <v>2226509.8252798179</v>
      </c>
    </row>
    <row r="37" spans="1:23" ht="17.100000000000001" customHeight="1">
      <c r="A37" s="82" t="s">
        <v>16</v>
      </c>
      <c r="B37" s="83">
        <f>+UGpcntSCH*FY13SCH!B18*FY13Revenue!F$3</f>
        <v>1865777.9352959611</v>
      </c>
      <c r="C37" s="83">
        <f>+FY13Revenue!F$4*GPpcntSCH*FY13SCH!C18</f>
        <v>0</v>
      </c>
      <c r="D37" s="83">
        <f>+FY13Revenue!F$5*GPpcntSCH*FY13SCH!D18</f>
        <v>98.079883912447869</v>
      </c>
      <c r="E37" s="83">
        <f>+FY13Revenue!F$6*GPpcntSCH*FY13SCH!E18</f>
        <v>1075.0778641453908</v>
      </c>
      <c r="F37" s="83">
        <f>+FY13Revenue!F$7*GPpcntSCH*FY13SCH!F18</f>
        <v>0</v>
      </c>
      <c r="G37" s="83">
        <f>+FY13Revenue!F$8*GPpcntSCH*FY13SCH!G18</f>
        <v>0</v>
      </c>
      <c r="H37" s="83">
        <f>FY13Revenue!F$9*GPpcntSCH*FY13SCH!H18</f>
        <v>0</v>
      </c>
      <c r="I37" s="83">
        <f>+FY13Revenue!F$10*GPpcntSCH*FY13SCH!I18</f>
        <v>623.0207098945807</v>
      </c>
      <c r="J37" s="83">
        <f>+FY13Revenue!F$11*GPpcntSCH*FY13SCH!J18</f>
        <v>0</v>
      </c>
      <c r="K37" s="83">
        <f>+FY13Revenue!F$12*GPpcntSCH*FY13SCH!K18</f>
        <v>0</v>
      </c>
      <c r="L37" s="83">
        <f>+FY13Revenue!F$13*GPpcntSCH*FY13SCH!L18</f>
        <v>0</v>
      </c>
      <c r="M37" s="83">
        <f>+FY13Revenue!F$14*GPpcntSCH*FY13SCH!M18</f>
        <v>0</v>
      </c>
      <c r="N37" s="83">
        <f>+FY13Revenue!F$15*GPpcntSCH*FY13SCH!N18</f>
        <v>0</v>
      </c>
      <c r="O37" s="83">
        <f>FY13Revenue!F$16*GPpcntSCH*FY13SCH!O18</f>
        <v>78.292478450538283</v>
      </c>
      <c r="P37" s="83">
        <f>FY13Revenue!F$17*GPpcntSCH*FY13SCH!P18</f>
        <v>0</v>
      </c>
      <c r="Q37" s="83">
        <f>FY13Revenue!F$18*GPpcntSCH*FY13SCH!Q18</f>
        <v>0</v>
      </c>
      <c r="R37" s="83">
        <f>FY13Revenue!F$19*GPpcntSCH*FY13SCH!R18</f>
        <v>0</v>
      </c>
      <c r="S37" s="83">
        <f>FY13Revenue!F$20*GPpcntSCH*FY13SCH!S18</f>
        <v>0</v>
      </c>
      <c r="T37" s="83">
        <f>FY13Revenue!F$21*GPpcntSCH*FY13SCH!T18</f>
        <v>243.57894388975694</v>
      </c>
      <c r="U37" s="83">
        <f>FY13Revenue!F$22*GPpcntSCH*FY13SCH!U18</f>
        <v>0</v>
      </c>
      <c r="V37" s="83">
        <f>FY13Revenue!F$23*GPpcntSCH*FY13SCH!V18</f>
        <v>0</v>
      </c>
      <c r="W37" s="86">
        <f t="shared" si="20"/>
        <v>1867895.9851762538</v>
      </c>
    </row>
    <row r="38" spans="1:23" ht="17.100000000000001" customHeight="1">
      <c r="A38" s="87" t="s">
        <v>15</v>
      </c>
      <c r="B38" s="88">
        <f>+UGpcntSCH*FY13SCH!B19*FY13Revenue!F$3</f>
        <v>210866.17501736095</v>
      </c>
      <c r="C38" s="88">
        <f>+FY13Revenue!F$4*GPpcntSCH*FY13SCH!C19</f>
        <v>176411.21087320754</v>
      </c>
      <c r="D38" s="88">
        <f>+FY13Revenue!F$5*GPpcntSCH*FY13SCH!D19</f>
        <v>49.039941956223934</v>
      </c>
      <c r="E38" s="88">
        <f>+FY13Revenue!F$6*GPpcntSCH*FY13SCH!E19</f>
        <v>2239.7455503028973</v>
      </c>
      <c r="F38" s="88">
        <f>+FY13Revenue!F$7*GPpcntSCH*FY13SCH!F19</f>
        <v>0</v>
      </c>
      <c r="G38" s="88">
        <f>+FY13Revenue!F$8*GPpcntSCH*FY13SCH!G19</f>
        <v>0</v>
      </c>
      <c r="H38" s="88">
        <f>FY13Revenue!F$9*GPpcntSCH*FY13SCH!H19</f>
        <v>0</v>
      </c>
      <c r="I38" s="88">
        <f>+FY13Revenue!F$10*GPpcntSCH*FY13SCH!I19</f>
        <v>0</v>
      </c>
      <c r="J38" s="88">
        <f>+FY13Revenue!F$11*GPpcntSCH*FY13SCH!J19</f>
        <v>0</v>
      </c>
      <c r="K38" s="88">
        <f>+FY13Revenue!F$12*GPpcntSCH*FY13SCH!K19</f>
        <v>0</v>
      </c>
      <c r="L38" s="88">
        <f>+FY13Revenue!F$13*GPpcntSCH*FY13SCH!L19</f>
        <v>0</v>
      </c>
      <c r="M38" s="88">
        <f>+FY13Revenue!F$14*GPpcntSCH*FY13SCH!M19</f>
        <v>637.46387548405642</v>
      </c>
      <c r="N38" s="88">
        <f>+FY13Revenue!F$15*GPpcntSCH*FY13SCH!N19</f>
        <v>0</v>
      </c>
      <c r="O38" s="88">
        <f>FY13Revenue!F$16*GPpcntSCH*FY13SCH!O19</f>
        <v>78.292478450538283</v>
      </c>
      <c r="P38" s="88">
        <f>FY13Revenue!F$17*GPpcntSCH*FY13SCH!P19</f>
        <v>0</v>
      </c>
      <c r="Q38" s="88">
        <f>FY13Revenue!F$18*GPpcntSCH*FY13SCH!Q19</f>
        <v>0</v>
      </c>
      <c r="R38" s="88">
        <f>FY13Revenue!F$19*GPpcntSCH*FY13SCH!R19</f>
        <v>1602.378244213749</v>
      </c>
      <c r="S38" s="88">
        <f>FY13Revenue!F$20*GPpcntSCH*FY13SCH!S19</f>
        <v>887.45226120331813</v>
      </c>
      <c r="T38" s="88">
        <f>FY13Revenue!F$21*GPpcntSCH*FY13SCH!T19</f>
        <v>162.38596259317129</v>
      </c>
      <c r="U38" s="88">
        <f>FY13Revenue!F$22*GPpcntSCH*FY13SCH!U19</f>
        <v>0</v>
      </c>
      <c r="V38" s="88">
        <f>FY13Revenue!F$23*GPpcntSCH*FY13SCH!V19</f>
        <v>0</v>
      </c>
      <c r="W38" s="89">
        <f t="shared" si="20"/>
        <v>392934.14420477248</v>
      </c>
    </row>
    <row r="39" spans="1:23" ht="17.100000000000001" customHeight="1">
      <c r="A39" s="90" t="s">
        <v>34</v>
      </c>
      <c r="B39" s="91">
        <f t="shared" ref="B39:W39" si="21">SUM(B22:B36)+B37+B38</f>
        <v>143487428.24059469</v>
      </c>
      <c r="C39" s="91">
        <f t="shared" si="21"/>
        <v>2739330.7196573005</v>
      </c>
      <c r="D39" s="91">
        <f t="shared" si="21"/>
        <v>358457.4557290189</v>
      </c>
      <c r="E39" s="91">
        <f t="shared" si="21"/>
        <v>1882483.7375740823</v>
      </c>
      <c r="F39" s="91">
        <f t="shared" si="21"/>
        <v>730906.86489743588</v>
      </c>
      <c r="G39" s="91">
        <f t="shared" si="21"/>
        <v>833254.44512247865</v>
      </c>
      <c r="H39" s="91">
        <f t="shared" si="21"/>
        <v>8448.5119711999996</v>
      </c>
      <c r="I39" s="91">
        <f t="shared" si="21"/>
        <v>703667.27956426819</v>
      </c>
      <c r="J39" s="91">
        <f t="shared" si="21"/>
        <v>213694.08827957191</v>
      </c>
      <c r="K39" s="91">
        <f t="shared" si="21"/>
        <v>1077123.6618053329</v>
      </c>
      <c r="L39" s="91">
        <f t="shared" si="21"/>
        <v>2042949.2625557652</v>
      </c>
      <c r="M39" s="91">
        <f t="shared" si="21"/>
        <v>2471157.688944649</v>
      </c>
      <c r="N39" s="91">
        <f t="shared" si="21"/>
        <v>889561.20241202298</v>
      </c>
      <c r="O39" s="91">
        <f t="shared" si="21"/>
        <v>239633.70341748506</v>
      </c>
      <c r="P39" s="91">
        <f t="shared" si="21"/>
        <v>481422.90122727019</v>
      </c>
      <c r="Q39" s="91">
        <f t="shared" si="21"/>
        <v>144647.75096324648</v>
      </c>
      <c r="R39" s="91">
        <f t="shared" si="21"/>
        <v>678157.73886821896</v>
      </c>
      <c r="S39" s="91">
        <f t="shared" si="21"/>
        <v>538017.93335451151</v>
      </c>
      <c r="T39" s="91">
        <f t="shared" si="21"/>
        <v>289655.96077556937</v>
      </c>
      <c r="U39" s="91">
        <f t="shared" si="21"/>
        <v>21562.438800000004</v>
      </c>
      <c r="V39" s="91">
        <f t="shared" si="21"/>
        <v>23856.369600000002</v>
      </c>
      <c r="W39" s="92">
        <f t="shared" si="21"/>
        <v>159855417.95611417</v>
      </c>
    </row>
    <row r="40" spans="1:23" ht="27" customHeight="1">
      <c r="A40" s="658" t="s">
        <v>113</v>
      </c>
      <c r="B40" s="658"/>
      <c r="C40" s="658"/>
      <c r="D40" s="658"/>
      <c r="E40" s="658"/>
      <c r="F40" s="658"/>
      <c r="G40" s="658"/>
      <c r="H40" s="658"/>
      <c r="I40" s="658"/>
      <c r="J40" s="658"/>
      <c r="K40" s="658"/>
      <c r="L40" s="658"/>
      <c r="M40" s="658"/>
      <c r="N40" s="658"/>
      <c r="O40" s="658"/>
      <c r="P40" s="658"/>
      <c r="Q40" s="658"/>
      <c r="R40" s="658"/>
      <c r="S40" s="658"/>
      <c r="T40" s="658"/>
      <c r="U40" s="658"/>
      <c r="V40" s="658"/>
      <c r="W40" s="658"/>
    </row>
    <row r="41" spans="1:23" ht="15.95" customHeight="1">
      <c r="A41" s="93" t="s">
        <v>0</v>
      </c>
      <c r="B41" s="94">
        <f>+UGpcntDeg*FY13Majors!B3*FY13Revenue!F$3</f>
        <v>1392006.8002615294</v>
      </c>
      <c r="C41" s="94">
        <f>+FY13Revenue!F$4*GPpcntMjr*FY13Majors!C3</f>
        <v>56220.818958411597</v>
      </c>
      <c r="D41" s="94">
        <f>+FY13Revenue!F$5*GPpcntMjr*FY13Majors!D3</f>
        <v>0</v>
      </c>
      <c r="E41" s="94">
        <f>+FY13Revenue!F$6*GPpcntMjr*FY13Majors!E3</f>
        <v>3708.414159220059</v>
      </c>
      <c r="F41" s="94">
        <f>+FY13Revenue!F$7*GPpcntMjr*FY13Majors!F3</f>
        <v>0</v>
      </c>
      <c r="G41" s="94">
        <f>+FY13Revenue!F$8*GPpcntMjr*FY13Majors!G3</f>
        <v>52547.577620336495</v>
      </c>
      <c r="H41" s="94">
        <f>+FY13Revenue!F$9*GPpcntMjr*FY13Majors!H3</f>
        <v>0</v>
      </c>
      <c r="I41" s="94">
        <f>+FY13Revenue!F$10*GPpcntMjr*FY13Majors!I3</f>
        <v>2614019.4385397364</v>
      </c>
      <c r="J41" s="94">
        <f>+FY13Revenue!F$11*GPpcntMjr*FY13Majors!J3</f>
        <v>0</v>
      </c>
      <c r="K41" s="94">
        <f>+FY13Revenue!F$12*GPpcntMjr*FY13Majors!K3</f>
        <v>0</v>
      </c>
      <c r="L41" s="94">
        <f>+FY13Revenue!F$13*GPpcntMjr*FY13Majors!L3</f>
        <v>14454.829687894569</v>
      </c>
      <c r="M41" s="94">
        <f>+FY13Revenue!F$14*GPpcntMjr*FY13Majors!M3</f>
        <v>0</v>
      </c>
      <c r="N41" s="94">
        <f>+FY13Revenue!F$15*GPpcntMjr*FY13Majors!N3</f>
        <v>0</v>
      </c>
      <c r="O41" s="94">
        <f>+FY13Revenue!F$16*GPpcntMjr*FY13Majors!O3</f>
        <v>4630.6029645890821</v>
      </c>
      <c r="P41" s="94">
        <f>+FY13Revenue!F$17*GPpcntMjr*FY13Majors!P3</f>
        <v>0</v>
      </c>
      <c r="Q41" s="94">
        <f>+FY13Revenue!F$18*GPpcntMjr*FY13Majors!Q3</f>
        <v>0</v>
      </c>
      <c r="R41" s="94">
        <f>FY13Revenue!F$19*GPpcntMjr*FY13Majors!R3</f>
        <v>6677.2454288563076</v>
      </c>
      <c r="S41" s="94">
        <f>FY13Revenue!F$20*GPpcntMjr*FY13Majors!S3</f>
        <v>0</v>
      </c>
      <c r="T41" s="94">
        <f>FY13Revenue!F$21*GPpcntMjr*FY13Majors!T3</f>
        <v>0</v>
      </c>
      <c r="U41" s="94">
        <f>FY13Revenue!F$22*GPpcntMjr*FY13Majors!U3</f>
        <v>0</v>
      </c>
      <c r="V41" s="94">
        <f>FY13Revenue!F$23*GPpcntMjr*FY13Majors!V3</f>
        <v>0</v>
      </c>
      <c r="W41" s="95">
        <f>SUM(B41:V41)</f>
        <v>4144265.7276205742</v>
      </c>
    </row>
    <row r="42" spans="1:23" ht="15.95" customHeight="1">
      <c r="A42" s="96" t="s">
        <v>1</v>
      </c>
      <c r="B42" s="97">
        <f>+UGpcntDeg*FY13Majors!B4*FY13Revenue!F$3</f>
        <v>64559588.115159728</v>
      </c>
      <c r="C42" s="97">
        <f>+FY13Revenue!F$4*GPpcntMjr*FY13Majors!C4</f>
        <v>7129717.7348483615</v>
      </c>
      <c r="D42" s="97">
        <f>+FY13Revenue!F$5*GPpcntMjr*FY13Majors!D4</f>
        <v>0</v>
      </c>
      <c r="E42" s="97">
        <f>+FY13Revenue!F$6*GPpcntMjr*FY13Majors!E4</f>
        <v>64897.247786351028</v>
      </c>
      <c r="F42" s="97">
        <f>+FY13Revenue!F$7*GPpcntMjr*FY13Majors!F4</f>
        <v>30096.165025188544</v>
      </c>
      <c r="G42" s="97">
        <f>+FY13Revenue!F$8*GPpcntMjr*FY13Majors!G4</f>
        <v>300271.87211620854</v>
      </c>
      <c r="H42" s="97">
        <f>+FY13Revenue!F$9*GPpcntMjr*FY13Majors!H4</f>
        <v>7509.7884188444441</v>
      </c>
      <c r="I42" s="97">
        <f>+FY13Revenue!F$10*GPpcntMjr*FY13Majors!I4</f>
        <v>13934.0055359261</v>
      </c>
      <c r="J42" s="97">
        <f>+FY13Revenue!F$11*GPpcntMjr*FY13Majors!J4</f>
        <v>5775.5158994478898</v>
      </c>
      <c r="K42" s="97">
        <f>+FY13Revenue!F$12*GPpcntMjr*FY13Majors!K4</f>
        <v>0</v>
      </c>
      <c r="L42" s="97">
        <f>+FY13Revenue!F$13*GPpcntMjr*FY13Majors!L4</f>
        <v>43364.489063683708</v>
      </c>
      <c r="M42" s="97">
        <f>+FY13Revenue!F$14*GPpcntMjr*FY13Majors!M4</f>
        <v>0</v>
      </c>
      <c r="N42" s="97">
        <f>+FY13Revenue!F$15*GPpcntMjr*FY13Majors!N4</f>
        <v>0</v>
      </c>
      <c r="O42" s="97">
        <f>+FY13Revenue!F$16*GPpcntMjr*FY13Majors!O4</f>
        <v>18522.411858356329</v>
      </c>
      <c r="P42" s="97">
        <f>+FY13Revenue!F$17*GPpcntMjr*FY13Majors!P4</f>
        <v>17326.274080158826</v>
      </c>
      <c r="Q42" s="97">
        <f>+FY13Revenue!F$18*GPpcntMjr*FY13Majors!Q4</f>
        <v>0</v>
      </c>
      <c r="R42" s="97">
        <f>FY13Revenue!F$19*GPpcntMjr*FY13Majors!R4</f>
        <v>60095.20885970677</v>
      </c>
      <c r="S42" s="97">
        <f>FY13Revenue!F$20*GPpcntMjr*FY13Majors!S4</f>
        <v>13620.70717353194</v>
      </c>
      <c r="T42" s="97">
        <f>FY13Revenue!F$21*GPpcntMjr*FY13Majors!T4</f>
        <v>2900.1848388041985</v>
      </c>
      <c r="U42" s="97">
        <f>FY13Revenue!F$22*GPpcntMjr*FY13Majors!U4</f>
        <v>0</v>
      </c>
      <c r="V42" s="97">
        <f>FY13Revenue!F$23*GPpcntMjr*FY13Majors!V4</f>
        <v>0</v>
      </c>
      <c r="W42" s="98">
        <f t="shared" ref="W42:W50" si="22">SUM(B42:V42)</f>
        <v>72267619.720664293</v>
      </c>
    </row>
    <row r="43" spans="1:23" ht="15.95" customHeight="1">
      <c r="A43" s="96" t="s">
        <v>6</v>
      </c>
      <c r="B43" s="97">
        <f>+UGpcntDeg*FY13Majors!B5*FY13Revenue!F$3</f>
        <v>9659683.5533300061</v>
      </c>
      <c r="C43" s="97">
        <f>+FY13Revenue!F$4*GPpcntMjr*FY13Majors!C5</f>
        <v>251272.63983453347</v>
      </c>
      <c r="D43" s="97">
        <f>+FY13Revenue!F$5*GPpcntMjr*FY13Majors!D5</f>
        <v>0</v>
      </c>
      <c r="E43" s="97">
        <f>+FY13Revenue!F$6*GPpcntMjr*FY13Majors!E5</f>
        <v>48209.38406986076</v>
      </c>
      <c r="F43" s="97">
        <f>+FY13Revenue!F$7*GPpcntMjr*FY13Majors!F5</f>
        <v>2794643.8951960788</v>
      </c>
      <c r="G43" s="97">
        <f>+FY13Revenue!F$8*GPpcntMjr*FY13Majors!G5</f>
        <v>0</v>
      </c>
      <c r="H43" s="97">
        <f>+FY13Revenue!F$9*GPpcntMjr*FY13Majors!H5</f>
        <v>0</v>
      </c>
      <c r="I43" s="97">
        <f>+FY13Revenue!F$10*GPpcntMjr*FY13Majors!I5</f>
        <v>8360.403321555661</v>
      </c>
      <c r="J43" s="97">
        <f>+FY13Revenue!F$11*GPpcntMjr*FY13Majors!J5</f>
        <v>0</v>
      </c>
      <c r="K43" s="97">
        <f>+FY13Revenue!F$12*GPpcntMjr*FY13Majors!K5</f>
        <v>0</v>
      </c>
      <c r="L43" s="97">
        <f>+FY13Revenue!F$13*GPpcntMjr*FY13Majors!L5</f>
        <v>57819.318751578277</v>
      </c>
      <c r="M43" s="97">
        <f>+FY13Revenue!F$14*GPpcntMjr*FY13Majors!M5</f>
        <v>0</v>
      </c>
      <c r="N43" s="97">
        <f>+FY13Revenue!F$15*GPpcntMjr*FY13Majors!N5</f>
        <v>0</v>
      </c>
      <c r="O43" s="97">
        <f>+FY13Revenue!F$16*GPpcntMjr*FY13Majors!O5</f>
        <v>0</v>
      </c>
      <c r="P43" s="97">
        <f>+FY13Revenue!F$17*GPpcntMjr*FY13Majors!P5</f>
        <v>0</v>
      </c>
      <c r="Q43" s="97">
        <f>+FY13Revenue!F$18*GPpcntMjr*FY13Majors!Q5</f>
        <v>0</v>
      </c>
      <c r="R43" s="97">
        <f>FY13Revenue!F$19*GPpcntMjr*FY13Majors!R5</f>
        <v>3338.6227144281538</v>
      </c>
      <c r="S43" s="97">
        <f>FY13Revenue!F$20*GPpcntMjr*FY13Majors!S5</f>
        <v>0</v>
      </c>
      <c r="T43" s="97">
        <f>FY13Revenue!F$21*GPpcntMjr*FY13Majors!T5</f>
        <v>0</v>
      </c>
      <c r="U43" s="97">
        <f>FY13Revenue!F$22*GPpcntMjr*FY13Majors!U5</f>
        <v>0</v>
      </c>
      <c r="V43" s="97">
        <f>FY13Revenue!F$23*GPpcntMjr*FY13Majors!V5</f>
        <v>0</v>
      </c>
      <c r="W43" s="98">
        <f t="shared" si="22"/>
        <v>12823327.817218041</v>
      </c>
    </row>
    <row r="44" spans="1:23" ht="15.95" customHeight="1">
      <c r="A44" s="99" t="s">
        <v>2</v>
      </c>
      <c r="B44" s="97">
        <f>+UGpcntDeg*FY13Majors!B6*FY13Revenue!F$3</f>
        <v>780367.44863146346</v>
      </c>
      <c r="C44" s="97">
        <f>+FY13Revenue!F$4*GPpcntMjr*FY13Majors!C6</f>
        <v>0</v>
      </c>
      <c r="D44" s="97">
        <f>+FY13Revenue!F$5*GPpcntMjr*FY13Majors!D6</f>
        <v>0</v>
      </c>
      <c r="E44" s="97">
        <f>+FY13Revenue!F$6*GPpcntMjr*FY13Majors!E6</f>
        <v>3708.414159220059</v>
      </c>
      <c r="F44" s="97">
        <f>+FY13Revenue!F$7*GPpcntMjr*FY13Majors!F6</f>
        <v>0</v>
      </c>
      <c r="G44" s="97">
        <f>+FY13Revenue!F$8*GPpcntMjr*FY13Majors!G6</f>
        <v>2502.2656009684047</v>
      </c>
      <c r="H44" s="97">
        <f>+FY13Revenue!F$9*GPpcntMjr*FY13Majors!H6</f>
        <v>0</v>
      </c>
      <c r="I44" s="97">
        <f>+FY13Revenue!F$10*GPpcntMjr*FY13Majors!I6</f>
        <v>0</v>
      </c>
      <c r="J44" s="97">
        <f>+FY13Revenue!F$11*GPpcntMjr*FY13Majors!J6</f>
        <v>0</v>
      </c>
      <c r="K44" s="97">
        <f>+FY13Revenue!F$12*GPpcntMjr*FY13Majors!K6</f>
        <v>0</v>
      </c>
      <c r="L44" s="97">
        <f>+FY13Revenue!F$13*GPpcntMjr*FY13Majors!L6</f>
        <v>0</v>
      </c>
      <c r="M44" s="97">
        <f>+FY13Revenue!F$14*GPpcntMjr*FY13Majors!M6</f>
        <v>0</v>
      </c>
      <c r="N44" s="97">
        <f>+FY13Revenue!F$15*GPpcntMjr*FY13Majors!N6</f>
        <v>0</v>
      </c>
      <c r="O44" s="97">
        <f>+FY13Revenue!F$16*GPpcntMjr*FY13Majors!O6</f>
        <v>0</v>
      </c>
      <c r="P44" s="97">
        <f>+FY13Revenue!F$17*GPpcntMjr*FY13Majors!P6</f>
        <v>0</v>
      </c>
      <c r="Q44" s="97">
        <f>+FY13Revenue!F$18*GPpcntMjr*FY13Majors!Q6</f>
        <v>0</v>
      </c>
      <c r="R44" s="97">
        <f>FY13Revenue!F$19*GPpcntMjr*FY13Majors!R6</f>
        <v>0</v>
      </c>
      <c r="S44" s="97">
        <f>FY13Revenue!F$20*GPpcntMjr*FY13Majors!S6</f>
        <v>2127100.4369332381</v>
      </c>
      <c r="T44" s="97">
        <f>FY13Revenue!F$21*GPpcntMjr*FY13Majors!T6</f>
        <v>1115121.0705202143</v>
      </c>
      <c r="U44" s="97">
        <f>FY13Revenue!F$22*GPpcntMjr*FY13Majors!U6</f>
        <v>0</v>
      </c>
      <c r="V44" s="97">
        <f>FY13Revenue!F$23*GPpcntMjr*FY13Majors!V6</f>
        <v>0</v>
      </c>
      <c r="W44" s="98">
        <f t="shared" si="22"/>
        <v>4028799.6358451042</v>
      </c>
    </row>
    <row r="45" spans="1:23" ht="15.95" customHeight="1">
      <c r="A45" s="96" t="s">
        <v>3</v>
      </c>
      <c r="B45" s="97">
        <f>+UGpcntDeg*FY13Majors!B7*FY13Revenue!F$3</f>
        <v>8794952.0561978444</v>
      </c>
      <c r="C45" s="97">
        <f>+FY13Revenue!F$4*GPpcntMjr*FY13Majors!C7</f>
        <v>416493.00575313088</v>
      </c>
      <c r="D45" s="97">
        <f>+FY13Revenue!F$5*GPpcntMjr*FY13Majors!D7</f>
        <v>0</v>
      </c>
      <c r="E45" s="97">
        <f>+FY13Revenue!F$6*GPpcntMjr*FY13Majors!E7</f>
        <v>5039734.8423800608</v>
      </c>
      <c r="F45" s="97">
        <f>+FY13Revenue!F$7*GPpcntMjr*FY13Majors!F7</f>
        <v>0</v>
      </c>
      <c r="G45" s="97">
        <f>+FY13Revenue!F$8*GPpcntMjr*FY13Majors!G7</f>
        <v>0</v>
      </c>
      <c r="H45" s="97">
        <f>+FY13Revenue!F$9*GPpcntMjr*FY13Majors!H7</f>
        <v>0</v>
      </c>
      <c r="I45" s="97">
        <f>+FY13Revenue!F$10*GPpcntMjr*FY13Majors!I7</f>
        <v>13934.0055359261</v>
      </c>
      <c r="J45" s="97">
        <f>+FY13Revenue!F$11*GPpcntMjr*FY13Majors!J7</f>
        <v>0</v>
      </c>
      <c r="K45" s="97">
        <f>+FY13Revenue!F$12*GPpcntMjr*FY13Majors!K7</f>
        <v>0</v>
      </c>
      <c r="L45" s="97">
        <f>+FY13Revenue!F$13*GPpcntMjr*FY13Majors!L7</f>
        <v>19273.106250526092</v>
      </c>
      <c r="M45" s="97">
        <f>+FY13Revenue!F$14*GPpcntMjr*FY13Majors!M7</f>
        <v>0</v>
      </c>
      <c r="N45" s="97">
        <f>+FY13Revenue!F$15*GPpcntMjr*FY13Majors!N7</f>
        <v>0</v>
      </c>
      <c r="O45" s="97">
        <f>+FY13Revenue!F$16*GPpcntMjr*FY13Majors!O7</f>
        <v>4630.6029645890821</v>
      </c>
      <c r="P45" s="97">
        <f>+FY13Revenue!F$17*GPpcntMjr*FY13Majors!P7</f>
        <v>0</v>
      </c>
      <c r="Q45" s="97">
        <f>+FY13Revenue!F$18*GPpcntMjr*FY13Majors!Q7</f>
        <v>0</v>
      </c>
      <c r="R45" s="97">
        <f>FY13Revenue!F$19*GPpcntMjr*FY13Majors!R7</f>
        <v>5007.9340716422312</v>
      </c>
      <c r="S45" s="97">
        <f>FY13Revenue!F$20*GPpcntMjr*FY13Majors!S7</f>
        <v>0</v>
      </c>
      <c r="T45" s="97">
        <f>FY13Revenue!F$21*GPpcntMjr*FY13Majors!T7</f>
        <v>0</v>
      </c>
      <c r="U45" s="97">
        <f>FY13Revenue!F$22*GPpcntMjr*FY13Majors!U7</f>
        <v>86249.755200000014</v>
      </c>
      <c r="V45" s="97">
        <f>FY13Revenue!F$23*GPpcntMjr*FY13Majors!V7</f>
        <v>95425.478400000007</v>
      </c>
      <c r="W45" s="98">
        <f t="shared" si="22"/>
        <v>14475700.78675372</v>
      </c>
    </row>
    <row r="46" spans="1:23" ht="15.95" customHeight="1">
      <c r="A46" s="96" t="s">
        <v>4</v>
      </c>
      <c r="B46" s="97">
        <f>+UGpcntDeg*FY13Majors!B8*FY13Revenue!F$3</f>
        <v>2973832.7096496313</v>
      </c>
      <c r="C46" s="97">
        <f>+FY13Revenue!F$4*GPpcntMjr*FY13Majors!C8</f>
        <v>17210.454783187222</v>
      </c>
      <c r="D46" s="97">
        <f>+FY13Revenue!F$5*GPpcntMjr*FY13Majors!D8</f>
        <v>0</v>
      </c>
      <c r="E46" s="97">
        <f>+FY13Revenue!F$6*GPpcntMjr*FY13Majors!E8</f>
        <v>12979.449557270207</v>
      </c>
      <c r="F46" s="97">
        <f>+FY13Revenue!F$7*GPpcntMjr*FY13Majors!F8</f>
        <v>8598.904292911011</v>
      </c>
      <c r="G46" s="97">
        <f>+FY13Revenue!F$8*GPpcntMjr*FY13Majors!G8</f>
        <v>140126.87365423067</v>
      </c>
      <c r="H46" s="97">
        <f>+FY13Revenue!F$9*GPpcntMjr*FY13Majors!H8</f>
        <v>0</v>
      </c>
      <c r="I46" s="97">
        <f>+FY13Revenue!F$10*GPpcntMjr*FY13Majors!I8</f>
        <v>13934.0055359261</v>
      </c>
      <c r="J46" s="97">
        <f>+FY13Revenue!F$11*GPpcntMjr*FY13Majors!J8</f>
        <v>0</v>
      </c>
      <c r="K46" s="97">
        <f>+FY13Revenue!F$12*GPpcntMjr*FY13Majors!K8</f>
        <v>0</v>
      </c>
      <c r="L46" s="97">
        <f>+FY13Revenue!F$13*GPpcntMjr*FY13Majors!L8</f>
        <v>9636.5531252630462</v>
      </c>
      <c r="M46" s="97">
        <f>+FY13Revenue!F$14*GPpcntMjr*FY13Majors!M8</f>
        <v>0</v>
      </c>
      <c r="N46" s="97">
        <f>+FY13Revenue!F$15*GPpcntMjr*FY13Majors!N8</f>
        <v>0</v>
      </c>
      <c r="O46" s="97">
        <f>+FY13Revenue!F$16*GPpcntMjr*FY13Majors!O8</f>
        <v>0</v>
      </c>
      <c r="P46" s="97">
        <f>+FY13Revenue!F$17*GPpcntMjr*FY13Majors!P8</f>
        <v>0</v>
      </c>
      <c r="Q46" s="97">
        <f>+FY13Revenue!F$18*GPpcntMjr*FY13Majors!Q8</f>
        <v>0</v>
      </c>
      <c r="R46" s="97">
        <f>FY13Revenue!F$19*GPpcntMjr*FY13Majors!R8</f>
        <v>2610802.9626828162</v>
      </c>
      <c r="S46" s="97">
        <f>FY13Revenue!F$20*GPpcntMjr*FY13Majors!S8</f>
        <v>0</v>
      </c>
      <c r="T46" s="97">
        <f>FY13Revenue!F$21*GPpcntMjr*FY13Majors!T8</f>
        <v>0</v>
      </c>
      <c r="U46" s="97">
        <f>FY13Revenue!F$22*GPpcntMjr*FY13Majors!U8</f>
        <v>0</v>
      </c>
      <c r="V46" s="97">
        <f>FY13Revenue!F$23*GPpcntMjr*FY13Majors!V8</f>
        <v>0</v>
      </c>
      <c r="W46" s="98">
        <f t="shared" si="22"/>
        <v>5787121.9132812358</v>
      </c>
    </row>
    <row r="47" spans="1:23" ht="15.95" customHeight="1">
      <c r="A47" s="96" t="s">
        <v>14</v>
      </c>
      <c r="B47" s="97">
        <f>+UGpcntDeg*FY13Majors!B9*FY13Revenue!F$3</f>
        <v>822549.47288181284</v>
      </c>
      <c r="C47" s="97">
        <f>+FY13Revenue!F$4*GPpcntMjr*FY13Majors!C9</f>
        <v>159483.54765753495</v>
      </c>
      <c r="D47" s="97">
        <f>+FY13Revenue!F$5*GPpcntMjr*FY13Majors!D9</f>
        <v>0</v>
      </c>
      <c r="E47" s="97">
        <f>+FY13Revenue!F$6*GPpcntMjr*FY13Majors!E9</f>
        <v>1854.2070796100295</v>
      </c>
      <c r="F47" s="97">
        <f>+FY13Revenue!F$7*GPpcntMjr*FY13Majors!F9</f>
        <v>0</v>
      </c>
      <c r="G47" s="97">
        <f>+FY13Revenue!F$8*GPpcntMjr*FY13Majors!G9</f>
        <v>22520.390408715644</v>
      </c>
      <c r="H47" s="97">
        <f>+FY13Revenue!F$9*GPpcntMjr*FY13Majors!H9</f>
        <v>26284.259465955554</v>
      </c>
      <c r="I47" s="97">
        <f>+FY13Revenue!F$10*GPpcntMjr*FY13Majors!I9</f>
        <v>0</v>
      </c>
      <c r="J47" s="97">
        <f>+FY13Revenue!F$11*GPpcntMjr*FY13Majors!J9</f>
        <v>0</v>
      </c>
      <c r="K47" s="97">
        <f>+FY13Revenue!F$12*GPpcntMjr*FY13Majors!K9</f>
        <v>0</v>
      </c>
      <c r="L47" s="97">
        <f>+FY13Revenue!F$13*GPpcntMjr*FY13Majors!L9</f>
        <v>14454.829687894569</v>
      </c>
      <c r="M47" s="97">
        <f>+FY13Revenue!F$14*GPpcntMjr*FY13Majors!M9</f>
        <v>0</v>
      </c>
      <c r="N47" s="97">
        <f>+FY13Revenue!F$15*GPpcntMjr*FY13Majors!N9</f>
        <v>0</v>
      </c>
      <c r="O47" s="97">
        <f>+FY13Revenue!F$16*GPpcntMjr*FY13Majors!O9</f>
        <v>0</v>
      </c>
      <c r="P47" s="97">
        <f>+FY13Revenue!F$17*GPpcntMjr*FY13Majors!P9</f>
        <v>0</v>
      </c>
      <c r="Q47" s="97">
        <f>+FY13Revenue!F$18*GPpcntMjr*FY13Majors!Q9</f>
        <v>0</v>
      </c>
      <c r="R47" s="97">
        <f>FY13Revenue!F$19*GPpcntMjr*FY13Majors!R9</f>
        <v>0</v>
      </c>
      <c r="S47" s="97">
        <f>FY13Revenue!F$20*GPpcntMjr*FY13Majors!S9</f>
        <v>0</v>
      </c>
      <c r="T47" s="97">
        <f>FY13Revenue!F$21*GPpcntMjr*FY13Majors!T9</f>
        <v>0</v>
      </c>
      <c r="U47" s="97">
        <f>FY13Revenue!F$22*GPpcntMjr*FY13Majors!U9</f>
        <v>0</v>
      </c>
      <c r="V47" s="97">
        <f>FY13Revenue!F$23*GPpcntMjr*FY13Majors!V9</f>
        <v>0</v>
      </c>
      <c r="W47" s="98">
        <f t="shared" si="22"/>
        <v>1047146.7071815236</v>
      </c>
    </row>
    <row r="48" spans="1:23" ht="15.95" customHeight="1">
      <c r="A48" s="96" t="s">
        <v>9</v>
      </c>
      <c r="B48" s="97">
        <f>+UGpcntDeg*FY13Majors!B10*FY13Revenue!F$3</f>
        <v>0</v>
      </c>
      <c r="C48" s="97">
        <f>+FY13Revenue!F$4*GPpcntMjr*FY13Majors!C10</f>
        <v>67694.455480536417</v>
      </c>
      <c r="D48" s="97">
        <f>+FY13Revenue!F$5*GPpcntMjr*FY13Majors!D10</f>
        <v>0</v>
      </c>
      <c r="E48" s="97">
        <f>+FY13Revenue!F$6*GPpcntMjr*FY13Majors!E10</f>
        <v>18542.070796100299</v>
      </c>
      <c r="F48" s="97">
        <f>+FY13Revenue!F$7*GPpcntMjr*FY13Majors!F10</f>
        <v>25796.712878733037</v>
      </c>
      <c r="G48" s="97">
        <f>+FY13Revenue!F$8*GPpcntMjr*FY13Majors!G10</f>
        <v>0</v>
      </c>
      <c r="H48" s="97">
        <f>+FY13Revenue!F$9*GPpcntMjr*FY13Majors!H10</f>
        <v>0</v>
      </c>
      <c r="I48" s="97">
        <f>+FY13Revenue!F$10*GPpcntMjr*FY13Majors!I10</f>
        <v>0</v>
      </c>
      <c r="J48" s="97">
        <f>+FY13Revenue!F$11*GPpcntMjr*FY13Majors!J10</f>
        <v>0</v>
      </c>
      <c r="K48" s="97">
        <f>+FY13Revenue!F$12*GPpcntMjr*FY13Majors!K10</f>
        <v>0</v>
      </c>
      <c r="L48" s="97">
        <f>+FY13Revenue!F$13*GPpcntMjr*FY13Majors!L10</f>
        <v>7945338.051779381</v>
      </c>
      <c r="M48" s="97">
        <f>+FY13Revenue!F$14*GPpcntMjr*FY13Majors!M10</f>
        <v>0</v>
      </c>
      <c r="N48" s="97">
        <f>+FY13Revenue!F$15*GPpcntMjr*FY13Majors!N10</f>
        <v>0</v>
      </c>
      <c r="O48" s="97">
        <f>+FY13Revenue!F$16*GPpcntMjr*FY13Majors!O10</f>
        <v>0</v>
      </c>
      <c r="P48" s="97">
        <f>+FY13Revenue!F$17*GPpcntMjr*FY13Majors!P10</f>
        <v>0</v>
      </c>
      <c r="Q48" s="97">
        <f>+FY13Revenue!F$18*GPpcntMjr*FY13Majors!Q10</f>
        <v>578591.00385298592</v>
      </c>
      <c r="R48" s="97">
        <f>FY13Revenue!F$19*GPpcntMjr*FY13Majors!R10</f>
        <v>0</v>
      </c>
      <c r="S48" s="97">
        <f>FY13Revenue!F$20*GPpcntMjr*FY13Majors!S10</f>
        <v>0</v>
      </c>
      <c r="T48" s="97">
        <f>FY13Revenue!F$21*GPpcntMjr*FY13Majors!T10</f>
        <v>0</v>
      </c>
      <c r="U48" s="97">
        <f>FY13Revenue!F$22*GPpcntMjr*FY13Majors!U10</f>
        <v>0</v>
      </c>
      <c r="V48" s="97">
        <f>FY13Revenue!F$23*GPpcntMjr*FY13Majors!V10</f>
        <v>0</v>
      </c>
      <c r="W48" s="98">
        <f t="shared" si="22"/>
        <v>8635962.2947877366</v>
      </c>
    </row>
    <row r="49" spans="1:23" ht="15.95" customHeight="1">
      <c r="A49" s="96" t="s">
        <v>5</v>
      </c>
      <c r="B49" s="97">
        <f>+UGpcntDeg*FY13Majors!B11*FY13Revenue!F$3</f>
        <v>0</v>
      </c>
      <c r="C49" s="97">
        <f>+FY13Revenue!F$4*GPpcntMjr*FY13Majors!C11</f>
        <v>86052.273915936123</v>
      </c>
      <c r="D49" s="97">
        <f>+FY13Revenue!F$5*GPpcntMjr*FY13Majors!D11</f>
        <v>0</v>
      </c>
      <c r="E49" s="97">
        <f>+FY13Revenue!F$6*GPpcntMjr*FY13Majors!E11</f>
        <v>3708.414159220059</v>
      </c>
      <c r="F49" s="97">
        <f>+FY13Revenue!F$7*GPpcntMjr*FY13Majors!F11</f>
        <v>38695.069318099551</v>
      </c>
      <c r="G49" s="97">
        <f>+FY13Revenue!F$8*GPpcntMjr*FY13Majors!G11</f>
        <v>2754994.4266662137</v>
      </c>
      <c r="H49" s="97">
        <f>+FY13Revenue!F$9*GPpcntMjr*FY13Majors!H11</f>
        <v>0</v>
      </c>
      <c r="I49" s="97">
        <f>+FY13Revenue!F$10*GPpcntMjr*FY13Majors!I11</f>
        <v>41802.0166077783</v>
      </c>
      <c r="J49" s="97">
        <f>+FY13Revenue!F$11*GPpcntMjr*FY13Majors!J11</f>
        <v>5775.5158994478898</v>
      </c>
      <c r="K49" s="97">
        <f>+FY13Revenue!F$12*GPpcntMjr*FY13Majors!K11</f>
        <v>0</v>
      </c>
      <c r="L49" s="97">
        <f>+FY13Revenue!F$13*GPpcntMjr*FY13Majors!L11</f>
        <v>24091.382813157616</v>
      </c>
      <c r="M49" s="97">
        <f>+FY13Revenue!F$14*GPpcntMjr*FY13Majors!M11</f>
        <v>0</v>
      </c>
      <c r="N49" s="97">
        <f>+FY13Revenue!F$15*GPpcntMjr*FY13Majors!N11</f>
        <v>0</v>
      </c>
      <c r="O49" s="97">
        <f>+FY13Revenue!F$16*GPpcntMjr*FY13Majors!O11</f>
        <v>9261.2059291781643</v>
      </c>
      <c r="P49" s="97">
        <f>+FY13Revenue!F$17*GPpcntMjr*FY13Majors!P11</f>
        <v>29702.18413741513</v>
      </c>
      <c r="Q49" s="97">
        <f>+FY13Revenue!F$18*GPpcntMjr*FY13Majors!Q11</f>
        <v>0</v>
      </c>
      <c r="R49" s="97">
        <f>FY13Revenue!F$19*GPpcntMjr*FY13Majors!R11</f>
        <v>18362.424929354846</v>
      </c>
      <c r="S49" s="97">
        <f>FY13Revenue!F$20*GPpcntMjr*FY13Majors!S11</f>
        <v>4540.2357245106459</v>
      </c>
      <c r="T49" s="97">
        <f>FY13Revenue!F$21*GPpcntMjr*FY13Majors!T11</f>
        <v>5800.3696776083971</v>
      </c>
      <c r="U49" s="97">
        <f>FY13Revenue!F$22*GPpcntMjr*FY13Majors!U11</f>
        <v>0</v>
      </c>
      <c r="V49" s="97">
        <f>FY13Revenue!F$23*GPpcntMjr*FY13Majors!V11</f>
        <v>0</v>
      </c>
      <c r="W49" s="98">
        <f t="shared" si="22"/>
        <v>3022785.5197779201</v>
      </c>
    </row>
    <row r="50" spans="1:23" ht="15.95" customHeight="1">
      <c r="A50" s="96" t="s">
        <v>13</v>
      </c>
      <c r="B50" s="97">
        <f>+UGpcntDeg*FY13Majors!B12*FY13Revenue!F$3</f>
        <v>537820.80919195455</v>
      </c>
      <c r="C50" s="97">
        <f>+FY13Revenue!F$4*GPpcntMjr*FY13Majors!C12</f>
        <v>0</v>
      </c>
      <c r="D50" s="97">
        <f>+FY13Revenue!F$5*GPpcntMjr*FY13Majors!D12</f>
        <v>241792.55023879852</v>
      </c>
      <c r="E50" s="97">
        <f>+FY13Revenue!F$6*GPpcntMjr*FY13Majors!E12</f>
        <v>0</v>
      </c>
      <c r="F50" s="97">
        <f>+FY13Revenue!F$7*GPpcntMjr*FY13Majors!F12</f>
        <v>0</v>
      </c>
      <c r="G50" s="97">
        <f>+FY13Revenue!F$8*GPpcntMjr*FY13Majors!G12</f>
        <v>7506.7968029052145</v>
      </c>
      <c r="H50" s="97">
        <f>+FY13Revenue!F$9*GPpcntMjr*FY13Majors!H12</f>
        <v>0</v>
      </c>
      <c r="I50" s="97">
        <f>+FY13Revenue!F$10*GPpcntMjr*FY13Majors!I12</f>
        <v>0</v>
      </c>
      <c r="J50" s="97">
        <f>+FY13Revenue!F$11*GPpcntMjr*FY13Majors!J12</f>
        <v>0</v>
      </c>
      <c r="K50" s="97">
        <f>+FY13Revenue!F$12*GPpcntMjr*FY13Majors!K12</f>
        <v>0</v>
      </c>
      <c r="L50" s="97">
        <f>+FY13Revenue!F$13*GPpcntMjr*FY13Majors!L12</f>
        <v>0</v>
      </c>
      <c r="M50" s="97">
        <f>+FY13Revenue!F$14*GPpcntMjr*FY13Majors!M12</f>
        <v>0</v>
      </c>
      <c r="N50" s="97">
        <f>+FY13Revenue!F$15*GPpcntMjr*FY13Majors!N12</f>
        <v>0</v>
      </c>
      <c r="O50" s="97">
        <f>+FY13Revenue!F$16*GPpcntMjr*FY13Majors!O12</f>
        <v>13891.808893767247</v>
      </c>
      <c r="P50" s="97">
        <f>+FY13Revenue!F$17*GPpcntMjr*FY13Majors!P12</f>
        <v>1851436.1445655432</v>
      </c>
      <c r="Q50" s="97">
        <f>+FY13Revenue!F$18*GPpcntMjr*FY13Majors!Q12</f>
        <v>0</v>
      </c>
      <c r="R50" s="97">
        <f>FY13Revenue!F$19*GPpcntMjr*FY13Majors!R12</f>
        <v>0</v>
      </c>
      <c r="S50" s="97">
        <f>FY13Revenue!F$20*GPpcntMjr*FY13Majors!S12</f>
        <v>0</v>
      </c>
      <c r="T50" s="97">
        <f>FY13Revenue!F$21*GPpcntMjr*FY13Majors!T12</f>
        <v>0</v>
      </c>
      <c r="U50" s="97">
        <f>FY13Revenue!F$22*GPpcntMjr*FY13Majors!U12</f>
        <v>0</v>
      </c>
      <c r="V50" s="97">
        <f>FY13Revenue!F$23*GPpcntMjr*FY13Majors!V12</f>
        <v>0</v>
      </c>
      <c r="W50" s="98">
        <f t="shared" si="22"/>
        <v>2652448.1096929689</v>
      </c>
    </row>
    <row r="51" spans="1:23" ht="15.95" customHeight="1">
      <c r="A51" s="96" t="s">
        <v>8</v>
      </c>
      <c r="B51" s="97">
        <f>+UGpcntDeg*FY13Majors!B13*FY13Revenue!F$3</f>
        <v>0</v>
      </c>
      <c r="C51" s="97">
        <f>+FY13Revenue!F$4*GPpcntMjr*FY13Majors!C13</f>
        <v>22947.273044249632</v>
      </c>
      <c r="D51" s="97">
        <f>+FY13Revenue!F$5*GPpcntMjr*FY13Majors!D13</f>
        <v>498092.65349192504</v>
      </c>
      <c r="E51" s="97">
        <f>+FY13Revenue!F$6*GPpcntMjr*FY13Majors!E13</f>
        <v>0</v>
      </c>
      <c r="F51" s="97">
        <f>+FY13Revenue!F$7*GPpcntMjr*FY13Majors!F13</f>
        <v>0</v>
      </c>
      <c r="G51" s="97">
        <f>+FY13Revenue!F$8*GPpcntMjr*FY13Majors!G13</f>
        <v>0</v>
      </c>
      <c r="H51" s="97">
        <f>+FY13Revenue!F$9*GPpcntMjr*FY13Majors!H13</f>
        <v>0</v>
      </c>
      <c r="I51" s="97">
        <f>+FY13Revenue!F$10*GPpcntMjr*FY13Majors!I13</f>
        <v>0</v>
      </c>
      <c r="J51" s="97">
        <f>+FY13Revenue!F$11*GPpcntMjr*FY13Majors!J13</f>
        <v>0</v>
      </c>
      <c r="K51" s="97">
        <f>+FY13Revenue!F$12*GPpcntMjr*FY13Majors!K13</f>
        <v>0</v>
      </c>
      <c r="L51" s="97">
        <f>+FY13Revenue!F$13*GPpcntMjr*FY13Majors!L13</f>
        <v>0</v>
      </c>
      <c r="M51" s="97">
        <f>+FY13Revenue!F$14*GPpcntMjr*FY13Majors!M13</f>
        <v>0</v>
      </c>
      <c r="N51" s="97">
        <f>+FY13Revenue!F$15*GPpcntMjr*FY13Majors!N13</f>
        <v>3558244.8096480924</v>
      </c>
      <c r="O51" s="97">
        <f>+FY13Revenue!F$16*GPpcntMjr*FY13Majors!O13</f>
        <v>4630.6029645890821</v>
      </c>
      <c r="P51" s="97">
        <f>+FY13Revenue!F$17*GPpcntMjr*FY13Majors!P13</f>
        <v>0</v>
      </c>
      <c r="Q51" s="97">
        <f>+FY13Revenue!F$18*GPpcntMjr*FY13Majors!Q13</f>
        <v>0</v>
      </c>
      <c r="R51" s="97">
        <f>FY13Revenue!F$19*GPpcntMjr*FY13Majors!R13</f>
        <v>0</v>
      </c>
      <c r="S51" s="97">
        <f>FY13Revenue!F$20*GPpcntMjr*FY13Majors!S13</f>
        <v>0</v>
      </c>
      <c r="T51" s="97">
        <f>FY13Revenue!F$21*GPpcntMjr*FY13Majors!T13</f>
        <v>0</v>
      </c>
      <c r="U51" s="97">
        <f>FY13Revenue!F$22*GPpcntMjr*FY13Majors!U13</f>
        <v>0</v>
      </c>
      <c r="V51" s="97">
        <f>FY13Revenue!F$23*GPpcntMjr*FY13Majors!V13</f>
        <v>0</v>
      </c>
      <c r="W51" s="98">
        <f>SUM(B51:V51)</f>
        <v>4083915.3391488558</v>
      </c>
    </row>
    <row r="52" spans="1:23" ht="15.95" customHeight="1">
      <c r="A52" s="96" t="s">
        <v>10</v>
      </c>
      <c r="B52" s="97">
        <f>+UGpcntDeg*FY13Majors!B14*FY13Revenue!F$3</f>
        <v>1803281.5367024359</v>
      </c>
      <c r="C52" s="97">
        <f>+FY13Revenue!F$4*GPpcntMjr*FY13Majors!C14</f>
        <v>1486983.293267376</v>
      </c>
      <c r="D52" s="97">
        <f>+FY13Revenue!F$5*GPpcntMjr*FY13Majors!D14</f>
        <v>693944.61918535177</v>
      </c>
      <c r="E52" s="97">
        <f>+FY13Revenue!F$6*GPpcntMjr*FY13Majors!E14</f>
        <v>53772.005308690852</v>
      </c>
      <c r="F52" s="97">
        <f>+FY13Revenue!F$7*GPpcntMjr*FY13Majors!F14</f>
        <v>0</v>
      </c>
      <c r="G52" s="97">
        <f>+FY13Revenue!F$8*GPpcntMjr*FY13Majors!G14</f>
        <v>2502.2656009684047</v>
      </c>
      <c r="H52" s="97">
        <f>+FY13Revenue!F$9*GPpcntMjr*FY13Majors!H14</f>
        <v>0</v>
      </c>
      <c r="I52" s="97">
        <f>+FY13Revenue!F$10*GPpcntMjr*FY13Majors!I14</f>
        <v>2786.8011071852197</v>
      </c>
      <c r="J52" s="97">
        <f>+FY13Revenue!F$11*GPpcntMjr*FY13Majors!J14</f>
        <v>8663.2738491718337</v>
      </c>
      <c r="K52" s="97">
        <f>+FY13Revenue!F$12*GPpcntMjr*FY13Majors!K14</f>
        <v>0</v>
      </c>
      <c r="L52" s="97">
        <f>+FY13Revenue!F$13*GPpcntMjr*FY13Majors!L14</f>
        <v>14454.829687894569</v>
      </c>
      <c r="M52" s="97">
        <f>+FY13Revenue!F$14*GPpcntMjr*FY13Majors!M14</f>
        <v>9681910.6828545053</v>
      </c>
      <c r="N52" s="97">
        <f>+FY13Revenue!F$15*GPpcntMjr*FY13Majors!N14</f>
        <v>0</v>
      </c>
      <c r="O52" s="97">
        <f>+FY13Revenue!F$16*GPpcntMjr*FY13Majors!O14</f>
        <v>158984.03511755852</v>
      </c>
      <c r="P52" s="97">
        <f>+FY13Revenue!F$17*GPpcntMjr*FY13Majors!P14</f>
        <v>9900.7280458050427</v>
      </c>
      <c r="Q52" s="97">
        <f>+FY13Revenue!F$18*GPpcntMjr*FY13Majors!Q14</f>
        <v>0</v>
      </c>
      <c r="R52" s="97">
        <f>FY13Revenue!F$19*GPpcntMjr*FY13Majors!R14</f>
        <v>1669.3113572140769</v>
      </c>
      <c r="S52" s="97">
        <f>FY13Revenue!F$20*GPpcntMjr*FY13Majors!S14</f>
        <v>0</v>
      </c>
      <c r="T52" s="97">
        <f>FY13Revenue!F$21*GPpcntMjr*FY13Majors!T14</f>
        <v>0</v>
      </c>
      <c r="U52" s="97">
        <f>FY13Revenue!F$22*GPpcntMjr*FY13Majors!U14</f>
        <v>0</v>
      </c>
      <c r="V52" s="97">
        <f>FY13Revenue!F$23*GPpcntMjr*FY13Majors!V14</f>
        <v>0</v>
      </c>
      <c r="W52" s="98">
        <f t="shared" ref="W52:W57" si="23">SUM(B52:V52)</f>
        <v>13918853.382084157</v>
      </c>
    </row>
    <row r="53" spans="1:23" ht="15.95" customHeight="1">
      <c r="A53" s="96" t="s">
        <v>11</v>
      </c>
      <c r="B53" s="97">
        <f>+UGpcntDeg*FY13Majors!B15*FY13Revenue!F$3</f>
        <v>1497461.8608874029</v>
      </c>
      <c r="C53" s="97">
        <f>+FY13Revenue!F$4*GPpcntMjr*FY13Majors!C15</f>
        <v>0</v>
      </c>
      <c r="D53" s="97">
        <f>+FY13Revenue!F$5*GPpcntMjr*FY13Majors!D15</f>
        <v>0</v>
      </c>
      <c r="E53" s="97">
        <f>+FY13Revenue!F$6*GPpcntMjr*FY13Majors!E15</f>
        <v>326340.44601136522</v>
      </c>
      <c r="F53" s="97">
        <f>+FY13Revenue!F$7*GPpcntMjr*FY13Majors!F15</f>
        <v>0</v>
      </c>
      <c r="G53" s="97">
        <f>+FY13Revenue!F$8*GPpcntMjr*FY13Majors!G15</f>
        <v>0</v>
      </c>
      <c r="H53" s="97">
        <f>+FY13Revenue!F$9*GPpcntMjr*FY13Majors!H15</f>
        <v>0</v>
      </c>
      <c r="I53" s="97">
        <f>+FY13Revenue!F$10*GPpcntMjr*FY13Majors!I15</f>
        <v>0</v>
      </c>
      <c r="J53" s="97">
        <f>+FY13Revenue!F$11*GPpcntMjr*FY13Majors!J15</f>
        <v>814347.7418221524</v>
      </c>
      <c r="K53" s="97">
        <f>+FY13Revenue!F$12*GPpcntMjr*FY13Majors!K15</f>
        <v>0</v>
      </c>
      <c r="L53" s="97">
        <f>+FY13Revenue!F$13*GPpcntMjr*FY13Majors!L15</f>
        <v>0</v>
      </c>
      <c r="M53" s="97">
        <f>+FY13Revenue!F$14*GPpcntMjr*FY13Majors!M15</f>
        <v>0</v>
      </c>
      <c r="N53" s="97">
        <f>+FY13Revenue!F$15*GPpcntMjr*FY13Majors!N15</f>
        <v>0</v>
      </c>
      <c r="O53" s="97">
        <f>+FY13Revenue!F$16*GPpcntMjr*FY13Majors!O15</f>
        <v>4630.6029645890821</v>
      </c>
      <c r="P53" s="97">
        <f>+FY13Revenue!F$17*GPpcntMjr*FY13Majors!P15</f>
        <v>0</v>
      </c>
      <c r="Q53" s="97">
        <f>+FY13Revenue!F$18*GPpcntMjr*FY13Majors!Q15</f>
        <v>0</v>
      </c>
      <c r="R53" s="97">
        <f>FY13Revenue!F$19*GPpcntMjr*FY13Majors!R15</f>
        <v>0</v>
      </c>
      <c r="S53" s="97">
        <f>FY13Revenue!F$20*GPpcntMjr*FY13Majors!S15</f>
        <v>0</v>
      </c>
      <c r="T53" s="97">
        <f>FY13Revenue!F$21*GPpcntMjr*FY13Majors!T15</f>
        <v>11600.739355216794</v>
      </c>
      <c r="U53" s="97">
        <f>FY13Revenue!F$22*GPpcntMjr*FY13Majors!U15</f>
        <v>0</v>
      </c>
      <c r="V53" s="97">
        <f>FY13Revenue!F$23*GPpcntMjr*FY13Majors!V15</f>
        <v>0</v>
      </c>
      <c r="W53" s="98">
        <f t="shared" si="23"/>
        <v>2654381.3910407261</v>
      </c>
    </row>
    <row r="54" spans="1:23" ht="15.95" customHeight="1">
      <c r="A54" s="96" t="s">
        <v>12</v>
      </c>
      <c r="B54" s="97">
        <f>+UGpcntDeg*FY13Majors!B16*FY13Revenue!F$3</f>
        <v>0</v>
      </c>
      <c r="C54" s="97">
        <f>+FY13Revenue!F$4*GPpcntMjr*FY13Majors!C16</f>
        <v>205378.0937460342</v>
      </c>
      <c r="D54" s="97">
        <f>+FY13Revenue!F$5*GPpcntMjr*FY13Majors!D16</f>
        <v>0</v>
      </c>
      <c r="E54" s="97">
        <f>+FY13Revenue!F$6*GPpcntMjr*FY13Majors!E16</f>
        <v>0</v>
      </c>
      <c r="F54" s="97">
        <f>+FY13Revenue!F$7*GPpcntMjr*FY13Majors!F16</f>
        <v>0</v>
      </c>
      <c r="G54" s="97">
        <f>+FY13Revenue!F$8*GPpcntMjr*FY13Majors!G16</f>
        <v>0</v>
      </c>
      <c r="H54" s="97">
        <f>+FY13Revenue!F$9*GPpcntMjr*FY13Majors!H16</f>
        <v>0</v>
      </c>
      <c r="I54" s="97">
        <f>+FY13Revenue!F$10*GPpcntMjr*FY13Majors!I16</f>
        <v>0</v>
      </c>
      <c r="J54" s="97">
        <f>+FY13Revenue!F$11*GPpcntMjr*FY13Majors!J16</f>
        <v>0</v>
      </c>
      <c r="K54" s="97">
        <f>+FY13Revenue!F$12*GPpcntMjr*FY13Majors!K16</f>
        <v>4308494.6472213315</v>
      </c>
      <c r="L54" s="97">
        <f>+FY13Revenue!F$13*GPpcntMjr*FY13Majors!L16</f>
        <v>0</v>
      </c>
      <c r="M54" s="97">
        <f>+FY13Revenue!F$14*GPpcntMjr*FY13Majors!M16</f>
        <v>0</v>
      </c>
      <c r="N54" s="97">
        <f>+FY13Revenue!F$15*GPpcntMjr*FY13Majors!N16</f>
        <v>0</v>
      </c>
      <c r="O54" s="97">
        <f>+FY13Revenue!F$16*GPpcntMjr*FY13Majors!O16</f>
        <v>0</v>
      </c>
      <c r="P54" s="97">
        <f>+FY13Revenue!F$17*GPpcntMjr*FY13Majors!P16</f>
        <v>0</v>
      </c>
      <c r="Q54" s="97">
        <f>+FY13Revenue!F$18*GPpcntMjr*FY13Majors!Q16</f>
        <v>0</v>
      </c>
      <c r="R54" s="97">
        <f>FY13Revenue!F$19*GPpcntMjr*FY13Majors!R16</f>
        <v>0</v>
      </c>
      <c r="S54" s="97">
        <f>FY13Revenue!F$20*GPpcntMjr*FY13Majors!S16</f>
        <v>0</v>
      </c>
      <c r="T54" s="97">
        <f>FY13Revenue!F$21*GPpcntMjr*FY13Majors!T16</f>
        <v>0</v>
      </c>
      <c r="U54" s="97">
        <f>FY13Revenue!F$22*GPpcntMjr*FY13Majors!U16</f>
        <v>0</v>
      </c>
      <c r="V54" s="97">
        <f>FY13Revenue!F$23*GPpcntMjr*FY13Majors!V16</f>
        <v>0</v>
      </c>
      <c r="W54" s="98">
        <f t="shared" si="23"/>
        <v>4513872.7409673659</v>
      </c>
    </row>
    <row r="55" spans="1:23" ht="15.95" customHeight="1">
      <c r="A55" s="96" t="s">
        <v>7</v>
      </c>
      <c r="B55" s="97">
        <f>+UGpcntDeg*FY13Majors!B17*FY13Revenue!F$3</f>
        <v>1834918.0548901977</v>
      </c>
      <c r="C55" s="97">
        <f>+FY13Revenue!F$4*GPpcntMjr*FY13Majors!C17</f>
        <v>20652.545739824669</v>
      </c>
      <c r="D55" s="97">
        <f>+FY13Revenue!F$5*GPpcntMjr*FY13Majors!D17</f>
        <v>0</v>
      </c>
      <c r="E55" s="97">
        <f>+FY13Revenue!F$6*GPpcntMjr*FY13Majors!E17</f>
        <v>1826393.9734158791</v>
      </c>
      <c r="F55" s="97">
        <f>+FY13Revenue!F$7*GPpcntMjr*FY13Majors!F17</f>
        <v>12898.356439366518</v>
      </c>
      <c r="G55" s="97">
        <f>+FY13Revenue!F$8*GPpcntMjr*FY13Majors!G17</f>
        <v>50045.312019368095</v>
      </c>
      <c r="H55" s="97">
        <f>+FY13Revenue!F$9*GPpcntMjr*FY13Majors!H17</f>
        <v>0</v>
      </c>
      <c r="I55" s="97">
        <f>+FY13Revenue!F$10*GPpcntMjr*FY13Majors!I17</f>
        <v>2786.8011071852197</v>
      </c>
      <c r="J55" s="97">
        <f>+FY13Revenue!F$11*GPpcntMjr*FY13Majors!J17</f>
        <v>20214.305648067617</v>
      </c>
      <c r="K55" s="97">
        <f>+FY13Revenue!F$12*GPpcntMjr*FY13Majors!K17</f>
        <v>0</v>
      </c>
      <c r="L55" s="97">
        <f>+FY13Revenue!F$13*GPpcntMjr*FY13Majors!L17</f>
        <v>28909.659375789139</v>
      </c>
      <c r="M55" s="97">
        <f>+FY13Revenue!F$14*GPpcntMjr*FY13Majors!M17</f>
        <v>81088.029169635731</v>
      </c>
      <c r="N55" s="97">
        <f>+FY13Revenue!F$15*GPpcntMjr*FY13Majors!N17</f>
        <v>0</v>
      </c>
      <c r="O55" s="97">
        <f>+FY13Revenue!F$16*GPpcntMjr*FY13Majors!O17</f>
        <v>725461.13111895625</v>
      </c>
      <c r="P55" s="97">
        <f>+FY13Revenue!F$17*GPpcntMjr*FY13Majors!P17</f>
        <v>17326.274080158826</v>
      </c>
      <c r="Q55" s="97">
        <f>+FY13Revenue!F$18*GPpcntMjr*FY13Majors!Q17</f>
        <v>0</v>
      </c>
      <c r="R55" s="97">
        <f>FY13Revenue!F$19*GPpcntMjr*FY13Majors!R17</f>
        <v>1669.3113572140769</v>
      </c>
      <c r="S55" s="97">
        <f>FY13Revenue!F$20*GPpcntMjr*FY13Majors!S17</f>
        <v>0</v>
      </c>
      <c r="T55" s="97">
        <f>FY13Revenue!F$21*GPpcntMjr*FY13Majors!T17</f>
        <v>0</v>
      </c>
      <c r="U55" s="97">
        <f>FY13Revenue!F$22*GPpcntMjr*FY13Majors!U17</f>
        <v>0</v>
      </c>
      <c r="V55" s="97">
        <f>FY13Revenue!F$23*GPpcntMjr*FY13Majors!V17</f>
        <v>0</v>
      </c>
      <c r="W55" s="98">
        <f t="shared" si="23"/>
        <v>4622363.7543616435</v>
      </c>
    </row>
    <row r="56" spans="1:23" ht="15.95" customHeight="1">
      <c r="A56" s="96" t="s">
        <v>16</v>
      </c>
      <c r="B56" s="97">
        <f>+UGpcntDeg*FY13Majors!B18*FY13Revenue!F$3</f>
        <v>485093.27887901786</v>
      </c>
      <c r="C56" s="97">
        <f>+FY13Revenue!F$4*GPpcntMjr*FY13Majors!C18</f>
        <v>0</v>
      </c>
      <c r="D56" s="97">
        <f>+FY13Revenue!F$5*GPpcntMjr*FY13Majors!D18</f>
        <v>0</v>
      </c>
      <c r="E56" s="97">
        <f>+FY13Revenue!F$6*GPpcntMjr*FY13Majors!E18</f>
        <v>12979.449557270207</v>
      </c>
      <c r="F56" s="97">
        <f>+FY13Revenue!F$7*GPpcntMjr*FY13Majors!F18</f>
        <v>0</v>
      </c>
      <c r="G56" s="97">
        <f>+FY13Revenue!F$8*GPpcntMjr*FY13Majors!G18</f>
        <v>0</v>
      </c>
      <c r="H56" s="97">
        <f>+FY13Revenue!F$9*GPpcntMjr*FY13Majors!H18</f>
        <v>0</v>
      </c>
      <c r="I56" s="97">
        <f>+FY13Revenue!F$10*GPpcntMjr*FY13Majors!I18</f>
        <v>0</v>
      </c>
      <c r="J56" s="97">
        <f>+FY13Revenue!F$11*GPpcntMjr*FY13Majors!J18</f>
        <v>0</v>
      </c>
      <c r="K56" s="97">
        <f>+FY13Revenue!F$12*GPpcntMjr*FY13Majors!K18</f>
        <v>0</v>
      </c>
      <c r="L56" s="97">
        <f>+FY13Revenue!F$13*GPpcntMjr*FY13Majors!L18</f>
        <v>0</v>
      </c>
      <c r="M56" s="97">
        <f>+FY13Revenue!F$14*GPpcntMjr*FY13Majors!M18</f>
        <v>0</v>
      </c>
      <c r="N56" s="97">
        <f>+FY13Revenue!F$15*GPpcntMjr*FY13Majors!N18</f>
        <v>0</v>
      </c>
      <c r="O56" s="97">
        <f>+FY13Revenue!F$16*GPpcntMjr*FY13Majors!O18</f>
        <v>0</v>
      </c>
      <c r="P56" s="97">
        <f>+FY13Revenue!F$17*GPpcntMjr*FY13Majors!P18</f>
        <v>0</v>
      </c>
      <c r="Q56" s="97">
        <f>+FY13Revenue!F$18*GPpcntMjr*FY13Majors!Q18</f>
        <v>0</v>
      </c>
      <c r="R56" s="97">
        <f>FY13Revenue!F$19*GPpcntMjr*FY13Majors!R18</f>
        <v>0</v>
      </c>
      <c r="S56" s="97">
        <f>FY13Revenue!F$20*GPpcntMjr*FY13Majors!S18</f>
        <v>0</v>
      </c>
      <c r="T56" s="97">
        <f>FY13Revenue!F$21*GPpcntMjr*FY13Majors!T18</f>
        <v>0</v>
      </c>
      <c r="U56" s="97">
        <f>FY13Revenue!F$22*GPpcntMjr*FY13Majors!U18</f>
        <v>0</v>
      </c>
      <c r="V56" s="97">
        <f>FY13Revenue!F$23*GPpcntMjr*FY13Majors!V18</f>
        <v>0</v>
      </c>
      <c r="W56" s="100">
        <f t="shared" si="23"/>
        <v>498072.72843628807</v>
      </c>
    </row>
    <row r="57" spans="1:23" ht="15.95" customHeight="1">
      <c r="A57" s="101" t="s">
        <v>15</v>
      </c>
      <c r="B57" s="102">
        <f>+UGpcntDeg*FY13Majors!B19*FY13Revenue!F$3</f>
        <v>516729.79706677981</v>
      </c>
      <c r="C57" s="102">
        <f>+FY13Revenue!F$4*GPpcntMjr*FY13Majors!C19</f>
        <v>1037216.7416000834</v>
      </c>
      <c r="D57" s="102">
        <f>+FY13Revenue!F$5*GPpcntMjr*FY13Majors!D19</f>
        <v>0</v>
      </c>
      <c r="E57" s="102">
        <f>+FY13Revenue!F$6*GPpcntMjr*FY13Majors!E19</f>
        <v>113106.6318562118</v>
      </c>
      <c r="F57" s="102">
        <f>+FY13Revenue!F$7*GPpcntMjr*FY13Majors!F19</f>
        <v>12898.356439366518</v>
      </c>
      <c r="G57" s="102">
        <f>+FY13Revenue!F$8*GPpcntMjr*FY13Majors!G19</f>
        <v>0</v>
      </c>
      <c r="H57" s="102">
        <f>+FY13Revenue!F$9*GPpcntMjr*FY13Majors!H19</f>
        <v>0</v>
      </c>
      <c r="I57" s="102">
        <f>+FY13Revenue!F$10*GPpcntMjr*FY13Majors!I19</f>
        <v>103111.64096585313</v>
      </c>
      <c r="J57" s="102">
        <f>+FY13Revenue!F$11*GPpcntMjr*FY13Majors!J19</f>
        <v>0</v>
      </c>
      <c r="K57" s="102">
        <f>+FY13Revenue!F$12*GPpcntMjr*FY13Majors!K19</f>
        <v>0</v>
      </c>
      <c r="L57" s="102">
        <f>+FY13Revenue!F$13*GPpcntMjr*FY13Majors!L19</f>
        <v>0</v>
      </c>
      <c r="M57" s="102">
        <f>+FY13Revenue!F$14*GPpcntMjr*FY13Majors!M19</f>
        <v>121632.04375445357</v>
      </c>
      <c r="N57" s="102">
        <f>+FY13Revenue!F$15*GPpcntMjr*FY13Majors!N19</f>
        <v>0</v>
      </c>
      <c r="O57" s="102">
        <f>+FY13Revenue!F$16*GPpcntMjr*FY13Majors!O19</f>
        <v>13891.808893767247</v>
      </c>
      <c r="P57" s="102">
        <f>+FY13Revenue!F$17*GPpcntMjr*FY13Majors!P19</f>
        <v>0</v>
      </c>
      <c r="Q57" s="102">
        <f>+FY13Revenue!F$18*GPpcntMjr*FY13Majors!Q19</f>
        <v>0</v>
      </c>
      <c r="R57" s="102">
        <f>FY13Revenue!F$19*GPpcntMjr*FY13Majors!R19</f>
        <v>5007.9340716422312</v>
      </c>
      <c r="S57" s="102">
        <f>FY13Revenue!F$20*GPpcntMjr*FY13Majors!S19</f>
        <v>6810.3535867659702</v>
      </c>
      <c r="T57" s="102">
        <f>FY13Revenue!F$21*GPpcntMjr*FY13Majors!T19</f>
        <v>23201.478710433588</v>
      </c>
      <c r="U57" s="102">
        <f>FY13Revenue!F$22*GPpcntMjr*FY13Majors!U19</f>
        <v>0</v>
      </c>
      <c r="V57" s="102">
        <f>FY13Revenue!F$23*GPpcntMjr*FY13Majors!V19</f>
        <v>0</v>
      </c>
      <c r="W57" s="103">
        <f t="shared" si="23"/>
        <v>1953606.7869453572</v>
      </c>
    </row>
    <row r="58" spans="1:23" ht="15.95" customHeight="1">
      <c r="A58" s="104" t="s">
        <v>34</v>
      </c>
      <c r="B58" s="105">
        <f t="shared" ref="B58:W58" si="24">SUM(B41:B55)+B56+B57</f>
        <v>95658285.493729815</v>
      </c>
      <c r="C58" s="105">
        <f t="shared" si="24"/>
        <v>10957322.8786292</v>
      </c>
      <c r="D58" s="105">
        <f t="shared" si="24"/>
        <v>1433829.8229160754</v>
      </c>
      <c r="E58" s="105">
        <f t="shared" si="24"/>
        <v>7529934.9502963293</v>
      </c>
      <c r="F58" s="105">
        <f t="shared" si="24"/>
        <v>2923627.4595897435</v>
      </c>
      <c r="G58" s="105">
        <f t="shared" si="24"/>
        <v>3333017.7804899155</v>
      </c>
      <c r="H58" s="105">
        <f t="shared" si="24"/>
        <v>33794.047884799998</v>
      </c>
      <c r="I58" s="105">
        <f t="shared" si="24"/>
        <v>2814669.1182570732</v>
      </c>
      <c r="J58" s="105">
        <f t="shared" si="24"/>
        <v>854776.35311828763</v>
      </c>
      <c r="K58" s="105">
        <f t="shared" si="24"/>
        <v>4308494.6472213315</v>
      </c>
      <c r="L58" s="105">
        <f t="shared" si="24"/>
        <v>8171797.0502230627</v>
      </c>
      <c r="M58" s="105">
        <f t="shared" si="24"/>
        <v>9884630.7557785939</v>
      </c>
      <c r="N58" s="105">
        <f t="shared" si="24"/>
        <v>3558244.8096480924</v>
      </c>
      <c r="O58" s="105">
        <f t="shared" si="24"/>
        <v>958534.81366994011</v>
      </c>
      <c r="P58" s="105">
        <f t="shared" si="24"/>
        <v>1925691.6049090812</v>
      </c>
      <c r="Q58" s="105">
        <f t="shared" si="24"/>
        <v>578591.00385298592</v>
      </c>
      <c r="R58" s="105">
        <f t="shared" si="24"/>
        <v>2712630.9554728749</v>
      </c>
      <c r="S58" s="105">
        <f t="shared" si="24"/>
        <v>2152071.7334180465</v>
      </c>
      <c r="T58" s="105">
        <f t="shared" si="24"/>
        <v>1158623.8431022773</v>
      </c>
      <c r="U58" s="105">
        <f t="shared" si="24"/>
        <v>86249.755200000014</v>
      </c>
      <c r="V58" s="105">
        <f t="shared" si="24"/>
        <v>95425.478400000007</v>
      </c>
      <c r="W58" s="106">
        <f t="shared" si="24"/>
        <v>161130244.35580745</v>
      </c>
    </row>
    <row r="59" spans="1:23" ht="15.95" customHeight="1">
      <c r="A59" s="76"/>
      <c r="B59" s="8"/>
    </row>
    <row r="60" spans="1:23" ht="15.95" customHeight="1">
      <c r="B60" s="8"/>
    </row>
    <row r="62" spans="1:23" ht="27.75" customHeight="1">
      <c r="B62" s="34" t="s">
        <v>21</v>
      </c>
      <c r="C62" s="34" t="s">
        <v>22</v>
      </c>
      <c r="D62" s="34" t="s">
        <v>23</v>
      </c>
      <c r="E62" s="34" t="s">
        <v>24</v>
      </c>
      <c r="F62" s="34" t="s">
        <v>25</v>
      </c>
      <c r="G62" s="34" t="s">
        <v>26</v>
      </c>
      <c r="H62" s="34" t="s">
        <v>27</v>
      </c>
      <c r="I62" s="34" t="s">
        <v>28</v>
      </c>
      <c r="J62" s="34" t="s">
        <v>29</v>
      </c>
      <c r="K62" s="34" t="s">
        <v>30</v>
      </c>
      <c r="L62" s="34" t="s">
        <v>31</v>
      </c>
      <c r="M62" s="34" t="s">
        <v>32</v>
      </c>
      <c r="N62" s="34" t="s">
        <v>33</v>
      </c>
      <c r="O62" s="34" t="s">
        <v>49</v>
      </c>
      <c r="P62" s="34" t="s">
        <v>70</v>
      </c>
      <c r="Q62" s="34" t="s">
        <v>79</v>
      </c>
      <c r="R62" s="107" t="s">
        <v>88</v>
      </c>
      <c r="S62" s="107" t="s">
        <v>89</v>
      </c>
      <c r="T62" s="107" t="s">
        <v>90</v>
      </c>
      <c r="U62" s="107" t="s">
        <v>91</v>
      </c>
      <c r="V62" s="107" t="s">
        <v>92</v>
      </c>
      <c r="W62" s="35" t="s">
        <v>17</v>
      </c>
    </row>
    <row r="63" spans="1:23" ht="15.95" customHeight="1">
      <c r="B63" s="8">
        <f>+B31-FY13ProjRevToColl!B31</f>
        <v>-19151.527265072451</v>
      </c>
      <c r="C63" s="8">
        <f>+C31-FY13ProjRevToColl!C31</f>
        <v>100.16562416919578</v>
      </c>
      <c r="D63" s="8">
        <f>+D31-FY13ProjRevToColl!D31</f>
        <v>-9789.9969153683123</v>
      </c>
      <c r="E63" s="8">
        <f>+E31-FY13ProjRevToColl!E31</f>
        <v>317.32270457831135</v>
      </c>
      <c r="F63" s="8">
        <f>+F31-FY13ProjRevToColl!F31</f>
        <v>0</v>
      </c>
      <c r="G63" s="8">
        <f>+G31-FY13ProjRevToColl!G31</f>
        <v>-3996.4978722347182</v>
      </c>
      <c r="H63" s="8">
        <f>+H31-FY13ProjRevToColl!H31</f>
        <v>0</v>
      </c>
      <c r="I63" s="8">
        <f>+I31-FY13ProjRevToColl!I31</f>
        <v>131.68952334806437</v>
      </c>
      <c r="J63" s="8">
        <f>+J31-FY13ProjRevToColl!J31</f>
        <v>158.38799046593397</v>
      </c>
      <c r="K63" s="8">
        <f>+K31-FY13ProjRevToColl!K31</f>
        <v>0</v>
      </c>
      <c r="L63" s="8">
        <f>+L31-FY13ProjRevToColl!L31</f>
        <v>0</v>
      </c>
      <c r="M63" s="8">
        <f>+M31-FY13ProjRevToColl!M31</f>
        <v>0</v>
      </c>
      <c r="N63" s="8">
        <f>+N31-FY13ProjRevToColl!N31</f>
        <v>0</v>
      </c>
      <c r="O63" s="8">
        <f>+O31-FY13ProjRevToColl!O31</f>
        <v>1075.9606036452374</v>
      </c>
      <c r="P63" s="8">
        <f>+P31-FY13ProjRevToColl!P31</f>
        <v>-47741.899967911653</v>
      </c>
      <c r="Q63" s="8">
        <f>+Q31-FY13ProjRevToColl!Q31</f>
        <v>0</v>
      </c>
      <c r="R63" s="8">
        <f>+R31-FY13ProjRevToColl!R31</f>
        <v>-1126.7589000103235</v>
      </c>
      <c r="S63" s="8">
        <f>+S31-FY13ProjRevToColl!S31</f>
        <v>-174.89842090110301</v>
      </c>
      <c r="T63" s="8">
        <f>+T31-FY13ProjRevToColl!T31</f>
        <v>1664.4561165800058</v>
      </c>
      <c r="U63" s="8">
        <f>+U31-FY13ProjRevToColl!U31</f>
        <v>0</v>
      </c>
      <c r="V63" s="8">
        <f>+V31-FY13ProjRevToColl!V31</f>
        <v>0</v>
      </c>
      <c r="W63" s="8">
        <f>+W31-FY13ProjRevToColl!W31</f>
        <v>-78533.596778711886</v>
      </c>
    </row>
    <row r="64" spans="1:23" ht="15.95" customHeight="1">
      <c r="B64" s="8">
        <f>+B50-FY13ProjRevToColl!B50</f>
        <v>130645.4266577728</v>
      </c>
      <c r="C64" s="8">
        <f>+C50-FY13ProjRevToColl!C50</f>
        <v>0</v>
      </c>
      <c r="D64" s="8">
        <f>+D50-FY13ProjRevToColl!D50</f>
        <v>-40822.182069323113</v>
      </c>
      <c r="E64" s="8">
        <f>+E50-FY13ProjRevToColl!E50</f>
        <v>0</v>
      </c>
      <c r="F64" s="8">
        <f>+F50-FY13ProjRevToColl!F50</f>
        <v>0</v>
      </c>
      <c r="G64" s="8">
        <f>+G50-FY13ProjRevToColl!G50</f>
        <v>-7143.8042892755848</v>
      </c>
      <c r="H64" s="8">
        <f>+H50-FY13ProjRevToColl!H50</f>
        <v>0</v>
      </c>
      <c r="I64" s="8">
        <f>+I50-FY13ProjRevToColl!I50</f>
        <v>0</v>
      </c>
      <c r="J64" s="8">
        <f>+J50-FY13ProjRevToColl!J50</f>
        <v>0</v>
      </c>
      <c r="K64" s="8">
        <f>+K50-FY13ProjRevToColl!K50</f>
        <v>0</v>
      </c>
      <c r="L64" s="8">
        <f>+L50-FY13ProjRevToColl!L50</f>
        <v>0</v>
      </c>
      <c r="M64" s="8">
        <f>+M50-FY13ProjRevToColl!M50</f>
        <v>0</v>
      </c>
      <c r="N64" s="8">
        <f>+N50-FY13ProjRevToColl!N50</f>
        <v>0</v>
      </c>
      <c r="O64" s="8">
        <f>+O50-FY13ProjRevToColl!O50</f>
        <v>7837.1047714601791</v>
      </c>
      <c r="P64" s="8">
        <f>+P50-FY13ProjRevToColl!P50</f>
        <v>-252667.00357334269</v>
      </c>
      <c r="Q64" s="8">
        <f>+Q50-FY13ProjRevToColl!Q50</f>
        <v>0</v>
      </c>
      <c r="R64" s="8">
        <f>+R50-FY13ProjRevToColl!R50</f>
        <v>0</v>
      </c>
      <c r="S64" s="8">
        <f>+S50-FY13ProjRevToColl!S50</f>
        <v>0</v>
      </c>
      <c r="T64" s="8">
        <f>+T50-FY13ProjRevToColl!T50</f>
        <v>0</v>
      </c>
      <c r="U64" s="8">
        <f>+U50-FY13ProjRevToColl!U50</f>
        <v>0</v>
      </c>
      <c r="V64" s="8">
        <f>+V50-FY13ProjRevToColl!V50</f>
        <v>0</v>
      </c>
      <c r="W64" s="8">
        <f>+W50-FY13ProjRevToColl!W50</f>
        <v>-162150.458502708</v>
      </c>
    </row>
  </sheetData>
  <mergeCells count="3">
    <mergeCell ref="A1:W1"/>
    <mergeCell ref="A21:W21"/>
    <mergeCell ref="A40:W40"/>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rowBreaks count="2" manualBreakCount="2">
    <brk id="20" max="22" man="1"/>
    <brk id="39"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5"/>
  <sheetViews>
    <sheetView topLeftCell="B5" workbookViewId="0">
      <selection activeCell="G23" sqref="G23:G24"/>
    </sheetView>
  </sheetViews>
  <sheetFormatPr defaultColWidth="8.85546875" defaultRowHeight="15"/>
  <cols>
    <col min="1" max="1" width="47.7109375" style="32" customWidth="1"/>
    <col min="2" max="2" width="15.42578125" style="32" customWidth="1"/>
    <col min="3" max="4" width="18.42578125" style="32" customWidth="1"/>
    <col min="5" max="5" width="18.140625" style="32" customWidth="1"/>
    <col min="6" max="6" width="18.7109375" style="32" customWidth="1"/>
    <col min="7" max="7" width="28.42578125" style="32" customWidth="1"/>
    <col min="8" max="8" width="37.42578125" style="32" customWidth="1"/>
    <col min="9" max="9" width="13.42578125" style="32" hidden="1" customWidth="1"/>
    <col min="10" max="10" width="13.140625" style="32" hidden="1" customWidth="1"/>
    <col min="11" max="11" width="14.85546875" style="32" hidden="1" customWidth="1"/>
    <col min="12" max="12" width="18" style="32" hidden="1" customWidth="1"/>
    <col min="13" max="13" width="13" hidden="1" customWidth="1"/>
    <col min="15" max="15" width="37.140625" customWidth="1"/>
    <col min="16" max="16" width="24.85546875" customWidth="1"/>
    <col min="17" max="17" width="21.7109375" customWidth="1"/>
    <col min="18" max="18" width="15.42578125" style="32" customWidth="1"/>
    <col min="19" max="21" width="8.85546875" style="32"/>
    <col min="22" max="22" width="11.85546875" style="32" bestFit="1" customWidth="1"/>
    <col min="23" max="23" width="8.85546875" style="32"/>
    <col min="24" max="24" width="12.42578125" style="32" customWidth="1"/>
    <col min="25" max="16384" width="8.85546875" style="32"/>
  </cols>
  <sheetData>
    <row r="1" spans="1:24" ht="28.5" customHeight="1">
      <c r="A1" s="635" t="s">
        <v>411</v>
      </c>
      <c r="B1" s="635"/>
      <c r="C1" s="635"/>
      <c r="D1" s="635"/>
      <c r="E1" s="635"/>
      <c r="F1" s="635"/>
    </row>
    <row r="2" spans="1:24" s="2" customFormat="1" ht="30">
      <c r="A2" s="162" t="s">
        <v>103</v>
      </c>
      <c r="B2" s="64" t="s">
        <v>120</v>
      </c>
      <c r="C2" s="64" t="s">
        <v>121</v>
      </c>
      <c r="D2" s="163" t="s">
        <v>123</v>
      </c>
      <c r="E2" s="64" t="s">
        <v>122</v>
      </c>
      <c r="F2" s="63" t="s">
        <v>81</v>
      </c>
      <c r="G2" s="169"/>
      <c r="H2" s="592"/>
      <c r="I2" s="170" t="s">
        <v>125</v>
      </c>
      <c r="J2" s="170" t="s">
        <v>126</v>
      </c>
      <c r="K2" s="32"/>
      <c r="M2"/>
      <c r="N2"/>
      <c r="O2"/>
      <c r="P2"/>
      <c r="Q2"/>
      <c r="R2"/>
      <c r="S2"/>
      <c r="T2"/>
      <c r="U2"/>
      <c r="V2"/>
      <c r="X2"/>
    </row>
    <row r="3" spans="1:24" ht="15.95" customHeight="1">
      <c r="A3" s="156" t="s">
        <v>21</v>
      </c>
      <c r="B3" s="164">
        <v>25487.566666561332</v>
      </c>
      <c r="C3" s="166">
        <v>354148733.90617788</v>
      </c>
      <c r="D3" s="159">
        <v>12512000</v>
      </c>
      <c r="E3" s="14">
        <f>+C3-D3</f>
        <v>341636733.90617788</v>
      </c>
      <c r="F3" s="51">
        <f>0.7*E3</f>
        <v>239145713.73432449</v>
      </c>
      <c r="I3" s="153">
        <f>+B3-FY13ProjRev!J3</f>
        <v>25487.566666561332</v>
      </c>
      <c r="J3" s="8">
        <f>+E3-FY13ProjRev!C3</f>
        <v>17648922.657138944</v>
      </c>
      <c r="R3"/>
      <c r="S3"/>
      <c r="T3"/>
      <c r="U3"/>
      <c r="V3"/>
      <c r="X3"/>
    </row>
    <row r="4" spans="1:24" ht="15.95" customHeight="1">
      <c r="A4" s="156" t="s">
        <v>35</v>
      </c>
      <c r="B4" s="164">
        <v>3067.3944444276726</v>
      </c>
      <c r="C4" s="166">
        <v>19566647.997552145</v>
      </c>
      <c r="D4" s="159"/>
      <c r="E4" s="14">
        <f t="shared" ref="E4:E23" si="0">+C4-D4</f>
        <v>19566647.997552145</v>
      </c>
      <c r="F4" s="51">
        <f t="shared" ref="F4:F23" si="1">0.7*E4</f>
        <v>13696653.5982865</v>
      </c>
      <c r="I4" s="153">
        <f>+B4-FY13ProjRev!J4</f>
        <v>3067.3944444276726</v>
      </c>
      <c r="J4" s="8">
        <f>+E4-FY13ProjRev!C4</f>
        <v>-1807570.865865171</v>
      </c>
      <c r="R4"/>
      <c r="S4"/>
      <c r="T4"/>
      <c r="U4"/>
      <c r="V4"/>
      <c r="X4"/>
    </row>
    <row r="5" spans="1:24" ht="15.95" customHeight="1">
      <c r="A5" s="156" t="s">
        <v>36</v>
      </c>
      <c r="B5" s="164">
        <v>242.04999999820012</v>
      </c>
      <c r="C5" s="166">
        <v>2560410.3980644201</v>
      </c>
      <c r="D5" s="159"/>
      <c r="E5" s="14">
        <f t="shared" si="0"/>
        <v>2560410.3980644201</v>
      </c>
      <c r="F5" s="51">
        <f t="shared" si="1"/>
        <v>1792287.278645094</v>
      </c>
      <c r="I5" s="153">
        <f>+B5-FY13ProjRev!J5</f>
        <v>242.04999999820012</v>
      </c>
      <c r="J5" s="8">
        <f>+E5-FY13ProjRev!C5</f>
        <v>121176.10135741765</v>
      </c>
      <c r="R5"/>
      <c r="S5"/>
      <c r="T5"/>
      <c r="U5"/>
      <c r="V5"/>
      <c r="X5"/>
    </row>
    <row r="6" spans="1:24" ht="15.95" customHeight="1">
      <c r="A6" s="156" t="s">
        <v>37</v>
      </c>
      <c r="B6" s="164">
        <v>1368.8333333158309</v>
      </c>
      <c r="C6" s="166">
        <v>13446312.411243444</v>
      </c>
      <c r="D6" s="159"/>
      <c r="E6" s="14">
        <f t="shared" si="0"/>
        <v>13446312.411243444</v>
      </c>
      <c r="F6" s="51">
        <f t="shared" si="1"/>
        <v>9412418.6878704112</v>
      </c>
      <c r="I6" s="153">
        <f>+B6-FY13ProjRev!J6</f>
        <v>1368.8333333158309</v>
      </c>
      <c r="J6" s="8">
        <f>+E6-FY13ProjRev!C6</f>
        <v>449528.86448744312</v>
      </c>
      <c r="R6"/>
      <c r="S6"/>
      <c r="T6"/>
      <c r="U6"/>
      <c r="V6"/>
      <c r="X6"/>
    </row>
    <row r="7" spans="1:24" ht="15.95" customHeight="1">
      <c r="A7" s="156" t="s">
        <v>38</v>
      </c>
      <c r="B7" s="164">
        <v>325.18888888490005</v>
      </c>
      <c r="C7" s="166">
        <v>5220763.3206959711</v>
      </c>
      <c r="D7" s="159"/>
      <c r="E7" s="14">
        <f t="shared" si="0"/>
        <v>5220763.3206959711</v>
      </c>
      <c r="F7" s="51">
        <f t="shared" si="1"/>
        <v>3654534.3244871795</v>
      </c>
      <c r="I7" s="153">
        <f>+B7-FY13ProjRev!J7</f>
        <v>325.18888888490005</v>
      </c>
      <c r="J7" s="8">
        <f>+E7-FY13ProjRev!C7</f>
        <v>-682990.18965092488</v>
      </c>
      <c r="R7"/>
      <c r="S7"/>
      <c r="T7"/>
      <c r="U7"/>
      <c r="V7"/>
      <c r="X7"/>
    </row>
    <row r="8" spans="1:24" ht="15.95" customHeight="1">
      <c r="A8" s="156" t="s">
        <v>39</v>
      </c>
      <c r="B8" s="164">
        <v>420.21111110153083</v>
      </c>
      <c r="C8" s="166">
        <v>5951817.4651605627</v>
      </c>
      <c r="D8" s="159"/>
      <c r="E8" s="14">
        <f t="shared" si="0"/>
        <v>5951817.4651605627</v>
      </c>
      <c r="F8" s="51">
        <f t="shared" si="1"/>
        <v>4166272.2256123936</v>
      </c>
      <c r="I8" s="153">
        <f>+B8-FY13ProjRev!J8</f>
        <v>420.21111110153083</v>
      </c>
      <c r="J8" s="8">
        <f>+E8-FY13ProjRev!C8</f>
        <v>462202.35353686474</v>
      </c>
      <c r="R8"/>
      <c r="S8"/>
      <c r="T8"/>
      <c r="U8"/>
      <c r="V8"/>
      <c r="X8"/>
    </row>
    <row r="9" spans="1:24" ht="15.95" customHeight="1">
      <c r="A9" s="156" t="s">
        <v>40</v>
      </c>
      <c r="B9" s="164">
        <v>6.3999999999499995</v>
      </c>
      <c r="C9" s="166">
        <v>60346.514080000008</v>
      </c>
      <c r="D9" s="159"/>
      <c r="E9" s="14">
        <f t="shared" si="0"/>
        <v>60346.514080000008</v>
      </c>
      <c r="F9" s="51">
        <f t="shared" si="1"/>
        <v>42242.559856</v>
      </c>
      <c r="I9" s="153">
        <f>+B9-FY13ProjRev!J9</f>
        <v>6.3999999999499995</v>
      </c>
      <c r="J9" s="8">
        <f>+E9-FY13ProjRev!C9</f>
        <v>-263411.59470374457</v>
      </c>
      <c r="R9"/>
      <c r="S9"/>
      <c r="T9"/>
      <c r="U9"/>
      <c r="V9"/>
      <c r="X9"/>
    </row>
    <row r="10" spans="1:24" ht="15.95" customHeight="1">
      <c r="A10" s="156" t="s">
        <v>41</v>
      </c>
      <c r="B10" s="164">
        <v>328.74444444492997</v>
      </c>
      <c r="C10" s="166">
        <v>5026194.8540304862</v>
      </c>
      <c r="D10" s="159"/>
      <c r="E10" s="14">
        <f t="shared" si="0"/>
        <v>5026194.8540304862</v>
      </c>
      <c r="F10" s="51">
        <f t="shared" si="1"/>
        <v>3518336.3978213402</v>
      </c>
      <c r="I10" s="153">
        <f>+B10-FY13ProjRev!J10</f>
        <v>328.74444444492997</v>
      </c>
      <c r="J10" s="8">
        <f>+E10-FY13ProjRev!C10</f>
        <v>-1299477.0268177716</v>
      </c>
      <c r="R10"/>
      <c r="S10"/>
      <c r="T10"/>
      <c r="U10"/>
      <c r="V10"/>
      <c r="X10"/>
    </row>
    <row r="11" spans="1:24" ht="15.95" customHeight="1">
      <c r="A11" s="156" t="s">
        <v>19</v>
      </c>
      <c r="B11" s="164">
        <v>89.70000000001005</v>
      </c>
      <c r="C11" s="166">
        <v>1526386.344854085</v>
      </c>
      <c r="D11" s="159"/>
      <c r="E11" s="14">
        <f t="shared" si="0"/>
        <v>1526386.344854085</v>
      </c>
      <c r="F11" s="51">
        <f t="shared" si="1"/>
        <v>1068470.4413978595</v>
      </c>
      <c r="I11" s="153">
        <f>+B11-FY13ProjRev!J11</f>
        <v>89.70000000001005</v>
      </c>
      <c r="J11" s="8">
        <f>+E11-FY13ProjRev!C11</f>
        <v>-246515.52018064237</v>
      </c>
      <c r="R11"/>
      <c r="S11"/>
      <c r="T11"/>
      <c r="U11"/>
      <c r="V11"/>
      <c r="X11"/>
    </row>
    <row r="12" spans="1:24" ht="15.95" customHeight="1">
      <c r="A12" s="156" t="s">
        <v>42</v>
      </c>
      <c r="B12" s="164">
        <v>577.44999999928916</v>
      </c>
      <c r="C12" s="166">
        <v>7693740.441466663</v>
      </c>
      <c r="D12" s="159"/>
      <c r="E12" s="14">
        <f t="shared" si="0"/>
        <v>7693740.441466663</v>
      </c>
      <c r="F12" s="51">
        <f t="shared" si="1"/>
        <v>5385618.3090266641</v>
      </c>
      <c r="I12" s="153">
        <f>+B12-FY13ProjRev!J12</f>
        <v>577.44999999928916</v>
      </c>
      <c r="J12" s="8">
        <f>+E12-FY13ProjRev!C12</f>
        <v>-546530.55308609642</v>
      </c>
      <c r="R12"/>
      <c r="S12"/>
      <c r="T12"/>
      <c r="U12"/>
      <c r="V12"/>
      <c r="X12"/>
    </row>
    <row r="13" spans="1:24" ht="15.95" customHeight="1">
      <c r="A13" s="156" t="s">
        <v>31</v>
      </c>
      <c r="B13" s="164">
        <v>808.11111110834167</v>
      </c>
      <c r="C13" s="166">
        <v>14592494.732541181</v>
      </c>
      <c r="D13" s="159"/>
      <c r="E13" s="14">
        <f t="shared" si="0"/>
        <v>14592494.732541181</v>
      </c>
      <c r="F13" s="51">
        <f t="shared" si="1"/>
        <v>10214746.312778827</v>
      </c>
      <c r="I13" s="153">
        <f>+B13-FY13ProjRev!J13</f>
        <v>808.11111110834167</v>
      </c>
      <c r="J13" s="8">
        <f>+E13-FY13ProjRev!C13</f>
        <v>-281341.25008971617</v>
      </c>
      <c r="R13"/>
      <c r="S13"/>
      <c r="T13"/>
      <c r="U13"/>
      <c r="V13"/>
      <c r="X13"/>
    </row>
    <row r="14" spans="1:24" ht="15.95" customHeight="1">
      <c r="A14" s="156" t="s">
        <v>20</v>
      </c>
      <c r="B14" s="164">
        <v>1420.1333333274581</v>
      </c>
      <c r="C14" s="166">
        <v>17651126.349604633</v>
      </c>
      <c r="D14" s="159"/>
      <c r="E14" s="14">
        <f t="shared" si="0"/>
        <v>17651126.349604633</v>
      </c>
      <c r="F14" s="51">
        <f t="shared" si="1"/>
        <v>12355788.444723243</v>
      </c>
      <c r="I14" s="153">
        <f>+B14-FY13ProjRev!J14</f>
        <v>1420.1333333274581</v>
      </c>
      <c r="J14" s="8">
        <f>+E14-FY13ProjRev!C14</f>
        <v>-58627.130131848156</v>
      </c>
      <c r="R14"/>
      <c r="S14"/>
      <c r="T14"/>
      <c r="U14"/>
      <c r="V14"/>
      <c r="X14"/>
    </row>
    <row r="15" spans="1:24" ht="15.95" customHeight="1">
      <c r="A15" s="156" t="s">
        <v>18</v>
      </c>
      <c r="B15" s="164">
        <v>525.89999999118891</v>
      </c>
      <c r="C15" s="166">
        <v>6354008.5886573074</v>
      </c>
      <c r="D15" s="159"/>
      <c r="E15" s="14">
        <f t="shared" si="0"/>
        <v>6354008.5886573074</v>
      </c>
      <c r="F15" s="51">
        <f t="shared" si="1"/>
        <v>4447806.0120601151</v>
      </c>
      <c r="I15" s="153">
        <f>+B15-FY13ProjRev!J15</f>
        <v>525.89999999118891</v>
      </c>
      <c r="J15" s="8">
        <f>+E15-FY13ProjRev!C15</f>
        <v>-155268.14341694489</v>
      </c>
      <c r="R15"/>
      <c r="S15"/>
      <c r="T15"/>
      <c r="U15"/>
      <c r="V15"/>
      <c r="X15"/>
    </row>
    <row r="16" spans="1:24" ht="15.95" customHeight="1">
      <c r="A16" s="156" t="s">
        <v>49</v>
      </c>
      <c r="B16" s="164">
        <v>176.76111110841998</v>
      </c>
      <c r="C16" s="166">
        <v>1711669.310124893</v>
      </c>
      <c r="D16" s="159"/>
      <c r="E16" s="14">
        <f t="shared" si="0"/>
        <v>1711669.310124893</v>
      </c>
      <c r="F16" s="51">
        <f t="shared" si="1"/>
        <v>1198168.5170874251</v>
      </c>
      <c r="I16" s="153">
        <f>+B16-FY13ProjRev!J16</f>
        <v>176.76111110841998</v>
      </c>
      <c r="J16" s="8">
        <f>+E16-FY13ProjRev!C16</f>
        <v>-677776.42385700322</v>
      </c>
      <c r="R16"/>
      <c r="S16"/>
      <c r="T16"/>
      <c r="U16"/>
      <c r="V16"/>
      <c r="X16"/>
    </row>
    <row r="17" spans="1:24" ht="15.95" customHeight="1">
      <c r="A17" s="156" t="s">
        <v>68</v>
      </c>
      <c r="B17" s="164">
        <v>325.32222222089126</v>
      </c>
      <c r="C17" s="166">
        <v>3438735.0087662158</v>
      </c>
      <c r="D17" s="159"/>
      <c r="E17" s="14">
        <f t="shared" si="0"/>
        <v>3438735.0087662158</v>
      </c>
      <c r="F17" s="51">
        <f t="shared" si="1"/>
        <v>2407114.5061363508</v>
      </c>
      <c r="I17" s="153">
        <f>+B17-FY13ProjRev!J17</f>
        <v>325.32222222089126</v>
      </c>
      <c r="J17" s="8">
        <f>+E17-FY13ProjRev!C17</f>
        <v>-367515.57078189868</v>
      </c>
      <c r="R17"/>
      <c r="S17"/>
      <c r="T17"/>
      <c r="U17"/>
      <c r="V17"/>
      <c r="X17"/>
    </row>
    <row r="18" spans="1:24" ht="15.95" customHeight="1">
      <c r="A18" s="156" t="s">
        <v>79</v>
      </c>
      <c r="B18" s="164">
        <v>53.78888888882998</v>
      </c>
      <c r="C18" s="166">
        <v>1033198.2211660463</v>
      </c>
      <c r="D18" s="159"/>
      <c r="E18" s="14">
        <f t="shared" si="0"/>
        <v>1033198.2211660463</v>
      </c>
      <c r="F18" s="51">
        <f t="shared" si="1"/>
        <v>723238.75481623237</v>
      </c>
      <c r="I18" s="153">
        <f>+B18-FY13ProjRev!J18</f>
        <v>53.78888888882998</v>
      </c>
      <c r="J18" s="8">
        <f>+E18-FY13ProjRev!C18</f>
        <v>117405.80066909036</v>
      </c>
      <c r="R18"/>
      <c r="S18"/>
      <c r="T18"/>
      <c r="U18"/>
      <c r="V18"/>
      <c r="X18"/>
    </row>
    <row r="19" spans="1:24" ht="15.95" customHeight="1">
      <c r="A19" s="156" t="s">
        <v>82</v>
      </c>
      <c r="B19" s="164">
        <v>557.61111110643947</v>
      </c>
      <c r="C19" s="166">
        <v>4843983.8490587063</v>
      </c>
      <c r="D19" s="159"/>
      <c r="E19" s="14">
        <f t="shared" si="0"/>
        <v>4843983.8490587063</v>
      </c>
      <c r="F19" s="51">
        <f t="shared" si="1"/>
        <v>3390788.6943410942</v>
      </c>
      <c r="I19" s="153">
        <f>+B19-FY13ProjRev!J19</f>
        <v>557.61111110643947</v>
      </c>
      <c r="J19" s="8">
        <f>+E19-FY13ProjRev!C19</f>
        <v>-211861.04279796127</v>
      </c>
      <c r="R19"/>
      <c r="S19"/>
      <c r="T19"/>
      <c r="U19"/>
      <c r="V19"/>
      <c r="X19"/>
    </row>
    <row r="20" spans="1:24" ht="15.95" customHeight="1">
      <c r="A20" s="156" t="s">
        <v>83</v>
      </c>
      <c r="B20" s="164">
        <v>396.79999999895097</v>
      </c>
      <c r="C20" s="166">
        <v>3842985.2382465112</v>
      </c>
      <c r="D20" s="159"/>
      <c r="E20" s="14">
        <f t="shared" si="0"/>
        <v>3842985.2382465112</v>
      </c>
      <c r="F20" s="51">
        <f t="shared" si="1"/>
        <v>2690089.6667725579</v>
      </c>
      <c r="I20" s="153">
        <f>+B20-FY13ProjRev!J20</f>
        <v>396.79999999895097</v>
      </c>
      <c r="J20" s="8">
        <f>+E20-FY13ProjRev!C20</f>
        <v>-136470.78381628916</v>
      </c>
      <c r="R20"/>
      <c r="S20"/>
      <c r="T20"/>
      <c r="U20"/>
      <c r="V20"/>
      <c r="X20"/>
    </row>
    <row r="21" spans="1:24" ht="15.95" customHeight="1">
      <c r="A21" s="156" t="s">
        <v>84</v>
      </c>
      <c r="B21" s="164">
        <v>235.54444444409037</v>
      </c>
      <c r="C21" s="166">
        <v>2068971.1483969239</v>
      </c>
      <c r="D21" s="159"/>
      <c r="E21" s="14">
        <f t="shared" si="0"/>
        <v>2068971.1483969239</v>
      </c>
      <c r="F21" s="51">
        <f t="shared" si="1"/>
        <v>1448279.8038778466</v>
      </c>
      <c r="I21" s="153">
        <f>+B21-FY13ProjRev!J21</f>
        <v>235.54444444409037</v>
      </c>
      <c r="J21" s="8">
        <f>+E21-FY13ProjRev!C21</f>
        <v>1530698.1499067605</v>
      </c>
      <c r="K21"/>
      <c r="R21"/>
      <c r="S21"/>
      <c r="T21"/>
      <c r="U21"/>
      <c r="V21"/>
      <c r="X21"/>
    </row>
    <row r="22" spans="1:24" ht="15.95" customHeight="1">
      <c r="A22" s="156" t="s">
        <v>85</v>
      </c>
      <c r="B22" s="164">
        <v>9.2777777776299981</v>
      </c>
      <c r="C22" s="166">
        <v>154017.42000000001</v>
      </c>
      <c r="D22" s="159"/>
      <c r="E22" s="14">
        <f t="shared" si="0"/>
        <v>154017.42000000001</v>
      </c>
      <c r="F22" s="51">
        <f t="shared" si="1"/>
        <v>107812.194</v>
      </c>
      <c r="I22" s="153">
        <f>+B22-FY13ProjRev!J22</f>
        <v>9.2777777776299981</v>
      </c>
      <c r="J22" s="8">
        <f>+E22-FY13ProjRev!C22</f>
        <v>125607.06718135461</v>
      </c>
      <c r="K22"/>
      <c r="R22"/>
      <c r="S22"/>
      <c r="T22"/>
      <c r="U22"/>
      <c r="V22"/>
      <c r="X22"/>
    </row>
    <row r="23" spans="1:24" ht="15.95" customHeight="1">
      <c r="A23" s="156" t="s">
        <v>86</v>
      </c>
      <c r="B23" s="164">
        <v>7.822222222179998</v>
      </c>
      <c r="C23" s="166">
        <v>170402.64</v>
      </c>
      <c r="D23" s="159"/>
      <c r="E23" s="14">
        <f t="shared" si="0"/>
        <v>170402.64</v>
      </c>
      <c r="F23" s="51">
        <f t="shared" si="1"/>
        <v>119281.848</v>
      </c>
      <c r="G23" s="610" t="s">
        <v>335</v>
      </c>
      <c r="I23" s="153">
        <f>+B23-FY13ProjRev!J23</f>
        <v>7.822222222179998</v>
      </c>
      <c r="J23" s="8">
        <f>+E23-FY13ProjRev!C23</f>
        <v>25947.260806250095</v>
      </c>
      <c r="K23"/>
      <c r="R23"/>
      <c r="S23"/>
      <c r="T23"/>
      <c r="U23"/>
      <c r="V23"/>
      <c r="X23"/>
    </row>
    <row r="24" spans="1:24" ht="15.75" customHeight="1">
      <c r="A24" s="157" t="s">
        <v>106</v>
      </c>
      <c r="B24" s="154">
        <f>SUM(B3:B23)</f>
        <v>36430.611110928046</v>
      </c>
      <c r="C24" s="67">
        <f>SUM(C3:C23)</f>
        <v>471062946.15988809</v>
      </c>
      <c r="D24" s="167">
        <f>SUM(D3:D23)</f>
        <v>12512000</v>
      </c>
      <c r="E24" s="67">
        <f>SUM(E3:E23)</f>
        <v>458550946.15988809</v>
      </c>
      <c r="F24" s="66">
        <f>SUM(F3:F23)</f>
        <v>320985662.3119216</v>
      </c>
      <c r="G24" s="606">
        <f>+E24-F24</f>
        <v>137565283.84796649</v>
      </c>
      <c r="H24" s="8"/>
      <c r="I24"/>
      <c r="J24" s="8">
        <f>SUM(J3:J23)</f>
        <v>13746132.159888109</v>
      </c>
      <c r="K24" s="8">
        <f>0.3*J24</f>
        <v>4123839.6479664324</v>
      </c>
      <c r="L24" s="153">
        <f>0.7*J24</f>
        <v>9622292.5119216759</v>
      </c>
      <c r="M24" s="8">
        <f>+L24+K24</f>
        <v>13746132.159888107</v>
      </c>
      <c r="R24"/>
      <c r="S24"/>
      <c r="T24"/>
      <c r="U24"/>
      <c r="V24"/>
      <c r="X24"/>
    </row>
    <row r="25" spans="1:24">
      <c r="A25" s="157" t="s">
        <v>107</v>
      </c>
      <c r="B25" s="164">
        <v>3534.0888888525355</v>
      </c>
      <c r="C25" s="27">
        <v>42127406.903277256</v>
      </c>
      <c r="D25" s="160">
        <v>2144600</v>
      </c>
      <c r="E25" s="70">
        <f>+C25-D25</f>
        <v>39982806.903277256</v>
      </c>
      <c r="F25" s="52"/>
      <c r="I25" s="153">
        <f>+B25-FY13ProjRev!J25</f>
        <v>3534.0888888525355</v>
      </c>
      <c r="J25" s="8">
        <f>+E25-FY13ProjRev!C25</f>
        <v>2744804.8612109199</v>
      </c>
      <c r="K25"/>
      <c r="R25"/>
      <c r="S25"/>
      <c r="T25"/>
      <c r="U25"/>
      <c r="V25"/>
      <c r="X25"/>
    </row>
    <row r="26" spans="1:24">
      <c r="A26" s="157" t="s">
        <v>108</v>
      </c>
      <c r="B26" s="164">
        <v>3493.4777777460245</v>
      </c>
      <c r="C26" s="27">
        <v>39333290.961437739</v>
      </c>
      <c r="D26" s="160">
        <v>2003400</v>
      </c>
      <c r="E26" s="70">
        <f>+C26-D26</f>
        <v>37329890.961437739</v>
      </c>
      <c r="F26" s="52"/>
      <c r="I26" s="153">
        <f>+B26-FY13ProjRev!J26</f>
        <v>3493.4777777460245</v>
      </c>
      <c r="J26" s="8">
        <f>+E26-FY13ProjRev!C26</f>
        <v>1978706.8730955049</v>
      </c>
      <c r="K26"/>
      <c r="R26"/>
      <c r="S26"/>
      <c r="T26"/>
      <c r="U26"/>
      <c r="V26"/>
      <c r="X26"/>
    </row>
    <row r="27" spans="1:24">
      <c r="A27" s="158" t="s">
        <v>109</v>
      </c>
      <c r="B27" s="155">
        <f>SUM(B24:B26)</f>
        <v>43458.177777526609</v>
      </c>
      <c r="C27" s="72">
        <f>SUM(C24:C26)</f>
        <v>552523644.02460313</v>
      </c>
      <c r="D27" s="161">
        <f>SUM(D24:D26)</f>
        <v>16660000</v>
      </c>
      <c r="E27" s="73">
        <f>SUM(E24:E26)</f>
        <v>535863644.02460313</v>
      </c>
      <c r="F27" s="53"/>
      <c r="G27" s="8"/>
      <c r="H27" s="8"/>
      <c r="I27" s="153"/>
      <c r="J27" s="8">
        <f>SUM(J24:J26)</f>
        <v>18469643.894194536</v>
      </c>
      <c r="K27"/>
      <c r="X27"/>
    </row>
    <row r="28" spans="1:24">
      <c r="B28" s="165"/>
      <c r="C28" s="165"/>
      <c r="E28" s="7"/>
      <c r="F28" s="10"/>
      <c r="I28"/>
      <c r="J28"/>
      <c r="K28"/>
    </row>
    <row r="29" spans="1:24">
      <c r="E29" s="8"/>
    </row>
    <row r="30" spans="1:24">
      <c r="E30" s="8"/>
      <c r="R30"/>
    </row>
    <row r="31" spans="1:24">
      <c r="R31"/>
    </row>
    <row r="32" spans="1:24">
      <c r="R32"/>
    </row>
    <row r="33" spans="1:18">
      <c r="F33" s="59"/>
      <c r="R33"/>
    </row>
    <row r="34" spans="1:18">
      <c r="R34"/>
    </row>
    <row r="35" spans="1:18">
      <c r="R35"/>
    </row>
    <row r="36" spans="1:18" ht="15" hidden="1" customHeight="1">
      <c r="A36" s="60">
        <f>+B32/B24</f>
        <v>0</v>
      </c>
      <c r="R36"/>
    </row>
    <row r="37" spans="1:18">
      <c r="R37"/>
    </row>
    <row r="38" spans="1:18">
      <c r="R38"/>
    </row>
    <row r="39" spans="1:18">
      <c r="B39"/>
      <c r="C39"/>
      <c r="D39"/>
      <c r="E39"/>
      <c r="F39"/>
      <c r="G39"/>
      <c r="I39"/>
      <c r="J39"/>
    </row>
    <row r="40" spans="1:18">
      <c r="B40"/>
      <c r="C40"/>
      <c r="D40"/>
      <c r="E40"/>
      <c r="F40"/>
      <c r="G40"/>
      <c r="I40"/>
      <c r="J40"/>
    </row>
    <row r="41" spans="1:18">
      <c r="B41"/>
      <c r="C41"/>
      <c r="D41"/>
      <c r="E41"/>
      <c r="F41"/>
      <c r="G41"/>
      <c r="I41"/>
      <c r="J41"/>
    </row>
    <row r="42" spans="1:18">
      <c r="C42"/>
    </row>
    <row r="43" spans="1:18">
      <c r="C43"/>
    </row>
    <row r="44" spans="1:18">
      <c r="C44"/>
    </row>
    <row r="45" spans="1:18">
      <c r="C45"/>
    </row>
  </sheetData>
  <mergeCells count="1">
    <mergeCell ref="A1:F1"/>
  </mergeCells>
  <printOptions horizontalCentered="1"/>
  <pageMargins left="0.2" right="0.2" top="1" bottom="0.5" header="0.05" footer="0.05"/>
  <pageSetup scale="77" orientation="portrait" r:id="rId1"/>
  <headerFooter>
    <oddFooter xml:space="preserve">&amp;L&amp;9&amp;Z&amp;F, &amp;A
Revised/Printed &amp;D, &amp;T&amp;R&amp;9Page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60"/>
  <sheetViews>
    <sheetView workbookViewId="0"/>
  </sheetViews>
  <sheetFormatPr defaultColWidth="8.85546875" defaultRowHeight="18" customHeight="1"/>
  <cols>
    <col min="1" max="1" width="26.42578125" style="32" customWidth="1"/>
    <col min="2" max="2" width="16.28515625" style="32" customWidth="1"/>
    <col min="3" max="13" width="12.7109375" style="9" customWidth="1"/>
    <col min="14" max="23" width="12.7109375" style="32" customWidth="1"/>
    <col min="24" max="16384" width="8.85546875" style="32"/>
  </cols>
  <sheetData>
    <row r="1" spans="1:22" ht="18" customHeight="1">
      <c r="A1" s="74" t="s">
        <v>410</v>
      </c>
      <c r="B1" s="6"/>
      <c r="C1" s="6"/>
      <c r="D1" s="6"/>
      <c r="E1" s="6"/>
      <c r="F1" s="6"/>
      <c r="G1" s="6"/>
      <c r="H1" s="6"/>
      <c r="I1" s="6"/>
      <c r="J1" s="6"/>
      <c r="K1" s="6"/>
      <c r="L1" s="6"/>
      <c r="M1" s="6"/>
      <c r="N1" s="6"/>
      <c r="O1" s="6"/>
    </row>
    <row r="2" spans="1:22" ht="35.25" customHeight="1">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c r="A3" s="112" t="s">
        <v>51</v>
      </c>
      <c r="B3" s="113">
        <f t="shared" ref="B3:V15" si="0">+B23/B$40</f>
        <v>1.615491424402515E-2</v>
      </c>
      <c r="C3" s="113">
        <f t="shared" si="0"/>
        <v>8.7679671457905548E-3</v>
      </c>
      <c r="D3" s="113">
        <f t="shared" si="0"/>
        <v>0</v>
      </c>
      <c r="E3" s="113">
        <f t="shared" si="0"/>
        <v>3.5693464526645171E-3</v>
      </c>
      <c r="F3" s="113">
        <f t="shared" si="0"/>
        <v>0</v>
      </c>
      <c r="G3" s="113">
        <f t="shared" si="0"/>
        <v>8.0481325207063612E-3</v>
      </c>
      <c r="H3" s="113">
        <f t="shared" si="0"/>
        <v>0</v>
      </c>
      <c r="I3" s="113">
        <f t="shared" si="0"/>
        <v>0.93005410723069359</v>
      </c>
      <c r="J3" s="113">
        <f t="shared" si="0"/>
        <v>0</v>
      </c>
      <c r="K3" s="113">
        <f t="shared" si="0"/>
        <v>0</v>
      </c>
      <c r="L3" s="113">
        <f t="shared" si="0"/>
        <v>1.2369093757730684E-4</v>
      </c>
      <c r="M3" s="113">
        <f t="shared" si="0"/>
        <v>0</v>
      </c>
      <c r="N3" s="113">
        <f t="shared" si="0"/>
        <v>0</v>
      </c>
      <c r="O3" s="113">
        <f t="shared" si="0"/>
        <v>6.3709875030629748E-3</v>
      </c>
      <c r="P3" s="113">
        <f t="shared" si="0"/>
        <v>0</v>
      </c>
      <c r="Q3" s="113">
        <f t="shared" si="0"/>
        <v>6.3492063492063492E-4</v>
      </c>
      <c r="R3" s="113">
        <f t="shared" si="0"/>
        <v>2.5357307514983865E-3</v>
      </c>
      <c r="S3" s="113">
        <f t="shared" si="0"/>
        <v>0</v>
      </c>
      <c r="T3" s="113">
        <f t="shared" si="0"/>
        <v>2.8030833917309038E-4</v>
      </c>
      <c r="U3" s="113">
        <f t="shared" si="0"/>
        <v>0</v>
      </c>
      <c r="V3" s="113">
        <f t="shared" si="0"/>
        <v>0</v>
      </c>
    </row>
    <row r="4" spans="1:22" ht="18" customHeight="1">
      <c r="A4" s="112" t="s">
        <v>52</v>
      </c>
      <c r="B4" s="113">
        <f t="shared" si="0"/>
        <v>0.6934445076865281</v>
      </c>
      <c r="C4" s="113">
        <f t="shared" si="0"/>
        <v>0.67941478439425051</v>
      </c>
      <c r="D4" s="113">
        <f t="shared" si="0"/>
        <v>2.9140160065667966E-2</v>
      </c>
      <c r="E4" s="113">
        <f t="shared" si="0"/>
        <v>5.0518150126711799E-2</v>
      </c>
      <c r="F4" s="113">
        <f t="shared" si="0"/>
        <v>1.2322858903265558E-3</v>
      </c>
      <c r="G4" s="113">
        <f t="shared" si="0"/>
        <v>5.1101734646038441E-2</v>
      </c>
      <c r="H4" s="113">
        <f t="shared" si="0"/>
        <v>0.23958333333333334</v>
      </c>
      <c r="I4" s="113">
        <f t="shared" si="0"/>
        <v>1.5051647811116576E-2</v>
      </c>
      <c r="J4" s="113">
        <f t="shared" si="0"/>
        <v>1.0913059294288832E-2</v>
      </c>
      <c r="K4" s="113">
        <f t="shared" si="0"/>
        <v>5.5256250863378921E-4</v>
      </c>
      <c r="L4" s="113">
        <f t="shared" si="0"/>
        <v>1.0472499381545312E-2</v>
      </c>
      <c r="M4" s="113">
        <f t="shared" si="0"/>
        <v>6.3317855635289147E-4</v>
      </c>
      <c r="N4" s="113">
        <f t="shared" si="0"/>
        <v>0</v>
      </c>
      <c r="O4" s="113">
        <f t="shared" si="0"/>
        <v>2.5320591358327208E-2</v>
      </c>
      <c r="P4" s="113">
        <f t="shared" si="0"/>
        <v>1.065340909090909E-2</v>
      </c>
      <c r="Q4" s="113">
        <f t="shared" si="0"/>
        <v>2.7301587301587302E-2</v>
      </c>
      <c r="R4" s="113">
        <f t="shared" si="0"/>
        <v>3.792070078377132E-2</v>
      </c>
      <c r="S4" s="113">
        <f t="shared" si="0"/>
        <v>2.5896907216494847E-2</v>
      </c>
      <c r="T4" s="113">
        <f t="shared" si="0"/>
        <v>7.7645409950946043E-2</v>
      </c>
      <c r="U4" s="113">
        <f t="shared" si="0"/>
        <v>9.433962264150943E-3</v>
      </c>
      <c r="V4" s="113">
        <f t="shared" si="0"/>
        <v>2.3809523809523808E-2</v>
      </c>
    </row>
    <row r="5" spans="1:22" ht="18" customHeight="1">
      <c r="A5" s="112" t="s">
        <v>53</v>
      </c>
      <c r="B5" s="113">
        <f t="shared" si="0"/>
        <v>6.4479323470473748E-2</v>
      </c>
      <c r="C5" s="113">
        <f t="shared" si="0"/>
        <v>2.0051334702258727E-2</v>
      </c>
      <c r="D5" s="113">
        <f t="shared" si="0"/>
        <v>0</v>
      </c>
      <c r="E5" s="113">
        <f t="shared" si="0"/>
        <v>7.9001534818974647E-3</v>
      </c>
      <c r="F5" s="113">
        <f t="shared" si="0"/>
        <v>0.98182378311768326</v>
      </c>
      <c r="G5" s="113">
        <f t="shared" si="0"/>
        <v>1.9143616190029692E-2</v>
      </c>
      <c r="H5" s="113">
        <f t="shared" si="0"/>
        <v>0</v>
      </c>
      <c r="I5" s="113">
        <f t="shared" si="0"/>
        <v>1.4953271028037384E-2</v>
      </c>
      <c r="J5" s="113">
        <f t="shared" si="0"/>
        <v>0</v>
      </c>
      <c r="K5" s="113">
        <f t="shared" si="0"/>
        <v>2.2102500345351568E-4</v>
      </c>
      <c r="L5" s="113">
        <f t="shared" si="0"/>
        <v>6.1433165663395727E-3</v>
      </c>
      <c r="M5" s="113">
        <f t="shared" si="0"/>
        <v>4.690211528539937E-5</v>
      </c>
      <c r="N5" s="113">
        <f t="shared" si="0"/>
        <v>0</v>
      </c>
      <c r="O5" s="113">
        <f t="shared" si="0"/>
        <v>0</v>
      </c>
      <c r="P5" s="113">
        <f t="shared" si="0"/>
        <v>0</v>
      </c>
      <c r="Q5" s="113">
        <f t="shared" si="0"/>
        <v>0</v>
      </c>
      <c r="R5" s="113">
        <f t="shared" si="0"/>
        <v>2.8815122176118028E-3</v>
      </c>
      <c r="S5" s="113">
        <f t="shared" si="0"/>
        <v>1.3195876288659794E-3</v>
      </c>
      <c r="T5" s="113">
        <f t="shared" si="0"/>
        <v>2.9432375613174491E-3</v>
      </c>
      <c r="U5" s="113">
        <f t="shared" si="0"/>
        <v>0</v>
      </c>
      <c r="V5" s="113">
        <f t="shared" si="0"/>
        <v>0</v>
      </c>
    </row>
    <row r="6" spans="1:22" ht="18" customHeight="1">
      <c r="A6" s="112" t="s">
        <v>54</v>
      </c>
      <c r="B6" s="113">
        <f t="shared" si="0"/>
        <v>1.2836593399792725E-2</v>
      </c>
      <c r="C6" s="113">
        <f t="shared" si="0"/>
        <v>2.9260780287474332E-3</v>
      </c>
      <c r="D6" s="113">
        <f t="shared" si="0"/>
        <v>2.4625487379437718E-3</v>
      </c>
      <c r="E6" s="113">
        <f t="shared" si="0"/>
        <v>2.7840902330783235E-3</v>
      </c>
      <c r="F6" s="113">
        <f t="shared" si="0"/>
        <v>3.0807147258163895E-4</v>
      </c>
      <c r="G6" s="113">
        <f t="shared" si="0"/>
        <v>4.2194092827004216E-3</v>
      </c>
      <c r="H6" s="113">
        <f t="shared" si="0"/>
        <v>0</v>
      </c>
      <c r="I6" s="113">
        <f t="shared" si="0"/>
        <v>3.9350713231677323E-4</v>
      </c>
      <c r="J6" s="113">
        <f t="shared" si="0"/>
        <v>1.0913059294288831E-3</v>
      </c>
      <c r="K6" s="113">
        <f t="shared" si="0"/>
        <v>0</v>
      </c>
      <c r="L6" s="113">
        <f t="shared" si="0"/>
        <v>4.9476375030922735E-4</v>
      </c>
      <c r="M6" s="113">
        <f t="shared" si="0"/>
        <v>0</v>
      </c>
      <c r="N6" s="113">
        <f t="shared" si="0"/>
        <v>0</v>
      </c>
      <c r="O6" s="113">
        <f t="shared" si="0"/>
        <v>0</v>
      </c>
      <c r="P6" s="113">
        <f t="shared" si="0"/>
        <v>2.435064935064935E-3</v>
      </c>
      <c r="Q6" s="113">
        <f t="shared" si="0"/>
        <v>0</v>
      </c>
      <c r="R6" s="113">
        <f t="shared" si="0"/>
        <v>1.4983863531581375E-3</v>
      </c>
      <c r="S6" s="113">
        <f t="shared" si="0"/>
        <v>0.94919587628865976</v>
      </c>
      <c r="T6" s="113">
        <f t="shared" si="0"/>
        <v>0.89292221443587949</v>
      </c>
      <c r="U6" s="113">
        <f t="shared" si="0"/>
        <v>0</v>
      </c>
      <c r="V6" s="113">
        <f t="shared" si="0"/>
        <v>0</v>
      </c>
    </row>
    <row r="7" spans="1:22" ht="18" customHeight="1">
      <c r="A7" s="112" t="s">
        <v>55</v>
      </c>
      <c r="B7" s="113">
        <f t="shared" si="0"/>
        <v>8.1935155460760217E-2</v>
      </c>
      <c r="C7" s="113">
        <f t="shared" si="0"/>
        <v>4.1273100616016425E-2</v>
      </c>
      <c r="D7" s="113">
        <f t="shared" si="0"/>
        <v>1.5048908954100827E-3</v>
      </c>
      <c r="E7" s="113">
        <f t="shared" si="0"/>
        <v>0.64485002795988056</v>
      </c>
      <c r="F7" s="113">
        <f t="shared" si="0"/>
        <v>4.1076196344218524E-4</v>
      </c>
      <c r="G7" s="113">
        <f t="shared" si="0"/>
        <v>9.3764650726676048E-4</v>
      </c>
      <c r="H7" s="113">
        <f t="shared" si="0"/>
        <v>0</v>
      </c>
      <c r="I7" s="113">
        <f t="shared" si="0"/>
        <v>5.3123462862764391E-3</v>
      </c>
      <c r="J7" s="113">
        <f t="shared" si="0"/>
        <v>0</v>
      </c>
      <c r="K7" s="113">
        <f t="shared" si="0"/>
        <v>2.762812543168946E-4</v>
      </c>
      <c r="L7" s="113">
        <f t="shared" si="0"/>
        <v>0</v>
      </c>
      <c r="M7" s="113">
        <f t="shared" si="0"/>
        <v>7.0353172928099055E-5</v>
      </c>
      <c r="N7" s="113">
        <f t="shared" si="0"/>
        <v>0</v>
      </c>
      <c r="O7" s="113">
        <f t="shared" si="0"/>
        <v>3.1038144245691414E-3</v>
      </c>
      <c r="P7" s="113">
        <f t="shared" si="0"/>
        <v>0</v>
      </c>
      <c r="Q7" s="113">
        <f t="shared" si="0"/>
        <v>0</v>
      </c>
      <c r="R7" s="113">
        <f t="shared" si="0"/>
        <v>7.9529737206085749E-3</v>
      </c>
      <c r="S7" s="113">
        <f t="shared" si="0"/>
        <v>0</v>
      </c>
      <c r="T7" s="113">
        <f t="shared" si="0"/>
        <v>5.6061667834618077E-4</v>
      </c>
      <c r="U7" s="113">
        <f t="shared" si="0"/>
        <v>0.86477987421383651</v>
      </c>
      <c r="V7" s="113">
        <f t="shared" si="0"/>
        <v>0.9642857142857143</v>
      </c>
    </row>
    <row r="8" spans="1:22" ht="18" customHeight="1">
      <c r="A8" s="112" t="s">
        <v>56</v>
      </c>
      <c r="B8" s="113">
        <f t="shared" si="0"/>
        <v>5.7229921195327681E-2</v>
      </c>
      <c r="C8" s="113">
        <f t="shared" si="0"/>
        <v>4.9897330595482549E-3</v>
      </c>
      <c r="D8" s="113">
        <f t="shared" si="0"/>
        <v>0</v>
      </c>
      <c r="E8" s="113">
        <f t="shared" si="0"/>
        <v>5.9965020404763886E-3</v>
      </c>
      <c r="F8" s="113">
        <f t="shared" si="0"/>
        <v>2.5672622715136578E-3</v>
      </c>
      <c r="G8" s="113">
        <f t="shared" si="0"/>
        <v>3.367713705266448E-2</v>
      </c>
      <c r="H8" s="113">
        <f t="shared" si="0"/>
        <v>0</v>
      </c>
      <c r="I8" s="113">
        <f t="shared" si="0"/>
        <v>1.9281849483521889E-2</v>
      </c>
      <c r="J8" s="113">
        <f t="shared" si="0"/>
        <v>0</v>
      </c>
      <c r="K8" s="113">
        <f t="shared" si="0"/>
        <v>4.4205000690703135E-4</v>
      </c>
      <c r="L8" s="113">
        <f t="shared" si="0"/>
        <v>1.6492125010307578E-4</v>
      </c>
      <c r="M8" s="113">
        <f t="shared" si="0"/>
        <v>0</v>
      </c>
      <c r="N8" s="113">
        <f t="shared" si="0"/>
        <v>0</v>
      </c>
      <c r="O8" s="113">
        <f t="shared" si="0"/>
        <v>9.8015192354814992E-4</v>
      </c>
      <c r="P8" s="113">
        <f t="shared" si="0"/>
        <v>1.0146103896103897E-4</v>
      </c>
      <c r="Q8" s="113">
        <f t="shared" si="0"/>
        <v>1.2698412698412698E-3</v>
      </c>
      <c r="R8" s="113">
        <f t="shared" si="0"/>
        <v>0.93055555555555558</v>
      </c>
      <c r="S8" s="113">
        <f t="shared" si="0"/>
        <v>1.5752577319587627E-2</v>
      </c>
      <c r="T8" s="113">
        <f t="shared" si="0"/>
        <v>2.8030833917309038E-4</v>
      </c>
      <c r="U8" s="113">
        <f t="shared" si="0"/>
        <v>0</v>
      </c>
      <c r="V8" s="113">
        <f t="shared" si="0"/>
        <v>0</v>
      </c>
    </row>
    <row r="9" spans="1:22" ht="18" customHeight="1">
      <c r="A9" s="112" t="s">
        <v>58</v>
      </c>
      <c r="B9" s="113">
        <f t="shared" si="0"/>
        <v>1.0270495011187456E-2</v>
      </c>
      <c r="C9" s="113">
        <f t="shared" si="0"/>
        <v>1.322381930184805E-2</v>
      </c>
      <c r="D9" s="113">
        <f t="shared" si="0"/>
        <v>0</v>
      </c>
      <c r="E9" s="113">
        <f t="shared" si="0"/>
        <v>8.3284750562172066E-4</v>
      </c>
      <c r="F9" s="113">
        <f t="shared" si="0"/>
        <v>0</v>
      </c>
      <c r="G9" s="113">
        <f t="shared" si="0"/>
        <v>1.1720581340834506E-3</v>
      </c>
      <c r="H9" s="113">
        <f t="shared" si="0"/>
        <v>0.69270833333333337</v>
      </c>
      <c r="I9" s="113">
        <f t="shared" si="0"/>
        <v>0</v>
      </c>
      <c r="J9" s="113">
        <f t="shared" si="0"/>
        <v>0</v>
      </c>
      <c r="K9" s="113">
        <f t="shared" si="0"/>
        <v>0</v>
      </c>
      <c r="L9" s="113">
        <f t="shared" si="0"/>
        <v>5.7310134410818838E-3</v>
      </c>
      <c r="M9" s="113">
        <f t="shared" si="0"/>
        <v>0</v>
      </c>
      <c r="N9" s="113">
        <f t="shared" si="0"/>
        <v>0</v>
      </c>
      <c r="O9" s="113">
        <f t="shared" si="0"/>
        <v>3.2671730784938332E-4</v>
      </c>
      <c r="P9" s="113">
        <f t="shared" si="0"/>
        <v>0</v>
      </c>
      <c r="Q9" s="113">
        <f t="shared" si="0"/>
        <v>0</v>
      </c>
      <c r="R9" s="113">
        <f t="shared" si="0"/>
        <v>1.7289073305670817E-4</v>
      </c>
      <c r="S9" s="113">
        <f t="shared" si="0"/>
        <v>0</v>
      </c>
      <c r="T9" s="113">
        <f t="shared" si="0"/>
        <v>0</v>
      </c>
      <c r="U9" s="113">
        <f t="shared" si="0"/>
        <v>0</v>
      </c>
      <c r="V9" s="113">
        <f t="shared" si="0"/>
        <v>0</v>
      </c>
    </row>
    <row r="10" spans="1:22" ht="18" customHeight="1">
      <c r="A10" s="112" t="s">
        <v>59</v>
      </c>
      <c r="B10" s="113">
        <f t="shared" si="0"/>
        <v>4.2710197364693656E-5</v>
      </c>
      <c r="C10" s="113">
        <f t="shared" si="0"/>
        <v>5.3388090349075976E-3</v>
      </c>
      <c r="D10" s="113">
        <f t="shared" si="0"/>
        <v>8.2084957931459056E-4</v>
      </c>
      <c r="E10" s="113">
        <f t="shared" si="0"/>
        <v>3.0934335923092481E-3</v>
      </c>
      <c r="F10" s="113">
        <f t="shared" si="0"/>
        <v>1.0269049086054631E-3</v>
      </c>
      <c r="G10" s="113">
        <f t="shared" si="0"/>
        <v>3.7505860290670419E-3</v>
      </c>
      <c r="H10" s="113">
        <f t="shared" si="0"/>
        <v>0</v>
      </c>
      <c r="I10" s="113">
        <f t="shared" si="0"/>
        <v>0</v>
      </c>
      <c r="J10" s="113">
        <f t="shared" si="0"/>
        <v>0</v>
      </c>
      <c r="K10" s="113">
        <f t="shared" si="0"/>
        <v>0</v>
      </c>
      <c r="L10" s="113">
        <f t="shared" si="0"/>
        <v>0.97295291498309555</v>
      </c>
      <c r="M10" s="113">
        <f t="shared" si="0"/>
        <v>0</v>
      </c>
      <c r="N10" s="113">
        <f t="shared" si="0"/>
        <v>0</v>
      </c>
      <c r="O10" s="113">
        <f t="shared" si="0"/>
        <v>1.470227885322225E-3</v>
      </c>
      <c r="P10" s="113">
        <f t="shared" si="0"/>
        <v>2.0292207792207794E-4</v>
      </c>
      <c r="Q10" s="113">
        <f t="shared" si="0"/>
        <v>0.96825396825396826</v>
      </c>
      <c r="R10" s="113">
        <f t="shared" si="0"/>
        <v>8.068234209313047E-4</v>
      </c>
      <c r="S10" s="113">
        <f t="shared" si="0"/>
        <v>0</v>
      </c>
      <c r="T10" s="113">
        <f t="shared" si="0"/>
        <v>5.6061667834618077E-4</v>
      </c>
      <c r="U10" s="113">
        <f t="shared" si="0"/>
        <v>0</v>
      </c>
      <c r="V10" s="113">
        <f t="shared" si="0"/>
        <v>0</v>
      </c>
    </row>
    <row r="11" spans="1:22" ht="18" customHeight="1">
      <c r="A11" s="112" t="s">
        <v>60</v>
      </c>
      <c r="B11" s="113">
        <f t="shared" si="0"/>
        <v>8.0190574643914623E-5</v>
      </c>
      <c r="C11" s="113">
        <f t="shared" si="0"/>
        <v>7.7207392197125259E-3</v>
      </c>
      <c r="D11" s="113">
        <f t="shared" si="0"/>
        <v>4.2410561597920511E-3</v>
      </c>
      <c r="E11" s="113">
        <f t="shared" si="0"/>
        <v>1.0470082927815916E-3</v>
      </c>
      <c r="F11" s="113">
        <f t="shared" si="0"/>
        <v>8.7286917231464371E-3</v>
      </c>
      <c r="G11" s="113">
        <f t="shared" si="0"/>
        <v>0.85458665416471324</v>
      </c>
      <c r="H11" s="113">
        <f t="shared" si="0"/>
        <v>4.6875E-2</v>
      </c>
      <c r="I11" s="113">
        <f t="shared" si="0"/>
        <v>1.2592228234136743E-2</v>
      </c>
      <c r="J11" s="113">
        <f t="shared" si="0"/>
        <v>8.730447435431065E-3</v>
      </c>
      <c r="K11" s="113">
        <f t="shared" si="0"/>
        <v>0</v>
      </c>
      <c r="L11" s="113">
        <f t="shared" si="0"/>
        <v>8.2460625051537892E-4</v>
      </c>
      <c r="M11" s="113">
        <f t="shared" si="0"/>
        <v>0</v>
      </c>
      <c r="N11" s="113">
        <f t="shared" si="0"/>
        <v>0</v>
      </c>
      <c r="O11" s="113">
        <f t="shared" si="0"/>
        <v>1.5028996161071633E-2</v>
      </c>
      <c r="P11" s="113">
        <f t="shared" si="0"/>
        <v>8.624188311688312E-3</v>
      </c>
      <c r="Q11" s="113">
        <f t="shared" si="0"/>
        <v>2.5396825396825397E-3</v>
      </c>
      <c r="R11" s="113">
        <f t="shared" si="0"/>
        <v>7.5495620101429231E-3</v>
      </c>
      <c r="S11" s="113">
        <f t="shared" si="0"/>
        <v>4.536082474226804E-3</v>
      </c>
      <c r="T11" s="113">
        <f t="shared" si="0"/>
        <v>1.0231254379817799E-2</v>
      </c>
      <c r="U11" s="113">
        <f t="shared" si="0"/>
        <v>0</v>
      </c>
      <c r="V11" s="113">
        <f t="shared" si="0"/>
        <v>0</v>
      </c>
    </row>
    <row r="12" spans="1:22" ht="18" customHeight="1">
      <c r="A12" s="112" t="s">
        <v>61</v>
      </c>
      <c r="B12" s="113">
        <f t="shared" si="0"/>
        <v>2.9260843378219716E-3</v>
      </c>
      <c r="C12" s="113">
        <f t="shared" si="0"/>
        <v>8.7268993839835734E-4</v>
      </c>
      <c r="D12" s="113">
        <f t="shared" si="0"/>
        <v>9.6313017306245294E-2</v>
      </c>
      <c r="E12" s="113">
        <f t="shared" si="0"/>
        <v>6.662780044973765E-4</v>
      </c>
      <c r="F12" s="113">
        <f t="shared" si="0"/>
        <v>0</v>
      </c>
      <c r="G12" s="113">
        <f t="shared" si="0"/>
        <v>2.8129395218002813E-3</v>
      </c>
      <c r="H12" s="113">
        <f t="shared" si="0"/>
        <v>0</v>
      </c>
      <c r="I12" s="113">
        <f t="shared" si="0"/>
        <v>2.9513034923757994E-4</v>
      </c>
      <c r="J12" s="113">
        <f t="shared" si="0"/>
        <v>4.3652237177155325E-3</v>
      </c>
      <c r="K12" s="113">
        <f t="shared" si="0"/>
        <v>0</v>
      </c>
      <c r="L12" s="113">
        <f t="shared" si="0"/>
        <v>0</v>
      </c>
      <c r="M12" s="113">
        <f t="shared" si="0"/>
        <v>0</v>
      </c>
      <c r="N12" s="113">
        <f t="shared" si="0"/>
        <v>0</v>
      </c>
      <c r="O12" s="113">
        <f t="shared" si="0"/>
        <v>1.1108388466879032E-2</v>
      </c>
      <c r="P12" s="113">
        <f t="shared" si="0"/>
        <v>0.94876217532467533</v>
      </c>
      <c r="Q12" s="113">
        <f t="shared" si="0"/>
        <v>0</v>
      </c>
      <c r="R12" s="113">
        <f t="shared" si="0"/>
        <v>0</v>
      </c>
      <c r="S12" s="113">
        <f t="shared" si="0"/>
        <v>8.247422680412371E-5</v>
      </c>
      <c r="T12" s="113">
        <f t="shared" si="0"/>
        <v>5.746320953048353E-3</v>
      </c>
      <c r="U12" s="113">
        <f t="shared" si="0"/>
        <v>0</v>
      </c>
      <c r="V12" s="113">
        <f t="shared" si="0"/>
        <v>0</v>
      </c>
    </row>
    <row r="13" spans="1:22" ht="18" customHeight="1">
      <c r="A13" s="112" t="s">
        <v>63</v>
      </c>
      <c r="B13" s="113">
        <f t="shared" si="0"/>
        <v>8.5420394729387311E-5</v>
      </c>
      <c r="C13" s="113">
        <f t="shared" si="0"/>
        <v>1.9096509240246406E-3</v>
      </c>
      <c r="D13" s="113">
        <f t="shared" si="0"/>
        <v>0.3223202681441959</v>
      </c>
      <c r="E13" s="113">
        <f t="shared" si="0"/>
        <v>7.1386929053290338E-5</v>
      </c>
      <c r="F13" s="113">
        <f t="shared" si="0"/>
        <v>0</v>
      </c>
      <c r="G13" s="113">
        <f t="shared" si="0"/>
        <v>0</v>
      </c>
      <c r="H13" s="113">
        <f t="shared" si="0"/>
        <v>0</v>
      </c>
      <c r="I13" s="113">
        <f t="shared" si="0"/>
        <v>0</v>
      </c>
      <c r="J13" s="113">
        <f t="shared" si="0"/>
        <v>0</v>
      </c>
      <c r="K13" s="113">
        <f t="shared" si="0"/>
        <v>0</v>
      </c>
      <c r="L13" s="113">
        <f t="shared" si="0"/>
        <v>0</v>
      </c>
      <c r="M13" s="113">
        <f t="shared" si="0"/>
        <v>0</v>
      </c>
      <c r="N13" s="113">
        <f t="shared" si="0"/>
        <v>0.8679625086494307</v>
      </c>
      <c r="O13" s="113">
        <f t="shared" si="0"/>
        <v>5.2274769255901332E-3</v>
      </c>
      <c r="P13" s="113">
        <f t="shared" si="0"/>
        <v>0</v>
      </c>
      <c r="Q13" s="113">
        <f t="shared" si="0"/>
        <v>0</v>
      </c>
      <c r="R13" s="113">
        <f t="shared" si="0"/>
        <v>0</v>
      </c>
      <c r="S13" s="113">
        <f t="shared" si="0"/>
        <v>0</v>
      </c>
      <c r="T13" s="113">
        <f t="shared" si="0"/>
        <v>0</v>
      </c>
      <c r="U13" s="113">
        <f t="shared" si="0"/>
        <v>0</v>
      </c>
      <c r="V13" s="113">
        <f t="shared" si="0"/>
        <v>0</v>
      </c>
    </row>
    <row r="14" spans="1:22" ht="18" customHeight="1">
      <c r="A14" s="112" t="s">
        <v>64</v>
      </c>
      <c r="B14" s="113">
        <f t="shared" si="0"/>
        <v>2.6881711057670097E-2</v>
      </c>
      <c r="C14" s="113">
        <f t="shared" si="0"/>
        <v>0.12503593429158111</v>
      </c>
      <c r="D14" s="113">
        <f t="shared" si="0"/>
        <v>0.5286955332102059</v>
      </c>
      <c r="E14" s="113">
        <f t="shared" si="0"/>
        <v>1.6109650323025852E-2</v>
      </c>
      <c r="F14" s="113">
        <f t="shared" si="0"/>
        <v>6.1614294516327791E-4</v>
      </c>
      <c r="G14" s="113">
        <f t="shared" si="0"/>
        <v>6.9542115955618065E-3</v>
      </c>
      <c r="H14" s="113">
        <f t="shared" si="0"/>
        <v>0</v>
      </c>
      <c r="I14" s="113">
        <f t="shared" si="0"/>
        <v>5.9026069847515988E-4</v>
      </c>
      <c r="J14" s="113">
        <f t="shared" si="0"/>
        <v>4.0378319388868676E-2</v>
      </c>
      <c r="K14" s="113">
        <f t="shared" si="0"/>
        <v>0.11916010498687664</v>
      </c>
      <c r="L14" s="113">
        <f t="shared" si="0"/>
        <v>4.5353343778345841E-4</v>
      </c>
      <c r="M14" s="113">
        <f t="shared" si="0"/>
        <v>0.9968575582758783</v>
      </c>
      <c r="N14" s="113">
        <f t="shared" si="0"/>
        <v>0.13191168144933008</v>
      </c>
      <c r="O14" s="113">
        <f t="shared" si="0"/>
        <v>0.14171363227967002</v>
      </c>
      <c r="P14" s="113">
        <f t="shared" si="0"/>
        <v>1.4508928571428572E-2</v>
      </c>
      <c r="Q14" s="113">
        <f t="shared" si="0"/>
        <v>0</v>
      </c>
      <c r="R14" s="113">
        <f t="shared" si="0"/>
        <v>3.2849239280774551E-3</v>
      </c>
      <c r="S14" s="113">
        <f t="shared" si="0"/>
        <v>2.4742268041237116E-4</v>
      </c>
      <c r="T14" s="113">
        <f t="shared" si="0"/>
        <v>2.2424667133847231E-3</v>
      </c>
      <c r="U14" s="113">
        <f t="shared" si="0"/>
        <v>0.11635220125786164</v>
      </c>
      <c r="V14" s="113">
        <f t="shared" si="0"/>
        <v>1.1904761904761904E-2</v>
      </c>
    </row>
    <row r="15" spans="1:22" ht="18" customHeight="1">
      <c r="A15" s="112" t="s">
        <v>65</v>
      </c>
      <c r="B15" s="113">
        <f t="shared" si="0"/>
        <v>8.1890266171693246E-3</v>
      </c>
      <c r="C15" s="113">
        <f t="shared" si="0"/>
        <v>6.673511293634497E-4</v>
      </c>
      <c r="D15" s="113">
        <f t="shared" si="0"/>
        <v>1.6416991586291811E-3</v>
      </c>
      <c r="E15" s="113">
        <f t="shared" ref="E15:V15" si="1">+E35/E$40</f>
        <v>2.8078858760960869E-2</v>
      </c>
      <c r="F15" s="113">
        <f t="shared" si="1"/>
        <v>3.0807147258163895E-4</v>
      </c>
      <c r="G15" s="113">
        <f t="shared" si="1"/>
        <v>0</v>
      </c>
      <c r="H15" s="113">
        <f t="shared" si="1"/>
        <v>0</v>
      </c>
      <c r="I15" s="113">
        <f t="shared" si="1"/>
        <v>0</v>
      </c>
      <c r="J15" s="113">
        <f t="shared" si="1"/>
        <v>0.83521280465623859</v>
      </c>
      <c r="K15" s="113">
        <f t="shared" si="1"/>
        <v>3.4258875535294929E-3</v>
      </c>
      <c r="L15" s="113">
        <f t="shared" si="1"/>
        <v>0</v>
      </c>
      <c r="M15" s="113">
        <f t="shared" si="1"/>
        <v>2.3451057642699685E-5</v>
      </c>
      <c r="N15" s="113">
        <f t="shared" si="1"/>
        <v>0</v>
      </c>
      <c r="O15" s="113">
        <f t="shared" si="1"/>
        <v>4.4106836559666745E-3</v>
      </c>
      <c r="P15" s="113">
        <f t="shared" si="1"/>
        <v>1.5219155844155845E-3</v>
      </c>
      <c r="Q15" s="113">
        <f t="shared" si="1"/>
        <v>0</v>
      </c>
      <c r="R15" s="113">
        <f t="shared" si="1"/>
        <v>0</v>
      </c>
      <c r="S15" s="113">
        <f t="shared" si="1"/>
        <v>2.4742268041237116E-4</v>
      </c>
      <c r="T15" s="113">
        <f t="shared" si="1"/>
        <v>1.6818500350385423E-3</v>
      </c>
      <c r="U15" s="113">
        <f t="shared" si="1"/>
        <v>0</v>
      </c>
      <c r="V15" s="113">
        <f t="shared" si="1"/>
        <v>0</v>
      </c>
    </row>
    <row r="16" spans="1:22" ht="18" customHeight="1">
      <c r="A16" s="112" t="s">
        <v>66</v>
      </c>
      <c r="B16" s="113">
        <f t="shared" ref="B16:V19" si="2">+B36/B$40</f>
        <v>3.5475612913123101E-4</v>
      </c>
      <c r="C16" s="113">
        <f t="shared" si="2"/>
        <v>1.5071868583162217E-2</v>
      </c>
      <c r="D16" s="113">
        <f t="shared" si="2"/>
        <v>1.2312743689718859E-3</v>
      </c>
      <c r="E16" s="113">
        <f t="shared" si="2"/>
        <v>1.808468869350022E-3</v>
      </c>
      <c r="F16" s="113">
        <f t="shared" si="2"/>
        <v>0</v>
      </c>
      <c r="G16" s="113">
        <f t="shared" si="2"/>
        <v>0</v>
      </c>
      <c r="H16" s="113">
        <f t="shared" si="2"/>
        <v>0</v>
      </c>
      <c r="I16" s="113">
        <f t="shared" si="2"/>
        <v>0</v>
      </c>
      <c r="J16" s="113">
        <f t="shared" si="2"/>
        <v>3.8559476173153875E-2</v>
      </c>
      <c r="K16" s="113">
        <f t="shared" si="2"/>
        <v>0.8697886448404476</v>
      </c>
      <c r="L16" s="113">
        <f t="shared" si="2"/>
        <v>0</v>
      </c>
      <c r="M16" s="113">
        <f t="shared" si="2"/>
        <v>0</v>
      </c>
      <c r="N16" s="113">
        <f t="shared" si="2"/>
        <v>0</v>
      </c>
      <c r="O16" s="113">
        <f t="shared" si="2"/>
        <v>1.7969451931716084E-3</v>
      </c>
      <c r="P16" s="113">
        <f t="shared" si="2"/>
        <v>0</v>
      </c>
      <c r="Q16" s="113">
        <f t="shared" si="2"/>
        <v>0</v>
      </c>
      <c r="R16" s="113">
        <f t="shared" si="2"/>
        <v>1.7289073305670817E-4</v>
      </c>
      <c r="S16" s="113">
        <f t="shared" si="2"/>
        <v>0</v>
      </c>
      <c r="T16" s="113">
        <f t="shared" si="2"/>
        <v>0</v>
      </c>
      <c r="U16" s="113">
        <f t="shared" si="2"/>
        <v>0</v>
      </c>
      <c r="V16" s="113">
        <f t="shared" si="2"/>
        <v>0</v>
      </c>
    </row>
    <row r="17" spans="1:92" ht="18" customHeight="1">
      <c r="A17" s="112" t="s">
        <v>67</v>
      </c>
      <c r="B17" s="113">
        <f t="shared" si="2"/>
        <v>1.0616534773509566E-2</v>
      </c>
      <c r="C17" s="113">
        <f t="shared" si="2"/>
        <v>8.3367556468172486E-3</v>
      </c>
      <c r="D17" s="113">
        <f t="shared" si="2"/>
        <v>1.1218277583966072E-2</v>
      </c>
      <c r="E17" s="113">
        <f t="shared" si="2"/>
        <v>0.23091291984437651</v>
      </c>
      <c r="F17" s="113">
        <f t="shared" si="2"/>
        <v>2.9780242349558431E-3</v>
      </c>
      <c r="G17" s="113">
        <f t="shared" si="2"/>
        <v>1.3595874355368026E-2</v>
      </c>
      <c r="H17" s="113">
        <f t="shared" si="2"/>
        <v>2.0833333333333332E-2</v>
      </c>
      <c r="I17" s="113">
        <f t="shared" si="2"/>
        <v>5.9026069847515988E-4</v>
      </c>
      <c r="J17" s="113">
        <f t="shared" si="2"/>
        <v>6.0749363404874503E-2</v>
      </c>
      <c r="K17" s="113">
        <f t="shared" si="2"/>
        <v>6.1334438458350597E-3</v>
      </c>
      <c r="L17" s="113">
        <f t="shared" si="2"/>
        <v>2.6387400016492125E-3</v>
      </c>
      <c r="M17" s="113">
        <f t="shared" si="2"/>
        <v>2.1105951878429719E-3</v>
      </c>
      <c r="N17" s="113">
        <f t="shared" si="2"/>
        <v>1.2580990123922753E-4</v>
      </c>
      <c r="O17" s="113">
        <f t="shared" si="2"/>
        <v>0.78248795229927304</v>
      </c>
      <c r="P17" s="113">
        <f t="shared" si="2"/>
        <v>1.3189935064935064E-2</v>
      </c>
      <c r="Q17" s="113">
        <f t="shared" si="2"/>
        <v>0</v>
      </c>
      <c r="R17" s="113">
        <f t="shared" si="2"/>
        <v>2.3052097740894422E-3</v>
      </c>
      <c r="S17" s="113">
        <f t="shared" si="2"/>
        <v>1.0721649484536082E-3</v>
      </c>
      <c r="T17" s="113">
        <f t="shared" si="2"/>
        <v>3.5038542396636299E-3</v>
      </c>
      <c r="U17" s="113">
        <f t="shared" si="2"/>
        <v>9.433962264150943E-3</v>
      </c>
      <c r="V17" s="113">
        <f t="shared" si="2"/>
        <v>0</v>
      </c>
    </row>
    <row r="18" spans="1:92" ht="18" customHeight="1">
      <c r="A18" s="112" t="s">
        <v>62</v>
      </c>
      <c r="B18" s="113">
        <f t="shared" si="2"/>
        <v>1.3003076005846938E-2</v>
      </c>
      <c r="C18" s="113">
        <f t="shared" si="2"/>
        <v>0</v>
      </c>
      <c r="D18" s="113">
        <f t="shared" si="2"/>
        <v>2.7361652643819687E-4</v>
      </c>
      <c r="E18" s="113">
        <f t="shared" si="2"/>
        <v>5.710954324263227E-4</v>
      </c>
      <c r="F18" s="113">
        <f t="shared" si="2"/>
        <v>0</v>
      </c>
      <c r="G18" s="113">
        <f t="shared" si="2"/>
        <v>0</v>
      </c>
      <c r="H18" s="113">
        <f t="shared" si="2"/>
        <v>0</v>
      </c>
      <c r="I18" s="113">
        <f t="shared" si="2"/>
        <v>8.8539104771273981E-4</v>
      </c>
      <c r="J18" s="113">
        <f t="shared" si="2"/>
        <v>0</v>
      </c>
      <c r="K18" s="113">
        <f t="shared" si="2"/>
        <v>0</v>
      </c>
      <c r="L18" s="113">
        <f t="shared" si="2"/>
        <v>0</v>
      </c>
      <c r="M18" s="113">
        <f t="shared" si="2"/>
        <v>0</v>
      </c>
      <c r="N18" s="113">
        <f t="shared" si="2"/>
        <v>0</v>
      </c>
      <c r="O18" s="113">
        <f t="shared" si="2"/>
        <v>3.2671730784938332E-4</v>
      </c>
      <c r="P18" s="113">
        <f t="shared" si="2"/>
        <v>0</v>
      </c>
      <c r="Q18" s="113">
        <f t="shared" si="2"/>
        <v>0</v>
      </c>
      <c r="R18" s="113">
        <f t="shared" si="2"/>
        <v>0</v>
      </c>
      <c r="S18" s="113">
        <f t="shared" si="2"/>
        <v>0</v>
      </c>
      <c r="T18" s="113">
        <f t="shared" si="2"/>
        <v>8.4092501751927115E-4</v>
      </c>
      <c r="U18" s="113">
        <f t="shared" si="2"/>
        <v>0</v>
      </c>
      <c r="V18" s="113">
        <f t="shared" si="2"/>
        <v>0</v>
      </c>
    </row>
    <row r="19" spans="1:92" ht="18" customHeight="1">
      <c r="A19" s="112" t="s">
        <v>57</v>
      </c>
      <c r="B19" s="113">
        <f t="shared" si="2"/>
        <v>1.4695794440178268E-3</v>
      </c>
      <c r="C19" s="113">
        <f t="shared" si="2"/>
        <v>6.4399383983572894E-2</v>
      </c>
      <c r="D19" s="113">
        <f t="shared" si="2"/>
        <v>1.3680826321909844E-4</v>
      </c>
      <c r="E19" s="113">
        <f t="shared" si="2"/>
        <v>1.1897821508881723E-3</v>
      </c>
      <c r="F19" s="113">
        <f t="shared" si="2"/>
        <v>0</v>
      </c>
      <c r="G19" s="113">
        <f t="shared" si="2"/>
        <v>0</v>
      </c>
      <c r="H19" s="113">
        <f t="shared" si="2"/>
        <v>0</v>
      </c>
      <c r="I19" s="113">
        <f t="shared" si="2"/>
        <v>0</v>
      </c>
      <c r="J19" s="113">
        <f t="shared" si="2"/>
        <v>0</v>
      </c>
      <c r="K19" s="113">
        <f t="shared" si="2"/>
        <v>0</v>
      </c>
      <c r="L19" s="113">
        <f t="shared" si="2"/>
        <v>0</v>
      </c>
      <c r="M19" s="113">
        <f t="shared" si="2"/>
        <v>2.5796163406969656E-4</v>
      </c>
      <c r="N19" s="113">
        <f t="shared" si="2"/>
        <v>0</v>
      </c>
      <c r="O19" s="113">
        <f t="shared" si="2"/>
        <v>3.2671730784938332E-4</v>
      </c>
      <c r="P19" s="113">
        <f t="shared" si="2"/>
        <v>0</v>
      </c>
      <c r="Q19" s="113">
        <f t="shared" si="2"/>
        <v>0</v>
      </c>
      <c r="R19" s="113">
        <f t="shared" si="2"/>
        <v>2.362840018441678E-3</v>
      </c>
      <c r="S19" s="113">
        <f t="shared" si="2"/>
        <v>1.6494845360824743E-3</v>
      </c>
      <c r="T19" s="113">
        <f t="shared" si="2"/>
        <v>5.6061667834618077E-4</v>
      </c>
      <c r="U19" s="113">
        <f t="shared" si="2"/>
        <v>0</v>
      </c>
      <c r="V19" s="113">
        <f t="shared" si="2"/>
        <v>0</v>
      </c>
    </row>
    <row r="20" spans="1:92" ht="18" customHeight="1">
      <c r="A20" s="114" t="s">
        <v>17</v>
      </c>
      <c r="B20" s="114">
        <f t="shared" ref="B20:V20" si="3">SUM(B3:B19)</f>
        <v>1</v>
      </c>
      <c r="C20" s="115">
        <f t="shared" si="3"/>
        <v>1</v>
      </c>
      <c r="D20" s="115">
        <f t="shared" si="3"/>
        <v>1</v>
      </c>
      <c r="E20" s="115">
        <f t="shared" si="3"/>
        <v>1</v>
      </c>
      <c r="F20" s="115">
        <f t="shared" si="3"/>
        <v>0.99999999999999978</v>
      </c>
      <c r="G20" s="115">
        <f t="shared" si="3"/>
        <v>1</v>
      </c>
      <c r="H20" s="115">
        <f t="shared" si="3"/>
        <v>1</v>
      </c>
      <c r="I20" s="115">
        <f t="shared" si="3"/>
        <v>0.99999999999999989</v>
      </c>
      <c r="J20" s="115">
        <f t="shared" si="3"/>
        <v>1</v>
      </c>
      <c r="K20" s="115">
        <f t="shared" si="3"/>
        <v>1</v>
      </c>
      <c r="L20" s="115">
        <f t="shared" si="3"/>
        <v>1</v>
      </c>
      <c r="M20" s="115">
        <f t="shared" si="3"/>
        <v>1</v>
      </c>
      <c r="N20" s="114">
        <f t="shared" si="3"/>
        <v>1</v>
      </c>
      <c r="O20" s="114">
        <f t="shared" si="3"/>
        <v>1</v>
      </c>
      <c r="P20" s="114">
        <f t="shared" si="3"/>
        <v>1</v>
      </c>
      <c r="Q20" s="114">
        <f t="shared" si="3"/>
        <v>1</v>
      </c>
      <c r="R20" s="114">
        <f t="shared" si="3"/>
        <v>1</v>
      </c>
      <c r="S20" s="114">
        <f t="shared" si="3"/>
        <v>0.99999999999999989</v>
      </c>
      <c r="T20" s="114">
        <f t="shared" si="3"/>
        <v>1</v>
      </c>
      <c r="U20" s="114">
        <f t="shared" si="3"/>
        <v>1</v>
      </c>
      <c r="V20" s="114">
        <f t="shared" si="3"/>
        <v>1</v>
      </c>
    </row>
    <row r="21" spans="1:92" ht="18" customHeight="1">
      <c r="A21" s="13"/>
      <c r="R21" s="28"/>
    </row>
    <row r="22" spans="1:92" s="31" customFormat="1" ht="32.25" customHeight="1">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row>
    <row r="23" spans="1:92" ht="18" customHeight="1">
      <c r="A23" s="112" t="s">
        <v>51</v>
      </c>
      <c r="B23" s="116">
        <v>18534</v>
      </c>
      <c r="C23" s="116">
        <v>854</v>
      </c>
      <c r="D23" s="117"/>
      <c r="E23" s="116">
        <v>150</v>
      </c>
      <c r="F23" s="116"/>
      <c r="G23" s="116">
        <v>103</v>
      </c>
      <c r="H23" s="117"/>
      <c r="I23" s="116">
        <v>9454</v>
      </c>
      <c r="J23" s="116"/>
      <c r="K23" s="117"/>
      <c r="L23" s="116">
        <v>3</v>
      </c>
      <c r="M23" s="117"/>
      <c r="N23" s="117"/>
      <c r="O23" s="116">
        <v>39</v>
      </c>
      <c r="P23" s="117"/>
      <c r="Q23" s="117">
        <v>1</v>
      </c>
      <c r="R23" s="116">
        <v>44</v>
      </c>
      <c r="S23" s="116"/>
      <c r="T23" s="117">
        <v>2</v>
      </c>
      <c r="U23" s="117"/>
      <c r="V23" s="117"/>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row>
    <row r="24" spans="1:92" ht="18" customHeight="1">
      <c r="A24" s="112" t="s">
        <v>52</v>
      </c>
      <c r="B24" s="116">
        <v>795566</v>
      </c>
      <c r="C24" s="116">
        <v>66175</v>
      </c>
      <c r="D24" s="116">
        <v>213</v>
      </c>
      <c r="E24" s="116">
        <v>2123</v>
      </c>
      <c r="F24" s="116">
        <v>12</v>
      </c>
      <c r="G24" s="116">
        <v>654</v>
      </c>
      <c r="H24" s="116">
        <v>46</v>
      </c>
      <c r="I24" s="116">
        <v>153</v>
      </c>
      <c r="J24" s="116">
        <v>30</v>
      </c>
      <c r="K24" s="116">
        <v>10</v>
      </c>
      <c r="L24" s="116">
        <v>254</v>
      </c>
      <c r="M24" s="116">
        <v>27</v>
      </c>
      <c r="N24" s="117"/>
      <c r="O24" s="116">
        <v>155</v>
      </c>
      <c r="P24" s="116">
        <v>105</v>
      </c>
      <c r="Q24" s="116">
        <v>43</v>
      </c>
      <c r="R24" s="116">
        <v>658</v>
      </c>
      <c r="S24" s="116">
        <v>314</v>
      </c>
      <c r="T24" s="116">
        <v>554</v>
      </c>
      <c r="U24" s="117">
        <v>3</v>
      </c>
      <c r="V24" s="116">
        <v>6</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row>
    <row r="25" spans="1:92" ht="18" customHeight="1">
      <c r="A25" s="112" t="s">
        <v>53</v>
      </c>
      <c r="B25" s="116">
        <v>73975</v>
      </c>
      <c r="C25" s="116">
        <v>1953</v>
      </c>
      <c r="D25" s="117"/>
      <c r="E25" s="116">
        <v>332</v>
      </c>
      <c r="F25" s="116">
        <v>9561</v>
      </c>
      <c r="G25" s="116">
        <v>245</v>
      </c>
      <c r="H25" s="117"/>
      <c r="I25" s="116">
        <v>152</v>
      </c>
      <c r="J25" s="117"/>
      <c r="K25" s="117">
        <v>4</v>
      </c>
      <c r="L25" s="116">
        <v>149</v>
      </c>
      <c r="M25" s="116">
        <v>2</v>
      </c>
      <c r="N25" s="117"/>
      <c r="O25" s="116"/>
      <c r="P25" s="117"/>
      <c r="Q25" s="116"/>
      <c r="R25" s="116">
        <v>50</v>
      </c>
      <c r="S25" s="116">
        <v>16</v>
      </c>
      <c r="T25" s="117">
        <v>21</v>
      </c>
      <c r="U25" s="117"/>
      <c r="V25" s="117"/>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row>
    <row r="26" spans="1:92" ht="18" customHeight="1">
      <c r="A26" s="112" t="s">
        <v>54</v>
      </c>
      <c r="B26" s="116">
        <v>14727</v>
      </c>
      <c r="C26" s="116">
        <v>285</v>
      </c>
      <c r="D26" s="116">
        <v>18</v>
      </c>
      <c r="E26" s="116">
        <v>117</v>
      </c>
      <c r="F26" s="116">
        <v>3</v>
      </c>
      <c r="G26" s="116">
        <v>54</v>
      </c>
      <c r="H26" s="116"/>
      <c r="I26" s="116">
        <v>4</v>
      </c>
      <c r="J26" s="116">
        <v>3</v>
      </c>
      <c r="K26" s="117"/>
      <c r="L26" s="116">
        <v>12</v>
      </c>
      <c r="M26" s="117"/>
      <c r="N26" s="117"/>
      <c r="O26" s="116"/>
      <c r="P26" s="116">
        <v>24</v>
      </c>
      <c r="Q26" s="117"/>
      <c r="R26" s="116">
        <v>26</v>
      </c>
      <c r="S26" s="116">
        <v>11509</v>
      </c>
      <c r="T26" s="116">
        <v>6371</v>
      </c>
      <c r="U26" s="117"/>
      <c r="V26" s="117"/>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row>
    <row r="27" spans="1:92" ht="18" customHeight="1">
      <c r="A27" s="112" t="s">
        <v>55</v>
      </c>
      <c r="B27" s="116">
        <v>94001.5</v>
      </c>
      <c r="C27" s="116">
        <v>4020</v>
      </c>
      <c r="D27" s="117">
        <v>11</v>
      </c>
      <c r="E27" s="116">
        <v>27099.5</v>
      </c>
      <c r="F27" s="116">
        <v>4</v>
      </c>
      <c r="G27" s="116">
        <v>12</v>
      </c>
      <c r="H27" s="116"/>
      <c r="I27" s="116">
        <v>54</v>
      </c>
      <c r="J27" s="117"/>
      <c r="K27" s="116">
        <v>5</v>
      </c>
      <c r="L27" s="117"/>
      <c r="M27" s="117">
        <v>3</v>
      </c>
      <c r="N27" s="117"/>
      <c r="O27" s="117">
        <v>19</v>
      </c>
      <c r="P27" s="117"/>
      <c r="Q27" s="117"/>
      <c r="R27" s="116">
        <v>138</v>
      </c>
      <c r="S27" s="117"/>
      <c r="T27" s="117">
        <v>4</v>
      </c>
      <c r="U27" s="116">
        <v>275</v>
      </c>
      <c r="V27" s="116">
        <v>243</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row>
    <row r="28" spans="1:92" ht="18" customHeight="1">
      <c r="A28" s="112" t="s">
        <v>56</v>
      </c>
      <c r="B28" s="116">
        <v>65658</v>
      </c>
      <c r="C28" s="116">
        <v>486</v>
      </c>
      <c r="D28" s="116"/>
      <c r="E28" s="116">
        <v>252</v>
      </c>
      <c r="F28" s="116">
        <v>25</v>
      </c>
      <c r="G28" s="116">
        <v>431</v>
      </c>
      <c r="H28" s="117"/>
      <c r="I28" s="116">
        <v>196</v>
      </c>
      <c r="J28" s="116"/>
      <c r="K28" s="116">
        <v>8</v>
      </c>
      <c r="L28" s="117">
        <v>4</v>
      </c>
      <c r="M28" s="117"/>
      <c r="N28" s="117"/>
      <c r="O28" s="116">
        <v>6</v>
      </c>
      <c r="P28" s="116">
        <v>1</v>
      </c>
      <c r="Q28" s="117">
        <v>2</v>
      </c>
      <c r="R28" s="116">
        <v>16147</v>
      </c>
      <c r="S28" s="116">
        <v>191</v>
      </c>
      <c r="T28" s="117">
        <v>2</v>
      </c>
      <c r="U28" s="117"/>
      <c r="V28" s="117"/>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row>
    <row r="29" spans="1:92" ht="18" customHeight="1">
      <c r="A29" s="112" t="s">
        <v>58</v>
      </c>
      <c r="B29" s="116">
        <v>11783</v>
      </c>
      <c r="C29" s="116">
        <v>1288</v>
      </c>
      <c r="D29" s="116"/>
      <c r="E29" s="116">
        <v>35</v>
      </c>
      <c r="F29" s="117"/>
      <c r="G29" s="116">
        <v>15</v>
      </c>
      <c r="H29" s="116">
        <v>133</v>
      </c>
      <c r="I29" s="117"/>
      <c r="J29" s="116"/>
      <c r="K29" s="117"/>
      <c r="L29" s="116">
        <v>139</v>
      </c>
      <c r="M29" s="117"/>
      <c r="N29" s="117"/>
      <c r="O29" s="117">
        <v>2</v>
      </c>
      <c r="P29" s="117"/>
      <c r="Q29" s="117"/>
      <c r="R29" s="116">
        <v>3</v>
      </c>
      <c r="S29" s="116"/>
      <c r="T29" s="117"/>
      <c r="U29" s="117"/>
      <c r="V29" s="117"/>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row>
    <row r="30" spans="1:92" ht="18" customHeight="1">
      <c r="A30" s="112" t="s">
        <v>59</v>
      </c>
      <c r="B30" s="116">
        <v>49</v>
      </c>
      <c r="C30" s="116">
        <v>520</v>
      </c>
      <c r="D30" s="117">
        <v>6</v>
      </c>
      <c r="E30" s="116">
        <v>130</v>
      </c>
      <c r="F30" s="116">
        <v>10</v>
      </c>
      <c r="G30" s="116">
        <v>48</v>
      </c>
      <c r="H30" s="117"/>
      <c r="I30" s="117"/>
      <c r="J30" s="117"/>
      <c r="K30" s="117"/>
      <c r="L30" s="116">
        <v>23598</v>
      </c>
      <c r="M30" s="117"/>
      <c r="N30" s="117"/>
      <c r="O30" s="116">
        <v>9</v>
      </c>
      <c r="P30" s="116">
        <v>2</v>
      </c>
      <c r="Q30" s="116">
        <v>1525</v>
      </c>
      <c r="R30" s="116">
        <v>14</v>
      </c>
      <c r="S30" s="116"/>
      <c r="T30" s="117">
        <v>4</v>
      </c>
      <c r="U30" s="117"/>
      <c r="V30" s="117"/>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row>
    <row r="31" spans="1:92" ht="18" customHeight="1">
      <c r="A31" s="112" t="s">
        <v>60</v>
      </c>
      <c r="B31" s="116">
        <v>92</v>
      </c>
      <c r="C31" s="116">
        <v>752</v>
      </c>
      <c r="D31" s="116">
        <v>31</v>
      </c>
      <c r="E31" s="116">
        <v>44</v>
      </c>
      <c r="F31" s="116">
        <v>85</v>
      </c>
      <c r="G31" s="116">
        <v>10937</v>
      </c>
      <c r="H31" s="116">
        <v>9</v>
      </c>
      <c r="I31" s="116">
        <v>128</v>
      </c>
      <c r="J31" s="116">
        <v>24</v>
      </c>
      <c r="K31" s="117"/>
      <c r="L31" s="116">
        <v>20</v>
      </c>
      <c r="M31" s="117"/>
      <c r="N31" s="117"/>
      <c r="O31" s="116">
        <v>92</v>
      </c>
      <c r="P31" s="116">
        <v>85</v>
      </c>
      <c r="Q31" s="116">
        <v>4</v>
      </c>
      <c r="R31" s="116">
        <v>131</v>
      </c>
      <c r="S31" s="116">
        <v>55</v>
      </c>
      <c r="T31" s="116">
        <v>73</v>
      </c>
      <c r="U31" s="117"/>
      <c r="V31" s="117"/>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row>
    <row r="32" spans="1:92" ht="18" customHeight="1">
      <c r="A32" s="112" t="s">
        <v>61</v>
      </c>
      <c r="B32" s="116">
        <v>3357</v>
      </c>
      <c r="C32" s="116">
        <v>85</v>
      </c>
      <c r="D32" s="116">
        <v>704</v>
      </c>
      <c r="E32" s="116">
        <v>28</v>
      </c>
      <c r="F32" s="117"/>
      <c r="G32" s="116">
        <v>36</v>
      </c>
      <c r="H32" s="117"/>
      <c r="I32" s="116">
        <v>3</v>
      </c>
      <c r="J32" s="116">
        <v>12</v>
      </c>
      <c r="K32" s="117"/>
      <c r="L32" s="117"/>
      <c r="M32" s="117"/>
      <c r="N32" s="117"/>
      <c r="O32" s="116">
        <v>68</v>
      </c>
      <c r="P32" s="116">
        <v>9351</v>
      </c>
      <c r="Q32" s="117"/>
      <c r="R32" s="116"/>
      <c r="S32" s="116">
        <v>1</v>
      </c>
      <c r="T32" s="117">
        <v>41</v>
      </c>
      <c r="U32" s="117"/>
      <c r="V32" s="117"/>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row>
    <row r="33" spans="1:92" ht="18" customHeight="1">
      <c r="A33" s="112" t="s">
        <v>63</v>
      </c>
      <c r="B33" s="116">
        <v>98</v>
      </c>
      <c r="C33" s="116">
        <v>186</v>
      </c>
      <c r="D33" s="116">
        <v>2356</v>
      </c>
      <c r="E33" s="116">
        <v>3</v>
      </c>
      <c r="F33" s="117"/>
      <c r="G33" s="117"/>
      <c r="H33" s="117"/>
      <c r="I33" s="117"/>
      <c r="J33" s="117"/>
      <c r="K33" s="117"/>
      <c r="L33" s="117"/>
      <c r="M33" s="116"/>
      <c r="N33" s="116">
        <v>13798</v>
      </c>
      <c r="O33" s="116">
        <v>32</v>
      </c>
      <c r="P33" s="117"/>
      <c r="Q33" s="117"/>
      <c r="R33" s="117"/>
      <c r="S33" s="117"/>
      <c r="T33" s="117"/>
      <c r="U33" s="117"/>
      <c r="V33" s="117"/>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row>
    <row r="34" spans="1:92" ht="18" customHeight="1">
      <c r="A34" s="112" t="s">
        <v>64</v>
      </c>
      <c r="B34" s="116">
        <v>30840.5</v>
      </c>
      <c r="C34" s="116">
        <v>12178.5</v>
      </c>
      <c r="D34" s="116">
        <v>3864.5</v>
      </c>
      <c r="E34" s="116">
        <v>677</v>
      </c>
      <c r="F34" s="117">
        <v>6</v>
      </c>
      <c r="G34" s="116">
        <v>89</v>
      </c>
      <c r="H34" s="116"/>
      <c r="I34" s="116">
        <v>6</v>
      </c>
      <c r="J34" s="116">
        <v>111</v>
      </c>
      <c r="K34" s="116">
        <v>2156.5</v>
      </c>
      <c r="L34" s="116">
        <v>11</v>
      </c>
      <c r="M34" s="116">
        <v>42508</v>
      </c>
      <c r="N34" s="116">
        <v>2097</v>
      </c>
      <c r="O34" s="116">
        <v>867.5</v>
      </c>
      <c r="P34" s="116">
        <v>143</v>
      </c>
      <c r="Q34" s="117"/>
      <c r="R34" s="116">
        <v>57</v>
      </c>
      <c r="S34" s="116">
        <v>3</v>
      </c>
      <c r="T34" s="117">
        <v>16</v>
      </c>
      <c r="U34" s="116">
        <v>37</v>
      </c>
      <c r="V34" s="116">
        <v>3</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row>
    <row r="35" spans="1:92" ht="18" customHeight="1">
      <c r="A35" s="112" t="s">
        <v>65</v>
      </c>
      <c r="B35" s="116">
        <v>9395</v>
      </c>
      <c r="C35" s="116">
        <v>65</v>
      </c>
      <c r="D35" s="116">
        <v>12</v>
      </c>
      <c r="E35" s="116">
        <v>1180</v>
      </c>
      <c r="F35" s="117">
        <v>3</v>
      </c>
      <c r="G35" s="116"/>
      <c r="H35" s="117"/>
      <c r="I35" s="117"/>
      <c r="J35" s="116">
        <v>2296</v>
      </c>
      <c r="K35" s="116">
        <v>62</v>
      </c>
      <c r="L35" s="117"/>
      <c r="M35" s="117">
        <v>1</v>
      </c>
      <c r="N35" s="117"/>
      <c r="O35" s="116">
        <v>27</v>
      </c>
      <c r="P35" s="116">
        <v>15</v>
      </c>
      <c r="Q35" s="117"/>
      <c r="R35" s="117"/>
      <c r="S35" s="116">
        <v>3</v>
      </c>
      <c r="T35" s="117">
        <v>12</v>
      </c>
      <c r="U35" s="117"/>
      <c r="V35" s="117"/>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row>
    <row r="36" spans="1:92" ht="18" customHeight="1">
      <c r="A36" s="112" t="s">
        <v>66</v>
      </c>
      <c r="B36" s="116">
        <v>407</v>
      </c>
      <c r="C36" s="116">
        <v>1468</v>
      </c>
      <c r="D36" s="116">
        <v>9</v>
      </c>
      <c r="E36" s="116">
        <v>76</v>
      </c>
      <c r="F36" s="117"/>
      <c r="G36" s="116"/>
      <c r="H36" s="117"/>
      <c r="I36" s="117"/>
      <c r="J36" s="116">
        <v>106</v>
      </c>
      <c r="K36" s="116">
        <v>15741</v>
      </c>
      <c r="L36" s="117"/>
      <c r="M36" s="117"/>
      <c r="N36" s="117"/>
      <c r="O36" s="116">
        <v>11</v>
      </c>
      <c r="P36" s="117"/>
      <c r="Q36" s="117"/>
      <c r="R36" s="116">
        <v>3</v>
      </c>
      <c r="S36" s="117"/>
      <c r="T36" s="117"/>
      <c r="U36" s="117"/>
      <c r="V36" s="117"/>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row>
    <row r="37" spans="1:92" ht="18" customHeight="1">
      <c r="A37" s="112" t="s">
        <v>67</v>
      </c>
      <c r="B37" s="116">
        <v>12180</v>
      </c>
      <c r="C37" s="116">
        <v>812</v>
      </c>
      <c r="D37" s="116">
        <v>82</v>
      </c>
      <c r="E37" s="116">
        <v>9704</v>
      </c>
      <c r="F37" s="116">
        <v>29</v>
      </c>
      <c r="G37" s="116">
        <v>174</v>
      </c>
      <c r="H37" s="116">
        <v>4</v>
      </c>
      <c r="I37" s="116">
        <v>6</v>
      </c>
      <c r="J37" s="116">
        <v>167</v>
      </c>
      <c r="K37" s="116">
        <v>111</v>
      </c>
      <c r="L37" s="116">
        <v>64</v>
      </c>
      <c r="M37" s="116">
        <v>90</v>
      </c>
      <c r="N37" s="116">
        <v>2</v>
      </c>
      <c r="O37" s="116">
        <v>4790</v>
      </c>
      <c r="P37" s="116">
        <v>130</v>
      </c>
      <c r="Q37" s="116"/>
      <c r="R37" s="116">
        <v>40</v>
      </c>
      <c r="S37" s="117">
        <v>13</v>
      </c>
      <c r="T37" s="117">
        <v>25</v>
      </c>
      <c r="U37" s="117">
        <v>3</v>
      </c>
      <c r="V37" s="11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row>
    <row r="38" spans="1:92" ht="18" customHeight="1">
      <c r="A38" s="112" t="s">
        <v>62</v>
      </c>
      <c r="B38" s="116">
        <v>14918</v>
      </c>
      <c r="C38" s="117"/>
      <c r="D38" s="117">
        <v>2</v>
      </c>
      <c r="E38" s="117">
        <v>24</v>
      </c>
      <c r="F38" s="117"/>
      <c r="G38" s="117"/>
      <c r="H38" s="117"/>
      <c r="I38" s="117">
        <v>9</v>
      </c>
      <c r="J38" s="117"/>
      <c r="K38" s="117"/>
      <c r="L38" s="117"/>
      <c r="M38" s="117"/>
      <c r="N38" s="117"/>
      <c r="O38" s="117">
        <v>2</v>
      </c>
      <c r="P38" s="117"/>
      <c r="Q38" s="117"/>
      <c r="R38" s="117"/>
      <c r="S38" s="117"/>
      <c r="T38" s="117">
        <v>6</v>
      </c>
      <c r="U38" s="117"/>
      <c r="V38" s="117"/>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row>
    <row r="39" spans="1:92" ht="18" customHeight="1">
      <c r="A39" s="112" t="s">
        <v>57</v>
      </c>
      <c r="B39" s="116">
        <v>1686</v>
      </c>
      <c r="C39" s="116">
        <v>6272.5</v>
      </c>
      <c r="D39" s="116">
        <v>1</v>
      </c>
      <c r="E39" s="116">
        <v>50</v>
      </c>
      <c r="F39" s="117"/>
      <c r="G39" s="116"/>
      <c r="H39" s="116"/>
      <c r="I39" s="117"/>
      <c r="J39" s="117"/>
      <c r="K39" s="117"/>
      <c r="L39" s="117"/>
      <c r="M39" s="117">
        <v>11</v>
      </c>
      <c r="N39" s="117"/>
      <c r="O39" s="117">
        <v>2</v>
      </c>
      <c r="P39" s="116"/>
      <c r="Q39" s="117"/>
      <c r="R39" s="116">
        <v>41</v>
      </c>
      <c r="S39" s="116">
        <v>20</v>
      </c>
      <c r="T39" s="117">
        <v>4</v>
      </c>
      <c r="U39" s="117"/>
      <c r="V39" s="117"/>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row>
    <row r="40" spans="1:92" ht="18" customHeight="1">
      <c r="A40" s="118" t="s">
        <v>17</v>
      </c>
      <c r="B40" s="119">
        <f>SUM(B23:B39)</f>
        <v>1147267</v>
      </c>
      <c r="C40" s="119">
        <f t="shared" ref="C40:V40" si="4">SUM(C23:C39)</f>
        <v>97400</v>
      </c>
      <c r="D40" s="119">
        <f t="shared" si="4"/>
        <v>7309.5</v>
      </c>
      <c r="E40" s="119">
        <f t="shared" si="4"/>
        <v>42024.5</v>
      </c>
      <c r="F40" s="119">
        <f t="shared" si="4"/>
        <v>9738</v>
      </c>
      <c r="G40" s="119">
        <f t="shared" si="4"/>
        <v>12798</v>
      </c>
      <c r="H40" s="119">
        <f t="shared" si="4"/>
        <v>192</v>
      </c>
      <c r="I40" s="119">
        <f t="shared" si="4"/>
        <v>10165</v>
      </c>
      <c r="J40" s="119">
        <f t="shared" si="4"/>
        <v>2749</v>
      </c>
      <c r="K40" s="119">
        <f t="shared" si="4"/>
        <v>18097.5</v>
      </c>
      <c r="L40" s="119">
        <f t="shared" si="4"/>
        <v>24254</v>
      </c>
      <c r="M40" s="119">
        <f t="shared" si="4"/>
        <v>42642</v>
      </c>
      <c r="N40" s="119">
        <f t="shared" si="4"/>
        <v>15897</v>
      </c>
      <c r="O40" s="119">
        <f t="shared" si="4"/>
        <v>6121.5</v>
      </c>
      <c r="P40" s="119">
        <f t="shared" si="4"/>
        <v>9856</v>
      </c>
      <c r="Q40" s="119">
        <f t="shared" si="4"/>
        <v>1575</v>
      </c>
      <c r="R40" s="119">
        <f t="shared" si="4"/>
        <v>17352</v>
      </c>
      <c r="S40" s="119">
        <f t="shared" si="4"/>
        <v>12125</v>
      </c>
      <c r="T40" s="119">
        <f t="shared" si="4"/>
        <v>7135</v>
      </c>
      <c r="U40" s="119">
        <f t="shared" si="4"/>
        <v>318</v>
      </c>
      <c r="V40" s="119">
        <f t="shared" si="4"/>
        <v>252</v>
      </c>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row>
    <row r="41" spans="1:92" ht="18" customHeight="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customHeight="1">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customHeight="1">
      <c r="A43" s="199" t="s">
        <v>178</v>
      </c>
      <c r="B43" s="199" t="s">
        <v>119</v>
      </c>
      <c r="C43" s="199" t="s">
        <v>116</v>
      </c>
      <c r="D43" s="199" t="s">
        <v>117</v>
      </c>
      <c r="E43" s="199" t="s">
        <v>118</v>
      </c>
      <c r="F43" s="199" t="s">
        <v>191</v>
      </c>
      <c r="G43" s="199" t="s">
        <v>188</v>
      </c>
      <c r="H43" s="199" t="s">
        <v>179</v>
      </c>
      <c r="I43" s="199" t="s">
        <v>185</v>
      </c>
      <c r="J43" s="199" t="s">
        <v>189</v>
      </c>
      <c r="K43" s="199" t="s">
        <v>190</v>
      </c>
      <c r="L43" s="199" t="s">
        <v>192</v>
      </c>
      <c r="M43" s="199" t="s">
        <v>194</v>
      </c>
      <c r="N43" s="199" t="s">
        <v>195</v>
      </c>
      <c r="O43" s="199" t="s">
        <v>184</v>
      </c>
      <c r="P43" s="199" t="s">
        <v>183</v>
      </c>
      <c r="Q43" s="199" t="s">
        <v>193</v>
      </c>
      <c r="R43" s="199" t="s">
        <v>180</v>
      </c>
      <c r="S43" s="199" t="s">
        <v>181</v>
      </c>
      <c r="T43" s="199" t="s">
        <v>182</v>
      </c>
      <c r="U43" s="199" t="s">
        <v>186</v>
      </c>
      <c r="V43" s="199" t="s">
        <v>187</v>
      </c>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customHeight="1">
      <c r="A44" s="200" t="s">
        <v>51</v>
      </c>
      <c r="B44" s="201">
        <v>18596</v>
      </c>
      <c r="C44" s="201">
        <v>854</v>
      </c>
      <c r="D44" s="202"/>
      <c r="E44" s="201">
        <v>150</v>
      </c>
      <c r="F44" s="202"/>
      <c r="G44" s="201">
        <v>103</v>
      </c>
      <c r="H44" s="202"/>
      <c r="I44" s="201">
        <v>9454</v>
      </c>
      <c r="J44" s="202"/>
      <c r="K44" s="202"/>
      <c r="L44" s="201">
        <v>3</v>
      </c>
      <c r="M44" s="202"/>
      <c r="N44" s="202"/>
      <c r="O44" s="201">
        <v>39</v>
      </c>
      <c r="P44" s="202"/>
      <c r="Q44" s="201">
        <v>1</v>
      </c>
      <c r="R44" s="201">
        <v>44</v>
      </c>
      <c r="S44" s="202"/>
      <c r="T44" s="201">
        <v>2</v>
      </c>
      <c r="U44" s="202"/>
      <c r="V44" s="202"/>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customHeight="1">
      <c r="A45" s="200" t="s">
        <v>52</v>
      </c>
      <c r="B45" s="201">
        <v>796613</v>
      </c>
      <c r="C45" s="201">
        <v>66245</v>
      </c>
      <c r="D45" s="201">
        <v>213</v>
      </c>
      <c r="E45" s="201">
        <v>2127</v>
      </c>
      <c r="F45" s="201">
        <v>12</v>
      </c>
      <c r="G45" s="201">
        <v>654</v>
      </c>
      <c r="H45" s="201">
        <v>46</v>
      </c>
      <c r="I45" s="201">
        <v>153</v>
      </c>
      <c r="J45" s="201">
        <v>30</v>
      </c>
      <c r="K45" s="201">
        <v>10</v>
      </c>
      <c r="L45" s="201">
        <v>254</v>
      </c>
      <c r="M45" s="201">
        <v>27</v>
      </c>
      <c r="N45" s="202"/>
      <c r="O45" s="201">
        <v>155</v>
      </c>
      <c r="P45" s="201">
        <v>105</v>
      </c>
      <c r="Q45" s="201">
        <v>43</v>
      </c>
      <c r="R45" s="201">
        <v>658</v>
      </c>
      <c r="S45" s="201">
        <v>314</v>
      </c>
      <c r="T45" s="201">
        <v>554</v>
      </c>
      <c r="U45" s="201">
        <v>3</v>
      </c>
      <c r="V45" s="201">
        <v>6</v>
      </c>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customHeight="1">
      <c r="A46" s="200" t="s">
        <v>53</v>
      </c>
      <c r="B46" s="201">
        <v>74013</v>
      </c>
      <c r="C46" s="201">
        <v>1953</v>
      </c>
      <c r="D46" s="202"/>
      <c r="E46" s="201">
        <v>332</v>
      </c>
      <c r="F46" s="201">
        <v>9561</v>
      </c>
      <c r="G46" s="201">
        <v>245</v>
      </c>
      <c r="H46" s="202"/>
      <c r="I46" s="201">
        <v>156</v>
      </c>
      <c r="J46" s="202"/>
      <c r="K46" s="201">
        <v>4</v>
      </c>
      <c r="L46" s="201">
        <v>149</v>
      </c>
      <c r="M46" s="201">
        <v>2</v>
      </c>
      <c r="N46" s="202"/>
      <c r="O46" s="202"/>
      <c r="P46" s="202"/>
      <c r="Q46" s="202"/>
      <c r="R46" s="201">
        <v>50</v>
      </c>
      <c r="S46" s="201">
        <v>16</v>
      </c>
      <c r="T46" s="201">
        <v>21</v>
      </c>
      <c r="U46" s="202"/>
      <c r="V46" s="202"/>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customHeight="1">
      <c r="A47" s="200" t="s">
        <v>54</v>
      </c>
      <c r="B47" s="201">
        <v>15206</v>
      </c>
      <c r="C47" s="201">
        <v>285</v>
      </c>
      <c r="D47" s="201">
        <v>18</v>
      </c>
      <c r="E47" s="201">
        <v>117</v>
      </c>
      <c r="F47" s="201">
        <v>3</v>
      </c>
      <c r="G47" s="201">
        <v>54</v>
      </c>
      <c r="H47" s="202"/>
      <c r="I47" s="201">
        <v>4</v>
      </c>
      <c r="J47" s="201">
        <v>3</v>
      </c>
      <c r="K47" s="202"/>
      <c r="L47" s="201">
        <v>12</v>
      </c>
      <c r="M47" s="202"/>
      <c r="N47" s="202"/>
      <c r="O47" s="202"/>
      <c r="P47" s="201">
        <v>24</v>
      </c>
      <c r="Q47" s="202"/>
      <c r="R47" s="201">
        <v>26</v>
      </c>
      <c r="S47" s="201">
        <v>11509</v>
      </c>
      <c r="T47" s="201">
        <v>6371</v>
      </c>
      <c r="U47" s="202"/>
      <c r="V47" s="202"/>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customHeight="1">
      <c r="A48" s="200" t="s">
        <v>55</v>
      </c>
      <c r="B48" s="201">
        <v>96669.5</v>
      </c>
      <c r="C48" s="201">
        <v>4030</v>
      </c>
      <c r="D48" s="201">
        <v>11</v>
      </c>
      <c r="E48" s="201">
        <v>27113.5</v>
      </c>
      <c r="F48" s="201">
        <v>4</v>
      </c>
      <c r="G48" s="201">
        <v>12</v>
      </c>
      <c r="H48" s="202"/>
      <c r="I48" s="201">
        <v>54</v>
      </c>
      <c r="J48" s="202"/>
      <c r="K48" s="201">
        <v>5</v>
      </c>
      <c r="L48" s="202"/>
      <c r="M48" s="201">
        <v>3</v>
      </c>
      <c r="N48" s="202"/>
      <c r="O48" s="201">
        <v>19</v>
      </c>
      <c r="P48" s="202"/>
      <c r="Q48" s="202"/>
      <c r="R48" s="201">
        <v>138</v>
      </c>
      <c r="S48" s="202"/>
      <c r="T48" s="201">
        <v>4</v>
      </c>
      <c r="U48" s="201">
        <v>275</v>
      </c>
      <c r="V48" s="201">
        <v>243</v>
      </c>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customHeight="1">
      <c r="A49" s="200" t="s">
        <v>56</v>
      </c>
      <c r="B49" s="201">
        <v>65658</v>
      </c>
      <c r="C49" s="201">
        <v>486</v>
      </c>
      <c r="D49" s="202"/>
      <c r="E49" s="201">
        <v>252</v>
      </c>
      <c r="F49" s="201">
        <v>25</v>
      </c>
      <c r="G49" s="201">
        <v>431</v>
      </c>
      <c r="H49" s="202"/>
      <c r="I49" s="201">
        <v>196</v>
      </c>
      <c r="J49" s="202"/>
      <c r="K49" s="201">
        <v>8</v>
      </c>
      <c r="L49" s="201">
        <v>4</v>
      </c>
      <c r="M49" s="202"/>
      <c r="N49" s="202"/>
      <c r="O49" s="201">
        <v>6</v>
      </c>
      <c r="P49" s="201">
        <v>1</v>
      </c>
      <c r="Q49" s="201">
        <v>2</v>
      </c>
      <c r="R49" s="201">
        <v>16171</v>
      </c>
      <c r="S49" s="201">
        <v>191</v>
      </c>
      <c r="T49" s="201">
        <v>2</v>
      </c>
      <c r="U49" s="202"/>
      <c r="V49" s="202"/>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customHeight="1">
      <c r="A50" s="200" t="s">
        <v>58</v>
      </c>
      <c r="B50" s="201">
        <v>11783</v>
      </c>
      <c r="C50" s="201">
        <v>1288</v>
      </c>
      <c r="D50" s="202"/>
      <c r="E50" s="201">
        <v>35</v>
      </c>
      <c r="F50" s="202"/>
      <c r="G50" s="201">
        <v>15</v>
      </c>
      <c r="H50" s="201">
        <v>133</v>
      </c>
      <c r="I50" s="202"/>
      <c r="J50" s="202"/>
      <c r="K50" s="202"/>
      <c r="L50" s="201">
        <v>139</v>
      </c>
      <c r="M50" s="202"/>
      <c r="N50" s="202"/>
      <c r="O50" s="201">
        <v>2</v>
      </c>
      <c r="P50" s="202"/>
      <c r="Q50" s="202"/>
      <c r="R50" s="201">
        <v>3</v>
      </c>
      <c r="S50" s="202"/>
      <c r="T50" s="202"/>
      <c r="U50" s="202"/>
      <c r="V50" s="202"/>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customHeight="1">
      <c r="A51" s="200" t="s">
        <v>59</v>
      </c>
      <c r="B51" s="201">
        <v>49</v>
      </c>
      <c r="C51" s="201">
        <v>520</v>
      </c>
      <c r="D51" s="201">
        <v>6</v>
      </c>
      <c r="E51" s="201">
        <v>130</v>
      </c>
      <c r="F51" s="201">
        <v>10</v>
      </c>
      <c r="G51" s="201">
        <v>48</v>
      </c>
      <c r="H51" s="202"/>
      <c r="I51" s="202"/>
      <c r="J51" s="202"/>
      <c r="K51" s="202"/>
      <c r="L51" s="201">
        <v>23647</v>
      </c>
      <c r="M51" s="202"/>
      <c r="N51" s="202"/>
      <c r="O51" s="201">
        <v>9</v>
      </c>
      <c r="P51" s="201">
        <v>2</v>
      </c>
      <c r="Q51" s="201">
        <v>1573</v>
      </c>
      <c r="R51" s="201">
        <v>14</v>
      </c>
      <c r="S51" s="202"/>
      <c r="T51" s="201">
        <v>4</v>
      </c>
      <c r="U51" s="202"/>
      <c r="V51" s="202"/>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row>
    <row r="52" spans="1:92" ht="18" customHeight="1">
      <c r="A52" s="200" t="s">
        <v>60</v>
      </c>
      <c r="B52" s="201">
        <v>92</v>
      </c>
      <c r="C52" s="201">
        <v>752</v>
      </c>
      <c r="D52" s="201">
        <v>31</v>
      </c>
      <c r="E52" s="201">
        <v>44</v>
      </c>
      <c r="F52" s="201">
        <v>85</v>
      </c>
      <c r="G52" s="201">
        <v>10937</v>
      </c>
      <c r="H52" s="201">
        <v>9</v>
      </c>
      <c r="I52" s="201">
        <v>128</v>
      </c>
      <c r="J52" s="201">
        <v>24</v>
      </c>
      <c r="K52" s="202"/>
      <c r="L52" s="201">
        <v>20</v>
      </c>
      <c r="M52" s="202"/>
      <c r="N52" s="202"/>
      <c r="O52" s="201">
        <v>92</v>
      </c>
      <c r="P52" s="201">
        <v>85</v>
      </c>
      <c r="Q52" s="201">
        <v>4</v>
      </c>
      <c r="R52" s="201">
        <v>131</v>
      </c>
      <c r="S52" s="201">
        <v>55</v>
      </c>
      <c r="T52" s="201">
        <v>73</v>
      </c>
      <c r="U52" s="202"/>
      <c r="V52" s="20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row>
    <row r="53" spans="1:92" ht="18" customHeight="1">
      <c r="A53" s="200" t="s">
        <v>61</v>
      </c>
      <c r="B53" s="201">
        <v>3357</v>
      </c>
      <c r="C53" s="201">
        <v>85</v>
      </c>
      <c r="D53" s="201">
        <v>704</v>
      </c>
      <c r="E53" s="201">
        <v>28</v>
      </c>
      <c r="F53" s="202"/>
      <c r="G53" s="201">
        <v>36</v>
      </c>
      <c r="H53" s="202"/>
      <c r="I53" s="201">
        <v>3</v>
      </c>
      <c r="J53" s="201">
        <v>12</v>
      </c>
      <c r="K53" s="202"/>
      <c r="L53" s="202"/>
      <c r="M53" s="202"/>
      <c r="N53" s="202"/>
      <c r="O53" s="201">
        <v>68</v>
      </c>
      <c r="P53" s="201">
        <v>9351</v>
      </c>
      <c r="Q53" s="202"/>
      <c r="R53" s="202"/>
      <c r="S53" s="201">
        <v>1</v>
      </c>
      <c r="T53" s="201">
        <v>41</v>
      </c>
      <c r="U53" s="202"/>
      <c r="V53" s="202"/>
      <c r="W53" s="3">
        <f t="shared" ref="W53:W58" si="5">SUM(B53:V53)</f>
        <v>13686</v>
      </c>
    </row>
    <row r="54" spans="1:92" ht="18" customHeight="1">
      <c r="A54" s="200" t="s">
        <v>63</v>
      </c>
      <c r="B54" s="201">
        <v>98</v>
      </c>
      <c r="C54" s="201">
        <v>186</v>
      </c>
      <c r="D54" s="201">
        <v>2356</v>
      </c>
      <c r="E54" s="201">
        <v>3</v>
      </c>
      <c r="F54" s="202"/>
      <c r="G54" s="202"/>
      <c r="H54" s="202"/>
      <c r="I54" s="202"/>
      <c r="J54" s="202"/>
      <c r="K54" s="202"/>
      <c r="L54" s="202"/>
      <c r="M54" s="202"/>
      <c r="N54" s="201">
        <v>13798</v>
      </c>
      <c r="O54" s="201">
        <v>32</v>
      </c>
      <c r="P54" s="202"/>
      <c r="Q54" s="202"/>
      <c r="R54" s="202"/>
      <c r="S54" s="202"/>
      <c r="T54" s="202"/>
      <c r="U54" s="202"/>
      <c r="V54" s="202"/>
      <c r="W54" s="3">
        <f t="shared" si="5"/>
        <v>16473</v>
      </c>
    </row>
    <row r="55" spans="1:92" ht="18" customHeight="1">
      <c r="A55" s="200" t="s">
        <v>64</v>
      </c>
      <c r="B55" s="201">
        <v>31142.5</v>
      </c>
      <c r="C55" s="201">
        <v>12214</v>
      </c>
      <c r="D55" s="201">
        <v>3876.5</v>
      </c>
      <c r="E55" s="201">
        <v>706.5</v>
      </c>
      <c r="F55" s="201">
        <v>6</v>
      </c>
      <c r="G55" s="201">
        <v>89</v>
      </c>
      <c r="H55" s="202"/>
      <c r="I55" s="201">
        <v>6</v>
      </c>
      <c r="J55" s="201">
        <v>111</v>
      </c>
      <c r="K55" s="201">
        <v>2156.5</v>
      </c>
      <c r="L55" s="201">
        <v>11</v>
      </c>
      <c r="M55" s="201">
        <v>42547</v>
      </c>
      <c r="N55" s="201">
        <v>2097</v>
      </c>
      <c r="O55" s="201">
        <v>867.5</v>
      </c>
      <c r="P55" s="201">
        <v>143</v>
      </c>
      <c r="Q55" s="202"/>
      <c r="R55" s="201">
        <v>57</v>
      </c>
      <c r="S55" s="201">
        <v>3</v>
      </c>
      <c r="T55" s="201">
        <v>16</v>
      </c>
      <c r="U55" s="201">
        <v>37</v>
      </c>
      <c r="V55" s="201">
        <v>3</v>
      </c>
      <c r="W55" s="3">
        <f t="shared" si="5"/>
        <v>96089.5</v>
      </c>
    </row>
    <row r="56" spans="1:92" ht="18" customHeight="1">
      <c r="A56" s="200" t="s">
        <v>65</v>
      </c>
      <c r="B56" s="201">
        <v>9395</v>
      </c>
      <c r="C56" s="201">
        <v>65</v>
      </c>
      <c r="D56" s="201">
        <v>12</v>
      </c>
      <c r="E56" s="201">
        <v>1180</v>
      </c>
      <c r="F56" s="201">
        <v>3</v>
      </c>
      <c r="G56" s="202"/>
      <c r="H56" s="202"/>
      <c r="I56" s="202"/>
      <c r="J56" s="201">
        <v>2304</v>
      </c>
      <c r="K56" s="201">
        <v>62</v>
      </c>
      <c r="L56" s="202"/>
      <c r="M56" s="201">
        <v>1</v>
      </c>
      <c r="N56" s="202"/>
      <c r="O56" s="201">
        <v>27</v>
      </c>
      <c r="P56" s="201">
        <v>15</v>
      </c>
      <c r="Q56" s="202"/>
      <c r="R56" s="202"/>
      <c r="S56" s="201">
        <v>3</v>
      </c>
      <c r="T56" s="201">
        <v>12</v>
      </c>
      <c r="U56" s="202"/>
      <c r="V56" s="202"/>
      <c r="W56" s="3">
        <f t="shared" si="5"/>
        <v>13079</v>
      </c>
    </row>
    <row r="57" spans="1:92" ht="18" customHeight="1">
      <c r="A57" s="200" t="s">
        <v>66</v>
      </c>
      <c r="B57" s="201">
        <v>407</v>
      </c>
      <c r="C57" s="201">
        <v>1468</v>
      </c>
      <c r="D57" s="201">
        <v>9</v>
      </c>
      <c r="E57" s="201">
        <v>76</v>
      </c>
      <c r="F57" s="202"/>
      <c r="G57" s="202"/>
      <c r="H57" s="202"/>
      <c r="I57" s="202"/>
      <c r="J57" s="201">
        <v>106</v>
      </c>
      <c r="K57" s="201">
        <v>15741</v>
      </c>
      <c r="L57" s="202"/>
      <c r="M57" s="202"/>
      <c r="N57" s="202"/>
      <c r="O57" s="201">
        <v>11</v>
      </c>
      <c r="P57" s="202"/>
      <c r="Q57" s="202"/>
      <c r="R57" s="201">
        <v>3</v>
      </c>
      <c r="S57" s="202"/>
      <c r="T57" s="202"/>
      <c r="U57" s="202"/>
      <c r="V57" s="202"/>
      <c r="W57" s="3">
        <f t="shared" si="5"/>
        <v>17821</v>
      </c>
    </row>
    <row r="58" spans="1:92" ht="18" customHeight="1">
      <c r="A58" s="200" t="s">
        <v>67</v>
      </c>
      <c r="B58" s="201">
        <v>12189</v>
      </c>
      <c r="C58" s="201">
        <v>815</v>
      </c>
      <c r="D58" s="201">
        <v>82</v>
      </c>
      <c r="E58" s="201">
        <v>9741</v>
      </c>
      <c r="F58" s="201">
        <v>29</v>
      </c>
      <c r="G58" s="201">
        <v>174</v>
      </c>
      <c r="H58" s="201">
        <v>4</v>
      </c>
      <c r="I58" s="201">
        <v>6</v>
      </c>
      <c r="J58" s="201">
        <v>167</v>
      </c>
      <c r="K58" s="201">
        <v>111</v>
      </c>
      <c r="L58" s="201">
        <v>64</v>
      </c>
      <c r="M58" s="201">
        <v>90</v>
      </c>
      <c r="N58" s="201">
        <v>2</v>
      </c>
      <c r="O58" s="201">
        <v>4802</v>
      </c>
      <c r="P58" s="201">
        <v>130</v>
      </c>
      <c r="Q58" s="202"/>
      <c r="R58" s="201">
        <v>40</v>
      </c>
      <c r="S58" s="201">
        <v>13</v>
      </c>
      <c r="T58" s="201">
        <v>25</v>
      </c>
      <c r="U58" s="201">
        <v>3</v>
      </c>
      <c r="V58" s="202"/>
      <c r="W58" s="3">
        <f t="shared" si="5"/>
        <v>28487</v>
      </c>
    </row>
    <row r="59" spans="1:92" ht="18" customHeight="1">
      <c r="A59" s="200" t="s">
        <v>62</v>
      </c>
      <c r="B59" s="201">
        <v>14961</v>
      </c>
      <c r="C59" s="202"/>
      <c r="D59" s="201">
        <v>2</v>
      </c>
      <c r="E59" s="201">
        <v>24</v>
      </c>
      <c r="F59" s="202"/>
      <c r="G59" s="202"/>
      <c r="H59" s="202"/>
      <c r="I59" s="201">
        <v>9</v>
      </c>
      <c r="J59" s="202"/>
      <c r="K59" s="202"/>
      <c r="L59" s="202"/>
      <c r="M59" s="202"/>
      <c r="N59" s="202"/>
      <c r="O59" s="201">
        <v>2</v>
      </c>
      <c r="P59" s="202"/>
      <c r="Q59" s="202"/>
      <c r="R59" s="202"/>
      <c r="S59" s="202"/>
      <c r="T59" s="201">
        <v>6</v>
      </c>
      <c r="U59" s="202"/>
      <c r="V59" s="202"/>
      <c r="W59" s="3">
        <f>SUM(B59:V59)</f>
        <v>15004</v>
      </c>
    </row>
    <row r="60" spans="1:92" ht="18" customHeight="1">
      <c r="A60" s="200" t="s">
        <v>57</v>
      </c>
      <c r="B60" s="201">
        <v>1686</v>
      </c>
      <c r="C60" s="201">
        <v>6272.5</v>
      </c>
      <c r="D60" s="201">
        <v>1</v>
      </c>
      <c r="E60" s="201">
        <v>50</v>
      </c>
      <c r="F60" s="202"/>
      <c r="G60" s="202"/>
      <c r="H60" s="202"/>
      <c r="I60" s="202"/>
      <c r="J60" s="202"/>
      <c r="K60" s="202"/>
      <c r="L60" s="202"/>
      <c r="M60" s="201">
        <v>11</v>
      </c>
      <c r="N60" s="202"/>
      <c r="O60" s="201">
        <v>2</v>
      </c>
      <c r="P60" s="202"/>
      <c r="Q60" s="202"/>
      <c r="R60" s="201">
        <v>41</v>
      </c>
      <c r="S60" s="201">
        <v>20</v>
      </c>
      <c r="T60" s="201">
        <v>4</v>
      </c>
      <c r="U60" s="202"/>
      <c r="V60" s="202"/>
      <c r="W60" s="3">
        <f>SUM(B60:V60)</f>
        <v>8087.5</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46"/>
  <sheetViews>
    <sheetView workbookViewId="0"/>
  </sheetViews>
  <sheetFormatPr defaultColWidth="8.85546875" defaultRowHeight="18" customHeight="1"/>
  <cols>
    <col min="1" max="1" width="53.7109375" style="32" customWidth="1"/>
    <col min="2" max="2" width="14.85546875" style="32" customWidth="1"/>
    <col min="3" max="3" width="14.28515625" style="32" customWidth="1"/>
    <col min="4" max="14" width="12.7109375" style="32" customWidth="1"/>
    <col min="15" max="17" width="10.7109375" style="32" customWidth="1"/>
    <col min="18" max="22" width="13.140625" style="32" customWidth="1"/>
    <col min="23" max="16384" width="8.85546875" style="32"/>
  </cols>
  <sheetData>
    <row r="1" spans="1:22" ht="22.5" customHeight="1">
      <c r="A1" s="127" t="s">
        <v>409</v>
      </c>
      <c r="B1" s="13"/>
      <c r="C1" s="6"/>
      <c r="D1" s="6"/>
      <c r="E1" s="6"/>
      <c r="F1" s="6"/>
      <c r="G1" s="6"/>
      <c r="H1" s="6"/>
      <c r="I1" s="6"/>
      <c r="J1" s="6"/>
      <c r="K1" s="6"/>
      <c r="L1" s="6"/>
      <c r="M1" s="6"/>
      <c r="N1" s="6"/>
      <c r="O1" s="6"/>
      <c r="P1" s="6"/>
    </row>
    <row r="2" spans="1:22" s="18" customFormat="1" ht="47.25" customHeight="1">
      <c r="A2" s="120" t="s">
        <v>78</v>
      </c>
      <c r="B2" s="120" t="s">
        <v>115</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c r="A3" s="128" t="s">
        <v>51</v>
      </c>
      <c r="B3" s="129">
        <f>+B23/B$40</f>
        <v>1.4551868592216955E-2</v>
      </c>
      <c r="C3" s="129">
        <f t="shared" ref="C3:V3" si="0">+C23/C$40</f>
        <v>5.1308900523560205E-3</v>
      </c>
      <c r="D3" s="129">
        <f t="shared" si="0"/>
        <v>0</v>
      </c>
      <c r="E3" s="129">
        <f t="shared" si="0"/>
        <v>4.9248953459738983E-4</v>
      </c>
      <c r="F3" s="129">
        <f t="shared" si="0"/>
        <v>0</v>
      </c>
      <c r="G3" s="129">
        <f t="shared" si="0"/>
        <v>1.5765765765765764E-2</v>
      </c>
      <c r="H3" s="129">
        <f t="shared" si="0"/>
        <v>0</v>
      </c>
      <c r="I3" s="129">
        <f t="shared" si="0"/>
        <v>0.92871287128712876</v>
      </c>
      <c r="J3" s="129">
        <f t="shared" si="0"/>
        <v>0</v>
      </c>
      <c r="K3" s="129">
        <f t="shared" si="0"/>
        <v>0</v>
      </c>
      <c r="L3" s="129">
        <f t="shared" si="0"/>
        <v>1.7688679245283021E-3</v>
      </c>
      <c r="M3" s="129">
        <f t="shared" si="0"/>
        <v>0</v>
      </c>
      <c r="N3" s="129">
        <f t="shared" si="0"/>
        <v>0</v>
      </c>
      <c r="O3" s="129">
        <f t="shared" si="0"/>
        <v>4.830917874396135E-3</v>
      </c>
      <c r="P3" s="129">
        <f t="shared" si="0"/>
        <v>0</v>
      </c>
      <c r="Q3" s="129">
        <f t="shared" si="0"/>
        <v>0</v>
      </c>
      <c r="R3" s="129">
        <f t="shared" si="0"/>
        <v>2.4615384615384612E-3</v>
      </c>
      <c r="S3" s="129">
        <f t="shared" si="0"/>
        <v>0</v>
      </c>
      <c r="T3" s="129">
        <f t="shared" si="0"/>
        <v>0</v>
      </c>
      <c r="U3" s="129">
        <f t="shared" si="0"/>
        <v>0</v>
      </c>
      <c r="V3" s="129">
        <f t="shared" si="0"/>
        <v>0</v>
      </c>
    </row>
    <row r="4" spans="1:22" ht="21" customHeight="1">
      <c r="A4" s="128" t="s">
        <v>52</v>
      </c>
      <c r="B4" s="129">
        <f t="shared" ref="B4:V4" si="1">+B24/B$40</f>
        <v>0.6748980266784258</v>
      </c>
      <c r="C4" s="129">
        <f t="shared" si="1"/>
        <v>0.65068062827225137</v>
      </c>
      <c r="D4" s="129">
        <f t="shared" si="1"/>
        <v>0</v>
      </c>
      <c r="E4" s="129">
        <f t="shared" si="1"/>
        <v>8.6185668554543213E-3</v>
      </c>
      <c r="F4" s="129">
        <f t="shared" si="1"/>
        <v>1.0294117647058825E-2</v>
      </c>
      <c r="G4" s="129">
        <f t="shared" si="1"/>
        <v>9.0090090090090086E-2</v>
      </c>
      <c r="H4" s="129">
        <f t="shared" si="1"/>
        <v>0.22222222222222221</v>
      </c>
      <c r="I4" s="129">
        <f t="shared" si="1"/>
        <v>4.9504950495049506E-3</v>
      </c>
      <c r="J4" s="129">
        <f t="shared" si="1"/>
        <v>6.7567567567567571E-3</v>
      </c>
      <c r="K4" s="129">
        <f t="shared" si="1"/>
        <v>0</v>
      </c>
      <c r="L4" s="129">
        <f t="shared" si="1"/>
        <v>5.3066037735849062E-3</v>
      </c>
      <c r="M4" s="129">
        <f t="shared" si="1"/>
        <v>0</v>
      </c>
      <c r="N4" s="129">
        <f t="shared" si="1"/>
        <v>0</v>
      </c>
      <c r="O4" s="129">
        <f t="shared" si="1"/>
        <v>1.932367149758454E-2</v>
      </c>
      <c r="P4" s="129">
        <f t="shared" si="1"/>
        <v>8.9974293059125968E-3</v>
      </c>
      <c r="Q4" s="129">
        <f t="shared" si="1"/>
        <v>0</v>
      </c>
      <c r="R4" s="129">
        <f t="shared" si="1"/>
        <v>2.2153846153846152E-2</v>
      </c>
      <c r="S4" s="129">
        <f t="shared" si="1"/>
        <v>6.3291139240506328E-3</v>
      </c>
      <c r="T4" s="129">
        <f t="shared" si="1"/>
        <v>2.5031289111389237E-3</v>
      </c>
      <c r="U4" s="129">
        <f t="shared" si="1"/>
        <v>0</v>
      </c>
      <c r="V4" s="129">
        <f t="shared" si="1"/>
        <v>0</v>
      </c>
    </row>
    <row r="5" spans="1:22" ht="21" customHeight="1">
      <c r="A5" s="128" t="s">
        <v>53</v>
      </c>
      <c r="B5" s="129">
        <f t="shared" ref="B5:V5" si="2">+B25/B$40</f>
        <v>0.10098114871568735</v>
      </c>
      <c r="C5" s="129">
        <f t="shared" si="2"/>
        <v>2.2931937172774867E-2</v>
      </c>
      <c r="D5" s="129">
        <f t="shared" si="2"/>
        <v>0</v>
      </c>
      <c r="E5" s="129">
        <f t="shared" si="2"/>
        <v>6.4023639497660673E-3</v>
      </c>
      <c r="F5" s="129">
        <f t="shared" si="2"/>
        <v>0.95588235294117652</v>
      </c>
      <c r="G5" s="129">
        <f t="shared" si="2"/>
        <v>0</v>
      </c>
      <c r="H5" s="129">
        <f t="shared" si="2"/>
        <v>0</v>
      </c>
      <c r="I5" s="129">
        <f t="shared" si="2"/>
        <v>2.9702970297029703E-3</v>
      </c>
      <c r="J5" s="129">
        <f t="shared" si="2"/>
        <v>0</v>
      </c>
      <c r="K5" s="129">
        <f t="shared" si="2"/>
        <v>0</v>
      </c>
      <c r="L5" s="129">
        <f t="shared" si="2"/>
        <v>7.0754716981132086E-3</v>
      </c>
      <c r="M5" s="129">
        <f t="shared" si="2"/>
        <v>0</v>
      </c>
      <c r="N5" s="129">
        <f t="shared" si="2"/>
        <v>0</v>
      </c>
      <c r="O5" s="129">
        <f t="shared" si="2"/>
        <v>0</v>
      </c>
      <c r="P5" s="129">
        <f t="shared" si="2"/>
        <v>0</v>
      </c>
      <c r="Q5" s="129">
        <f t="shared" si="2"/>
        <v>0</v>
      </c>
      <c r="R5" s="129">
        <f t="shared" si="2"/>
        <v>1.2307692307692306E-3</v>
      </c>
      <c r="S5" s="129">
        <f t="shared" si="2"/>
        <v>0</v>
      </c>
      <c r="T5" s="129">
        <f t="shared" si="2"/>
        <v>0</v>
      </c>
      <c r="U5" s="129">
        <f t="shared" si="2"/>
        <v>0</v>
      </c>
      <c r="V5" s="129">
        <f t="shared" si="2"/>
        <v>0</v>
      </c>
    </row>
    <row r="6" spans="1:22" ht="21" customHeight="1">
      <c r="A6" s="128" t="s">
        <v>54</v>
      </c>
      <c r="B6" s="129">
        <f t="shared" ref="B6:V6" si="3">+B26/B$40</f>
        <v>8.1578657259398085E-3</v>
      </c>
      <c r="C6" s="129">
        <f t="shared" si="3"/>
        <v>0</v>
      </c>
      <c r="D6" s="129">
        <f t="shared" si="3"/>
        <v>0</v>
      </c>
      <c r="E6" s="129">
        <f t="shared" si="3"/>
        <v>4.9248953459738983E-4</v>
      </c>
      <c r="F6" s="129">
        <f t="shared" si="3"/>
        <v>0</v>
      </c>
      <c r="G6" s="129">
        <f t="shared" si="3"/>
        <v>7.5075075075075074E-4</v>
      </c>
      <c r="H6" s="129">
        <f t="shared" si="3"/>
        <v>0</v>
      </c>
      <c r="I6" s="129">
        <f t="shared" si="3"/>
        <v>0</v>
      </c>
      <c r="J6" s="129">
        <f t="shared" si="3"/>
        <v>0</v>
      </c>
      <c r="K6" s="129">
        <f t="shared" si="3"/>
        <v>0</v>
      </c>
      <c r="L6" s="129">
        <f t="shared" si="3"/>
        <v>0</v>
      </c>
      <c r="M6" s="129">
        <f t="shared" si="3"/>
        <v>0</v>
      </c>
      <c r="N6" s="129">
        <f t="shared" si="3"/>
        <v>0</v>
      </c>
      <c r="O6" s="129">
        <f t="shared" si="3"/>
        <v>0</v>
      </c>
      <c r="P6" s="129">
        <f t="shared" si="3"/>
        <v>0</v>
      </c>
      <c r="Q6" s="129">
        <f t="shared" si="3"/>
        <v>0</v>
      </c>
      <c r="R6" s="129">
        <f t="shared" si="3"/>
        <v>0</v>
      </c>
      <c r="S6" s="129">
        <f t="shared" si="3"/>
        <v>0.98839662447257381</v>
      </c>
      <c r="T6" s="129">
        <f t="shared" si="3"/>
        <v>0.96245306633291616</v>
      </c>
      <c r="U6" s="129">
        <f t="shared" si="3"/>
        <v>0</v>
      </c>
      <c r="V6" s="129">
        <f t="shared" si="3"/>
        <v>0</v>
      </c>
    </row>
    <row r="7" spans="1:22" ht="21" customHeight="1">
      <c r="A7" s="128" t="s">
        <v>55</v>
      </c>
      <c r="B7" s="129">
        <f t="shared" ref="B7:V7" si="4">+B27/B$40</f>
        <v>9.1941351559916215E-2</v>
      </c>
      <c r="C7" s="129">
        <f t="shared" si="4"/>
        <v>3.8010471204188483E-2</v>
      </c>
      <c r="D7" s="129">
        <f t="shared" si="4"/>
        <v>0</v>
      </c>
      <c r="E7" s="129">
        <f t="shared" si="4"/>
        <v>0.66929327751785284</v>
      </c>
      <c r="F7" s="129">
        <f t="shared" si="4"/>
        <v>0</v>
      </c>
      <c r="G7" s="129">
        <f t="shared" si="4"/>
        <v>0</v>
      </c>
      <c r="H7" s="129">
        <f t="shared" si="4"/>
        <v>0</v>
      </c>
      <c r="I7" s="129">
        <f t="shared" si="4"/>
        <v>4.9504950495049506E-3</v>
      </c>
      <c r="J7" s="129">
        <f t="shared" si="4"/>
        <v>0</v>
      </c>
      <c r="K7" s="129">
        <f t="shared" si="4"/>
        <v>0</v>
      </c>
      <c r="L7" s="129">
        <f t="shared" si="4"/>
        <v>2.3584905660377362E-3</v>
      </c>
      <c r="M7" s="129">
        <f t="shared" si="4"/>
        <v>0</v>
      </c>
      <c r="N7" s="129">
        <f t="shared" si="4"/>
        <v>0</v>
      </c>
      <c r="O7" s="129">
        <f t="shared" si="4"/>
        <v>4.830917874396135E-3</v>
      </c>
      <c r="P7" s="129">
        <f t="shared" si="4"/>
        <v>0</v>
      </c>
      <c r="Q7" s="129">
        <f t="shared" si="4"/>
        <v>0</v>
      </c>
      <c r="R7" s="129">
        <f t="shared" si="4"/>
        <v>1.8461538461538459E-3</v>
      </c>
      <c r="S7" s="129">
        <f t="shared" si="4"/>
        <v>0</v>
      </c>
      <c r="T7" s="129">
        <f t="shared" si="4"/>
        <v>0</v>
      </c>
      <c r="U7" s="129">
        <f t="shared" si="4"/>
        <v>1</v>
      </c>
      <c r="V7" s="129">
        <f t="shared" si="4"/>
        <v>1</v>
      </c>
    </row>
    <row r="8" spans="1:22" ht="21" customHeight="1">
      <c r="A8" s="128" t="s">
        <v>56</v>
      </c>
      <c r="B8" s="129">
        <f t="shared" ref="B8:V8" si="5">+B28/B$40</f>
        <v>3.1088082901554404E-2</v>
      </c>
      <c r="C8" s="129">
        <f t="shared" si="5"/>
        <v>1.5706806282722511E-3</v>
      </c>
      <c r="D8" s="129">
        <f t="shared" si="5"/>
        <v>0</v>
      </c>
      <c r="E8" s="129">
        <f t="shared" si="5"/>
        <v>1.7237133710908646E-3</v>
      </c>
      <c r="F8" s="129">
        <f t="shared" si="5"/>
        <v>2.9411764705882353E-3</v>
      </c>
      <c r="G8" s="129">
        <f t="shared" si="5"/>
        <v>4.2042042042042045E-2</v>
      </c>
      <c r="H8" s="129">
        <f t="shared" si="5"/>
        <v>0</v>
      </c>
      <c r="I8" s="129">
        <f t="shared" si="5"/>
        <v>4.9504950495049506E-3</v>
      </c>
      <c r="J8" s="129">
        <f t="shared" si="5"/>
        <v>0</v>
      </c>
      <c r="K8" s="129">
        <f t="shared" si="5"/>
        <v>0</v>
      </c>
      <c r="L8" s="129">
        <f t="shared" si="5"/>
        <v>1.1792452830188681E-3</v>
      </c>
      <c r="M8" s="129">
        <f t="shared" si="5"/>
        <v>0</v>
      </c>
      <c r="N8" s="129">
        <f t="shared" si="5"/>
        <v>0</v>
      </c>
      <c r="O8" s="129">
        <f t="shared" si="5"/>
        <v>0</v>
      </c>
      <c r="P8" s="129">
        <f t="shared" si="5"/>
        <v>0</v>
      </c>
      <c r="Q8" s="129">
        <f t="shared" si="5"/>
        <v>0</v>
      </c>
      <c r="R8" s="129">
        <f t="shared" si="5"/>
        <v>0.96246153846153837</v>
      </c>
      <c r="S8" s="129">
        <f t="shared" si="5"/>
        <v>0</v>
      </c>
      <c r="T8" s="129">
        <f t="shared" si="5"/>
        <v>0</v>
      </c>
      <c r="U8" s="129">
        <f t="shared" si="5"/>
        <v>0</v>
      </c>
      <c r="V8" s="129">
        <f t="shared" si="5"/>
        <v>0</v>
      </c>
    </row>
    <row r="9" spans="1:22" ht="21" customHeight="1">
      <c r="A9" s="128" t="s">
        <v>58</v>
      </c>
      <c r="B9" s="129">
        <f t="shared" ref="B9:V9" si="6">+B29/B$40</f>
        <v>8.5988314408554731E-3</v>
      </c>
      <c r="C9" s="129">
        <f t="shared" si="6"/>
        <v>1.4554973821989529E-2</v>
      </c>
      <c r="D9" s="129">
        <f t="shared" si="6"/>
        <v>0</v>
      </c>
      <c r="E9" s="129">
        <f t="shared" si="6"/>
        <v>2.4624476729869491E-4</v>
      </c>
      <c r="F9" s="129">
        <f t="shared" si="6"/>
        <v>0</v>
      </c>
      <c r="G9" s="129">
        <f t="shared" si="6"/>
        <v>6.7567567567567571E-3</v>
      </c>
      <c r="H9" s="129">
        <f t="shared" si="6"/>
        <v>0.77777777777777779</v>
      </c>
      <c r="I9" s="129">
        <f t="shared" si="6"/>
        <v>0</v>
      </c>
      <c r="J9" s="129">
        <f t="shared" si="6"/>
        <v>0</v>
      </c>
      <c r="K9" s="129">
        <f t="shared" si="6"/>
        <v>0</v>
      </c>
      <c r="L9" s="129">
        <f t="shared" si="6"/>
        <v>1.7688679245283021E-3</v>
      </c>
      <c r="M9" s="129">
        <f t="shared" si="6"/>
        <v>0</v>
      </c>
      <c r="N9" s="129">
        <f t="shared" si="6"/>
        <v>0</v>
      </c>
      <c r="O9" s="129">
        <f t="shared" si="6"/>
        <v>0</v>
      </c>
      <c r="P9" s="129">
        <f t="shared" si="6"/>
        <v>0</v>
      </c>
      <c r="Q9" s="129">
        <f t="shared" si="6"/>
        <v>0</v>
      </c>
      <c r="R9" s="129">
        <f t="shared" si="6"/>
        <v>0</v>
      </c>
      <c r="S9" s="129">
        <f t="shared" si="6"/>
        <v>0</v>
      </c>
      <c r="T9" s="129">
        <f t="shared" si="6"/>
        <v>0</v>
      </c>
      <c r="U9" s="129">
        <f t="shared" si="6"/>
        <v>0</v>
      </c>
      <c r="V9" s="129">
        <f t="shared" si="6"/>
        <v>0</v>
      </c>
    </row>
    <row r="10" spans="1:22" ht="21" customHeight="1">
      <c r="A10" s="128" t="s">
        <v>59</v>
      </c>
      <c r="B10" s="129">
        <f t="shared" ref="B10:V10" si="7">+B30/B$40</f>
        <v>0</v>
      </c>
      <c r="C10" s="129">
        <f t="shared" si="7"/>
        <v>6.1780104712041888E-3</v>
      </c>
      <c r="D10" s="129">
        <f t="shared" si="7"/>
        <v>0</v>
      </c>
      <c r="E10" s="129">
        <f t="shared" si="7"/>
        <v>2.4624476729869496E-3</v>
      </c>
      <c r="F10" s="129">
        <f t="shared" si="7"/>
        <v>8.8235294117647058E-3</v>
      </c>
      <c r="G10" s="129">
        <f t="shared" si="7"/>
        <v>0</v>
      </c>
      <c r="H10" s="129">
        <f t="shared" si="7"/>
        <v>0</v>
      </c>
      <c r="I10" s="129">
        <f t="shared" si="7"/>
        <v>0</v>
      </c>
      <c r="J10" s="129">
        <f t="shared" si="7"/>
        <v>0</v>
      </c>
      <c r="K10" s="129">
        <f t="shared" si="7"/>
        <v>0</v>
      </c>
      <c r="L10" s="129">
        <f t="shared" si="7"/>
        <v>0.9722877358490567</v>
      </c>
      <c r="M10" s="129">
        <f t="shared" si="7"/>
        <v>0</v>
      </c>
      <c r="N10" s="129">
        <f t="shared" si="7"/>
        <v>0</v>
      </c>
      <c r="O10" s="129">
        <f t="shared" si="7"/>
        <v>0</v>
      </c>
      <c r="P10" s="129">
        <f t="shared" si="7"/>
        <v>0</v>
      </c>
      <c r="Q10" s="129">
        <f t="shared" si="7"/>
        <v>1</v>
      </c>
      <c r="R10" s="129">
        <f t="shared" si="7"/>
        <v>0</v>
      </c>
      <c r="S10" s="129">
        <f t="shared" si="7"/>
        <v>0</v>
      </c>
      <c r="T10" s="129">
        <f t="shared" si="7"/>
        <v>0</v>
      </c>
      <c r="U10" s="129">
        <f t="shared" si="7"/>
        <v>0</v>
      </c>
      <c r="V10" s="129">
        <f t="shared" si="7"/>
        <v>0</v>
      </c>
    </row>
    <row r="11" spans="1:22" ht="21" customHeight="1">
      <c r="A11" s="128" t="s">
        <v>60</v>
      </c>
      <c r="B11" s="129">
        <f t="shared" ref="B11:V11" si="8">+B31/B$40</f>
        <v>0</v>
      </c>
      <c r="C11" s="129">
        <f t="shared" si="8"/>
        <v>7.8534031413612562E-3</v>
      </c>
      <c r="D11" s="129">
        <f t="shared" si="8"/>
        <v>0</v>
      </c>
      <c r="E11" s="129">
        <f t="shared" si="8"/>
        <v>4.9248953459738983E-4</v>
      </c>
      <c r="F11" s="129">
        <f t="shared" si="8"/>
        <v>1.3235294117647059E-2</v>
      </c>
      <c r="G11" s="129">
        <f t="shared" si="8"/>
        <v>0.82657657657657657</v>
      </c>
      <c r="H11" s="129">
        <f t="shared" si="8"/>
        <v>0</v>
      </c>
      <c r="I11" s="129">
        <f t="shared" si="8"/>
        <v>1.4851485148514851E-2</v>
      </c>
      <c r="J11" s="129">
        <f t="shared" si="8"/>
        <v>6.7567567567567571E-3</v>
      </c>
      <c r="K11" s="129">
        <f t="shared" si="8"/>
        <v>0</v>
      </c>
      <c r="L11" s="129">
        <f t="shared" si="8"/>
        <v>2.9481132075471705E-3</v>
      </c>
      <c r="M11" s="129">
        <f t="shared" si="8"/>
        <v>0</v>
      </c>
      <c r="N11" s="129">
        <f t="shared" si="8"/>
        <v>0</v>
      </c>
      <c r="O11" s="129">
        <f t="shared" si="8"/>
        <v>9.6618357487922701E-3</v>
      </c>
      <c r="P11" s="129">
        <f t="shared" si="8"/>
        <v>1.5424164524421595E-2</v>
      </c>
      <c r="Q11" s="129">
        <f t="shared" si="8"/>
        <v>0</v>
      </c>
      <c r="R11" s="129">
        <f t="shared" si="8"/>
        <v>6.7692307692307678E-3</v>
      </c>
      <c r="S11" s="129">
        <f t="shared" si="8"/>
        <v>2.1097046413502108E-3</v>
      </c>
      <c r="T11" s="129">
        <f t="shared" si="8"/>
        <v>5.0062578222778474E-3</v>
      </c>
      <c r="U11" s="129">
        <f t="shared" si="8"/>
        <v>0</v>
      </c>
      <c r="V11" s="129">
        <f t="shared" si="8"/>
        <v>0</v>
      </c>
    </row>
    <row r="12" spans="1:22" ht="21" customHeight="1">
      <c r="A12" s="128" t="s">
        <v>61</v>
      </c>
      <c r="B12" s="129">
        <f t="shared" ref="B12:V12" si="9">+B32/B$40</f>
        <v>5.622312865174733E-3</v>
      </c>
      <c r="C12" s="129">
        <f t="shared" si="9"/>
        <v>0</v>
      </c>
      <c r="D12" s="129">
        <f t="shared" si="9"/>
        <v>0.16863406408094433</v>
      </c>
      <c r="E12" s="129">
        <f t="shared" si="9"/>
        <v>0</v>
      </c>
      <c r="F12" s="129">
        <f t="shared" si="9"/>
        <v>0</v>
      </c>
      <c r="G12" s="129">
        <f t="shared" si="9"/>
        <v>2.2522522522522522E-3</v>
      </c>
      <c r="H12" s="129">
        <f t="shared" si="9"/>
        <v>0</v>
      </c>
      <c r="I12" s="129">
        <f t="shared" si="9"/>
        <v>0</v>
      </c>
      <c r="J12" s="129">
        <f t="shared" si="9"/>
        <v>0</v>
      </c>
      <c r="K12" s="129">
        <f t="shared" si="9"/>
        <v>0</v>
      </c>
      <c r="L12" s="129">
        <f t="shared" si="9"/>
        <v>0</v>
      </c>
      <c r="M12" s="129">
        <f t="shared" si="9"/>
        <v>0</v>
      </c>
      <c r="N12" s="129">
        <f t="shared" si="9"/>
        <v>0</v>
      </c>
      <c r="O12" s="129">
        <f t="shared" si="9"/>
        <v>1.4492753623188406E-2</v>
      </c>
      <c r="P12" s="129">
        <f t="shared" si="9"/>
        <v>0.96143958868894608</v>
      </c>
      <c r="Q12" s="129">
        <f t="shared" si="9"/>
        <v>0</v>
      </c>
      <c r="R12" s="129">
        <f t="shared" si="9"/>
        <v>0</v>
      </c>
      <c r="S12" s="129">
        <f t="shared" si="9"/>
        <v>0</v>
      </c>
      <c r="T12" s="129">
        <f t="shared" si="9"/>
        <v>0</v>
      </c>
      <c r="U12" s="129">
        <f t="shared" si="9"/>
        <v>0</v>
      </c>
      <c r="V12" s="129">
        <f t="shared" si="9"/>
        <v>0</v>
      </c>
    </row>
    <row r="13" spans="1:22" ht="21" customHeight="1">
      <c r="A13" s="128" t="s">
        <v>63</v>
      </c>
      <c r="B13" s="129">
        <f t="shared" ref="B13:V13" si="10">+B33/B$40</f>
        <v>0</v>
      </c>
      <c r="C13" s="129">
        <f t="shared" si="10"/>
        <v>2.0942408376963349E-3</v>
      </c>
      <c r="D13" s="129">
        <f t="shared" si="10"/>
        <v>0.34738617200674538</v>
      </c>
      <c r="E13" s="129">
        <f t="shared" si="10"/>
        <v>0</v>
      </c>
      <c r="F13" s="129">
        <f t="shared" si="10"/>
        <v>0</v>
      </c>
      <c r="G13" s="129">
        <f t="shared" si="10"/>
        <v>0</v>
      </c>
      <c r="H13" s="129">
        <f t="shared" si="10"/>
        <v>0</v>
      </c>
      <c r="I13" s="129">
        <f t="shared" si="10"/>
        <v>0</v>
      </c>
      <c r="J13" s="129">
        <f t="shared" si="10"/>
        <v>0</v>
      </c>
      <c r="K13" s="129">
        <f t="shared" si="10"/>
        <v>0</v>
      </c>
      <c r="L13" s="129">
        <f t="shared" si="10"/>
        <v>0</v>
      </c>
      <c r="M13" s="129">
        <f t="shared" si="10"/>
        <v>0</v>
      </c>
      <c r="N13" s="129">
        <f t="shared" si="10"/>
        <v>1</v>
      </c>
      <c r="O13" s="129">
        <f t="shared" si="10"/>
        <v>4.830917874396135E-3</v>
      </c>
      <c r="P13" s="129">
        <f t="shared" si="10"/>
        <v>0</v>
      </c>
      <c r="Q13" s="129">
        <f t="shared" si="10"/>
        <v>0</v>
      </c>
      <c r="R13" s="129">
        <f t="shared" si="10"/>
        <v>0</v>
      </c>
      <c r="S13" s="129">
        <f t="shared" si="10"/>
        <v>0</v>
      </c>
      <c r="T13" s="129">
        <f t="shared" si="10"/>
        <v>0</v>
      </c>
      <c r="U13" s="129">
        <f t="shared" si="10"/>
        <v>0</v>
      </c>
      <c r="V13" s="129">
        <f t="shared" si="10"/>
        <v>0</v>
      </c>
    </row>
    <row r="14" spans="1:22" ht="21" customHeight="1">
      <c r="A14" s="128" t="s">
        <v>64</v>
      </c>
      <c r="B14" s="129">
        <f t="shared" ref="B14:V14" si="11">+B34/B$40</f>
        <v>1.8851284312644691E-2</v>
      </c>
      <c r="C14" s="129">
        <f t="shared" si="11"/>
        <v>0.1357068062827225</v>
      </c>
      <c r="D14" s="129">
        <f t="shared" si="11"/>
        <v>0.48397976391231029</v>
      </c>
      <c r="E14" s="129">
        <f t="shared" si="11"/>
        <v>7.1410982516621523E-3</v>
      </c>
      <c r="F14" s="129">
        <f t="shared" si="11"/>
        <v>0</v>
      </c>
      <c r="G14" s="129">
        <f t="shared" si="11"/>
        <v>7.5075075075075074E-4</v>
      </c>
      <c r="H14" s="129">
        <f t="shared" si="11"/>
        <v>0</v>
      </c>
      <c r="I14" s="129">
        <f t="shared" si="11"/>
        <v>9.9009900990098989E-4</v>
      </c>
      <c r="J14" s="129">
        <f t="shared" si="11"/>
        <v>1.0135135135135136E-2</v>
      </c>
      <c r="K14" s="129">
        <f t="shared" si="11"/>
        <v>0</v>
      </c>
      <c r="L14" s="129">
        <f t="shared" si="11"/>
        <v>1.7688679245283021E-3</v>
      </c>
      <c r="M14" s="129">
        <f t="shared" si="11"/>
        <v>0.97949138638228062</v>
      </c>
      <c r="N14" s="129">
        <f t="shared" si="11"/>
        <v>0</v>
      </c>
      <c r="O14" s="129">
        <f t="shared" si="11"/>
        <v>0.16586151368760066</v>
      </c>
      <c r="P14" s="129">
        <f t="shared" si="11"/>
        <v>5.1413881748071984E-3</v>
      </c>
      <c r="Q14" s="129">
        <f t="shared" si="11"/>
        <v>0</v>
      </c>
      <c r="R14" s="129">
        <f t="shared" si="11"/>
        <v>6.153846153846153E-4</v>
      </c>
      <c r="S14" s="129">
        <f t="shared" si="11"/>
        <v>0</v>
      </c>
      <c r="T14" s="129">
        <f t="shared" si="11"/>
        <v>0</v>
      </c>
      <c r="U14" s="129">
        <f t="shared" si="11"/>
        <v>0</v>
      </c>
      <c r="V14" s="129">
        <f t="shared" si="11"/>
        <v>0</v>
      </c>
    </row>
    <row r="15" spans="1:22" ht="21" customHeight="1">
      <c r="A15" s="128" t="s">
        <v>65</v>
      </c>
      <c r="B15" s="129">
        <f t="shared" ref="B15:V15" si="12">+B35/B$40</f>
        <v>1.5654282879506119E-2</v>
      </c>
      <c r="C15" s="129">
        <f t="shared" si="12"/>
        <v>0</v>
      </c>
      <c r="D15" s="129">
        <f t="shared" si="12"/>
        <v>0</v>
      </c>
      <c r="E15" s="129">
        <f t="shared" si="12"/>
        <v>4.3339079044570308E-2</v>
      </c>
      <c r="F15" s="129">
        <f t="shared" si="12"/>
        <v>0</v>
      </c>
      <c r="G15" s="129">
        <f t="shared" si="12"/>
        <v>0</v>
      </c>
      <c r="H15" s="129">
        <f t="shared" si="12"/>
        <v>0</v>
      </c>
      <c r="I15" s="129">
        <f t="shared" si="12"/>
        <v>0</v>
      </c>
      <c r="J15" s="129">
        <f t="shared" si="12"/>
        <v>0.95270270270270274</v>
      </c>
      <c r="K15" s="129">
        <f t="shared" si="12"/>
        <v>0</v>
      </c>
      <c r="L15" s="129">
        <f t="shared" si="12"/>
        <v>0</v>
      </c>
      <c r="M15" s="129">
        <f t="shared" si="12"/>
        <v>0</v>
      </c>
      <c r="N15" s="129">
        <f t="shared" si="12"/>
        <v>0</v>
      </c>
      <c r="O15" s="129">
        <f t="shared" si="12"/>
        <v>4.830917874396135E-3</v>
      </c>
      <c r="P15" s="129">
        <f t="shared" si="12"/>
        <v>0</v>
      </c>
      <c r="Q15" s="129">
        <f t="shared" si="12"/>
        <v>0</v>
      </c>
      <c r="R15" s="129">
        <f t="shared" si="12"/>
        <v>0</v>
      </c>
      <c r="S15" s="129">
        <f t="shared" si="12"/>
        <v>0</v>
      </c>
      <c r="T15" s="129">
        <f t="shared" si="12"/>
        <v>1.0012515644555695E-2</v>
      </c>
      <c r="U15" s="129">
        <f t="shared" si="12"/>
        <v>0</v>
      </c>
      <c r="V15" s="129">
        <f t="shared" si="12"/>
        <v>0</v>
      </c>
    </row>
    <row r="16" spans="1:22" ht="21" customHeight="1">
      <c r="A16" s="128" t="s">
        <v>66</v>
      </c>
      <c r="B16" s="129">
        <f t="shared" ref="B16:V16" si="13">+B36/B$40</f>
        <v>0</v>
      </c>
      <c r="C16" s="129">
        <f t="shared" si="13"/>
        <v>1.8743455497382197E-2</v>
      </c>
      <c r="D16" s="129">
        <f t="shared" si="13"/>
        <v>0</v>
      </c>
      <c r="E16" s="129">
        <f t="shared" si="13"/>
        <v>0</v>
      </c>
      <c r="F16" s="129">
        <f t="shared" si="13"/>
        <v>0</v>
      </c>
      <c r="G16" s="129">
        <f t="shared" si="13"/>
        <v>0</v>
      </c>
      <c r="H16" s="129">
        <f t="shared" si="13"/>
        <v>0</v>
      </c>
      <c r="I16" s="129">
        <f t="shared" si="13"/>
        <v>0</v>
      </c>
      <c r="J16" s="129">
        <f t="shared" si="13"/>
        <v>0</v>
      </c>
      <c r="K16" s="129">
        <f t="shared" si="13"/>
        <v>1</v>
      </c>
      <c r="L16" s="129">
        <f t="shared" si="13"/>
        <v>0</v>
      </c>
      <c r="M16" s="129">
        <f t="shared" si="13"/>
        <v>0</v>
      </c>
      <c r="N16" s="129">
        <f t="shared" si="13"/>
        <v>0</v>
      </c>
      <c r="O16" s="129">
        <f t="shared" si="13"/>
        <v>0</v>
      </c>
      <c r="P16" s="129">
        <f t="shared" si="13"/>
        <v>0</v>
      </c>
      <c r="Q16" s="129">
        <f t="shared" si="13"/>
        <v>0</v>
      </c>
      <c r="R16" s="129">
        <f t="shared" si="13"/>
        <v>0</v>
      </c>
      <c r="S16" s="129">
        <f t="shared" si="13"/>
        <v>0</v>
      </c>
      <c r="T16" s="129">
        <f t="shared" si="13"/>
        <v>0</v>
      </c>
      <c r="U16" s="129">
        <f t="shared" si="13"/>
        <v>0</v>
      </c>
      <c r="V16" s="129">
        <f t="shared" si="13"/>
        <v>0</v>
      </c>
    </row>
    <row r="17" spans="1:136" ht="21" customHeight="1">
      <c r="A17" s="128" t="s">
        <v>67</v>
      </c>
      <c r="B17" s="129">
        <f t="shared" ref="B17:V17" si="14">+B37/B$40</f>
        <v>1.918200859883144E-2</v>
      </c>
      <c r="C17" s="129">
        <f t="shared" si="14"/>
        <v>1.8848167539267015E-3</v>
      </c>
      <c r="D17" s="129">
        <f t="shared" si="14"/>
        <v>0</v>
      </c>
      <c r="E17" s="129">
        <f t="shared" si="14"/>
        <v>0.24255109578921449</v>
      </c>
      <c r="F17" s="129">
        <f t="shared" si="14"/>
        <v>4.4117647058823529E-3</v>
      </c>
      <c r="G17" s="129">
        <f t="shared" si="14"/>
        <v>1.5015015015015015E-2</v>
      </c>
      <c r="H17" s="129">
        <f t="shared" si="14"/>
        <v>0</v>
      </c>
      <c r="I17" s="129">
        <f t="shared" si="14"/>
        <v>9.9009900990098989E-4</v>
      </c>
      <c r="J17" s="129">
        <f t="shared" si="14"/>
        <v>2.3648648648648653E-2</v>
      </c>
      <c r="K17" s="129">
        <f t="shared" si="14"/>
        <v>0</v>
      </c>
      <c r="L17" s="129">
        <f t="shared" si="14"/>
        <v>3.5377358490566043E-3</v>
      </c>
      <c r="M17" s="129">
        <f t="shared" si="14"/>
        <v>8.2034454470877784E-3</v>
      </c>
      <c r="N17" s="129">
        <f t="shared" si="14"/>
        <v>0</v>
      </c>
      <c r="O17" s="129">
        <f t="shared" si="14"/>
        <v>0.75684380032206111</v>
      </c>
      <c r="P17" s="129">
        <f t="shared" si="14"/>
        <v>8.9974293059125968E-3</v>
      </c>
      <c r="Q17" s="129">
        <f t="shared" si="14"/>
        <v>0</v>
      </c>
      <c r="R17" s="129">
        <f t="shared" si="14"/>
        <v>6.153846153846153E-4</v>
      </c>
      <c r="S17" s="129">
        <f t="shared" si="14"/>
        <v>0</v>
      </c>
      <c r="T17" s="129">
        <f t="shared" si="14"/>
        <v>0</v>
      </c>
      <c r="U17" s="129">
        <f t="shared" si="14"/>
        <v>0</v>
      </c>
      <c r="V17" s="129">
        <f t="shared" si="14"/>
        <v>0</v>
      </c>
    </row>
    <row r="18" spans="1:136" ht="21" customHeight="1">
      <c r="A18" s="128" t="s">
        <v>62</v>
      </c>
      <c r="B18" s="129">
        <f t="shared" ref="B18:V18" si="15">+B38/B$40</f>
        <v>5.071105721530151E-3</v>
      </c>
      <c r="C18" s="129">
        <f t="shared" si="15"/>
        <v>0</v>
      </c>
      <c r="D18" s="129">
        <f t="shared" si="15"/>
        <v>0</v>
      </c>
      <c r="E18" s="129">
        <f t="shared" si="15"/>
        <v>1.7237133710908646E-3</v>
      </c>
      <c r="F18" s="129">
        <f t="shared" si="15"/>
        <v>0</v>
      </c>
      <c r="G18" s="129">
        <f t="shared" si="15"/>
        <v>0</v>
      </c>
      <c r="H18" s="129">
        <f t="shared" si="15"/>
        <v>0</v>
      </c>
      <c r="I18" s="129">
        <f t="shared" si="15"/>
        <v>0</v>
      </c>
      <c r="J18" s="129">
        <f t="shared" si="15"/>
        <v>0</v>
      </c>
      <c r="K18" s="129">
        <f t="shared" si="15"/>
        <v>0</v>
      </c>
      <c r="L18" s="129">
        <f t="shared" si="15"/>
        <v>0</v>
      </c>
      <c r="M18" s="129">
        <f t="shared" si="15"/>
        <v>0</v>
      </c>
      <c r="N18" s="129">
        <f t="shared" si="15"/>
        <v>0</v>
      </c>
      <c r="O18" s="129">
        <f t="shared" si="15"/>
        <v>0</v>
      </c>
      <c r="P18" s="129">
        <f t="shared" si="15"/>
        <v>0</v>
      </c>
      <c r="Q18" s="129">
        <f t="shared" si="15"/>
        <v>0</v>
      </c>
      <c r="R18" s="129">
        <f t="shared" si="15"/>
        <v>0</v>
      </c>
      <c r="S18" s="129">
        <f t="shared" si="15"/>
        <v>0</v>
      </c>
      <c r="T18" s="129">
        <f t="shared" si="15"/>
        <v>0</v>
      </c>
      <c r="U18" s="129">
        <f t="shared" si="15"/>
        <v>0</v>
      </c>
      <c r="V18" s="129">
        <f t="shared" si="15"/>
        <v>0</v>
      </c>
    </row>
    <row r="19" spans="1:136" ht="21" customHeight="1">
      <c r="A19" s="128" t="s">
        <v>57</v>
      </c>
      <c r="B19" s="129">
        <f t="shared" ref="B19:V19" si="16">+B39/B$40</f>
        <v>5.4018300077168999E-3</v>
      </c>
      <c r="C19" s="129">
        <f t="shared" si="16"/>
        <v>9.465968586387434E-2</v>
      </c>
      <c r="D19" s="129">
        <f t="shared" si="16"/>
        <v>0</v>
      </c>
      <c r="E19" s="129">
        <f t="shared" si="16"/>
        <v>1.502093080522039E-2</v>
      </c>
      <c r="F19" s="129">
        <f t="shared" si="16"/>
        <v>4.4117647058823529E-3</v>
      </c>
      <c r="G19" s="129">
        <f t="shared" si="16"/>
        <v>0</v>
      </c>
      <c r="H19" s="129">
        <f t="shared" si="16"/>
        <v>0</v>
      </c>
      <c r="I19" s="129">
        <f t="shared" si="16"/>
        <v>3.6633663366336632E-2</v>
      </c>
      <c r="J19" s="129">
        <f t="shared" si="16"/>
        <v>0</v>
      </c>
      <c r="K19" s="129">
        <f t="shared" si="16"/>
        <v>0</v>
      </c>
      <c r="L19" s="129">
        <f t="shared" si="16"/>
        <v>0</v>
      </c>
      <c r="M19" s="129">
        <f t="shared" si="16"/>
        <v>1.2305168170631665E-2</v>
      </c>
      <c r="N19" s="129">
        <f t="shared" si="16"/>
        <v>0</v>
      </c>
      <c r="O19" s="129">
        <f t="shared" si="16"/>
        <v>1.4492753623188406E-2</v>
      </c>
      <c r="P19" s="129">
        <f t="shared" si="16"/>
        <v>0</v>
      </c>
      <c r="Q19" s="129">
        <f t="shared" si="16"/>
        <v>0</v>
      </c>
      <c r="R19" s="129">
        <f t="shared" si="16"/>
        <v>1.8461538461538459E-3</v>
      </c>
      <c r="S19" s="129">
        <f t="shared" si="16"/>
        <v>3.1645569620253164E-3</v>
      </c>
      <c r="T19" s="129">
        <f t="shared" si="16"/>
        <v>2.002503128911139E-2</v>
      </c>
      <c r="U19" s="129">
        <f t="shared" si="16"/>
        <v>0</v>
      </c>
      <c r="V19" s="129">
        <f t="shared" si="16"/>
        <v>0</v>
      </c>
    </row>
    <row r="20" spans="1:136" ht="21" customHeight="1" thickBot="1">
      <c r="A20" s="130" t="s">
        <v>17</v>
      </c>
      <c r="B20" s="131">
        <f t="shared" ref="B20:V20" si="17">SUM(B3:B19)</f>
        <v>1</v>
      </c>
      <c r="C20" s="132">
        <f t="shared" si="17"/>
        <v>1</v>
      </c>
      <c r="D20" s="132">
        <f t="shared" si="17"/>
        <v>1</v>
      </c>
      <c r="E20" s="132">
        <f t="shared" si="17"/>
        <v>1.0000000000000004</v>
      </c>
      <c r="F20" s="132">
        <f t="shared" si="17"/>
        <v>0.99999999999999989</v>
      </c>
      <c r="G20" s="132">
        <f t="shared" si="17"/>
        <v>0.99999999999999989</v>
      </c>
      <c r="H20" s="132">
        <f t="shared" si="17"/>
        <v>1</v>
      </c>
      <c r="I20" s="132">
        <f t="shared" si="17"/>
        <v>1</v>
      </c>
      <c r="J20" s="132">
        <f t="shared" si="17"/>
        <v>1</v>
      </c>
      <c r="K20" s="132">
        <f t="shared" si="17"/>
        <v>1</v>
      </c>
      <c r="L20" s="132">
        <f t="shared" si="17"/>
        <v>1.0000000000000002</v>
      </c>
      <c r="M20" s="132">
        <f t="shared" si="17"/>
        <v>1</v>
      </c>
      <c r="N20" s="132">
        <f t="shared" si="17"/>
        <v>1</v>
      </c>
      <c r="O20" s="132">
        <f t="shared" si="17"/>
        <v>0.99999999999999989</v>
      </c>
      <c r="P20" s="132">
        <f t="shared" si="17"/>
        <v>1</v>
      </c>
      <c r="Q20" s="132">
        <f t="shared" si="17"/>
        <v>1</v>
      </c>
      <c r="R20" s="132">
        <f t="shared" si="17"/>
        <v>0.99999999999999978</v>
      </c>
      <c r="S20" s="132">
        <f t="shared" si="17"/>
        <v>1</v>
      </c>
      <c r="T20" s="132">
        <f t="shared" si="17"/>
        <v>1</v>
      </c>
      <c r="U20" s="132">
        <f t="shared" si="17"/>
        <v>1</v>
      </c>
      <c r="V20" s="132">
        <f t="shared" si="17"/>
        <v>1</v>
      </c>
    </row>
    <row r="21" spans="1:136" ht="18" customHeight="1">
      <c r="A21" s="13"/>
      <c r="S21" s="28"/>
    </row>
    <row r="22" spans="1:136" s="18" customFormat="1" ht="36" customHeight="1">
      <c r="A22" s="120" t="s">
        <v>78</v>
      </c>
      <c r="B22" s="120" t="s">
        <v>114</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row>
    <row r="23" spans="1:136" ht="21" customHeight="1">
      <c r="A23" s="128" t="s">
        <v>51</v>
      </c>
      <c r="B23" s="582">
        <v>132</v>
      </c>
      <c r="C23" s="583">
        <v>16.333333333333332</v>
      </c>
      <c r="D23" s="583"/>
      <c r="E23" s="583">
        <v>0.66666666666666663</v>
      </c>
      <c r="F23" s="583"/>
      <c r="G23" s="583">
        <v>7</v>
      </c>
      <c r="H23" s="583"/>
      <c r="I23" s="583">
        <v>312.66666666666669</v>
      </c>
      <c r="J23" s="583"/>
      <c r="K23" s="583"/>
      <c r="L23" s="583">
        <v>1</v>
      </c>
      <c r="M23" s="583"/>
      <c r="N23" s="583"/>
      <c r="O23" s="583">
        <v>1</v>
      </c>
      <c r="P23" s="583"/>
      <c r="Q23" s="583"/>
      <c r="R23" s="583">
        <v>1.3333333333333333</v>
      </c>
      <c r="S23" s="583"/>
      <c r="T23" s="583"/>
      <c r="U23" s="583"/>
      <c r="V23" s="58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row>
    <row r="24" spans="1:136" ht="21" customHeight="1">
      <c r="A24" s="128" t="s">
        <v>52</v>
      </c>
      <c r="B24" s="582">
        <v>6122</v>
      </c>
      <c r="C24" s="583">
        <v>2071.3333333333335</v>
      </c>
      <c r="D24" s="583"/>
      <c r="E24" s="583">
        <v>11.666666666666666</v>
      </c>
      <c r="F24" s="583">
        <v>2.3333333333333335</v>
      </c>
      <c r="G24" s="583">
        <v>40</v>
      </c>
      <c r="H24" s="583">
        <v>2</v>
      </c>
      <c r="I24" s="583">
        <v>1.6666666666666667</v>
      </c>
      <c r="J24" s="583">
        <v>0.66666666666666663</v>
      </c>
      <c r="K24" s="583"/>
      <c r="L24" s="583">
        <v>3</v>
      </c>
      <c r="M24" s="583"/>
      <c r="N24" s="583"/>
      <c r="O24" s="583">
        <v>4</v>
      </c>
      <c r="P24" s="583">
        <v>2.3333333333333335</v>
      </c>
      <c r="Q24" s="583"/>
      <c r="R24" s="583">
        <v>12</v>
      </c>
      <c r="S24" s="583">
        <v>2</v>
      </c>
      <c r="T24" s="583">
        <v>0.66666666666666663</v>
      </c>
      <c r="U24" s="583"/>
      <c r="V24" s="583"/>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row>
    <row r="25" spans="1:136" ht="21" customHeight="1">
      <c r="A25" s="128" t="s">
        <v>53</v>
      </c>
      <c r="B25" s="582">
        <v>916</v>
      </c>
      <c r="C25" s="583">
        <v>73</v>
      </c>
      <c r="D25" s="583"/>
      <c r="E25" s="583">
        <v>8.6666666666666661</v>
      </c>
      <c r="F25" s="583">
        <v>216.66666666666666</v>
      </c>
      <c r="G25" s="583"/>
      <c r="H25" s="583"/>
      <c r="I25" s="583">
        <v>1</v>
      </c>
      <c r="J25" s="583"/>
      <c r="K25" s="583"/>
      <c r="L25" s="583">
        <v>4</v>
      </c>
      <c r="M25" s="583"/>
      <c r="N25" s="583"/>
      <c r="O25" s="583"/>
      <c r="P25" s="583"/>
      <c r="Q25" s="583"/>
      <c r="R25" s="583">
        <v>0.66666666666666663</v>
      </c>
      <c r="S25" s="583"/>
      <c r="T25" s="583"/>
      <c r="U25" s="583"/>
      <c r="V25" s="583"/>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row>
    <row r="26" spans="1:136" ht="21" customHeight="1">
      <c r="A26" s="128" t="s">
        <v>54</v>
      </c>
      <c r="B26" s="582">
        <v>74</v>
      </c>
      <c r="C26" s="583"/>
      <c r="D26" s="583"/>
      <c r="E26" s="583">
        <v>0.66666666666666663</v>
      </c>
      <c r="F26" s="583"/>
      <c r="G26" s="583">
        <v>0.33333333333333331</v>
      </c>
      <c r="H26" s="583"/>
      <c r="I26" s="583"/>
      <c r="J26" s="583"/>
      <c r="K26" s="583"/>
      <c r="L26" s="583"/>
      <c r="M26" s="583"/>
      <c r="N26" s="583"/>
      <c r="O26" s="583"/>
      <c r="P26" s="583"/>
      <c r="Q26" s="583"/>
      <c r="R26" s="583"/>
      <c r="S26" s="583">
        <v>312.33333333333331</v>
      </c>
      <c r="T26" s="583">
        <v>256.33333333333331</v>
      </c>
      <c r="U26" s="583"/>
      <c r="V26" s="583"/>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row>
    <row r="27" spans="1:136" ht="21" customHeight="1">
      <c r="A27" s="128" t="s">
        <v>55</v>
      </c>
      <c r="B27" s="582">
        <v>834</v>
      </c>
      <c r="C27" s="583">
        <v>121</v>
      </c>
      <c r="D27" s="583"/>
      <c r="E27" s="583">
        <v>906</v>
      </c>
      <c r="F27" s="583"/>
      <c r="G27" s="583"/>
      <c r="H27" s="583"/>
      <c r="I27" s="583">
        <v>1.6666666666666667</v>
      </c>
      <c r="J27" s="583"/>
      <c r="K27" s="583"/>
      <c r="L27" s="583">
        <v>1.3333333333333333</v>
      </c>
      <c r="M27" s="583"/>
      <c r="N27" s="583"/>
      <c r="O27" s="583">
        <v>1</v>
      </c>
      <c r="P27" s="583"/>
      <c r="Q27" s="583"/>
      <c r="R27" s="583">
        <v>1</v>
      </c>
      <c r="S27" s="583"/>
      <c r="T27" s="583"/>
      <c r="U27" s="583">
        <v>7</v>
      </c>
      <c r="V27" s="583">
        <v>7.333333333333333</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row>
    <row r="28" spans="1:136" ht="21" customHeight="1">
      <c r="A28" s="128" t="s">
        <v>56</v>
      </c>
      <c r="B28" s="582">
        <v>282</v>
      </c>
      <c r="C28" s="583">
        <v>5</v>
      </c>
      <c r="D28" s="583"/>
      <c r="E28" s="583">
        <v>2.3333333333333335</v>
      </c>
      <c r="F28" s="583">
        <v>0.66666666666666663</v>
      </c>
      <c r="G28" s="583">
        <v>18.666666666666668</v>
      </c>
      <c r="H28" s="583"/>
      <c r="I28" s="583">
        <v>1.6666666666666667</v>
      </c>
      <c r="J28" s="583"/>
      <c r="K28" s="583"/>
      <c r="L28" s="583">
        <v>0.66666666666666663</v>
      </c>
      <c r="M28" s="583"/>
      <c r="N28" s="583"/>
      <c r="O28" s="583"/>
      <c r="P28" s="583"/>
      <c r="Q28" s="583"/>
      <c r="R28" s="583">
        <v>521.33333333333337</v>
      </c>
      <c r="S28" s="583"/>
      <c r="T28" s="583"/>
      <c r="U28" s="583"/>
      <c r="V28" s="583"/>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row>
    <row r="29" spans="1:136" ht="21" customHeight="1">
      <c r="A29" s="128" t="s">
        <v>58</v>
      </c>
      <c r="B29" s="584">
        <v>78</v>
      </c>
      <c r="C29" s="583">
        <v>46.333333333333336</v>
      </c>
      <c r="D29" s="583"/>
      <c r="E29" s="583">
        <v>0.33333333333333331</v>
      </c>
      <c r="F29" s="583"/>
      <c r="G29" s="583">
        <v>3</v>
      </c>
      <c r="H29" s="583">
        <v>7</v>
      </c>
      <c r="I29" s="583"/>
      <c r="J29" s="583"/>
      <c r="K29" s="583"/>
      <c r="L29" s="583">
        <v>1</v>
      </c>
      <c r="M29" s="583"/>
      <c r="N29" s="583"/>
      <c r="O29" s="583"/>
      <c r="P29" s="583"/>
      <c r="Q29" s="583"/>
      <c r="R29" s="583"/>
      <c r="S29" s="583"/>
      <c r="T29" s="583"/>
      <c r="U29" s="583"/>
      <c r="V29" s="583"/>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row>
    <row r="30" spans="1:136" ht="21" customHeight="1">
      <c r="A30" s="128" t="s">
        <v>59</v>
      </c>
      <c r="B30" s="585"/>
      <c r="C30" s="583">
        <v>19.666666666666668</v>
      </c>
      <c r="D30" s="583"/>
      <c r="E30" s="583">
        <v>3.3333333333333335</v>
      </c>
      <c r="F30" s="583">
        <v>2</v>
      </c>
      <c r="G30" s="583"/>
      <c r="H30" s="583"/>
      <c r="I30" s="583"/>
      <c r="J30" s="583"/>
      <c r="K30" s="583"/>
      <c r="L30" s="583">
        <v>549.66666666666663</v>
      </c>
      <c r="M30" s="583"/>
      <c r="N30" s="583"/>
      <c r="O30" s="583"/>
      <c r="P30" s="583"/>
      <c r="Q30" s="583">
        <v>40.333333333333336</v>
      </c>
      <c r="R30" s="583"/>
      <c r="S30" s="583"/>
      <c r="T30" s="583"/>
      <c r="U30" s="583"/>
      <c r="V30" s="583"/>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row>
    <row r="31" spans="1:136" ht="21" customHeight="1">
      <c r="A31" s="128" t="s">
        <v>60</v>
      </c>
      <c r="B31" s="585"/>
      <c r="C31" s="583">
        <v>25</v>
      </c>
      <c r="D31" s="583"/>
      <c r="E31" s="583">
        <v>0.66666666666666663</v>
      </c>
      <c r="F31" s="583">
        <v>3</v>
      </c>
      <c r="G31" s="583">
        <v>367</v>
      </c>
      <c r="H31" s="583"/>
      <c r="I31" s="583">
        <v>5</v>
      </c>
      <c r="J31" s="583">
        <v>0.66666666666666663</v>
      </c>
      <c r="K31" s="583"/>
      <c r="L31" s="583">
        <v>1.6666666666666667</v>
      </c>
      <c r="M31" s="583"/>
      <c r="N31" s="583"/>
      <c r="O31" s="583">
        <v>2</v>
      </c>
      <c r="P31" s="583">
        <v>4</v>
      </c>
      <c r="Q31" s="583"/>
      <c r="R31" s="583">
        <v>3.6666666666666665</v>
      </c>
      <c r="S31" s="583">
        <v>0.66666666666666663</v>
      </c>
      <c r="T31" s="583">
        <v>1.3333333333333333</v>
      </c>
      <c r="U31" s="583"/>
      <c r="V31" s="583"/>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row>
    <row r="32" spans="1:136" ht="21" customHeight="1">
      <c r="A32" s="128" t="s">
        <v>61</v>
      </c>
      <c r="B32" s="584">
        <v>51</v>
      </c>
      <c r="C32" s="583"/>
      <c r="D32" s="583">
        <v>33.333333333333336</v>
      </c>
      <c r="E32" s="583"/>
      <c r="F32" s="583"/>
      <c r="G32" s="583">
        <v>1</v>
      </c>
      <c r="H32" s="583"/>
      <c r="I32" s="583"/>
      <c r="J32" s="583"/>
      <c r="K32" s="583"/>
      <c r="L32" s="583"/>
      <c r="M32" s="583"/>
      <c r="N32" s="583"/>
      <c r="O32" s="583">
        <v>3</v>
      </c>
      <c r="P32" s="583">
        <v>249.33333333333334</v>
      </c>
      <c r="Q32" s="583"/>
      <c r="R32" s="583"/>
      <c r="S32" s="583"/>
      <c r="T32" s="583"/>
      <c r="U32" s="583"/>
      <c r="V32" s="583"/>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row>
    <row r="33" spans="1:136" ht="21" customHeight="1">
      <c r="A33" s="128" t="s">
        <v>63</v>
      </c>
      <c r="B33" s="585"/>
      <c r="C33" s="583">
        <v>6.666666666666667</v>
      </c>
      <c r="D33" s="583">
        <v>68.666666666666671</v>
      </c>
      <c r="E33" s="583"/>
      <c r="F33" s="583"/>
      <c r="G33" s="583"/>
      <c r="H33" s="583"/>
      <c r="I33" s="583"/>
      <c r="J33" s="583"/>
      <c r="K33" s="583"/>
      <c r="L33" s="583"/>
      <c r="M33" s="583"/>
      <c r="N33" s="583">
        <v>242</v>
      </c>
      <c r="O33" s="583">
        <v>1</v>
      </c>
      <c r="P33" s="583"/>
      <c r="Q33" s="583"/>
      <c r="R33" s="583"/>
      <c r="S33" s="583"/>
      <c r="T33" s="583"/>
      <c r="U33" s="583"/>
      <c r="V33" s="58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row>
    <row r="34" spans="1:136" ht="21" customHeight="1">
      <c r="A34" s="128" t="s">
        <v>64</v>
      </c>
      <c r="B34" s="584">
        <v>171</v>
      </c>
      <c r="C34" s="583">
        <v>432</v>
      </c>
      <c r="D34" s="583">
        <v>95.666666666666671</v>
      </c>
      <c r="E34" s="583">
        <v>9.6666666666666661</v>
      </c>
      <c r="F34" s="583"/>
      <c r="G34" s="583">
        <v>0.33333333333333331</v>
      </c>
      <c r="H34" s="583"/>
      <c r="I34" s="583">
        <v>0.33333333333333331</v>
      </c>
      <c r="J34" s="583">
        <v>1</v>
      </c>
      <c r="K34" s="583"/>
      <c r="L34" s="583">
        <v>1</v>
      </c>
      <c r="M34" s="583">
        <v>796</v>
      </c>
      <c r="N34" s="583"/>
      <c r="O34" s="583">
        <v>34.333333333333336</v>
      </c>
      <c r="P34" s="583">
        <v>1.3333333333333333</v>
      </c>
      <c r="Q34" s="583"/>
      <c r="R34" s="583">
        <v>0.33333333333333331</v>
      </c>
      <c r="S34" s="583"/>
      <c r="T34" s="583"/>
      <c r="U34" s="583"/>
      <c r="V34" s="583"/>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row>
    <row r="35" spans="1:136" ht="21" customHeight="1">
      <c r="A35" s="128" t="s">
        <v>65</v>
      </c>
      <c r="B35" s="584">
        <v>142</v>
      </c>
      <c r="C35" s="583"/>
      <c r="D35" s="583"/>
      <c r="E35" s="583">
        <v>58.666666666666664</v>
      </c>
      <c r="F35" s="583"/>
      <c r="G35" s="583"/>
      <c r="H35" s="583"/>
      <c r="I35" s="583"/>
      <c r="J35" s="583">
        <v>94</v>
      </c>
      <c r="K35" s="583"/>
      <c r="L35" s="583"/>
      <c r="M35" s="583"/>
      <c r="N35" s="583"/>
      <c r="O35" s="583">
        <v>1</v>
      </c>
      <c r="P35" s="583"/>
      <c r="Q35" s="583"/>
      <c r="R35" s="583"/>
      <c r="S35" s="583"/>
      <c r="T35" s="583">
        <v>2.6666666666666665</v>
      </c>
      <c r="U35" s="583"/>
      <c r="V35" s="583"/>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row>
    <row r="36" spans="1:136" ht="21" customHeight="1">
      <c r="A36" s="128" t="s">
        <v>66</v>
      </c>
      <c r="B36" s="585"/>
      <c r="C36" s="583">
        <v>59.666666666666664</v>
      </c>
      <c r="D36" s="583"/>
      <c r="E36" s="583"/>
      <c r="F36" s="583"/>
      <c r="G36" s="583"/>
      <c r="H36" s="583"/>
      <c r="I36" s="583"/>
      <c r="J36" s="583"/>
      <c r="K36" s="583">
        <v>347.33333333333331</v>
      </c>
      <c r="L36" s="583"/>
      <c r="M36" s="583"/>
      <c r="N36" s="583"/>
      <c r="O36" s="583"/>
      <c r="P36" s="583"/>
      <c r="Q36" s="583"/>
      <c r="R36" s="583"/>
      <c r="S36" s="583"/>
      <c r="T36" s="583"/>
      <c r="U36" s="583"/>
      <c r="V36" s="583"/>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row>
    <row r="37" spans="1:136" ht="21" customHeight="1">
      <c r="A37" s="128" t="s">
        <v>67</v>
      </c>
      <c r="B37" s="586">
        <v>174</v>
      </c>
      <c r="C37" s="583">
        <v>6</v>
      </c>
      <c r="D37" s="583"/>
      <c r="E37" s="583">
        <v>328.33333333333331</v>
      </c>
      <c r="F37" s="583">
        <v>1</v>
      </c>
      <c r="G37" s="583">
        <v>6.666666666666667</v>
      </c>
      <c r="H37" s="583"/>
      <c r="I37" s="583">
        <v>0.33333333333333331</v>
      </c>
      <c r="J37" s="583">
        <v>2.3333333333333335</v>
      </c>
      <c r="K37" s="583"/>
      <c r="L37" s="583">
        <v>2</v>
      </c>
      <c r="M37" s="583">
        <v>6.666666666666667</v>
      </c>
      <c r="N37" s="583"/>
      <c r="O37" s="583">
        <v>156.66666666666666</v>
      </c>
      <c r="P37" s="583">
        <v>2.3333333333333335</v>
      </c>
      <c r="Q37" s="583"/>
      <c r="R37" s="583">
        <v>0.33333333333333331</v>
      </c>
      <c r="S37" s="583"/>
      <c r="T37" s="583"/>
      <c r="U37" s="583"/>
      <c r="V37" s="583"/>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row>
    <row r="38" spans="1:136" ht="21" customHeight="1">
      <c r="A38" s="128" t="s">
        <v>62</v>
      </c>
      <c r="B38" s="584">
        <v>46</v>
      </c>
      <c r="C38" s="583"/>
      <c r="D38" s="583"/>
      <c r="E38" s="583">
        <v>2.3333333333333335</v>
      </c>
      <c r="F38" s="583"/>
      <c r="G38" s="583"/>
      <c r="H38" s="583"/>
      <c r="I38" s="583"/>
      <c r="J38" s="583"/>
      <c r="K38" s="583"/>
      <c r="L38" s="583"/>
      <c r="M38" s="583"/>
      <c r="N38" s="583"/>
      <c r="O38" s="583"/>
      <c r="P38" s="583"/>
      <c r="Q38" s="583"/>
      <c r="R38" s="583"/>
      <c r="S38" s="583"/>
      <c r="T38" s="583"/>
      <c r="U38" s="583"/>
      <c r="V38" s="583"/>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row>
    <row r="39" spans="1:136" ht="21" customHeight="1">
      <c r="A39" s="128" t="s">
        <v>57</v>
      </c>
      <c r="B39" s="584">
        <v>49</v>
      </c>
      <c r="C39" s="583">
        <v>301.33333333333331</v>
      </c>
      <c r="D39" s="583"/>
      <c r="E39" s="583">
        <v>20.333333333333332</v>
      </c>
      <c r="F39" s="583">
        <v>1</v>
      </c>
      <c r="G39" s="583"/>
      <c r="H39" s="583"/>
      <c r="I39" s="583">
        <v>12.333333333333334</v>
      </c>
      <c r="J39" s="583"/>
      <c r="K39" s="583"/>
      <c r="L39" s="583"/>
      <c r="M39" s="583">
        <v>10</v>
      </c>
      <c r="N39" s="583"/>
      <c r="O39" s="583">
        <v>3</v>
      </c>
      <c r="P39" s="583"/>
      <c r="Q39" s="583"/>
      <c r="R39" s="583">
        <v>1</v>
      </c>
      <c r="S39" s="583">
        <v>1</v>
      </c>
      <c r="T39" s="583">
        <v>5.333333333333333</v>
      </c>
      <c r="U39" s="583"/>
      <c r="V39" s="583"/>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row>
    <row r="40" spans="1:136" s="62" customFormat="1" ht="21" customHeight="1">
      <c r="A40" s="139" t="s">
        <v>17</v>
      </c>
      <c r="B40" s="140">
        <f>SUM(B23:B39)</f>
        <v>9071</v>
      </c>
      <c r="C40" s="140">
        <f t="shared" ref="C40:V40" si="18">SUM(C23:C39)</f>
        <v>3183.3333333333335</v>
      </c>
      <c r="D40" s="140">
        <f t="shared" si="18"/>
        <v>197.66666666666669</v>
      </c>
      <c r="E40" s="140">
        <f t="shared" si="18"/>
        <v>1353.6666666666665</v>
      </c>
      <c r="F40" s="140">
        <f t="shared" si="18"/>
        <v>226.66666666666666</v>
      </c>
      <c r="G40" s="140">
        <f t="shared" si="18"/>
        <v>444</v>
      </c>
      <c r="H40" s="140">
        <f t="shared" si="18"/>
        <v>9</v>
      </c>
      <c r="I40" s="140">
        <f t="shared" si="18"/>
        <v>336.66666666666669</v>
      </c>
      <c r="J40" s="140">
        <f t="shared" si="18"/>
        <v>98.666666666666657</v>
      </c>
      <c r="K40" s="140">
        <f t="shared" si="18"/>
        <v>347.33333333333331</v>
      </c>
      <c r="L40" s="140">
        <f t="shared" si="18"/>
        <v>565.33333333333326</v>
      </c>
      <c r="M40" s="140">
        <f t="shared" si="18"/>
        <v>812.66666666666663</v>
      </c>
      <c r="N40" s="140">
        <f t="shared" si="18"/>
        <v>242</v>
      </c>
      <c r="O40" s="140">
        <f t="shared" si="18"/>
        <v>207</v>
      </c>
      <c r="P40" s="140">
        <f t="shared" si="18"/>
        <v>259.33333333333331</v>
      </c>
      <c r="Q40" s="140">
        <f t="shared" si="18"/>
        <v>40.333333333333336</v>
      </c>
      <c r="R40" s="140">
        <f t="shared" si="18"/>
        <v>541.66666666666674</v>
      </c>
      <c r="S40" s="140">
        <f t="shared" si="18"/>
        <v>316</v>
      </c>
      <c r="T40" s="140">
        <f t="shared" si="18"/>
        <v>266.33333333333331</v>
      </c>
      <c r="U40" s="140">
        <f t="shared" si="18"/>
        <v>7</v>
      </c>
      <c r="V40" s="140">
        <f t="shared" si="18"/>
        <v>7.333333333333333</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row>
    <row r="41" spans="1:136" ht="18" customHeight="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row>
    <row r="42" spans="1:136" ht="18" customHeight="1">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row>
    <row r="43" spans="1:136" ht="18" customHeight="1">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row>
    <row r="44" spans="1:136" ht="18" customHeight="1">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row>
    <row r="45" spans="1:136" ht="18" customHeight="1">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row>
    <row r="46" spans="1:136" ht="18" customHeight="1">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row>
  </sheetData>
  <printOptions horizontalCentered="1"/>
  <pageMargins left="0.2" right="0.2" top="0.5" bottom="0.5" header="0.05" footer="0.05"/>
  <pageSetup paperSize="5" scale="56" orientation="landscape" r:id="rId1"/>
  <headerFooter>
    <oddFooter xml:space="preserve">&amp;L&amp;9&amp;Z&amp;F, &amp;A
Revised/Printed &amp;D, &amp;T&amp;R&amp;9Page &amp;P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pane xSplit="1" ySplit="2" topLeftCell="B3" activePane="bottomRight" state="frozen"/>
      <selection sqref="A1:XFD1048576"/>
      <selection pane="topRight" sqref="A1:XFD1048576"/>
      <selection pane="bottomLeft" sqref="A1:XFD1048576"/>
      <selection pane="bottomRight" activeCell="B3" sqref="B3"/>
    </sheetView>
  </sheetViews>
  <sheetFormatPr defaultColWidth="8.85546875" defaultRowHeight="15.95" customHeight="1"/>
  <cols>
    <col min="1" max="1" width="27.85546875" style="32" customWidth="1"/>
    <col min="2" max="2" width="14.42578125" style="32" customWidth="1"/>
    <col min="3" max="3" width="14.7109375" style="32" customWidth="1"/>
    <col min="4" max="23" width="12.7109375" style="32" customWidth="1"/>
    <col min="24" max="24" width="14.28515625" style="32" customWidth="1"/>
    <col min="25" max="25" width="15.85546875" style="32" customWidth="1"/>
    <col min="26" max="16384" width="8.85546875" style="32"/>
  </cols>
  <sheetData>
    <row r="1" spans="1:25" ht="28.5" customHeight="1">
      <c r="A1" s="659" t="s">
        <v>345</v>
      </c>
      <c r="B1" s="660"/>
      <c r="C1" s="660"/>
      <c r="D1" s="660"/>
      <c r="E1" s="660"/>
      <c r="F1" s="660"/>
      <c r="G1" s="660"/>
      <c r="H1" s="660"/>
      <c r="I1" s="660"/>
      <c r="J1" s="660"/>
      <c r="K1" s="660"/>
      <c r="L1" s="660"/>
      <c r="M1" s="660"/>
      <c r="N1" s="660"/>
      <c r="O1" s="660"/>
      <c r="P1" s="660"/>
      <c r="Q1" s="660"/>
      <c r="R1" s="660"/>
      <c r="S1" s="660"/>
      <c r="T1" s="660"/>
      <c r="U1" s="660"/>
      <c r="V1" s="660"/>
      <c r="W1" s="661"/>
    </row>
    <row r="2" spans="1:25" s="5" customFormat="1" ht="54" customHeight="1">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c r="A3" s="36" t="s">
        <v>0</v>
      </c>
      <c r="B3" s="37">
        <v>3770699.1345764315</v>
      </c>
      <c r="C3" s="37">
        <v>84553.111804270433</v>
      </c>
      <c r="D3" s="37">
        <v>0</v>
      </c>
      <c r="E3" s="37">
        <v>10975.521984926787</v>
      </c>
      <c r="F3" s="37">
        <v>1904.261108304685</v>
      </c>
      <c r="G3" s="37">
        <v>3299.5918761674557</v>
      </c>
      <c r="H3" s="37">
        <v>0</v>
      </c>
      <c r="I3" s="37">
        <v>4104485.72234111</v>
      </c>
      <c r="J3" s="37">
        <v>232.33035360829501</v>
      </c>
      <c r="K3" s="37">
        <v>0</v>
      </c>
      <c r="L3" s="37">
        <v>10679.605989571268</v>
      </c>
      <c r="M3" s="37">
        <v>0</v>
      </c>
      <c r="N3" s="37">
        <v>0</v>
      </c>
      <c r="O3" s="37">
        <v>2306.5953735580642</v>
      </c>
      <c r="P3" s="37">
        <v>0</v>
      </c>
      <c r="Q3" s="37">
        <v>0</v>
      </c>
      <c r="R3" s="108">
        <v>6086.0143041600513</v>
      </c>
      <c r="S3" s="108">
        <v>175.41682716901511</v>
      </c>
      <c r="T3" s="108">
        <v>0</v>
      </c>
      <c r="U3" s="108">
        <v>0</v>
      </c>
      <c r="V3" s="108">
        <v>0</v>
      </c>
      <c r="W3" s="38">
        <f>SUM(B3:V3)</f>
        <v>7995397.3065392785</v>
      </c>
      <c r="Y3" s="61"/>
    </row>
    <row r="4" spans="1:25" s="6" customFormat="1" ht="17.100000000000001" customHeight="1">
      <c r="A4" s="39" t="s">
        <v>1</v>
      </c>
      <c r="B4" s="40">
        <v>156652002.1308884</v>
      </c>
      <c r="C4" s="40">
        <v>9249527.649089247</v>
      </c>
      <c r="D4" s="40">
        <v>9035.4096876906005</v>
      </c>
      <c r="E4" s="40">
        <v>159223.43354672688</v>
      </c>
      <c r="F4" s="40">
        <v>685.53399898968655</v>
      </c>
      <c r="G4" s="40">
        <v>330280.31315419625</v>
      </c>
      <c r="H4" s="40">
        <v>10150.585780777959</v>
      </c>
      <c r="I4" s="40">
        <v>22313.280568261649</v>
      </c>
      <c r="J4" s="40">
        <v>3252.6249505161304</v>
      </c>
      <c r="K4" s="40">
        <v>704.45305493567491</v>
      </c>
      <c r="L4" s="40">
        <v>67252.977739928028</v>
      </c>
      <c r="M4" s="40">
        <v>814.40392337865876</v>
      </c>
      <c r="N4" s="40">
        <v>0</v>
      </c>
      <c r="O4" s="40">
        <v>30370.220744418002</v>
      </c>
      <c r="P4" s="40">
        <v>12036.122469532933</v>
      </c>
      <c r="Q4" s="40">
        <v>362.69006752354693</v>
      </c>
      <c r="R4" s="109">
        <v>243081.22231368211</v>
      </c>
      <c r="S4" s="109">
        <v>22695.888232081401</v>
      </c>
      <c r="T4" s="109">
        <v>10324.710434800165</v>
      </c>
      <c r="U4" s="109">
        <v>0</v>
      </c>
      <c r="V4" s="109">
        <v>7751.8494132030655</v>
      </c>
      <c r="W4" s="41">
        <f t="shared" ref="W4:W19" si="0">SUM(B4:V4)</f>
        <v>166831865.50005835</v>
      </c>
      <c r="Y4" s="61"/>
    </row>
    <row r="5" spans="1:25" s="6" customFormat="1" ht="17.100000000000001" customHeight="1">
      <c r="A5" s="39" t="s">
        <v>6</v>
      </c>
      <c r="B5" s="40">
        <v>17447942.160520643</v>
      </c>
      <c r="C5" s="40">
        <v>332917.29085180681</v>
      </c>
      <c r="D5" s="40">
        <v>0</v>
      </c>
      <c r="E5" s="40">
        <v>26962.361588860455</v>
      </c>
      <c r="F5" s="40">
        <v>4003187.3782548471</v>
      </c>
      <c r="G5" s="40">
        <v>13277.505499176792</v>
      </c>
      <c r="H5" s="40">
        <v>0</v>
      </c>
      <c r="I5" s="40">
        <v>25984.44057833196</v>
      </c>
      <c r="J5" s="40">
        <v>0</v>
      </c>
      <c r="K5" s="40">
        <v>0</v>
      </c>
      <c r="L5" s="40">
        <v>75307.503287734027</v>
      </c>
      <c r="M5" s="40">
        <v>116.34341762552266</v>
      </c>
      <c r="N5" s="40">
        <v>0</v>
      </c>
      <c r="O5" s="40">
        <v>192.24044408158352</v>
      </c>
      <c r="P5" s="40">
        <v>0</v>
      </c>
      <c r="Q5" s="40">
        <v>362.69006752354693</v>
      </c>
      <c r="R5" s="109">
        <v>505.09881724600706</v>
      </c>
      <c r="S5" s="109">
        <v>350.83365433803021</v>
      </c>
      <c r="T5" s="109">
        <v>0</v>
      </c>
      <c r="U5" s="109">
        <v>0</v>
      </c>
      <c r="V5" s="109">
        <v>0</v>
      </c>
      <c r="W5" s="41">
        <f t="shared" si="0"/>
        <v>21927105.846982207</v>
      </c>
      <c r="Y5" s="61"/>
    </row>
    <row r="6" spans="1:25" s="6" customFormat="1" ht="17.100000000000001" customHeight="1">
      <c r="A6" s="42" t="s">
        <v>2</v>
      </c>
      <c r="B6" s="40">
        <v>1942891.7995362831</v>
      </c>
      <c r="C6" s="40">
        <v>753918.65381934377</v>
      </c>
      <c r="D6" s="40">
        <v>609.12874299037742</v>
      </c>
      <c r="E6" s="40">
        <v>16364.803914034535</v>
      </c>
      <c r="F6" s="40">
        <v>685.53399898968655</v>
      </c>
      <c r="G6" s="40">
        <v>4658.2473545893499</v>
      </c>
      <c r="H6" s="40">
        <v>85.14615259184265</v>
      </c>
      <c r="I6" s="40">
        <v>227.95213985038765</v>
      </c>
      <c r="J6" s="40">
        <v>696.99106082488504</v>
      </c>
      <c r="K6" s="40">
        <v>0</v>
      </c>
      <c r="L6" s="40">
        <v>797.15156691258744</v>
      </c>
      <c r="M6" s="40">
        <v>0</v>
      </c>
      <c r="N6" s="40">
        <v>0</v>
      </c>
      <c r="O6" s="40">
        <v>240.30055510197937</v>
      </c>
      <c r="P6" s="40">
        <v>1101.5234475707703</v>
      </c>
      <c r="Q6" s="40">
        <v>0</v>
      </c>
      <c r="R6" s="109">
        <v>3479.2116278367557</v>
      </c>
      <c r="S6" s="109">
        <v>2728546.5796615444</v>
      </c>
      <c r="T6" s="109">
        <v>361273.84951029596</v>
      </c>
      <c r="U6" s="109">
        <v>0</v>
      </c>
      <c r="V6" s="109">
        <v>0</v>
      </c>
      <c r="W6" s="41">
        <f t="shared" si="0"/>
        <v>5815576.8730887612</v>
      </c>
      <c r="Y6" s="61"/>
    </row>
    <row r="7" spans="1:25" s="6" customFormat="1" ht="17.100000000000001" customHeight="1">
      <c r="A7" s="39" t="s">
        <v>3</v>
      </c>
      <c r="B7" s="40">
        <v>19172177.400377795</v>
      </c>
      <c r="C7" s="40">
        <v>546920.25675154978</v>
      </c>
      <c r="D7" s="40">
        <v>0</v>
      </c>
      <c r="E7" s="40">
        <v>6076190.3379221531</v>
      </c>
      <c r="F7" s="40">
        <v>2742.1359959587462</v>
      </c>
      <c r="G7" s="40">
        <v>3476.9329274944334</v>
      </c>
      <c r="H7" s="40">
        <v>28.382050863947551</v>
      </c>
      <c r="I7" s="40">
        <v>18664.994648349326</v>
      </c>
      <c r="J7" s="40">
        <v>0</v>
      </c>
      <c r="K7" s="40">
        <v>512.32949449867272</v>
      </c>
      <c r="L7" s="40">
        <v>0</v>
      </c>
      <c r="M7" s="40">
        <v>0</v>
      </c>
      <c r="N7" s="40">
        <v>0</v>
      </c>
      <c r="O7" s="40">
        <v>0</v>
      </c>
      <c r="P7" s="40">
        <v>0</v>
      </c>
      <c r="Q7" s="40">
        <v>0</v>
      </c>
      <c r="R7" s="109">
        <v>58465.614539879665</v>
      </c>
      <c r="S7" s="109">
        <v>0</v>
      </c>
      <c r="T7" s="109">
        <v>0</v>
      </c>
      <c r="U7" s="109">
        <v>19704.375736517974</v>
      </c>
      <c r="V7" s="109">
        <v>93221.071649197416</v>
      </c>
      <c r="W7" s="41">
        <f t="shared" si="0"/>
        <v>25992103.832094256</v>
      </c>
      <c r="Y7" s="61"/>
    </row>
    <row r="8" spans="1:25" s="6" customFormat="1" ht="17.100000000000001" customHeight="1">
      <c r="A8" s="39" t="s">
        <v>4</v>
      </c>
      <c r="B8" s="40">
        <v>10224139.727657951</v>
      </c>
      <c r="C8" s="40">
        <v>103750.70967679062</v>
      </c>
      <c r="D8" s="40">
        <v>101.52145716506291</v>
      </c>
      <c r="E8" s="40">
        <v>40721.756424397427</v>
      </c>
      <c r="F8" s="40">
        <v>1828.0906639724974</v>
      </c>
      <c r="G8" s="40">
        <v>172758.9100567158</v>
      </c>
      <c r="H8" s="40">
        <v>0</v>
      </c>
      <c r="I8" s="40">
        <v>32063.164307675634</v>
      </c>
      <c r="J8" s="40">
        <v>929.32141443318005</v>
      </c>
      <c r="K8" s="40">
        <v>64.041186812334089</v>
      </c>
      <c r="L8" s="40">
        <v>0</v>
      </c>
      <c r="M8" s="40">
        <v>0</v>
      </c>
      <c r="N8" s="40">
        <v>0</v>
      </c>
      <c r="O8" s="40">
        <v>336.42077714277116</v>
      </c>
      <c r="P8" s="40">
        <v>52.453497503370023</v>
      </c>
      <c r="Q8" s="40">
        <v>0</v>
      </c>
      <c r="R8" s="109">
        <v>2989148.6452510715</v>
      </c>
      <c r="S8" s="109">
        <v>8244.5908769437101</v>
      </c>
      <c r="T8" s="109">
        <v>1168.3444928468657</v>
      </c>
      <c r="U8" s="109">
        <v>0</v>
      </c>
      <c r="V8" s="109">
        <v>0</v>
      </c>
      <c r="W8" s="41">
        <f t="shared" si="0"/>
        <v>13575307.697741423</v>
      </c>
      <c r="Y8" s="61"/>
    </row>
    <row r="9" spans="1:25" s="6" customFormat="1" ht="17.100000000000001" customHeight="1">
      <c r="A9" s="39" t="s">
        <v>14</v>
      </c>
      <c r="B9" s="40">
        <v>1798098.0833684788</v>
      </c>
      <c r="C9" s="40">
        <v>167026.6755496726</v>
      </c>
      <c r="D9" s="40">
        <v>152.28218574759435</v>
      </c>
      <c r="E9" s="40">
        <v>8405.4816721580555</v>
      </c>
      <c r="F9" s="40">
        <v>0</v>
      </c>
      <c r="G9" s="40">
        <v>23658.046516317358</v>
      </c>
      <c r="H9" s="40">
        <v>211744.65434292768</v>
      </c>
      <c r="I9" s="40">
        <v>0</v>
      </c>
      <c r="J9" s="40">
        <v>232.33035360829501</v>
      </c>
      <c r="K9" s="40">
        <v>0</v>
      </c>
      <c r="L9" s="40">
        <v>12931.56986324864</v>
      </c>
      <c r="M9" s="40">
        <v>0</v>
      </c>
      <c r="N9" s="40">
        <v>0</v>
      </c>
      <c r="O9" s="40">
        <v>0</v>
      </c>
      <c r="P9" s="40">
        <v>0</v>
      </c>
      <c r="Q9" s="40">
        <v>0</v>
      </c>
      <c r="R9" s="109">
        <v>155.41502069107912</v>
      </c>
      <c r="S9" s="109">
        <v>175.41682716901511</v>
      </c>
      <c r="T9" s="109">
        <v>0</v>
      </c>
      <c r="U9" s="109">
        <v>0</v>
      </c>
      <c r="V9" s="109">
        <v>0</v>
      </c>
      <c r="W9" s="41">
        <f t="shared" si="0"/>
        <v>2222579.9557000194</v>
      </c>
      <c r="X9" s="61"/>
      <c r="Y9" s="61"/>
    </row>
    <row r="10" spans="1:25" s="6" customFormat="1" ht="17.100000000000001" customHeight="1">
      <c r="A10" s="39" t="s">
        <v>9</v>
      </c>
      <c r="B10" s="40">
        <v>4269.1200361189367</v>
      </c>
      <c r="C10" s="40">
        <v>63285.115991754188</v>
      </c>
      <c r="D10" s="40">
        <v>0</v>
      </c>
      <c r="E10" s="40">
        <v>30906.248958202741</v>
      </c>
      <c r="F10" s="40">
        <v>4644.3272552326653</v>
      </c>
      <c r="G10" s="40">
        <v>4011.2685553408278</v>
      </c>
      <c r="H10" s="40">
        <v>0</v>
      </c>
      <c r="I10" s="40">
        <v>0</v>
      </c>
      <c r="J10" s="40">
        <v>0</v>
      </c>
      <c r="K10" s="40">
        <v>0</v>
      </c>
      <c r="L10" s="40">
        <v>10181859.930022543</v>
      </c>
      <c r="M10" s="40">
        <v>0</v>
      </c>
      <c r="N10" s="40">
        <v>0</v>
      </c>
      <c r="O10" s="40">
        <v>913.1421093875216</v>
      </c>
      <c r="P10" s="40">
        <v>157.36049251011008</v>
      </c>
      <c r="Q10" s="40">
        <v>638787.88142584695</v>
      </c>
      <c r="R10" s="109">
        <v>777.07510345539561</v>
      </c>
      <c r="S10" s="109">
        <v>263.12524075352263</v>
      </c>
      <c r="T10" s="109">
        <v>0</v>
      </c>
      <c r="U10" s="109">
        <v>0</v>
      </c>
      <c r="V10" s="109">
        <v>0</v>
      </c>
      <c r="W10" s="41">
        <f t="shared" si="0"/>
        <v>10929874.595191147</v>
      </c>
      <c r="Y10" s="61"/>
    </row>
    <row r="11" spans="1:25" s="6" customFormat="1" ht="17.100000000000001" customHeight="1">
      <c r="A11" s="39" t="s">
        <v>5</v>
      </c>
      <c r="B11" s="40">
        <v>19329.626830205183</v>
      </c>
      <c r="C11" s="40">
        <v>80999.066225684073</v>
      </c>
      <c r="D11" s="40">
        <v>2588.7971577091043</v>
      </c>
      <c r="E11" s="40">
        <v>2543.1087526049869</v>
      </c>
      <c r="F11" s="40">
        <v>12489.883021447968</v>
      </c>
      <c r="G11" s="40">
        <v>3216879.7734423359</v>
      </c>
      <c r="H11" s="40">
        <v>454.11281382316082</v>
      </c>
      <c r="I11" s="40">
        <v>108798.63793219056</v>
      </c>
      <c r="J11" s="40">
        <v>2478.1904384884806</v>
      </c>
      <c r="K11" s="40">
        <v>0</v>
      </c>
      <c r="L11" s="40">
        <v>58782.119140803778</v>
      </c>
      <c r="M11" s="40">
        <v>0</v>
      </c>
      <c r="N11" s="40">
        <v>0</v>
      </c>
      <c r="O11" s="40">
        <v>6391.4148548707763</v>
      </c>
      <c r="P11" s="40">
        <v>17999.774999305548</v>
      </c>
      <c r="Q11" s="40">
        <v>1360.0877532133009</v>
      </c>
      <c r="R11" s="109">
        <v>5944.6245414337773</v>
      </c>
      <c r="S11" s="109">
        <v>2061.1477192359275</v>
      </c>
      <c r="T11" s="109">
        <v>4024.1945051712796</v>
      </c>
      <c r="U11" s="109">
        <v>0</v>
      </c>
      <c r="V11" s="109">
        <v>0</v>
      </c>
      <c r="W11" s="41">
        <f t="shared" si="0"/>
        <v>3543124.5601285249</v>
      </c>
      <c r="Y11" s="61"/>
    </row>
    <row r="12" spans="1:25" s="6" customFormat="1" ht="17.100000000000001" customHeight="1">
      <c r="A12" s="39" t="s">
        <v>13</v>
      </c>
      <c r="B12" s="40">
        <v>846183.22624841239</v>
      </c>
      <c r="C12" s="40">
        <v>2290.4207328212615</v>
      </c>
      <c r="D12" s="40">
        <v>326928.8483606716</v>
      </c>
      <c r="E12" s="40">
        <v>936.93480359131115</v>
      </c>
      <c r="F12" s="40">
        <v>0</v>
      </c>
      <c r="G12" s="40">
        <v>20990.993324816303</v>
      </c>
      <c r="H12" s="40">
        <v>0</v>
      </c>
      <c r="I12" s="40">
        <v>75.984046616795879</v>
      </c>
      <c r="J12" s="40">
        <v>774.43451202765016</v>
      </c>
      <c r="K12" s="40">
        <v>0</v>
      </c>
      <c r="L12" s="40">
        <v>0</v>
      </c>
      <c r="M12" s="40">
        <v>0</v>
      </c>
      <c r="N12" s="40">
        <v>0</v>
      </c>
      <c r="O12" s="40">
        <v>7640.6877859801316</v>
      </c>
      <c r="P12" s="40">
        <v>2608600.8871262991</v>
      </c>
      <c r="Q12" s="40">
        <v>0</v>
      </c>
      <c r="R12" s="109">
        <v>1126.7589000103235</v>
      </c>
      <c r="S12" s="109">
        <v>219.27103396126893</v>
      </c>
      <c r="T12" s="109">
        <v>0</v>
      </c>
      <c r="U12" s="109">
        <v>0</v>
      </c>
      <c r="V12" s="109">
        <v>0</v>
      </c>
      <c r="W12" s="41">
        <f t="shared" si="0"/>
        <v>3815768.4468752081</v>
      </c>
      <c r="Y12" s="61"/>
    </row>
    <row r="13" spans="1:25" s="6" customFormat="1" ht="17.100000000000001" customHeight="1">
      <c r="A13" s="39" t="s">
        <v>8</v>
      </c>
      <c r="B13" s="40">
        <v>13044.53344369675</v>
      </c>
      <c r="C13" s="40">
        <v>22654.400227125814</v>
      </c>
      <c r="D13" s="40">
        <v>594915.09411412873</v>
      </c>
      <c r="E13" s="40">
        <v>4651.8476635046736</v>
      </c>
      <c r="F13" s="40">
        <v>0</v>
      </c>
      <c r="G13" s="40">
        <v>0</v>
      </c>
      <c r="H13" s="40">
        <v>0</v>
      </c>
      <c r="I13" s="40">
        <v>0</v>
      </c>
      <c r="J13" s="40">
        <v>0</v>
      </c>
      <c r="K13" s="40">
        <v>0</v>
      </c>
      <c r="L13" s="40">
        <v>0</v>
      </c>
      <c r="M13" s="40">
        <v>4642.9060835823038</v>
      </c>
      <c r="N13" s="40">
        <v>4440658.4351563342</v>
      </c>
      <c r="O13" s="40">
        <v>4661.2508581365246</v>
      </c>
      <c r="P13" s="40">
        <v>0</v>
      </c>
      <c r="Q13" s="40">
        <v>0</v>
      </c>
      <c r="R13" s="109">
        <v>0</v>
      </c>
      <c r="S13" s="109">
        <v>0</v>
      </c>
      <c r="T13" s="109">
        <v>0</v>
      </c>
      <c r="U13" s="109">
        <v>0</v>
      </c>
      <c r="V13" s="109">
        <v>0</v>
      </c>
      <c r="W13" s="41">
        <f t="shared" si="0"/>
        <v>5085228.4675465086</v>
      </c>
      <c r="Y13" s="61"/>
    </row>
    <row r="14" spans="1:25" s="6" customFormat="1" ht="17.100000000000001" customHeight="1">
      <c r="A14" s="39" t="s">
        <v>10</v>
      </c>
      <c r="B14" s="40">
        <v>5860410.7640261296</v>
      </c>
      <c r="C14" s="40">
        <v>1956805.1504906008</v>
      </c>
      <c r="D14" s="40">
        <v>764316.95741813828</v>
      </c>
      <c r="E14" s="40">
        <v>78130.143476134908</v>
      </c>
      <c r="F14" s="40">
        <v>0</v>
      </c>
      <c r="G14" s="40">
        <v>8346.0265103059173</v>
      </c>
      <c r="H14" s="40">
        <v>141.91025431973776</v>
      </c>
      <c r="I14" s="40">
        <v>379.9202330839795</v>
      </c>
      <c r="J14" s="40">
        <v>26434.66096543162</v>
      </c>
      <c r="K14" s="40">
        <v>135831.35722896061</v>
      </c>
      <c r="L14" s="40">
        <v>1417.1583411779332</v>
      </c>
      <c r="M14" s="40">
        <v>12197854.854882753</v>
      </c>
      <c r="N14" s="40">
        <v>115605.67317810887</v>
      </c>
      <c r="O14" s="40">
        <v>268023.08416453388</v>
      </c>
      <c r="P14" s="40">
        <v>9126.9085655863837</v>
      </c>
      <c r="Q14" s="40">
        <v>0</v>
      </c>
      <c r="R14" s="109">
        <v>162477.97002469303</v>
      </c>
      <c r="S14" s="109">
        <v>175.41682716901511</v>
      </c>
      <c r="T14" s="109">
        <v>0</v>
      </c>
      <c r="U14" s="109">
        <v>182.87123653380948</v>
      </c>
      <c r="V14" s="109">
        <v>145.84437322445905</v>
      </c>
      <c r="W14" s="41">
        <f t="shared" si="0"/>
        <v>21585806.672196884</v>
      </c>
      <c r="Y14" s="61"/>
    </row>
    <row r="15" spans="1:25" s="6" customFormat="1" ht="17.100000000000001" customHeight="1">
      <c r="A15" s="39" t="s">
        <v>11</v>
      </c>
      <c r="B15" s="40">
        <v>2474076.6728847413</v>
      </c>
      <c r="C15" s="40">
        <v>5343.3580373731838</v>
      </c>
      <c r="D15" s="40">
        <v>5465.7604842134133</v>
      </c>
      <c r="E15" s="40">
        <v>392800.83234766533</v>
      </c>
      <c r="F15" s="40">
        <v>0</v>
      </c>
      <c r="G15" s="40">
        <v>194.09363977455618</v>
      </c>
      <c r="H15" s="40">
        <v>0</v>
      </c>
      <c r="I15" s="40">
        <v>0</v>
      </c>
      <c r="J15" s="40">
        <v>1136467.5354832688</v>
      </c>
      <c r="K15" s="40">
        <v>1408.9061098713498</v>
      </c>
      <c r="L15" s="40">
        <v>0</v>
      </c>
      <c r="M15" s="40">
        <v>0</v>
      </c>
      <c r="N15" s="40">
        <v>0</v>
      </c>
      <c r="O15" s="40">
        <v>15233.315460939866</v>
      </c>
      <c r="P15" s="40">
        <v>157.36049251011008</v>
      </c>
      <c r="Q15" s="40">
        <v>0</v>
      </c>
      <c r="R15" s="109">
        <v>0</v>
      </c>
      <c r="S15" s="109">
        <v>11526.033377389864</v>
      </c>
      <c r="T15" s="109">
        <v>0</v>
      </c>
      <c r="U15" s="109">
        <v>0</v>
      </c>
      <c r="V15" s="109">
        <v>0</v>
      </c>
      <c r="W15" s="41">
        <f t="shared" si="0"/>
        <v>4042673.8683177484</v>
      </c>
      <c r="Y15" s="61"/>
    </row>
    <row r="16" spans="1:25" s="6" customFormat="1" ht="17.100000000000001" customHeight="1">
      <c r="A16" s="39" t="s">
        <v>12</v>
      </c>
      <c r="B16" s="40">
        <v>49687.813753717623</v>
      </c>
      <c r="C16" s="40">
        <v>260021.8332902292</v>
      </c>
      <c r="D16" s="40">
        <v>152.28218574759435</v>
      </c>
      <c r="E16" s="40">
        <v>8750.619627807042</v>
      </c>
      <c r="F16" s="40">
        <v>0</v>
      </c>
      <c r="G16" s="40">
        <v>582.28091932366874</v>
      </c>
      <c r="H16" s="40">
        <v>0</v>
      </c>
      <c r="I16" s="40">
        <v>0</v>
      </c>
      <c r="J16" s="40">
        <v>5421.041584193551</v>
      </c>
      <c r="K16" s="40">
        <v>5624673.3965404909</v>
      </c>
      <c r="L16" s="40">
        <v>0</v>
      </c>
      <c r="M16" s="40">
        <v>0</v>
      </c>
      <c r="N16" s="40">
        <v>0</v>
      </c>
      <c r="O16" s="40">
        <v>865.08199836712561</v>
      </c>
      <c r="P16" s="40">
        <v>0</v>
      </c>
      <c r="Q16" s="40">
        <v>0</v>
      </c>
      <c r="R16" s="109">
        <v>233.12253103661865</v>
      </c>
      <c r="S16" s="109">
        <v>0</v>
      </c>
      <c r="T16" s="109">
        <v>0</v>
      </c>
      <c r="U16" s="109">
        <v>0</v>
      </c>
      <c r="V16" s="109">
        <v>0</v>
      </c>
      <c r="W16" s="41">
        <f t="shared" si="0"/>
        <v>5950387.4724309137</v>
      </c>
      <c r="Y16" s="61"/>
    </row>
    <row r="17" spans="1:25" s="6" customFormat="1" ht="17.100000000000001" customHeight="1">
      <c r="A17" s="39" t="s">
        <v>7</v>
      </c>
      <c r="B17" s="40">
        <v>2693092.5501214182</v>
      </c>
      <c r="C17" s="40">
        <v>44265.618341203852</v>
      </c>
      <c r="D17" s="40">
        <v>3147.1651721169501</v>
      </c>
      <c r="E17" s="40">
        <v>2106950.7520514368</v>
      </c>
      <c r="F17" s="40">
        <v>59540.449279401357</v>
      </c>
      <c r="G17" s="40">
        <v>29579.058766374048</v>
      </c>
      <c r="H17" s="40">
        <v>85.14615259184265</v>
      </c>
      <c r="I17" s="40">
        <v>1595.6649789527137</v>
      </c>
      <c r="J17" s="40">
        <v>64111.844407908524</v>
      </c>
      <c r="K17" s="40">
        <v>4995.212571362058</v>
      </c>
      <c r="L17" s="40">
        <v>2657.1718897086248</v>
      </c>
      <c r="M17" s="40">
        <v>72250.487528870246</v>
      </c>
      <c r="N17" s="40">
        <v>229.60411753348336</v>
      </c>
      <c r="O17" s="40">
        <v>1329383.5545385019</v>
      </c>
      <c r="P17" s="40">
        <v>14513.572622821926</v>
      </c>
      <c r="Q17" s="40">
        <v>181.34503376177346</v>
      </c>
      <c r="R17" s="109">
        <v>388.5375517276978</v>
      </c>
      <c r="S17" s="109">
        <v>0</v>
      </c>
      <c r="T17" s="109">
        <v>0</v>
      </c>
      <c r="U17" s="109">
        <v>0</v>
      </c>
      <c r="V17" s="109">
        <v>0</v>
      </c>
      <c r="W17" s="41">
        <f t="shared" si="0"/>
        <v>6426967.7351256916</v>
      </c>
      <c r="Y17" s="61"/>
    </row>
    <row r="18" spans="1:25" s="6" customFormat="1" ht="17.100000000000001" customHeight="1">
      <c r="A18" s="39" t="s">
        <v>16</v>
      </c>
      <c r="B18" s="40">
        <v>3118329.4323217147</v>
      </c>
      <c r="C18" s="40">
        <v>0</v>
      </c>
      <c r="D18" s="40">
        <v>0</v>
      </c>
      <c r="E18" s="40">
        <v>18351.484584426024</v>
      </c>
      <c r="F18" s="40">
        <v>0</v>
      </c>
      <c r="G18" s="40">
        <v>0</v>
      </c>
      <c r="H18" s="40">
        <v>0</v>
      </c>
      <c r="I18" s="40">
        <v>0</v>
      </c>
      <c r="J18" s="40">
        <v>0</v>
      </c>
      <c r="K18" s="40">
        <v>0</v>
      </c>
      <c r="L18" s="40">
        <v>0</v>
      </c>
      <c r="M18" s="40">
        <v>0</v>
      </c>
      <c r="N18" s="40">
        <v>0</v>
      </c>
      <c r="O18" s="40">
        <v>0</v>
      </c>
      <c r="P18" s="40">
        <v>0</v>
      </c>
      <c r="Q18" s="40">
        <v>0</v>
      </c>
      <c r="R18" s="109">
        <v>0</v>
      </c>
      <c r="S18" s="109">
        <v>0</v>
      </c>
      <c r="T18" s="109">
        <v>0</v>
      </c>
      <c r="U18" s="109">
        <v>0</v>
      </c>
      <c r="V18" s="109">
        <v>0</v>
      </c>
      <c r="W18" s="43">
        <f t="shared" si="0"/>
        <v>3136680.9169061407</v>
      </c>
      <c r="Y18" s="61"/>
    </row>
    <row r="19" spans="1:25" s="47" customFormat="1" ht="17.100000000000001" customHeight="1">
      <c r="A19" s="44" t="s">
        <v>15</v>
      </c>
      <c r="B19" s="45">
        <v>705093.69773512357</v>
      </c>
      <c r="C19" s="45">
        <v>1287673.8935126457</v>
      </c>
      <c r="D19" s="45">
        <v>50.760728582531456</v>
      </c>
      <c r="E19" s="45">
        <v>114882.813410569</v>
      </c>
      <c r="F19" s="45">
        <v>44919.863665682904</v>
      </c>
      <c r="G19" s="45">
        <v>10737.535593659981</v>
      </c>
      <c r="H19" s="45">
        <v>3940.7386007250252</v>
      </c>
      <c r="I19" s="45">
        <v>113380.55481935629</v>
      </c>
      <c r="J19" s="45">
        <v>0</v>
      </c>
      <c r="K19" s="45">
        <v>0</v>
      </c>
      <c r="L19" s="45">
        <v>0</v>
      </c>
      <c r="M19" s="45">
        <v>121148.43997932621</v>
      </c>
      <c r="N19" s="45">
        <v>0</v>
      </c>
      <c r="O19" s="45">
        <v>6054.7041223070682</v>
      </c>
      <c r="P19" s="45">
        <v>629.44197004044031</v>
      </c>
      <c r="Q19" s="45">
        <v>0</v>
      </c>
      <c r="R19" s="110">
        <v>67222.113772743731</v>
      </c>
      <c r="S19" s="110">
        <v>11185.495166204859</v>
      </c>
      <c r="T19" s="110">
        <v>0</v>
      </c>
      <c r="U19" s="110">
        <v>0</v>
      </c>
      <c r="V19" s="110">
        <v>0</v>
      </c>
      <c r="W19" s="46">
        <f t="shared" si="0"/>
        <v>2486920.0530769671</v>
      </c>
      <c r="Y19" s="61"/>
    </row>
    <row r="20" spans="1:25" s="6" customFormat="1" ht="17.100000000000001" customHeight="1">
      <c r="A20" s="48" t="s">
        <v>34</v>
      </c>
      <c r="B20" s="49">
        <f t="shared" ref="B20:W20" si="1">SUM(B3:B17)+B18+B19</f>
        <v>226791467.87432727</v>
      </c>
      <c r="C20" s="49">
        <f t="shared" si="1"/>
        <v>14961953.204392118</v>
      </c>
      <c r="D20" s="49">
        <f t="shared" si="1"/>
        <v>1707464.0076949019</v>
      </c>
      <c r="E20" s="49">
        <f t="shared" si="1"/>
        <v>9097748.4827292003</v>
      </c>
      <c r="F20" s="49">
        <f t="shared" si="1"/>
        <v>4132627.4572428269</v>
      </c>
      <c r="G20" s="49">
        <f t="shared" si="1"/>
        <v>3842730.5781365884</v>
      </c>
      <c r="H20" s="49">
        <f t="shared" si="1"/>
        <v>226630.67614862122</v>
      </c>
      <c r="I20" s="49">
        <f t="shared" si="1"/>
        <v>4427970.3165937802</v>
      </c>
      <c r="J20" s="49">
        <f t="shared" si="1"/>
        <v>1241031.3055243094</v>
      </c>
      <c r="K20" s="49">
        <f t="shared" si="1"/>
        <v>5768189.6961869318</v>
      </c>
      <c r="L20" s="49">
        <f t="shared" si="1"/>
        <v>10411685.18784163</v>
      </c>
      <c r="M20" s="49">
        <f t="shared" si="1"/>
        <v>12396827.435815535</v>
      </c>
      <c r="N20" s="49">
        <f t="shared" si="1"/>
        <v>4556493.7124519758</v>
      </c>
      <c r="O20" s="49">
        <f t="shared" si="1"/>
        <v>1672612.0137873271</v>
      </c>
      <c r="P20" s="49">
        <f t="shared" si="1"/>
        <v>2664375.4056836814</v>
      </c>
      <c r="Q20" s="49">
        <f t="shared" si="1"/>
        <v>641054.69434786914</v>
      </c>
      <c r="R20" s="111">
        <f t="shared" si="1"/>
        <v>3539091.4242996681</v>
      </c>
      <c r="S20" s="111">
        <f t="shared" si="1"/>
        <v>2785619.2154439609</v>
      </c>
      <c r="T20" s="111">
        <f t="shared" si="1"/>
        <v>376791.09894311428</v>
      </c>
      <c r="U20" s="111">
        <f t="shared" si="1"/>
        <v>19887.246973051784</v>
      </c>
      <c r="V20" s="111">
        <f t="shared" si="1"/>
        <v>101118.76543562494</v>
      </c>
      <c r="W20" s="50">
        <f t="shared" si="1"/>
        <v>311363369.79999995</v>
      </c>
      <c r="Y20" s="61"/>
    </row>
    <row r="21" spans="1:25" ht="29.25" customHeight="1">
      <c r="A21" s="658" t="s">
        <v>112</v>
      </c>
      <c r="B21" s="658"/>
      <c r="C21" s="658"/>
      <c r="D21" s="658"/>
      <c r="E21" s="658"/>
      <c r="F21" s="658"/>
      <c r="G21" s="658"/>
      <c r="H21" s="658"/>
      <c r="I21" s="658"/>
      <c r="J21" s="658"/>
      <c r="K21" s="658"/>
      <c r="L21" s="658"/>
      <c r="M21" s="658"/>
      <c r="N21" s="658"/>
      <c r="O21" s="658"/>
      <c r="P21" s="658"/>
      <c r="Q21" s="658"/>
      <c r="R21" s="658"/>
      <c r="S21" s="658"/>
      <c r="T21" s="658"/>
      <c r="U21" s="658"/>
      <c r="V21" s="658"/>
      <c r="W21" s="658"/>
    </row>
    <row r="22" spans="1:25" ht="17.100000000000001" customHeight="1">
      <c r="A22" s="79" t="s">
        <v>0</v>
      </c>
      <c r="B22" s="80">
        <v>2215080.3654073779</v>
      </c>
      <c r="C22" s="80">
        <v>25165.263692664375</v>
      </c>
      <c r="D22" s="80">
        <v>0</v>
      </c>
      <c r="E22" s="80">
        <v>10975.521984926787</v>
      </c>
      <c r="F22" s="80">
        <v>1904.261108304685</v>
      </c>
      <c r="G22" s="80">
        <v>3299.5918761674552</v>
      </c>
      <c r="H22" s="80">
        <v>0</v>
      </c>
      <c r="I22" s="80">
        <v>825642.65053810412</v>
      </c>
      <c r="J22" s="80">
        <v>232.33035360829504</v>
      </c>
      <c r="K22" s="80">
        <v>0</v>
      </c>
      <c r="L22" s="80">
        <v>620.00677426534583</v>
      </c>
      <c r="M22" s="80">
        <v>0</v>
      </c>
      <c r="N22" s="80">
        <v>0</v>
      </c>
      <c r="O22" s="80">
        <v>288.36066612237522</v>
      </c>
      <c r="P22" s="80">
        <v>0</v>
      </c>
      <c r="Q22" s="80">
        <v>0</v>
      </c>
      <c r="R22" s="80">
        <v>1942.687758638489</v>
      </c>
      <c r="S22" s="80">
        <v>175.41682716901514</v>
      </c>
      <c r="T22" s="80">
        <v>0</v>
      </c>
      <c r="U22" s="80">
        <v>0</v>
      </c>
      <c r="V22" s="80">
        <v>0</v>
      </c>
      <c r="W22" s="81">
        <f>SUM(B22:V22)</f>
        <v>3085326.4569873493</v>
      </c>
    </row>
    <row r="23" spans="1:25" ht="17.100000000000001" customHeight="1">
      <c r="A23" s="82" t="s">
        <v>1</v>
      </c>
      <c r="B23" s="83">
        <v>94928390.296476007</v>
      </c>
      <c r="C23" s="83">
        <v>1947151.2665817675</v>
      </c>
      <c r="D23" s="83">
        <v>9035.4096876905987</v>
      </c>
      <c r="E23" s="83">
        <v>93158.089042793217</v>
      </c>
      <c r="F23" s="83">
        <v>685.53399898968655</v>
      </c>
      <c r="G23" s="83">
        <v>47035.358705367449</v>
      </c>
      <c r="H23" s="83">
        <v>2015.125611340276</v>
      </c>
      <c r="I23" s="83">
        <v>16184.601929377524</v>
      </c>
      <c r="J23" s="83">
        <v>3252.6249505161304</v>
      </c>
      <c r="K23" s="83">
        <v>704.45305493567491</v>
      </c>
      <c r="L23" s="83">
        <v>27014.580878704353</v>
      </c>
      <c r="M23" s="83">
        <v>814.40392337865876</v>
      </c>
      <c r="N23" s="83">
        <v>0</v>
      </c>
      <c r="O23" s="83">
        <v>4133.1695477540452</v>
      </c>
      <c r="P23" s="83">
        <v>6556.6871879212522</v>
      </c>
      <c r="Q23" s="83">
        <v>362.69006752354693</v>
      </c>
      <c r="R23" s="83">
        <v>40058.22158312564</v>
      </c>
      <c r="S23" s="83">
        <v>18243.350025577573</v>
      </c>
      <c r="T23" s="83">
        <v>3314.6434777189706</v>
      </c>
      <c r="U23" s="83">
        <v>0</v>
      </c>
      <c r="V23" s="83">
        <v>2236.2803894417057</v>
      </c>
      <c r="W23" s="84">
        <f t="shared" ref="W23:W31" si="2">SUM(B23:V23)</f>
        <v>97150346.78711997</v>
      </c>
    </row>
    <row r="24" spans="1:25" ht="17.100000000000001" customHeight="1">
      <c r="A24" s="82" t="s">
        <v>6</v>
      </c>
      <c r="B24" s="83">
        <v>8771974.3942153845</v>
      </c>
      <c r="C24" s="83">
        <v>60431.870104437898</v>
      </c>
      <c r="D24" s="83">
        <v>0</v>
      </c>
      <c r="E24" s="83">
        <v>8610.877004434431</v>
      </c>
      <c r="F24" s="83">
        <v>804893.08525822416</v>
      </c>
      <c r="G24" s="83">
        <v>5952.2049530863897</v>
      </c>
      <c r="H24" s="83">
        <v>0</v>
      </c>
      <c r="I24" s="83">
        <v>7598.4046616795886</v>
      </c>
      <c r="J24" s="83">
        <v>0</v>
      </c>
      <c r="K24" s="83">
        <v>0</v>
      </c>
      <c r="L24" s="83">
        <v>9920.1083882455332</v>
      </c>
      <c r="M24" s="83">
        <v>116.34341762552268</v>
      </c>
      <c r="N24" s="83">
        <v>0</v>
      </c>
      <c r="O24" s="83">
        <v>192.24044408158352</v>
      </c>
      <c r="P24" s="83">
        <v>0</v>
      </c>
      <c r="Q24" s="83">
        <v>362.69006752354693</v>
      </c>
      <c r="R24" s="83">
        <v>505.09881724600712</v>
      </c>
      <c r="S24" s="83">
        <v>350.83365433803027</v>
      </c>
      <c r="T24" s="83">
        <v>0</v>
      </c>
      <c r="U24" s="83">
        <v>0</v>
      </c>
      <c r="V24" s="83">
        <v>0</v>
      </c>
      <c r="W24" s="84">
        <f t="shared" si="2"/>
        <v>9670908.1509863082</v>
      </c>
    </row>
    <row r="25" spans="1:25" ht="17.100000000000001" customHeight="1">
      <c r="A25" s="85" t="s">
        <v>2</v>
      </c>
      <c r="B25" s="83">
        <v>1493954.8393062877</v>
      </c>
      <c r="C25" s="83">
        <v>140244.22333274802</v>
      </c>
      <c r="D25" s="83">
        <v>609.12874299037742</v>
      </c>
      <c r="E25" s="83">
        <v>5353.9131633789202</v>
      </c>
      <c r="F25" s="83">
        <v>685.53399898968655</v>
      </c>
      <c r="G25" s="83">
        <v>4658.247354589349</v>
      </c>
      <c r="H25" s="83">
        <v>85.146152591842664</v>
      </c>
      <c r="I25" s="83">
        <v>227.95213985038765</v>
      </c>
      <c r="J25" s="83">
        <v>696.99106082488504</v>
      </c>
      <c r="K25" s="83">
        <v>0</v>
      </c>
      <c r="L25" s="83">
        <v>797.15156691258744</v>
      </c>
      <c r="M25" s="83">
        <v>0</v>
      </c>
      <c r="N25" s="83">
        <v>0</v>
      </c>
      <c r="O25" s="83">
        <v>240.30055510197937</v>
      </c>
      <c r="P25" s="83">
        <v>1101.5234475707703</v>
      </c>
      <c r="Q25" s="83">
        <v>0</v>
      </c>
      <c r="R25" s="83">
        <v>2098.102779329568</v>
      </c>
      <c r="S25" s="83">
        <v>524540.1674421475</v>
      </c>
      <c r="T25" s="83">
        <v>71524.4152842732</v>
      </c>
      <c r="U25" s="83">
        <v>0</v>
      </c>
      <c r="V25" s="83">
        <v>0</v>
      </c>
      <c r="W25" s="84">
        <f t="shared" si="2"/>
        <v>2246817.6363275871</v>
      </c>
    </row>
    <row r="26" spans="1:25" ht="17.100000000000001" customHeight="1">
      <c r="A26" s="82" t="s">
        <v>3</v>
      </c>
      <c r="B26" s="83">
        <v>10788540.677943233</v>
      </c>
      <c r="C26" s="83">
        <v>114902.77342986662</v>
      </c>
      <c r="D26" s="83">
        <v>0</v>
      </c>
      <c r="E26" s="83">
        <v>1176343.9538804053</v>
      </c>
      <c r="F26" s="83">
        <v>2742.1359959587462</v>
      </c>
      <c r="G26" s="83">
        <v>1035.166078797633</v>
      </c>
      <c r="H26" s="83">
        <v>28.382050863947551</v>
      </c>
      <c r="I26" s="83">
        <v>3343.2980511390192</v>
      </c>
      <c r="J26" s="83">
        <v>0</v>
      </c>
      <c r="K26" s="83">
        <v>512.32949449867272</v>
      </c>
      <c r="L26" s="83">
        <v>0</v>
      </c>
      <c r="M26" s="83">
        <v>0</v>
      </c>
      <c r="N26" s="83">
        <v>0</v>
      </c>
      <c r="O26" s="83">
        <v>0</v>
      </c>
      <c r="P26" s="83">
        <v>0</v>
      </c>
      <c r="Q26" s="83">
        <v>0</v>
      </c>
      <c r="R26" s="83">
        <v>5983.4782966065459</v>
      </c>
      <c r="S26" s="83">
        <v>0</v>
      </c>
      <c r="T26" s="83">
        <v>0</v>
      </c>
      <c r="U26" s="83">
        <v>3794.5781580765465</v>
      </c>
      <c r="V26" s="83">
        <v>17841.628324458827</v>
      </c>
      <c r="W26" s="84">
        <f t="shared" si="2"/>
        <v>12115068.401703905</v>
      </c>
    </row>
    <row r="27" spans="1:25" ht="17.100000000000001" customHeight="1">
      <c r="A27" s="82" t="s">
        <v>4</v>
      </c>
      <c r="B27" s="83">
        <v>7989895.3209319292</v>
      </c>
      <c r="C27" s="83">
        <v>19909.041754523274</v>
      </c>
      <c r="D27" s="83">
        <v>101.5214571650629</v>
      </c>
      <c r="E27" s="83">
        <v>16864.8264646436</v>
      </c>
      <c r="F27" s="83">
        <v>1828.0906639724974</v>
      </c>
      <c r="G27" s="83">
        <v>33578.199680998223</v>
      </c>
      <c r="H27" s="83">
        <v>0</v>
      </c>
      <c r="I27" s="83">
        <v>13677.12839102326</v>
      </c>
      <c r="J27" s="83">
        <v>929.32141443318017</v>
      </c>
      <c r="K27" s="83">
        <v>64.041186812334089</v>
      </c>
      <c r="L27" s="83">
        <v>0</v>
      </c>
      <c r="M27" s="83">
        <v>0</v>
      </c>
      <c r="N27" s="83">
        <v>0</v>
      </c>
      <c r="O27" s="83">
        <v>336.42077714277116</v>
      </c>
      <c r="P27" s="83">
        <v>52.453497503370009</v>
      </c>
      <c r="Q27" s="83">
        <v>0</v>
      </c>
      <c r="R27" s="83">
        <v>639882.49394034548</v>
      </c>
      <c r="S27" s="83">
        <v>8244.5908769437119</v>
      </c>
      <c r="T27" s="83">
        <v>0</v>
      </c>
      <c r="U27" s="83">
        <v>0</v>
      </c>
      <c r="V27" s="83">
        <v>0</v>
      </c>
      <c r="W27" s="84">
        <f t="shared" si="2"/>
        <v>8725363.4510374367</v>
      </c>
    </row>
    <row r="28" spans="1:25" ht="17.100000000000001" customHeight="1">
      <c r="A28" s="82" t="s">
        <v>14</v>
      </c>
      <c r="B28" s="83">
        <v>1088151.2625396489</v>
      </c>
      <c r="C28" s="83">
        <v>31948.432786019646</v>
      </c>
      <c r="D28" s="83">
        <v>152.28218574759435</v>
      </c>
      <c r="E28" s="83">
        <v>2900.0362968302488</v>
      </c>
      <c r="F28" s="83">
        <v>0</v>
      </c>
      <c r="G28" s="83">
        <v>1682.1448780461537</v>
      </c>
      <c r="H28" s="83">
        <v>42062.199380370272</v>
      </c>
      <c r="I28" s="83">
        <v>0</v>
      </c>
      <c r="J28" s="83">
        <v>232.33035360829504</v>
      </c>
      <c r="K28" s="83">
        <v>0</v>
      </c>
      <c r="L28" s="83">
        <v>12931.56986324864</v>
      </c>
      <c r="M28" s="83">
        <v>0</v>
      </c>
      <c r="N28" s="83">
        <v>0</v>
      </c>
      <c r="O28" s="83">
        <v>0</v>
      </c>
      <c r="P28" s="83">
        <v>0</v>
      </c>
      <c r="Q28" s="83">
        <v>0</v>
      </c>
      <c r="R28" s="83">
        <v>155.41502069107912</v>
      </c>
      <c r="S28" s="83">
        <v>175.41682716901514</v>
      </c>
      <c r="T28" s="83">
        <v>0</v>
      </c>
      <c r="U28" s="83">
        <v>0</v>
      </c>
      <c r="V28" s="83">
        <v>0</v>
      </c>
      <c r="W28" s="84">
        <f t="shared" si="2"/>
        <v>1180391.0901313799</v>
      </c>
    </row>
    <row r="29" spans="1:25" ht="17.100000000000001" customHeight="1">
      <c r="A29" s="82" t="s">
        <v>9</v>
      </c>
      <c r="B29" s="83">
        <v>4269.1200361189367</v>
      </c>
      <c r="C29" s="83">
        <v>9719.6059303056099</v>
      </c>
      <c r="D29" s="83">
        <v>0</v>
      </c>
      <c r="E29" s="83">
        <v>7049.3189984489127</v>
      </c>
      <c r="F29" s="83">
        <v>152.34088866437477</v>
      </c>
      <c r="G29" s="83">
        <v>4011.2685553408278</v>
      </c>
      <c r="H29" s="83">
        <v>0</v>
      </c>
      <c r="I29" s="83">
        <v>0</v>
      </c>
      <c r="J29" s="83">
        <v>0</v>
      </c>
      <c r="K29" s="83">
        <v>0</v>
      </c>
      <c r="L29" s="83">
        <v>2023524.9664094413</v>
      </c>
      <c r="M29" s="83">
        <v>0</v>
      </c>
      <c r="N29" s="83">
        <v>0</v>
      </c>
      <c r="O29" s="83">
        <v>913.14210938752171</v>
      </c>
      <c r="P29" s="83">
        <v>157.36049251011005</v>
      </c>
      <c r="Q29" s="83">
        <v>125944.12594755166</v>
      </c>
      <c r="R29" s="83">
        <v>777.07510345539549</v>
      </c>
      <c r="S29" s="83">
        <v>263.12524075352269</v>
      </c>
      <c r="T29" s="83">
        <v>0</v>
      </c>
      <c r="U29" s="83">
        <v>0</v>
      </c>
      <c r="V29" s="83">
        <v>0</v>
      </c>
      <c r="W29" s="84">
        <f t="shared" si="2"/>
        <v>2176781.449711978</v>
      </c>
    </row>
    <row r="30" spans="1:25" ht="17.100000000000001" customHeight="1">
      <c r="A30" s="82" t="s">
        <v>5</v>
      </c>
      <c r="B30" s="83">
        <v>19329.626830205183</v>
      </c>
      <c r="C30" s="83">
        <v>18117.815283983571</v>
      </c>
      <c r="D30" s="83">
        <v>2588.7971577091039</v>
      </c>
      <c r="E30" s="83">
        <v>2543.1087526049873</v>
      </c>
      <c r="F30" s="83">
        <v>7997.896654879677</v>
      </c>
      <c r="G30" s="83">
        <v>638373.98121851531</v>
      </c>
      <c r="H30" s="83">
        <v>454.11281382316082</v>
      </c>
      <c r="I30" s="83">
        <v>16868.458348928689</v>
      </c>
      <c r="J30" s="83">
        <v>2478.1904384884801</v>
      </c>
      <c r="K30" s="83">
        <v>0</v>
      </c>
      <c r="L30" s="83">
        <v>3454.3234566212122</v>
      </c>
      <c r="M30" s="83">
        <v>0</v>
      </c>
      <c r="N30" s="83">
        <v>0</v>
      </c>
      <c r="O30" s="83">
        <v>2354.9454399993979</v>
      </c>
      <c r="P30" s="83">
        <v>4301.1867952763405</v>
      </c>
      <c r="Q30" s="83">
        <v>1360.0877532133009</v>
      </c>
      <c r="R30" s="83">
        <v>5944.6245414337764</v>
      </c>
      <c r="S30" s="83">
        <v>2061.147719235928</v>
      </c>
      <c r="T30" s="83">
        <v>519.16102663068204</v>
      </c>
      <c r="U30" s="83">
        <v>0</v>
      </c>
      <c r="V30" s="83">
        <v>0</v>
      </c>
      <c r="W30" s="84">
        <f t="shared" si="2"/>
        <v>728747.46423154883</v>
      </c>
    </row>
    <row r="31" spans="1:25" ht="17.100000000000001" customHeight="1">
      <c r="A31" s="82" t="s">
        <v>13</v>
      </c>
      <c r="B31" s="83">
        <v>439007.84371423064</v>
      </c>
      <c r="C31" s="83">
        <v>2290.4207328212615</v>
      </c>
      <c r="D31" s="83">
        <v>44314.116052549958</v>
      </c>
      <c r="E31" s="83">
        <v>936.93480359131115</v>
      </c>
      <c r="F31" s="83">
        <v>0</v>
      </c>
      <c r="G31" s="83">
        <v>6340.3922326355023</v>
      </c>
      <c r="H31" s="83">
        <v>0</v>
      </c>
      <c r="I31" s="83">
        <v>75.984046616795879</v>
      </c>
      <c r="J31" s="83">
        <v>774.43451202765016</v>
      </c>
      <c r="K31" s="83">
        <v>0</v>
      </c>
      <c r="L31" s="83">
        <v>0</v>
      </c>
      <c r="M31" s="83">
        <v>0</v>
      </c>
      <c r="N31" s="83">
        <v>0</v>
      </c>
      <c r="O31" s="83">
        <v>1585.9836636730638</v>
      </c>
      <c r="P31" s="83">
        <v>504497.73898741283</v>
      </c>
      <c r="Q31" s="83">
        <v>0</v>
      </c>
      <c r="R31" s="83">
        <v>1126.7589000103235</v>
      </c>
      <c r="S31" s="83">
        <v>219.27103396126893</v>
      </c>
      <c r="T31" s="83">
        <v>0</v>
      </c>
      <c r="U31" s="83">
        <v>0</v>
      </c>
      <c r="V31" s="83">
        <v>0</v>
      </c>
      <c r="W31" s="84">
        <f t="shared" si="2"/>
        <v>1001169.8786795308</v>
      </c>
    </row>
    <row r="32" spans="1:25" ht="17.100000000000001" customHeight="1">
      <c r="A32" s="82" t="s">
        <v>8</v>
      </c>
      <c r="B32" s="83">
        <v>13044.53344369675</v>
      </c>
      <c r="C32" s="83">
        <v>4022.9184666219594</v>
      </c>
      <c r="D32" s="83">
        <v>118932.38706887119</v>
      </c>
      <c r="E32" s="83">
        <v>981.55074661946878</v>
      </c>
      <c r="F32" s="83">
        <v>0</v>
      </c>
      <c r="G32" s="83">
        <v>0</v>
      </c>
      <c r="H32" s="83">
        <v>0</v>
      </c>
      <c r="I32" s="83">
        <v>0</v>
      </c>
      <c r="J32" s="83">
        <v>0</v>
      </c>
      <c r="K32" s="83">
        <v>0</v>
      </c>
      <c r="L32" s="83">
        <v>0</v>
      </c>
      <c r="M32" s="83">
        <v>465.3736705020907</v>
      </c>
      <c r="N32" s="83">
        <v>795463.46519475314</v>
      </c>
      <c r="O32" s="83">
        <v>624.78144326514632</v>
      </c>
      <c r="P32" s="83">
        <v>0</v>
      </c>
      <c r="Q32" s="83">
        <v>0</v>
      </c>
      <c r="R32" s="83">
        <v>0</v>
      </c>
      <c r="S32" s="83">
        <v>0</v>
      </c>
      <c r="T32" s="83">
        <v>0</v>
      </c>
      <c r="U32" s="83">
        <v>0</v>
      </c>
      <c r="V32" s="83">
        <v>0</v>
      </c>
      <c r="W32" s="84">
        <f>SUM(B32:V32)</f>
        <v>933535.01003432972</v>
      </c>
    </row>
    <row r="33" spans="1:23" ht="17.100000000000001" customHeight="1">
      <c r="A33" s="82" t="s">
        <v>10</v>
      </c>
      <c r="B33" s="83">
        <v>3834974.2457791748</v>
      </c>
      <c r="C33" s="83">
        <v>359155.5895273955</v>
      </c>
      <c r="D33" s="83">
        <v>161901.34381398407</v>
      </c>
      <c r="E33" s="83">
        <v>34086.580473512455</v>
      </c>
      <c r="F33" s="83">
        <v>0</v>
      </c>
      <c r="G33" s="83">
        <v>8346.0265103059173</v>
      </c>
      <c r="H33" s="83">
        <v>141.91025431973776</v>
      </c>
      <c r="I33" s="83">
        <v>379.92023308397944</v>
      </c>
      <c r="J33" s="83">
        <v>14327.038472511527</v>
      </c>
      <c r="K33" s="83">
        <v>135831.35722896061</v>
      </c>
      <c r="L33" s="83">
        <v>1417.1583411779334</v>
      </c>
      <c r="M33" s="83">
        <v>2472559.3972320142</v>
      </c>
      <c r="N33" s="83">
        <v>115605.67317810886</v>
      </c>
      <c r="O33" s="83">
        <v>43999.031639172426</v>
      </c>
      <c r="P33" s="83">
        <v>9126.9085655863819</v>
      </c>
      <c r="Q33" s="83">
        <v>0</v>
      </c>
      <c r="R33" s="83">
        <v>5031.5612948736862</v>
      </c>
      <c r="S33" s="83">
        <v>175.41682716901514</v>
      </c>
      <c r="T33" s="83">
        <v>0</v>
      </c>
      <c r="U33" s="83">
        <v>182.87123653380948</v>
      </c>
      <c r="V33" s="83">
        <v>145.84437322445908</v>
      </c>
      <c r="W33" s="84">
        <f t="shared" ref="W33:W38" si="3">SUM(B33:V33)</f>
        <v>7197387.8749811091</v>
      </c>
    </row>
    <row r="34" spans="1:23" ht="17.100000000000001" customHeight="1">
      <c r="A34" s="82" t="s">
        <v>11</v>
      </c>
      <c r="B34" s="83">
        <v>1169027.369890569</v>
      </c>
      <c r="C34" s="83">
        <v>1849.9552072787112</v>
      </c>
      <c r="D34" s="83">
        <v>507.60728582531453</v>
      </c>
      <c r="E34" s="83">
        <v>58803.812911111803</v>
      </c>
      <c r="F34" s="83">
        <v>0</v>
      </c>
      <c r="G34" s="83">
        <v>194.09363977455618</v>
      </c>
      <c r="H34" s="83">
        <v>0</v>
      </c>
      <c r="I34" s="83">
        <v>0</v>
      </c>
      <c r="J34" s="83">
        <v>186019.16978904157</v>
      </c>
      <c r="K34" s="83">
        <v>1408.9061098713498</v>
      </c>
      <c r="L34" s="83">
        <v>0</v>
      </c>
      <c r="M34" s="83">
        <v>0</v>
      </c>
      <c r="N34" s="83">
        <v>0</v>
      </c>
      <c r="O34" s="83">
        <v>3123.9072163257315</v>
      </c>
      <c r="P34" s="83">
        <v>157.36049251011005</v>
      </c>
      <c r="Q34" s="83">
        <v>0</v>
      </c>
      <c r="R34" s="83">
        <v>0</v>
      </c>
      <c r="S34" s="83">
        <v>394.68786113028403</v>
      </c>
      <c r="T34" s="83">
        <v>0</v>
      </c>
      <c r="U34" s="83">
        <v>0</v>
      </c>
      <c r="V34" s="83">
        <v>0</v>
      </c>
      <c r="W34" s="84">
        <f t="shared" si="3"/>
        <v>1421486.8704034383</v>
      </c>
    </row>
    <row r="35" spans="1:23" ht="17.100000000000001" customHeight="1">
      <c r="A35" s="82" t="s">
        <v>12</v>
      </c>
      <c r="B35" s="83">
        <v>49687.813753717623</v>
      </c>
      <c r="C35" s="83">
        <v>46924.260654466358</v>
      </c>
      <c r="D35" s="83">
        <v>152.28218574759435</v>
      </c>
      <c r="E35" s="83">
        <v>6915.4711693644394</v>
      </c>
      <c r="F35" s="83">
        <v>0</v>
      </c>
      <c r="G35" s="83">
        <v>582.28091932366863</v>
      </c>
      <c r="H35" s="83">
        <v>0</v>
      </c>
      <c r="I35" s="83">
        <v>0</v>
      </c>
      <c r="J35" s="83">
        <v>5421.041584193551</v>
      </c>
      <c r="K35" s="83">
        <v>1010121.6395909456</v>
      </c>
      <c r="L35" s="83">
        <v>0</v>
      </c>
      <c r="M35" s="83">
        <v>0</v>
      </c>
      <c r="N35" s="83">
        <v>0</v>
      </c>
      <c r="O35" s="83">
        <v>865.08199836712572</v>
      </c>
      <c r="P35" s="83">
        <v>0</v>
      </c>
      <c r="Q35" s="83">
        <v>0</v>
      </c>
      <c r="R35" s="83">
        <v>233.12253103661865</v>
      </c>
      <c r="S35" s="83">
        <v>0</v>
      </c>
      <c r="T35" s="83">
        <v>0</v>
      </c>
      <c r="U35" s="83">
        <v>0</v>
      </c>
      <c r="V35" s="83">
        <v>0</v>
      </c>
      <c r="W35" s="84">
        <f t="shared" si="3"/>
        <v>1120902.9943871624</v>
      </c>
    </row>
    <row r="36" spans="1:23" ht="17.100000000000001" customHeight="1">
      <c r="A36" s="82" t="s">
        <v>7</v>
      </c>
      <c r="B36" s="83">
        <v>1158354.5698002717</v>
      </c>
      <c r="C36" s="83">
        <v>22140.73375060553</v>
      </c>
      <c r="D36" s="83">
        <v>3147.1651721169501</v>
      </c>
      <c r="E36" s="83">
        <v>389251.79494916165</v>
      </c>
      <c r="F36" s="83">
        <v>5636.6128805818671</v>
      </c>
      <c r="G36" s="83">
        <v>12486.690825496449</v>
      </c>
      <c r="H36" s="83">
        <v>85.146152591842664</v>
      </c>
      <c r="I36" s="83">
        <v>1595.6649789527137</v>
      </c>
      <c r="J36" s="83">
        <v>33842.788175608308</v>
      </c>
      <c r="K36" s="83">
        <v>4995.212571362059</v>
      </c>
      <c r="L36" s="83">
        <v>2657.1718897086248</v>
      </c>
      <c r="M36" s="83">
        <v>5409.968919586805</v>
      </c>
      <c r="N36" s="83">
        <v>229.60411753348339</v>
      </c>
      <c r="O36" s="83">
        <v>275865.03725707228</v>
      </c>
      <c r="P36" s="83">
        <v>6294.4197004044017</v>
      </c>
      <c r="Q36" s="83">
        <v>181.34503376177346</v>
      </c>
      <c r="R36" s="83">
        <v>388.53755172769775</v>
      </c>
      <c r="S36" s="83">
        <v>0</v>
      </c>
      <c r="T36" s="83">
        <v>0</v>
      </c>
      <c r="U36" s="83">
        <v>0</v>
      </c>
      <c r="V36" s="83">
        <v>0</v>
      </c>
      <c r="W36" s="84">
        <f t="shared" si="3"/>
        <v>1922562.4637265436</v>
      </c>
    </row>
    <row r="37" spans="1:23" ht="17.100000000000001" customHeight="1">
      <c r="A37" s="82" t="s">
        <v>16</v>
      </c>
      <c r="B37" s="83">
        <v>1875922.4958712629</v>
      </c>
      <c r="C37" s="83">
        <v>0</v>
      </c>
      <c r="D37" s="83">
        <v>0</v>
      </c>
      <c r="E37" s="83">
        <v>0</v>
      </c>
      <c r="F37" s="83">
        <v>0</v>
      </c>
      <c r="G37" s="83">
        <v>0</v>
      </c>
      <c r="H37" s="83">
        <v>0</v>
      </c>
      <c r="I37" s="83">
        <v>0</v>
      </c>
      <c r="J37" s="83">
        <v>0</v>
      </c>
      <c r="K37" s="83">
        <v>0</v>
      </c>
      <c r="L37" s="83">
        <v>0</v>
      </c>
      <c r="M37" s="83">
        <v>0</v>
      </c>
      <c r="N37" s="83">
        <v>0</v>
      </c>
      <c r="O37" s="83">
        <v>0</v>
      </c>
      <c r="P37" s="83">
        <v>0</v>
      </c>
      <c r="Q37" s="83">
        <v>0</v>
      </c>
      <c r="R37" s="83">
        <v>0</v>
      </c>
      <c r="S37" s="83">
        <v>0</v>
      </c>
      <c r="T37" s="83">
        <v>0</v>
      </c>
      <c r="U37" s="83">
        <v>0</v>
      </c>
      <c r="V37" s="83">
        <v>0</v>
      </c>
      <c r="W37" s="86">
        <f t="shared" si="3"/>
        <v>1875922.4958712629</v>
      </c>
    </row>
    <row r="38" spans="1:23" ht="17.100000000000001" customHeight="1">
      <c r="A38" s="87" t="s">
        <v>15</v>
      </c>
      <c r="B38" s="88">
        <v>235275.94865722139</v>
      </c>
      <c r="C38" s="88">
        <v>188416.46964291827</v>
      </c>
      <c r="D38" s="88">
        <v>50.760728582531449</v>
      </c>
      <c r="E38" s="88">
        <v>4773.9059040128705</v>
      </c>
      <c r="F38" s="88">
        <v>0</v>
      </c>
      <c r="G38" s="88">
        <v>970.46819887278093</v>
      </c>
      <c r="H38" s="88">
        <v>454.11281382316082</v>
      </c>
      <c r="I38" s="88">
        <v>0</v>
      </c>
      <c r="J38" s="88">
        <v>0</v>
      </c>
      <c r="K38" s="88">
        <v>0</v>
      </c>
      <c r="L38" s="88">
        <v>0</v>
      </c>
      <c r="M38" s="88">
        <v>0</v>
      </c>
      <c r="N38" s="88">
        <v>0</v>
      </c>
      <c r="O38" s="88">
        <v>0</v>
      </c>
      <c r="P38" s="88">
        <v>629.4419700404402</v>
      </c>
      <c r="Q38" s="88">
        <v>0</v>
      </c>
      <c r="R38" s="88">
        <v>3691.1067414131289</v>
      </c>
      <c r="S38" s="88">
        <v>2280.4187531971966</v>
      </c>
      <c r="T38" s="88">
        <v>0</v>
      </c>
      <c r="U38" s="88">
        <v>0</v>
      </c>
      <c r="V38" s="88">
        <v>0</v>
      </c>
      <c r="W38" s="89">
        <f t="shared" si="3"/>
        <v>436542.63341008167</v>
      </c>
    </row>
    <row r="39" spans="1:23" ht="17.100000000000001" customHeight="1">
      <c r="A39" s="90" t="s">
        <v>34</v>
      </c>
      <c r="B39" s="91">
        <f t="shared" ref="B39:W39" si="4">SUM(B22:B36)+B37+B38</f>
        <v>136074880.72459635</v>
      </c>
      <c r="C39" s="91">
        <f t="shared" si="4"/>
        <v>2992390.6408784231</v>
      </c>
      <c r="D39" s="91">
        <f t="shared" si="4"/>
        <v>341492.80153898027</v>
      </c>
      <c r="E39" s="91">
        <f t="shared" si="4"/>
        <v>1819549.6965458407</v>
      </c>
      <c r="F39" s="91">
        <f t="shared" si="4"/>
        <v>826525.49144856539</v>
      </c>
      <c r="G39" s="91">
        <f t="shared" si="4"/>
        <v>768546.11562731769</v>
      </c>
      <c r="H39" s="91">
        <f t="shared" si="4"/>
        <v>45326.135229724234</v>
      </c>
      <c r="I39" s="91">
        <f t="shared" si="4"/>
        <v>885594.06331875618</v>
      </c>
      <c r="J39" s="91">
        <f t="shared" si="4"/>
        <v>248206.26110486186</v>
      </c>
      <c r="K39" s="91">
        <f t="shared" si="4"/>
        <v>1153637.9392373862</v>
      </c>
      <c r="L39" s="91">
        <f t="shared" si="4"/>
        <v>2082337.0375683256</v>
      </c>
      <c r="M39" s="91">
        <f t="shared" si="4"/>
        <v>2479365.4871631074</v>
      </c>
      <c r="N39" s="91">
        <f t="shared" si="4"/>
        <v>911298.74249039555</v>
      </c>
      <c r="O39" s="91">
        <f t="shared" si="4"/>
        <v>334522.40275746543</v>
      </c>
      <c r="P39" s="91">
        <f t="shared" si="4"/>
        <v>532875.08113673609</v>
      </c>
      <c r="Q39" s="91">
        <f t="shared" si="4"/>
        <v>128210.93886957382</v>
      </c>
      <c r="R39" s="91">
        <f t="shared" si="4"/>
        <v>707818.28485993354</v>
      </c>
      <c r="S39" s="91">
        <f t="shared" si="4"/>
        <v>557123.84308879217</v>
      </c>
      <c r="T39" s="91">
        <f t="shared" si="4"/>
        <v>75358.219788622853</v>
      </c>
      <c r="U39" s="91">
        <f t="shared" si="4"/>
        <v>3977.4493946103562</v>
      </c>
      <c r="V39" s="91">
        <f t="shared" si="4"/>
        <v>20223.753087124991</v>
      </c>
      <c r="W39" s="92">
        <f t="shared" si="4"/>
        <v>152989261.10973096</v>
      </c>
    </row>
    <row r="40" spans="1:23" ht="27" customHeight="1">
      <c r="A40" s="658" t="s">
        <v>113</v>
      </c>
      <c r="B40" s="658"/>
      <c r="C40" s="658"/>
      <c r="D40" s="658"/>
      <c r="E40" s="658"/>
      <c r="F40" s="658"/>
      <c r="G40" s="658"/>
      <c r="H40" s="658"/>
      <c r="I40" s="658"/>
      <c r="J40" s="658"/>
      <c r="K40" s="658"/>
      <c r="L40" s="658"/>
      <c r="M40" s="658"/>
      <c r="N40" s="658"/>
      <c r="O40" s="658"/>
      <c r="P40" s="658"/>
      <c r="Q40" s="658"/>
      <c r="R40" s="658"/>
      <c r="S40" s="658"/>
      <c r="T40" s="658"/>
      <c r="U40" s="658"/>
      <c r="V40" s="658"/>
      <c r="W40" s="658"/>
    </row>
    <row r="41" spans="1:23" ht="15.95" customHeight="1">
      <c r="A41" s="93" t="s">
        <v>0</v>
      </c>
      <c r="B41" s="94">
        <v>1555618.7691690531</v>
      </c>
      <c r="C41" s="94">
        <v>59387.848111606043</v>
      </c>
      <c r="D41" s="94">
        <v>0</v>
      </c>
      <c r="E41" s="94">
        <v>0</v>
      </c>
      <c r="F41" s="94">
        <v>0</v>
      </c>
      <c r="G41" s="94">
        <v>0</v>
      </c>
      <c r="H41" s="94">
        <v>0</v>
      </c>
      <c r="I41" s="94">
        <v>3278843.0718030059</v>
      </c>
      <c r="J41" s="94">
        <v>0</v>
      </c>
      <c r="K41" s="94">
        <v>0</v>
      </c>
      <c r="L41" s="94">
        <v>10059.59921530592</v>
      </c>
      <c r="M41" s="94">
        <v>0</v>
      </c>
      <c r="N41" s="94">
        <v>0</v>
      </c>
      <c r="O41" s="94">
        <v>2018.234707435689</v>
      </c>
      <c r="P41" s="94">
        <v>0</v>
      </c>
      <c r="Q41" s="94">
        <v>0</v>
      </c>
      <c r="R41" s="94">
        <v>4143.3265455215624</v>
      </c>
      <c r="S41" s="94">
        <v>0</v>
      </c>
      <c r="T41" s="94">
        <v>0</v>
      </c>
      <c r="U41" s="94">
        <v>0</v>
      </c>
      <c r="V41" s="94">
        <v>0</v>
      </c>
      <c r="W41" s="95">
        <f>SUM(B41:V41)</f>
        <v>4910070.8495519282</v>
      </c>
    </row>
    <row r="42" spans="1:23" ht="15.95" customHeight="1">
      <c r="A42" s="96" t="s">
        <v>1</v>
      </c>
      <c r="B42" s="97">
        <v>61723611.834412366</v>
      </c>
      <c r="C42" s="97">
        <v>7302376.3825074797</v>
      </c>
      <c r="D42" s="97">
        <v>0</v>
      </c>
      <c r="E42" s="97">
        <v>66065.34450393368</v>
      </c>
      <c r="F42" s="97">
        <v>0</v>
      </c>
      <c r="G42" s="97">
        <v>283244.95444882876</v>
      </c>
      <c r="H42" s="97">
        <v>8135.4601694376834</v>
      </c>
      <c r="I42" s="97">
        <v>6128.6786388841228</v>
      </c>
      <c r="J42" s="97">
        <v>0</v>
      </c>
      <c r="K42" s="97">
        <v>0</v>
      </c>
      <c r="L42" s="97">
        <v>40238.396861223679</v>
      </c>
      <c r="M42" s="97">
        <v>0</v>
      </c>
      <c r="N42" s="97">
        <v>0</v>
      </c>
      <c r="O42" s="97">
        <v>26237.051196663961</v>
      </c>
      <c r="P42" s="97">
        <v>5479.4352816116816</v>
      </c>
      <c r="Q42" s="97">
        <v>0</v>
      </c>
      <c r="R42" s="97">
        <v>203023.00073055649</v>
      </c>
      <c r="S42" s="97">
        <v>4452.538206503832</v>
      </c>
      <c r="T42" s="97">
        <v>7010.0669570811951</v>
      </c>
      <c r="U42" s="97">
        <v>0</v>
      </c>
      <c r="V42" s="97">
        <v>5515.5690237613599</v>
      </c>
      <c r="W42" s="98">
        <f t="shared" ref="W42:W50" si="5">SUM(B42:V42)</f>
        <v>69681518.712938339</v>
      </c>
    </row>
    <row r="43" spans="1:23" ht="15.95" customHeight="1">
      <c r="A43" s="96" t="s">
        <v>6</v>
      </c>
      <c r="B43" s="97">
        <v>8675967.7663052585</v>
      </c>
      <c r="C43" s="97">
        <v>272485.42074736889</v>
      </c>
      <c r="D43" s="97">
        <v>0</v>
      </c>
      <c r="E43" s="97">
        <v>18351.484584426024</v>
      </c>
      <c r="F43" s="97">
        <v>3198294.2929966226</v>
      </c>
      <c r="G43" s="97">
        <v>7325.3005460903996</v>
      </c>
      <c r="H43" s="97">
        <v>0</v>
      </c>
      <c r="I43" s="97">
        <v>18386.03591665237</v>
      </c>
      <c r="J43" s="97">
        <v>0</v>
      </c>
      <c r="K43" s="97">
        <v>0</v>
      </c>
      <c r="L43" s="97">
        <v>65387.394899488485</v>
      </c>
      <c r="M43" s="97">
        <v>0</v>
      </c>
      <c r="N43" s="97">
        <v>0</v>
      </c>
      <c r="O43" s="97">
        <v>0</v>
      </c>
      <c r="P43" s="97">
        <v>0</v>
      </c>
      <c r="Q43" s="97">
        <v>0</v>
      </c>
      <c r="R43" s="97">
        <v>0</v>
      </c>
      <c r="S43" s="97">
        <v>0</v>
      </c>
      <c r="T43" s="97">
        <v>0</v>
      </c>
      <c r="U43" s="97">
        <v>0</v>
      </c>
      <c r="V43" s="97">
        <v>0</v>
      </c>
      <c r="W43" s="98">
        <f t="shared" si="5"/>
        <v>12256197.69599591</v>
      </c>
    </row>
    <row r="44" spans="1:23" ht="15.95" customHeight="1">
      <c r="A44" s="99" t="s">
        <v>2</v>
      </c>
      <c r="B44" s="97">
        <v>448936.96022999531</v>
      </c>
      <c r="C44" s="97">
        <v>613674.43048659572</v>
      </c>
      <c r="D44" s="97">
        <v>0</v>
      </c>
      <c r="E44" s="97">
        <v>11010.890750655615</v>
      </c>
      <c r="F44" s="97">
        <v>0</v>
      </c>
      <c r="G44" s="97">
        <v>0</v>
      </c>
      <c r="H44" s="97">
        <v>0</v>
      </c>
      <c r="I44" s="97">
        <v>0</v>
      </c>
      <c r="J44" s="97">
        <v>0</v>
      </c>
      <c r="K44" s="97">
        <v>0</v>
      </c>
      <c r="L44" s="97">
        <v>0</v>
      </c>
      <c r="M44" s="97">
        <v>0</v>
      </c>
      <c r="N44" s="97">
        <v>0</v>
      </c>
      <c r="O44" s="97">
        <v>0</v>
      </c>
      <c r="P44" s="97">
        <v>0</v>
      </c>
      <c r="Q44" s="97">
        <v>0</v>
      </c>
      <c r="R44" s="97">
        <v>1381.1088485071871</v>
      </c>
      <c r="S44" s="97">
        <v>2204006.4122193968</v>
      </c>
      <c r="T44" s="97">
        <v>289749.43422602274</v>
      </c>
      <c r="U44" s="97">
        <v>0</v>
      </c>
      <c r="V44" s="97">
        <v>0</v>
      </c>
      <c r="W44" s="98">
        <f t="shared" si="5"/>
        <v>3568759.2367611732</v>
      </c>
    </row>
    <row r="45" spans="1:23" ht="15.95" customHeight="1">
      <c r="A45" s="96" t="s">
        <v>3</v>
      </c>
      <c r="B45" s="97">
        <v>8383636.7224345617</v>
      </c>
      <c r="C45" s="97">
        <v>432017.48332168313</v>
      </c>
      <c r="D45" s="97">
        <v>0</v>
      </c>
      <c r="E45" s="97">
        <v>4899846.3840417489</v>
      </c>
      <c r="F45" s="97">
        <v>0</v>
      </c>
      <c r="G45" s="97">
        <v>2441.7668486968</v>
      </c>
      <c r="H45" s="97">
        <v>0</v>
      </c>
      <c r="I45" s="97">
        <v>15321.696597210308</v>
      </c>
      <c r="J45" s="97">
        <v>0</v>
      </c>
      <c r="K45" s="97">
        <v>0</v>
      </c>
      <c r="L45" s="97">
        <v>0</v>
      </c>
      <c r="M45" s="97">
        <v>0</v>
      </c>
      <c r="N45" s="97">
        <v>0</v>
      </c>
      <c r="O45" s="97">
        <v>0</v>
      </c>
      <c r="P45" s="97">
        <v>0</v>
      </c>
      <c r="Q45" s="97">
        <v>0</v>
      </c>
      <c r="R45" s="97">
        <v>52482.136243273118</v>
      </c>
      <c r="S45" s="97">
        <v>0</v>
      </c>
      <c r="T45" s="97">
        <v>0</v>
      </c>
      <c r="U45" s="97">
        <v>15909.797578441425</v>
      </c>
      <c r="V45" s="97">
        <v>75379.443324738604</v>
      </c>
      <c r="W45" s="98">
        <f t="shared" si="5"/>
        <v>13877035.430390354</v>
      </c>
    </row>
    <row r="46" spans="1:23" ht="15.95" customHeight="1">
      <c r="A46" s="96" t="s">
        <v>4</v>
      </c>
      <c r="B46" s="97">
        <v>2234244.4067260232</v>
      </c>
      <c r="C46" s="97">
        <v>83841.667922267341</v>
      </c>
      <c r="D46" s="97">
        <v>0</v>
      </c>
      <c r="E46" s="97">
        <v>23856.92995975383</v>
      </c>
      <c r="F46" s="97">
        <v>0</v>
      </c>
      <c r="G46" s="97">
        <v>139180.71037571758</v>
      </c>
      <c r="H46" s="97">
        <v>0</v>
      </c>
      <c r="I46" s="97">
        <v>18386.03591665237</v>
      </c>
      <c r="J46" s="97">
        <v>0</v>
      </c>
      <c r="K46" s="97">
        <v>0</v>
      </c>
      <c r="L46" s="97">
        <v>0</v>
      </c>
      <c r="M46" s="97">
        <v>0</v>
      </c>
      <c r="N46" s="97">
        <v>0</v>
      </c>
      <c r="O46" s="97">
        <v>0</v>
      </c>
      <c r="P46" s="97">
        <v>0</v>
      </c>
      <c r="Q46" s="97">
        <v>0</v>
      </c>
      <c r="R46" s="97">
        <v>2349266.1513107256</v>
      </c>
      <c r="S46" s="97">
        <v>0</v>
      </c>
      <c r="T46" s="97">
        <v>1168.3444928468659</v>
      </c>
      <c r="U46" s="97">
        <v>0</v>
      </c>
      <c r="V46" s="97">
        <v>0</v>
      </c>
      <c r="W46" s="98">
        <f t="shared" si="5"/>
        <v>4849944.246703987</v>
      </c>
    </row>
    <row r="47" spans="1:23" ht="15.95" customHeight="1">
      <c r="A47" s="96" t="s">
        <v>14</v>
      </c>
      <c r="B47" s="97">
        <v>709946.82082882978</v>
      </c>
      <c r="C47" s="97">
        <v>135078.24276365293</v>
      </c>
      <c r="D47" s="97">
        <v>0</v>
      </c>
      <c r="E47" s="97">
        <v>5505.4453753278076</v>
      </c>
      <c r="F47" s="97">
        <v>0</v>
      </c>
      <c r="G47" s="97">
        <v>21975.9016382712</v>
      </c>
      <c r="H47" s="97">
        <v>169682.45496255741</v>
      </c>
      <c r="I47" s="97">
        <v>0</v>
      </c>
      <c r="J47" s="97">
        <v>0</v>
      </c>
      <c r="K47" s="97">
        <v>0</v>
      </c>
      <c r="L47" s="97">
        <v>0</v>
      </c>
      <c r="M47" s="97">
        <v>0</v>
      </c>
      <c r="N47" s="97">
        <v>0</v>
      </c>
      <c r="O47" s="97">
        <v>0</v>
      </c>
      <c r="P47" s="97">
        <v>0</v>
      </c>
      <c r="Q47" s="97">
        <v>0</v>
      </c>
      <c r="R47" s="97">
        <v>0</v>
      </c>
      <c r="S47" s="97">
        <v>0</v>
      </c>
      <c r="T47" s="97">
        <v>0</v>
      </c>
      <c r="U47" s="97">
        <v>0</v>
      </c>
      <c r="V47" s="97">
        <v>0</v>
      </c>
      <c r="W47" s="98">
        <f t="shared" si="5"/>
        <v>1042188.8655686391</v>
      </c>
    </row>
    <row r="48" spans="1:23" ht="15.95" customHeight="1">
      <c r="A48" s="96" t="s">
        <v>9</v>
      </c>
      <c r="B48" s="97">
        <v>0</v>
      </c>
      <c r="C48" s="97">
        <v>53565.510061448578</v>
      </c>
      <c r="D48" s="97">
        <v>0</v>
      </c>
      <c r="E48" s="97">
        <v>23856.92995975383</v>
      </c>
      <c r="F48" s="97">
        <v>4491.9863665682906</v>
      </c>
      <c r="G48" s="97">
        <v>0</v>
      </c>
      <c r="H48" s="97">
        <v>0</v>
      </c>
      <c r="I48" s="97">
        <v>0</v>
      </c>
      <c r="J48" s="97">
        <v>0</v>
      </c>
      <c r="K48" s="97">
        <v>0</v>
      </c>
      <c r="L48" s="97">
        <v>8158334.9636131013</v>
      </c>
      <c r="M48" s="97">
        <v>0</v>
      </c>
      <c r="N48" s="97">
        <v>0</v>
      </c>
      <c r="O48" s="97">
        <v>0</v>
      </c>
      <c r="P48" s="97">
        <v>0</v>
      </c>
      <c r="Q48" s="97">
        <v>512843.75547829532</v>
      </c>
      <c r="R48" s="97">
        <v>0</v>
      </c>
      <c r="S48" s="97">
        <v>0</v>
      </c>
      <c r="T48" s="97">
        <v>0</v>
      </c>
      <c r="U48" s="97">
        <v>0</v>
      </c>
      <c r="V48" s="97">
        <v>0</v>
      </c>
      <c r="W48" s="98">
        <f t="shared" si="5"/>
        <v>8753093.1454791669</v>
      </c>
    </row>
    <row r="49" spans="1:23" ht="15.95" customHeight="1">
      <c r="A49" s="96" t="s">
        <v>5</v>
      </c>
      <c r="B49" s="97">
        <v>0</v>
      </c>
      <c r="C49" s="97">
        <v>62881.250941700506</v>
      </c>
      <c r="D49" s="97">
        <v>0</v>
      </c>
      <c r="E49" s="97">
        <v>0</v>
      </c>
      <c r="F49" s="97">
        <v>4491.9863665682906</v>
      </c>
      <c r="G49" s="97">
        <v>2578505.7922238205</v>
      </c>
      <c r="H49" s="97">
        <v>0</v>
      </c>
      <c r="I49" s="97">
        <v>91930.179583261852</v>
      </c>
      <c r="J49" s="97">
        <v>0</v>
      </c>
      <c r="K49" s="97">
        <v>0</v>
      </c>
      <c r="L49" s="97">
        <v>55327.795684182565</v>
      </c>
      <c r="M49" s="97">
        <v>0</v>
      </c>
      <c r="N49" s="97">
        <v>0</v>
      </c>
      <c r="O49" s="97">
        <v>4036.4694148713779</v>
      </c>
      <c r="P49" s="97">
        <v>13698.588204029205</v>
      </c>
      <c r="Q49" s="97">
        <v>0</v>
      </c>
      <c r="R49" s="97">
        <v>0</v>
      </c>
      <c r="S49" s="97">
        <v>0</v>
      </c>
      <c r="T49" s="97">
        <v>3505.0334785405976</v>
      </c>
      <c r="U49" s="97">
        <v>0</v>
      </c>
      <c r="V49" s="97">
        <v>0</v>
      </c>
      <c r="W49" s="98">
        <f t="shared" si="5"/>
        <v>2814377.0958969742</v>
      </c>
    </row>
    <row r="50" spans="1:23" ht="15.95" customHeight="1">
      <c r="A50" s="96" t="s">
        <v>13</v>
      </c>
      <c r="B50" s="97">
        <v>407175.38253418176</v>
      </c>
      <c r="C50" s="97">
        <v>0</v>
      </c>
      <c r="D50" s="97">
        <v>282614.73230812163</v>
      </c>
      <c r="E50" s="97">
        <v>0</v>
      </c>
      <c r="F50" s="97">
        <v>0</v>
      </c>
      <c r="G50" s="97">
        <v>14650.601092180799</v>
      </c>
      <c r="H50" s="97">
        <v>0</v>
      </c>
      <c r="I50" s="97">
        <v>0</v>
      </c>
      <c r="J50" s="97">
        <v>0</v>
      </c>
      <c r="K50" s="97">
        <v>0</v>
      </c>
      <c r="L50" s="97">
        <v>0</v>
      </c>
      <c r="M50" s="97">
        <v>0</v>
      </c>
      <c r="N50" s="97">
        <v>0</v>
      </c>
      <c r="O50" s="97">
        <v>6054.7041223070682</v>
      </c>
      <c r="P50" s="97">
        <v>2104103.1481388859</v>
      </c>
      <c r="Q50" s="97">
        <v>0</v>
      </c>
      <c r="R50" s="97">
        <v>0</v>
      </c>
      <c r="S50" s="97">
        <v>0</v>
      </c>
      <c r="T50" s="97">
        <v>0</v>
      </c>
      <c r="U50" s="97">
        <v>0</v>
      </c>
      <c r="V50" s="97">
        <v>0</v>
      </c>
      <c r="W50" s="98">
        <f t="shared" si="5"/>
        <v>2814598.5681956769</v>
      </c>
    </row>
    <row r="51" spans="1:23" ht="15.95" customHeight="1">
      <c r="A51" s="96" t="s">
        <v>8</v>
      </c>
      <c r="B51" s="97">
        <v>0</v>
      </c>
      <c r="C51" s="97">
        <v>18631.481760503852</v>
      </c>
      <c r="D51" s="97">
        <v>475982.7070452575</v>
      </c>
      <c r="E51" s="97">
        <v>3670.2969168852051</v>
      </c>
      <c r="F51" s="97">
        <v>0</v>
      </c>
      <c r="G51" s="97">
        <v>0</v>
      </c>
      <c r="H51" s="97">
        <v>0</v>
      </c>
      <c r="I51" s="97">
        <v>0</v>
      </c>
      <c r="J51" s="97">
        <v>0</v>
      </c>
      <c r="K51" s="97">
        <v>0</v>
      </c>
      <c r="L51" s="97">
        <v>0</v>
      </c>
      <c r="M51" s="97">
        <v>4177.5324130802137</v>
      </c>
      <c r="N51" s="97">
        <v>3645194.9699615818</v>
      </c>
      <c r="O51" s="97">
        <v>4036.4694148713779</v>
      </c>
      <c r="P51" s="97">
        <v>0</v>
      </c>
      <c r="Q51" s="97">
        <v>0</v>
      </c>
      <c r="R51" s="97">
        <v>0</v>
      </c>
      <c r="S51" s="97">
        <v>0</v>
      </c>
      <c r="T51" s="97">
        <v>0</v>
      </c>
      <c r="U51" s="97">
        <v>0</v>
      </c>
      <c r="V51" s="97">
        <v>0</v>
      </c>
      <c r="W51" s="98">
        <f>SUM(B51:V51)</f>
        <v>4151693.4575121799</v>
      </c>
    </row>
    <row r="52" spans="1:23" ht="15.95" customHeight="1">
      <c r="A52" s="96" t="s">
        <v>10</v>
      </c>
      <c r="B52" s="97">
        <v>2025436.518246955</v>
      </c>
      <c r="C52" s="97">
        <v>1597649.5609632053</v>
      </c>
      <c r="D52" s="97">
        <v>602415.61360415409</v>
      </c>
      <c r="E52" s="97">
        <v>44043.563002622461</v>
      </c>
      <c r="F52" s="97">
        <v>0</v>
      </c>
      <c r="G52" s="97">
        <v>0</v>
      </c>
      <c r="H52" s="97">
        <v>0</v>
      </c>
      <c r="I52" s="97">
        <v>0</v>
      </c>
      <c r="J52" s="97">
        <v>12107.622492920091</v>
      </c>
      <c r="K52" s="97">
        <v>0</v>
      </c>
      <c r="L52" s="97">
        <v>0</v>
      </c>
      <c r="M52" s="97">
        <v>9725295.4576507397</v>
      </c>
      <c r="N52" s="97">
        <v>0</v>
      </c>
      <c r="O52" s="97">
        <v>224024.05252536148</v>
      </c>
      <c r="P52" s="97">
        <v>0</v>
      </c>
      <c r="Q52" s="97">
        <v>0</v>
      </c>
      <c r="R52" s="97">
        <v>157446.40872981935</v>
      </c>
      <c r="S52" s="97">
        <v>0</v>
      </c>
      <c r="T52" s="97">
        <v>0</v>
      </c>
      <c r="U52" s="97">
        <v>0</v>
      </c>
      <c r="V52" s="97">
        <v>0</v>
      </c>
      <c r="W52" s="98">
        <f t="shared" ref="W52:W57" si="6">SUM(B52:V52)</f>
        <v>14388418.797215778</v>
      </c>
    </row>
    <row r="53" spans="1:23" ht="15.95" customHeight="1">
      <c r="A53" s="96" t="s">
        <v>11</v>
      </c>
      <c r="B53" s="97">
        <v>1305049.3029941721</v>
      </c>
      <c r="C53" s="97">
        <v>3493.4028300944719</v>
      </c>
      <c r="D53" s="97">
        <v>4958.1531983880986</v>
      </c>
      <c r="E53" s="97">
        <v>333997.01943655359</v>
      </c>
      <c r="F53" s="97">
        <v>0</v>
      </c>
      <c r="G53" s="97">
        <v>0</v>
      </c>
      <c r="H53" s="97">
        <v>0</v>
      </c>
      <c r="I53" s="97">
        <v>0</v>
      </c>
      <c r="J53" s="97">
        <v>950448.36569422716</v>
      </c>
      <c r="K53" s="97">
        <v>0</v>
      </c>
      <c r="L53" s="97">
        <v>0</v>
      </c>
      <c r="M53" s="97">
        <v>0</v>
      </c>
      <c r="N53" s="97">
        <v>0</v>
      </c>
      <c r="O53" s="97">
        <v>12109.408244614136</v>
      </c>
      <c r="P53" s="97">
        <v>0</v>
      </c>
      <c r="Q53" s="97">
        <v>0</v>
      </c>
      <c r="R53" s="97">
        <v>0</v>
      </c>
      <c r="S53" s="97">
        <v>11131.345516259582</v>
      </c>
      <c r="T53" s="97">
        <v>0</v>
      </c>
      <c r="U53" s="97">
        <v>0</v>
      </c>
      <c r="V53" s="97">
        <v>0</v>
      </c>
      <c r="W53" s="98">
        <f t="shared" si="6"/>
        <v>2621186.9979143091</v>
      </c>
    </row>
    <row r="54" spans="1:23" ht="15.95" customHeight="1">
      <c r="A54" s="96" t="s">
        <v>12</v>
      </c>
      <c r="B54" s="97">
        <v>0</v>
      </c>
      <c r="C54" s="97">
        <v>213097.57263576283</v>
      </c>
      <c r="D54" s="97">
        <v>0</v>
      </c>
      <c r="E54" s="97">
        <v>1835.1484584426025</v>
      </c>
      <c r="F54" s="97">
        <v>0</v>
      </c>
      <c r="G54" s="97">
        <v>0</v>
      </c>
      <c r="H54" s="97">
        <v>0</v>
      </c>
      <c r="I54" s="97">
        <v>0</v>
      </c>
      <c r="J54" s="97">
        <v>0</v>
      </c>
      <c r="K54" s="97">
        <v>4614551.7569495449</v>
      </c>
      <c r="L54" s="97">
        <v>0</v>
      </c>
      <c r="M54" s="97">
        <v>0</v>
      </c>
      <c r="N54" s="97">
        <v>0</v>
      </c>
      <c r="O54" s="97">
        <v>0</v>
      </c>
      <c r="P54" s="97">
        <v>0</v>
      </c>
      <c r="Q54" s="97">
        <v>0</v>
      </c>
      <c r="R54" s="97">
        <v>0</v>
      </c>
      <c r="S54" s="97">
        <v>0</v>
      </c>
      <c r="T54" s="97">
        <v>0</v>
      </c>
      <c r="U54" s="97">
        <v>0</v>
      </c>
      <c r="V54" s="97">
        <v>0</v>
      </c>
      <c r="W54" s="98">
        <f t="shared" si="6"/>
        <v>4829484.4780437499</v>
      </c>
    </row>
    <row r="55" spans="1:23" ht="15.95" customHeight="1">
      <c r="A55" s="96" t="s">
        <v>7</v>
      </c>
      <c r="B55" s="97">
        <v>1534737.9803211465</v>
      </c>
      <c r="C55" s="97">
        <v>22124.884590598325</v>
      </c>
      <c r="D55" s="97">
        <v>0</v>
      </c>
      <c r="E55" s="97">
        <v>1717698.9571022757</v>
      </c>
      <c r="F55" s="97">
        <v>53903.836398819491</v>
      </c>
      <c r="G55" s="97">
        <v>17092.367940877597</v>
      </c>
      <c r="H55" s="97">
        <v>0</v>
      </c>
      <c r="I55" s="97">
        <v>0</v>
      </c>
      <c r="J55" s="97">
        <v>30269.056232300227</v>
      </c>
      <c r="K55" s="97">
        <v>0</v>
      </c>
      <c r="L55" s="97">
        <v>0</v>
      </c>
      <c r="M55" s="97">
        <v>66840.518609283434</v>
      </c>
      <c r="N55" s="97">
        <v>0</v>
      </c>
      <c r="O55" s="97">
        <v>1053518.5172814298</v>
      </c>
      <c r="P55" s="97">
        <v>8219.1529224175229</v>
      </c>
      <c r="Q55" s="97">
        <v>0</v>
      </c>
      <c r="R55" s="97">
        <v>0</v>
      </c>
      <c r="S55" s="97">
        <v>0</v>
      </c>
      <c r="T55" s="97">
        <v>0</v>
      </c>
      <c r="U55" s="97">
        <v>0</v>
      </c>
      <c r="V55" s="97">
        <v>0</v>
      </c>
      <c r="W55" s="98">
        <f t="shared" si="6"/>
        <v>4504405.2713991497</v>
      </c>
    </row>
    <row r="56" spans="1:23" ht="15.95" customHeight="1">
      <c r="A56" s="96" t="s">
        <v>16</v>
      </c>
      <c r="B56" s="97">
        <v>1242406.9364504518</v>
      </c>
      <c r="C56" s="97">
        <v>0</v>
      </c>
      <c r="D56" s="97">
        <v>0</v>
      </c>
      <c r="E56" s="97">
        <v>18351.484584426024</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100">
        <f t="shared" si="6"/>
        <v>1260758.4210348779</v>
      </c>
    </row>
    <row r="57" spans="1:23" ht="15.95" customHeight="1">
      <c r="A57" s="101" t="s">
        <v>15</v>
      </c>
      <c r="B57" s="102">
        <v>469817.74907790206</v>
      </c>
      <c r="C57" s="102">
        <v>1099257.4238697274</v>
      </c>
      <c r="D57" s="102">
        <v>0</v>
      </c>
      <c r="E57" s="102">
        <v>110108.90750655613</v>
      </c>
      <c r="F57" s="102">
        <v>44919.863665682904</v>
      </c>
      <c r="G57" s="102">
        <v>9767.0673947872001</v>
      </c>
      <c r="H57" s="102">
        <v>3486.625786901865</v>
      </c>
      <c r="I57" s="102">
        <v>113380.55481935629</v>
      </c>
      <c r="J57" s="102">
        <v>0</v>
      </c>
      <c r="K57" s="102">
        <v>0</v>
      </c>
      <c r="L57" s="102">
        <v>0</v>
      </c>
      <c r="M57" s="102">
        <v>121148.43997932621</v>
      </c>
      <c r="N57" s="102">
        <v>0</v>
      </c>
      <c r="O57" s="102">
        <v>6054.7041223070682</v>
      </c>
      <c r="P57" s="102">
        <v>0</v>
      </c>
      <c r="Q57" s="102">
        <v>0</v>
      </c>
      <c r="R57" s="102">
        <v>63531.007031330606</v>
      </c>
      <c r="S57" s="102">
        <v>8905.0764130076641</v>
      </c>
      <c r="T57" s="102">
        <v>0</v>
      </c>
      <c r="U57" s="102">
        <v>0</v>
      </c>
      <c r="V57" s="102">
        <v>0</v>
      </c>
      <c r="W57" s="103">
        <f t="shared" si="6"/>
        <v>2050377.4196668854</v>
      </c>
    </row>
    <row r="58" spans="1:23" ht="15.95" customHeight="1">
      <c r="A58" s="104" t="s">
        <v>34</v>
      </c>
      <c r="B58" s="105">
        <f t="shared" ref="B58:W58" si="7">SUM(B41:B55)+B56+B57</f>
        <v>90716587.149730876</v>
      </c>
      <c r="C58" s="105">
        <f t="shared" si="7"/>
        <v>11969562.563513696</v>
      </c>
      <c r="D58" s="105">
        <f t="shared" si="7"/>
        <v>1365971.2061559216</v>
      </c>
      <c r="E58" s="105">
        <f t="shared" si="7"/>
        <v>7278198.786183361</v>
      </c>
      <c r="F58" s="105">
        <f t="shared" si="7"/>
        <v>3306101.9657942611</v>
      </c>
      <c r="G58" s="105">
        <f t="shared" si="7"/>
        <v>3074184.4625092703</v>
      </c>
      <c r="H58" s="105">
        <f t="shared" si="7"/>
        <v>181304.54091889696</v>
      </c>
      <c r="I58" s="105">
        <f t="shared" si="7"/>
        <v>3542376.2532750233</v>
      </c>
      <c r="J58" s="105">
        <f t="shared" si="7"/>
        <v>992825.04441944754</v>
      </c>
      <c r="K58" s="105">
        <f t="shared" si="7"/>
        <v>4614551.7569495449</v>
      </c>
      <c r="L58" s="105">
        <f t="shared" si="7"/>
        <v>8329348.1502733026</v>
      </c>
      <c r="M58" s="105">
        <f t="shared" si="7"/>
        <v>9917461.9486524295</v>
      </c>
      <c r="N58" s="105">
        <f t="shared" si="7"/>
        <v>3645194.9699615818</v>
      </c>
      <c r="O58" s="105">
        <f t="shared" si="7"/>
        <v>1338089.611029862</v>
      </c>
      <c r="P58" s="105">
        <f t="shared" si="7"/>
        <v>2131500.3245469444</v>
      </c>
      <c r="Q58" s="105">
        <f t="shared" si="7"/>
        <v>512843.75547829532</v>
      </c>
      <c r="R58" s="105">
        <f t="shared" si="7"/>
        <v>2831273.1394397346</v>
      </c>
      <c r="S58" s="105">
        <f t="shared" si="7"/>
        <v>2228495.3723551678</v>
      </c>
      <c r="T58" s="105">
        <f t="shared" si="7"/>
        <v>301432.87915449141</v>
      </c>
      <c r="U58" s="105">
        <f t="shared" si="7"/>
        <v>15909.797578441425</v>
      </c>
      <c r="V58" s="105">
        <f t="shared" si="7"/>
        <v>80895.012348499964</v>
      </c>
      <c r="W58" s="106">
        <f t="shared" si="7"/>
        <v>158374108.69026905</v>
      </c>
    </row>
    <row r="59" spans="1:23" ht="15.95" customHeight="1">
      <c r="A59" s="76"/>
      <c r="B59" s="8"/>
    </row>
    <row r="60" spans="1:23" ht="15.95" customHeight="1">
      <c r="B60" s="8"/>
    </row>
  </sheetData>
  <mergeCells count="3">
    <mergeCell ref="A1:W1"/>
    <mergeCell ref="A21:W21"/>
    <mergeCell ref="A40:W40"/>
  </mergeCells>
  <printOptions horizontalCentered="1"/>
  <pageMargins left="0.25" right="0.25" top="0.5" bottom="0.5" header="0.05" footer="0.05"/>
  <pageSetup paperSize="5" scale="57" orientation="landscape" r:id="rId1"/>
  <headerFooter>
    <oddFooter xml:space="preserve">&amp;L&amp;9&amp;Z&amp;F, &amp;A
Revised/Printed &amp;D, &amp;T&amp;R&amp;9Page &amp;P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activeCell="E23" sqref="E23:E24"/>
    </sheetView>
  </sheetViews>
  <sheetFormatPr defaultColWidth="8.85546875" defaultRowHeight="15"/>
  <cols>
    <col min="1" max="1" width="47.7109375" style="32" customWidth="1"/>
    <col min="2" max="2" width="47.7109375" style="32" hidden="1" customWidth="1"/>
    <col min="3" max="3" width="18.140625" style="32" customWidth="1"/>
    <col min="4" max="4" width="18.7109375" style="32" customWidth="1"/>
    <col min="5" max="5" width="22.42578125" style="32" customWidth="1"/>
    <col min="6" max="6" width="32" style="32" customWidth="1"/>
    <col min="7" max="7" width="5.42578125" style="32" customWidth="1"/>
    <col min="8" max="8" width="13.42578125" style="32" hidden="1" customWidth="1"/>
    <col min="9" max="9" width="13.140625" style="32" hidden="1" customWidth="1"/>
    <col min="10" max="10" width="10" style="153" bestFit="1" customWidth="1"/>
    <col min="11" max="11" width="24" style="153" customWidth="1"/>
    <col min="12" max="16384" width="8.85546875" style="32"/>
  </cols>
  <sheetData>
    <row r="1" spans="1:11" ht="28.5" customHeight="1">
      <c r="A1" s="635" t="s">
        <v>344</v>
      </c>
      <c r="B1" s="635"/>
      <c r="C1" s="635"/>
      <c r="D1" s="635"/>
    </row>
    <row r="2" spans="1:11" s="2" customFormat="1">
      <c r="A2" s="63" t="s">
        <v>103</v>
      </c>
      <c r="B2" s="64" t="s">
        <v>80</v>
      </c>
      <c r="C2" s="64" t="s">
        <v>80</v>
      </c>
      <c r="D2" s="63" t="s">
        <v>81</v>
      </c>
      <c r="H2" s="32"/>
      <c r="I2" s="32"/>
      <c r="J2"/>
      <c r="K2"/>
    </row>
    <row r="3" spans="1:11" ht="15.95" customHeight="1">
      <c r="A3" s="29" t="s">
        <v>21</v>
      </c>
      <c r="B3" s="14">
        <v>323986888.08278441</v>
      </c>
      <c r="C3" s="14">
        <f>+B3*$A$36</f>
        <v>323987811.24903893</v>
      </c>
      <c r="D3" s="51">
        <f>0.7*C3</f>
        <v>226791467.87432724</v>
      </c>
      <c r="H3" s="153"/>
      <c r="J3"/>
      <c r="K3"/>
    </row>
    <row r="4" spans="1:11" ht="15.95" customHeight="1">
      <c r="A4" s="29" t="s">
        <v>35</v>
      </c>
      <c r="B4" s="14">
        <v>21374157.960022539</v>
      </c>
      <c r="C4" s="14">
        <f t="shared" ref="C4:C23" si="0">+B4*$A$36</f>
        <v>21374218.863417316</v>
      </c>
      <c r="D4" s="51">
        <f t="shared" ref="D4:D23" si="1">0.7*C4</f>
        <v>14961953.20439212</v>
      </c>
      <c r="J4"/>
      <c r="K4"/>
    </row>
    <row r="5" spans="1:11" ht="15.95" customHeight="1">
      <c r="A5" s="29" t="s">
        <v>36</v>
      </c>
      <c r="B5" s="14">
        <v>2439227.3463875419</v>
      </c>
      <c r="C5" s="14">
        <f t="shared" si="0"/>
        <v>2439234.2967070024</v>
      </c>
      <c r="D5" s="51">
        <f t="shared" si="1"/>
        <v>1707464.0076949017</v>
      </c>
      <c r="J5"/>
      <c r="K5"/>
    </row>
    <row r="6" spans="1:11" ht="15.95" customHeight="1">
      <c r="A6" s="29" t="s">
        <v>37</v>
      </c>
      <c r="B6" s="14">
        <v>12996746.513906088</v>
      </c>
      <c r="C6" s="14">
        <f t="shared" si="0"/>
        <v>12996783.546756001</v>
      </c>
      <c r="D6" s="51">
        <f t="shared" si="1"/>
        <v>9097748.4827292003</v>
      </c>
      <c r="J6"/>
      <c r="K6"/>
    </row>
    <row r="7" spans="1:11" ht="15.95" customHeight="1">
      <c r="A7" s="29" t="s">
        <v>38</v>
      </c>
      <c r="B7" s="14">
        <v>5903736.6882757368</v>
      </c>
      <c r="C7" s="14">
        <f t="shared" si="0"/>
        <v>5903753.510346896</v>
      </c>
      <c r="D7" s="51">
        <f t="shared" si="1"/>
        <v>4132627.4572428269</v>
      </c>
      <c r="J7"/>
      <c r="K7"/>
    </row>
    <row r="8" spans="1:11" ht="15.95" customHeight="1">
      <c r="A8" s="29" t="s">
        <v>39</v>
      </c>
      <c r="B8" s="14">
        <v>5489599.4695925927</v>
      </c>
      <c r="C8" s="14">
        <f t="shared" si="0"/>
        <v>5489615.1116236979</v>
      </c>
      <c r="D8" s="51">
        <f t="shared" si="1"/>
        <v>3842730.5781365884</v>
      </c>
      <c r="J8"/>
      <c r="K8"/>
    </row>
    <row r="9" spans="1:11" ht="15.95" customHeight="1">
      <c r="A9" s="29" t="s">
        <v>40</v>
      </c>
      <c r="B9" s="14">
        <v>323757.18627200101</v>
      </c>
      <c r="C9" s="14">
        <f t="shared" si="0"/>
        <v>323758.10878374457</v>
      </c>
      <c r="D9" s="51">
        <f t="shared" si="1"/>
        <v>226630.67614862119</v>
      </c>
      <c r="J9"/>
      <c r="K9"/>
    </row>
    <row r="10" spans="1:11" ht="15.95" customHeight="1">
      <c r="A10" s="29" t="s">
        <v>41</v>
      </c>
      <c r="B10" s="14">
        <v>6325653.8565689027</v>
      </c>
      <c r="C10" s="14">
        <f t="shared" si="0"/>
        <v>6325671.8808482578</v>
      </c>
      <c r="D10" s="51">
        <f t="shared" si="1"/>
        <v>4427970.3165937802</v>
      </c>
      <c r="J10"/>
      <c r="K10"/>
    </row>
    <row r="11" spans="1:11" ht="15.95" customHeight="1">
      <c r="A11" s="29" t="s">
        <v>19</v>
      </c>
      <c r="B11" s="14">
        <v>1772896.8133534063</v>
      </c>
      <c r="C11" s="14">
        <f t="shared" si="0"/>
        <v>1772901.8650347274</v>
      </c>
      <c r="D11" s="51">
        <f t="shared" si="1"/>
        <v>1241031.3055243092</v>
      </c>
      <c r="J11"/>
      <c r="K11"/>
    </row>
    <row r="12" spans="1:11" ht="15.95" customHeight="1">
      <c r="A12" s="29" t="s">
        <v>42</v>
      </c>
      <c r="B12" s="14">
        <v>8240247.5148419617</v>
      </c>
      <c r="C12" s="14">
        <f t="shared" si="0"/>
        <v>8240270.9945527595</v>
      </c>
      <c r="D12" s="51">
        <f t="shared" si="1"/>
        <v>5768189.6961869309</v>
      </c>
      <c r="J12"/>
      <c r="K12"/>
    </row>
    <row r="13" spans="1:11" ht="15.95" customHeight="1">
      <c r="A13" s="29" t="s">
        <v>31</v>
      </c>
      <c r="B13" s="14">
        <v>14873793.60133451</v>
      </c>
      <c r="C13" s="14">
        <f t="shared" si="0"/>
        <v>14873835.982630897</v>
      </c>
      <c r="D13" s="51">
        <f t="shared" si="1"/>
        <v>10411685.187841628</v>
      </c>
      <c r="J13"/>
      <c r="K13"/>
    </row>
    <row r="14" spans="1:11" ht="15.95" customHeight="1">
      <c r="A14" s="29" t="s">
        <v>20</v>
      </c>
      <c r="B14" s="14">
        <v>17709703.017817173</v>
      </c>
      <c r="C14" s="14">
        <f t="shared" si="0"/>
        <v>17709753.479736481</v>
      </c>
      <c r="D14" s="51">
        <f t="shared" si="1"/>
        <v>12396827.435815535</v>
      </c>
      <c r="J14"/>
      <c r="K14"/>
    </row>
    <row r="15" spans="1:11" ht="15.95" customHeight="1">
      <c r="A15" s="29" t="s">
        <v>18</v>
      </c>
      <c r="B15" s="14">
        <v>6509258.1846338501</v>
      </c>
      <c r="C15" s="14">
        <f t="shared" si="0"/>
        <v>6509276.7320742523</v>
      </c>
      <c r="D15" s="51">
        <f t="shared" si="1"/>
        <v>4556493.7124519767</v>
      </c>
      <c r="J15"/>
      <c r="K15"/>
    </row>
    <row r="16" spans="1:11" ht="15.95" customHeight="1">
      <c r="A16" s="29" t="s">
        <v>49</v>
      </c>
      <c r="B16" s="14">
        <v>2389438.9255292569</v>
      </c>
      <c r="C16" s="14">
        <f t="shared" si="0"/>
        <v>2389445.7339818962</v>
      </c>
      <c r="D16" s="51">
        <f t="shared" si="1"/>
        <v>1672612.0137873273</v>
      </c>
      <c r="J16"/>
      <c r="K16"/>
    </row>
    <row r="17" spans="1:11" ht="15.95" customHeight="1">
      <c r="A17" s="29" t="s">
        <v>68</v>
      </c>
      <c r="B17" s="14">
        <v>3806239.734071929</v>
      </c>
      <c r="C17" s="14">
        <f t="shared" si="0"/>
        <v>3806250.5795481144</v>
      </c>
      <c r="D17" s="51">
        <f t="shared" si="1"/>
        <v>2664375.40568368</v>
      </c>
      <c r="J17"/>
      <c r="K17"/>
    </row>
    <row r="18" spans="1:11" ht="15.95" customHeight="1">
      <c r="A18" s="29" t="s">
        <v>79</v>
      </c>
      <c r="B18" s="14">
        <v>915789.81105107756</v>
      </c>
      <c r="C18" s="14">
        <f t="shared" si="0"/>
        <v>915792.42049695598</v>
      </c>
      <c r="D18" s="51">
        <f t="shared" si="1"/>
        <v>641054.69434786914</v>
      </c>
      <c r="J18"/>
      <c r="K18"/>
    </row>
    <row r="19" spans="1:11" ht="15.95" customHeight="1">
      <c r="A19" s="29" t="s">
        <v>82</v>
      </c>
      <c r="B19" s="14">
        <v>5055830.4858042477</v>
      </c>
      <c r="C19" s="14">
        <f t="shared" si="0"/>
        <v>5055844.8918566676</v>
      </c>
      <c r="D19" s="51">
        <f t="shared" si="1"/>
        <v>3539091.4242996671</v>
      </c>
      <c r="J19"/>
      <c r="K19"/>
    </row>
    <row r="20" spans="1:11" ht="15.95" customHeight="1">
      <c r="A20" s="29" t="s">
        <v>83</v>
      </c>
      <c r="B20" s="14">
        <v>3979444.6830574945</v>
      </c>
      <c r="C20" s="14">
        <f t="shared" si="0"/>
        <v>3979456.0220628004</v>
      </c>
      <c r="D20" s="51">
        <f t="shared" si="1"/>
        <v>2785619.2154439599</v>
      </c>
      <c r="J20"/>
      <c r="K20"/>
    </row>
    <row r="21" spans="1:11" ht="15.95" customHeight="1">
      <c r="A21" s="29" t="s">
        <v>84</v>
      </c>
      <c r="B21" s="14">
        <v>538271.46474274853</v>
      </c>
      <c r="C21" s="14">
        <f t="shared" si="0"/>
        <v>538272.99849016324</v>
      </c>
      <c r="D21" s="51">
        <f t="shared" si="1"/>
        <v>376791.09894311422</v>
      </c>
      <c r="J21"/>
      <c r="K21"/>
    </row>
    <row r="22" spans="1:11" ht="15.95" customHeight="1">
      <c r="A22" s="29" t="s">
        <v>85</v>
      </c>
      <c r="B22" s="14">
        <v>28410.271866590756</v>
      </c>
      <c r="C22" s="14">
        <f t="shared" si="0"/>
        <v>28410.352818645402</v>
      </c>
      <c r="D22" s="51">
        <f t="shared" si="1"/>
        <v>19887.246973051781</v>
      </c>
      <c r="J22"/>
      <c r="K22"/>
    </row>
    <row r="23" spans="1:11" ht="15.95" customHeight="1">
      <c r="A23" s="29" t="s">
        <v>86</v>
      </c>
      <c r="B23" s="14">
        <v>144454.96758465006</v>
      </c>
      <c r="C23" s="14">
        <f t="shared" si="0"/>
        <v>144455.37919374992</v>
      </c>
      <c r="D23" s="51">
        <f t="shared" si="1"/>
        <v>101118.76543562494</v>
      </c>
      <c r="E23" s="610" t="s">
        <v>335</v>
      </c>
      <c r="H23" s="26" t="s">
        <v>93</v>
      </c>
      <c r="I23" s="26" t="s">
        <v>94</v>
      </c>
      <c r="J23"/>
      <c r="K23"/>
    </row>
    <row r="24" spans="1:11" ht="15.75" customHeight="1">
      <c r="A24" s="65" t="s">
        <v>106</v>
      </c>
      <c r="B24" s="67">
        <f>SUM(B3:B23)</f>
        <v>444803546.57949877</v>
      </c>
      <c r="C24" s="67">
        <f>SUM(C3:C23)</f>
        <v>444804813.99999988</v>
      </c>
      <c r="D24" s="66">
        <f>SUM(D3:D23)</f>
        <v>311363369.80000001</v>
      </c>
      <c r="E24" s="606">
        <f>+C24-D24</f>
        <v>133441444.19999987</v>
      </c>
      <c r="F24" s="8"/>
      <c r="H24" s="14">
        <f>+FY12Revenue!D19</f>
        <v>287888438.72778958</v>
      </c>
      <c r="I24" s="14">
        <f>+D24-H24</f>
        <v>23474931.072210431</v>
      </c>
      <c r="J24"/>
      <c r="K24"/>
    </row>
    <row r="25" spans="1:11">
      <c r="A25" s="65" t="s">
        <v>107</v>
      </c>
      <c r="B25" s="27">
        <v>37238002.042066336</v>
      </c>
      <c r="C25" s="70">
        <v>37238002.042066336</v>
      </c>
      <c r="D25" s="52"/>
      <c r="H25" s="27">
        <v>32022715.865006775</v>
      </c>
      <c r="I25" s="14">
        <f>+C25-H25</f>
        <v>5215286.177059561</v>
      </c>
      <c r="J25"/>
      <c r="K25"/>
    </row>
    <row r="26" spans="1:11">
      <c r="A26" s="65" t="s">
        <v>108</v>
      </c>
      <c r="B26" s="27">
        <v>35351184.088342234</v>
      </c>
      <c r="C26" s="70">
        <v>35351184.088342234</v>
      </c>
      <c r="D26" s="52"/>
      <c r="H26" s="27">
        <v>30312582.71785352</v>
      </c>
      <c r="I26" s="14">
        <f>+C26-H26</f>
        <v>5038601.3704887144</v>
      </c>
      <c r="J26"/>
      <c r="K26"/>
    </row>
    <row r="27" spans="1:11">
      <c r="A27" s="71" t="s">
        <v>109</v>
      </c>
      <c r="B27" s="72">
        <f>SUM(B24:B26)</f>
        <v>517392732.70990735</v>
      </c>
      <c r="C27" s="73">
        <f>SUM(C24:C26)</f>
        <v>517394000.13040847</v>
      </c>
      <c r="D27" s="53"/>
      <c r="E27" s="8"/>
      <c r="F27" s="8"/>
      <c r="G27" s="8"/>
    </row>
    <row r="28" spans="1:11">
      <c r="C28" s="7"/>
      <c r="D28" s="10"/>
      <c r="I28" s="8"/>
    </row>
    <row r="30" spans="1:11">
      <c r="C30" s="8"/>
    </row>
    <row r="32" spans="1:11">
      <c r="B32" s="32">
        <f>444803547+1267</f>
        <v>444804814</v>
      </c>
    </row>
    <row r="33" spans="1:4">
      <c r="D33" s="59"/>
    </row>
    <row r="36" spans="1:4" hidden="1">
      <c r="A36" s="60">
        <f>+B32/B24</f>
        <v>1.0000028493938751</v>
      </c>
    </row>
  </sheetData>
  <mergeCells count="1">
    <mergeCell ref="A1:D1"/>
  </mergeCells>
  <printOptions horizontalCentered="1"/>
  <pageMargins left="0.2" right="0.2" top="1" bottom="0.5" header="0.05" footer="0.05"/>
  <pageSetup orientation="portrait" r:id="rId1"/>
  <headerFooter>
    <oddFooter xml:space="preserve">&amp;L&amp;9&amp;Z&amp;F, &amp;A
Revised/Printed &amp;D, &amp;T&amp;R&amp;9Page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heetViews>
  <sheetFormatPr defaultColWidth="8.85546875" defaultRowHeight="18" customHeight="1"/>
  <cols>
    <col min="1" max="1" width="26.42578125" style="32" customWidth="1"/>
    <col min="2" max="2" width="15.140625" style="32" customWidth="1"/>
    <col min="3" max="13" width="12.7109375" style="9" customWidth="1"/>
    <col min="14" max="23" width="12.7109375" style="32" customWidth="1"/>
    <col min="24" max="16384" width="8.85546875" style="32"/>
  </cols>
  <sheetData>
    <row r="1" spans="1:22" ht="18" customHeight="1">
      <c r="A1" s="13" t="s">
        <v>339</v>
      </c>
      <c r="B1" s="6"/>
      <c r="C1" s="6"/>
      <c r="D1" s="6"/>
      <c r="E1" s="6"/>
      <c r="F1" s="6"/>
      <c r="G1" s="6"/>
      <c r="H1" s="6"/>
      <c r="I1" s="6"/>
      <c r="J1" s="6"/>
      <c r="K1" s="6"/>
      <c r="L1" s="6"/>
      <c r="M1" s="6"/>
      <c r="N1" s="6"/>
      <c r="O1" s="6"/>
    </row>
    <row r="2" spans="1:22" ht="35.25" customHeight="1">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c r="A3" s="112" t="s">
        <v>51</v>
      </c>
      <c r="B3" s="113">
        <f t="shared" ref="B3:V3" si="0">+B23/B$40</f>
        <v>1.6278392849673019E-2</v>
      </c>
      <c r="C3" s="113">
        <f t="shared" si="0"/>
        <v>8.4097521723557611E-3</v>
      </c>
      <c r="D3" s="113">
        <f t="shared" si="0"/>
        <v>0</v>
      </c>
      <c r="E3" s="113">
        <f t="shared" si="0"/>
        <v>6.0319990191871516E-3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113">
        <f t="shared" si="0"/>
        <v>2.7446136956223413E-3</v>
      </c>
      <c r="S3" s="113">
        <f t="shared" si="0"/>
        <v>3.1486146095717883E-4</v>
      </c>
      <c r="T3" s="113">
        <f t="shared" si="0"/>
        <v>0</v>
      </c>
      <c r="U3" s="113">
        <f t="shared" si="0"/>
        <v>0</v>
      </c>
      <c r="V3" s="113">
        <f t="shared" si="0"/>
        <v>0</v>
      </c>
    </row>
    <row r="4" spans="1:22" ht="18" customHeight="1">
      <c r="A4" s="112" t="s">
        <v>52</v>
      </c>
      <c r="B4" s="113">
        <f t="shared" ref="B4:V4" si="1">+B24/B$40</f>
        <v>0.69761876542521295</v>
      </c>
      <c r="C4" s="113">
        <f t="shared" si="1"/>
        <v>0.65070089445613832</v>
      </c>
      <c r="D4" s="113">
        <f t="shared" si="1"/>
        <v>2.6458565589000373E-2</v>
      </c>
      <c r="E4" s="113">
        <f t="shared" si="1"/>
        <v>5.119843069944216E-2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113">
        <f t="shared" si="1"/>
        <v>5.6593934403732678E-2</v>
      </c>
      <c r="S4" s="113">
        <f t="shared" si="1"/>
        <v>3.2745591939546598E-2</v>
      </c>
      <c r="T4" s="113">
        <f t="shared" si="1"/>
        <v>4.3985161632220458E-2</v>
      </c>
      <c r="U4" s="113">
        <f t="shared" si="1"/>
        <v>0</v>
      </c>
      <c r="V4" s="113">
        <f t="shared" si="1"/>
        <v>0.11057692307692307</v>
      </c>
    </row>
    <row r="5" spans="1:22" ht="18" customHeight="1">
      <c r="A5" s="112" t="s">
        <v>53</v>
      </c>
      <c r="B5" s="113">
        <f t="shared" ref="B5:V5" si="2">+B25/B$40</f>
        <v>6.4464318083578512E-2</v>
      </c>
      <c r="C5" s="113">
        <f t="shared" si="2"/>
        <v>2.0195180829297731E-2</v>
      </c>
      <c r="D5" s="113">
        <f t="shared" si="2"/>
        <v>0</v>
      </c>
      <c r="E5" s="113">
        <f t="shared" si="2"/>
        <v>4.7324219947281311E-3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113">
        <f t="shared" si="2"/>
        <v>7.1359956086180869E-4</v>
      </c>
      <c r="S5" s="113">
        <f t="shared" si="2"/>
        <v>6.2972292191435767E-4</v>
      </c>
      <c r="T5" s="113">
        <f t="shared" si="2"/>
        <v>0</v>
      </c>
      <c r="U5" s="113">
        <f t="shared" si="2"/>
        <v>0</v>
      </c>
      <c r="V5" s="113">
        <f t="shared" si="2"/>
        <v>0</v>
      </c>
    </row>
    <row r="6" spans="1:22" ht="18" customHeight="1">
      <c r="A6" s="112" t="s">
        <v>54</v>
      </c>
      <c r="B6" s="113">
        <f t="shared" ref="B6:V6" si="3">+B26/B$40</f>
        <v>1.0978917132618487E-2</v>
      </c>
      <c r="C6" s="113">
        <f t="shared" si="3"/>
        <v>4.6866950262743422E-2</v>
      </c>
      <c r="D6" s="113">
        <f t="shared" si="3"/>
        <v>1.7837235228539577E-3</v>
      </c>
      <c r="E6" s="113">
        <f t="shared" si="3"/>
        <v>2.9424385459449519E-3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113">
        <f t="shared" si="3"/>
        <v>2.9641827912721287E-3</v>
      </c>
      <c r="S6" s="113">
        <f t="shared" si="3"/>
        <v>0.94151448362720402</v>
      </c>
      <c r="T6" s="113">
        <f t="shared" si="3"/>
        <v>0.94912559618441972</v>
      </c>
      <c r="U6" s="113">
        <f t="shared" si="3"/>
        <v>0</v>
      </c>
      <c r="V6" s="113">
        <f t="shared" si="3"/>
        <v>0</v>
      </c>
    </row>
    <row r="7" spans="1:22" ht="18" customHeight="1">
      <c r="A7" s="112" t="s">
        <v>55</v>
      </c>
      <c r="B7" s="113">
        <f t="shared" ref="B7:V7" si="4">+B27/B$40</f>
        <v>7.9283851806405736E-2</v>
      </c>
      <c r="C7" s="113">
        <f t="shared" si="4"/>
        <v>3.8398320012168134E-2</v>
      </c>
      <c r="D7" s="113">
        <f t="shared" si="4"/>
        <v>0</v>
      </c>
      <c r="E7" s="113">
        <f t="shared" si="4"/>
        <v>0.64650278918653836</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113">
        <f t="shared" si="4"/>
        <v>8.4534101825168104E-3</v>
      </c>
      <c r="S7" s="113">
        <f t="shared" si="4"/>
        <v>0</v>
      </c>
      <c r="T7" s="113">
        <f t="shared" si="4"/>
        <v>0</v>
      </c>
      <c r="U7" s="113">
        <f t="shared" si="4"/>
        <v>0.95402298850574707</v>
      </c>
      <c r="V7" s="113">
        <f t="shared" si="4"/>
        <v>0.88221153846153844</v>
      </c>
    </row>
    <row r="8" spans="1:22" ht="18" customHeight="1">
      <c r="A8" s="112" t="s">
        <v>56</v>
      </c>
      <c r="B8" s="113">
        <f t="shared" ref="B8:V8" si="5">+B28/B$40</f>
        <v>5.8716901153143604E-2</v>
      </c>
      <c r="C8" s="113">
        <f t="shared" si="5"/>
        <v>6.653222838806541E-3</v>
      </c>
      <c r="D8" s="113">
        <f t="shared" si="5"/>
        <v>2.9728725380899295E-4</v>
      </c>
      <c r="E8" s="113">
        <f t="shared" si="5"/>
        <v>9.2686814197265981E-3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113">
        <f t="shared" si="5"/>
        <v>0.90402085906408669</v>
      </c>
      <c r="S8" s="113">
        <f t="shared" si="5"/>
        <v>1.4798488664987406E-2</v>
      </c>
      <c r="T8" s="113">
        <f t="shared" si="5"/>
        <v>0</v>
      </c>
      <c r="U8" s="113">
        <f t="shared" si="5"/>
        <v>0</v>
      </c>
      <c r="V8" s="113">
        <f t="shared" si="5"/>
        <v>0</v>
      </c>
    </row>
    <row r="9" spans="1:22" ht="18" customHeight="1">
      <c r="A9" s="112" t="s">
        <v>58</v>
      </c>
      <c r="B9" s="113">
        <f t="shared" ref="B9:V9" si="6">+B29/B$40</f>
        <v>7.9967092878954777E-3</v>
      </c>
      <c r="C9" s="113">
        <f t="shared" si="6"/>
        <v>1.0676558183807546E-2</v>
      </c>
      <c r="D9" s="113">
        <f t="shared" si="6"/>
        <v>4.4593088071348942E-4</v>
      </c>
      <c r="E9" s="113">
        <f t="shared" si="6"/>
        <v>1.5938208790535157E-3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113">
        <f t="shared" si="6"/>
        <v>2.195690956497873E-4</v>
      </c>
      <c r="S9" s="113">
        <f t="shared" si="6"/>
        <v>3.1486146095717883E-4</v>
      </c>
      <c r="T9" s="113">
        <f t="shared" si="6"/>
        <v>0</v>
      </c>
      <c r="U9" s="113">
        <f t="shared" si="6"/>
        <v>0</v>
      </c>
      <c r="V9" s="113">
        <f t="shared" si="6"/>
        <v>0</v>
      </c>
    </row>
    <row r="10" spans="1:22" ht="18" customHeight="1">
      <c r="A10" s="112" t="s">
        <v>59</v>
      </c>
      <c r="B10" s="113">
        <f t="shared" ref="B10:V10" si="7">+B30/B$40</f>
        <v>3.1373314555823587E-5</v>
      </c>
      <c r="C10" s="113">
        <f t="shared" si="7"/>
        <v>3.2481073151105679E-3</v>
      </c>
      <c r="D10" s="113">
        <f t="shared" si="7"/>
        <v>0</v>
      </c>
      <c r="E10" s="113">
        <f t="shared" si="7"/>
        <v>3.8742107521608535E-3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113">
        <f t="shared" si="7"/>
        <v>1.0978454782489364E-3</v>
      </c>
      <c r="S10" s="113">
        <f t="shared" si="7"/>
        <v>4.7229219143576825E-4</v>
      </c>
      <c r="T10" s="113">
        <f t="shared" si="7"/>
        <v>0</v>
      </c>
      <c r="U10" s="113">
        <f t="shared" si="7"/>
        <v>0</v>
      </c>
      <c r="V10" s="113">
        <f t="shared" si="7"/>
        <v>0</v>
      </c>
    </row>
    <row r="11" spans="1:22" ht="18" customHeight="1">
      <c r="A11" s="112" t="s">
        <v>60</v>
      </c>
      <c r="B11" s="113">
        <f t="shared" ref="B11:V11" si="8">+B31/B$40</f>
        <v>1.4205139646109011E-4</v>
      </c>
      <c r="C11" s="113">
        <f t="shared" si="8"/>
        <v>6.0546290435746844E-3</v>
      </c>
      <c r="D11" s="113">
        <f t="shared" si="8"/>
        <v>7.5808249721293196E-3</v>
      </c>
      <c r="E11" s="113">
        <f t="shared" si="8"/>
        <v>1.3976583093238521E-3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113">
        <f t="shared" si="8"/>
        <v>8.3985179086043648E-3</v>
      </c>
      <c r="S11" s="113">
        <f t="shared" si="8"/>
        <v>3.6996221662468514E-3</v>
      </c>
      <c r="T11" s="113">
        <f t="shared" si="8"/>
        <v>6.8892421833598302E-3</v>
      </c>
      <c r="U11" s="113">
        <f t="shared" si="8"/>
        <v>0</v>
      </c>
      <c r="V11" s="113">
        <f t="shared" si="8"/>
        <v>0</v>
      </c>
    </row>
    <row r="12" spans="1:22" ht="18" customHeight="1">
      <c r="A12" s="112" t="s">
        <v>61</v>
      </c>
      <c r="B12" s="171">
        <f t="shared" ref="B12:V12" si="9">+B32/B$40</f>
        <v>3.2262225134905252E-3</v>
      </c>
      <c r="C12" s="113">
        <f t="shared" si="9"/>
        <v>7.6541501685384989E-4</v>
      </c>
      <c r="D12" s="113">
        <f t="shared" si="9"/>
        <v>0.12976588628762542</v>
      </c>
      <c r="E12" s="113">
        <f t="shared" si="9"/>
        <v>5.1492674554036661E-4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113">
        <f t="shared" si="9"/>
        <v>1.5918759434609578E-3</v>
      </c>
      <c r="S12" s="113">
        <f t="shared" si="9"/>
        <v>3.9357682619647357E-4</v>
      </c>
      <c r="T12" s="113">
        <f t="shared" si="9"/>
        <v>0</v>
      </c>
      <c r="U12" s="113">
        <f t="shared" si="9"/>
        <v>0</v>
      </c>
      <c r="V12" s="113">
        <f t="shared" si="9"/>
        <v>0</v>
      </c>
    </row>
    <row r="13" spans="1:22" ht="18" customHeight="1">
      <c r="A13" s="112" t="s">
        <v>63</v>
      </c>
      <c r="B13" s="113">
        <f t="shared" ref="B13:V13" si="10">+B33/B$40</f>
        <v>9.5862905587238727E-5</v>
      </c>
      <c r="C13" s="113">
        <f t="shared" si="10"/>
        <v>1.3443827860125312E-3</v>
      </c>
      <c r="D13" s="113">
        <f t="shared" si="10"/>
        <v>0.34827201783723521</v>
      </c>
      <c r="E13" s="113">
        <f t="shared" si="10"/>
        <v>5.3944706675657453E-4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113">
        <f t="shared" si="10"/>
        <v>0</v>
      </c>
      <c r="S13" s="113">
        <f t="shared" si="10"/>
        <v>0</v>
      </c>
      <c r="T13" s="113">
        <f t="shared" si="10"/>
        <v>0</v>
      </c>
      <c r="U13" s="113">
        <f t="shared" si="10"/>
        <v>0</v>
      </c>
      <c r="V13" s="113">
        <f t="shared" si="10"/>
        <v>0</v>
      </c>
    </row>
    <row r="14" spans="1:22" ht="18" customHeight="1">
      <c r="A14" s="112" t="s">
        <v>64</v>
      </c>
      <c r="B14" s="113">
        <f t="shared" ref="B14:V14" si="11">+B34/B$40</f>
        <v>2.8182822761688302E-2</v>
      </c>
      <c r="C14" s="113">
        <f t="shared" si="11"/>
        <v>0.12002296245050562</v>
      </c>
      <c r="D14" s="113">
        <f t="shared" si="11"/>
        <v>0.4740988480118915</v>
      </c>
      <c r="E14" s="113">
        <f t="shared" si="11"/>
        <v>1.8733525409182859E-2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113">
        <f t="shared" si="11"/>
        <v>7.1085494716618637E-3</v>
      </c>
      <c r="S14" s="113">
        <f t="shared" si="11"/>
        <v>3.1486146095717883E-4</v>
      </c>
      <c r="T14" s="113">
        <f t="shared" si="11"/>
        <v>0</v>
      </c>
      <c r="U14" s="113">
        <f t="shared" si="11"/>
        <v>4.5977011494252873E-2</v>
      </c>
      <c r="V14" s="113">
        <f t="shared" si="11"/>
        <v>7.2115384615384619E-3</v>
      </c>
    </row>
    <row r="15" spans="1:22" ht="18" customHeight="1">
      <c r="A15" s="112" t="s">
        <v>65</v>
      </c>
      <c r="B15" s="113">
        <f t="shared" ref="B15:V15" si="12">+B35/B$40</f>
        <v>8.5910593025363587E-3</v>
      </c>
      <c r="C15" s="113">
        <f t="shared" si="12"/>
        <v>6.1821982130503259E-4</v>
      </c>
      <c r="D15" s="113">
        <f t="shared" si="12"/>
        <v>1.4864362690449647E-3</v>
      </c>
      <c r="E15" s="113">
        <f t="shared" si="12"/>
        <v>3.2317783362962052E-2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113">
        <f t="shared" si="12"/>
        <v>0</v>
      </c>
      <c r="S15" s="113">
        <f t="shared" si="12"/>
        <v>7.0843828715365235E-4</v>
      </c>
      <c r="T15" s="113">
        <f t="shared" si="12"/>
        <v>0</v>
      </c>
      <c r="U15" s="113">
        <f t="shared" si="12"/>
        <v>0</v>
      </c>
      <c r="V15" s="113">
        <f t="shared" si="12"/>
        <v>0</v>
      </c>
    </row>
    <row r="16" spans="1:22" ht="18" customHeight="1">
      <c r="A16" s="112" t="s">
        <v>66</v>
      </c>
      <c r="B16" s="113">
        <f t="shared" ref="B16:V16" si="13">+B36/B$40</f>
        <v>3.6515052219139116E-4</v>
      </c>
      <c r="C16" s="113">
        <f t="shared" si="13"/>
        <v>1.5681194832467334E-2</v>
      </c>
      <c r="D16" s="113">
        <f t="shared" si="13"/>
        <v>4.4593088071348942E-4</v>
      </c>
      <c r="E16" s="113">
        <f t="shared" si="13"/>
        <v>3.8006497885122296E-3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113">
        <f t="shared" si="13"/>
        <v>3.2935364347468093E-4</v>
      </c>
      <c r="S16" s="113">
        <f t="shared" si="13"/>
        <v>0</v>
      </c>
      <c r="T16" s="113">
        <f t="shared" si="13"/>
        <v>0</v>
      </c>
      <c r="U16" s="113">
        <f t="shared" si="13"/>
        <v>0</v>
      </c>
      <c r="V16" s="113">
        <f t="shared" si="13"/>
        <v>0</v>
      </c>
    </row>
    <row r="17" spans="1:22" ht="18" customHeight="1">
      <c r="A17" s="112" t="s">
        <v>67</v>
      </c>
      <c r="B17" s="113">
        <f t="shared" ref="B17:V17" si="14">+B37/B$40</f>
        <v>8.5126260161467997E-3</v>
      </c>
      <c r="C17" s="113">
        <f t="shared" si="14"/>
        <v>7.3990118295872154E-3</v>
      </c>
      <c r="D17" s="113">
        <f t="shared" si="14"/>
        <v>9.2159048680787812E-3</v>
      </c>
      <c r="E17" s="113">
        <f t="shared" si="14"/>
        <v>0.21392754245080611</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113">
        <f t="shared" si="14"/>
        <v>5.489227391244682E-4</v>
      </c>
      <c r="S17" s="113">
        <f t="shared" si="14"/>
        <v>0</v>
      </c>
      <c r="T17" s="113">
        <f t="shared" si="14"/>
        <v>0</v>
      </c>
      <c r="U17" s="113">
        <f t="shared" si="14"/>
        <v>0</v>
      </c>
      <c r="V17" s="113">
        <f t="shared" si="14"/>
        <v>0</v>
      </c>
    </row>
    <row r="18" spans="1:22" ht="18" customHeight="1">
      <c r="A18" s="112" t="s">
        <v>62</v>
      </c>
      <c r="B18" s="113">
        <f t="shared" ref="B18:V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3">
        <f t="shared" si="15"/>
        <v>0</v>
      </c>
      <c r="V18" s="113">
        <f t="shared" si="15"/>
        <v>0</v>
      </c>
    </row>
    <row r="19" spans="1:22" ht="18" customHeight="1">
      <c r="A19" s="112" t="s">
        <v>57</v>
      </c>
      <c r="B19" s="113">
        <f t="shared" ref="B19:V19" si="16">+B39/B$40</f>
        <v>1.7290182244098331E-3</v>
      </c>
      <c r="C19" s="113">
        <f t="shared" si="16"/>
        <v>6.2965198149265739E-2</v>
      </c>
      <c r="D19" s="113">
        <f t="shared" si="16"/>
        <v>1.4864362690449647E-4</v>
      </c>
      <c r="E19" s="113">
        <f t="shared" si="16"/>
        <v>2.6236743701342487E-3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113">
        <f t="shared" si="16"/>
        <v>5.2147660216824484E-3</v>
      </c>
      <c r="S19" s="113">
        <f t="shared" si="16"/>
        <v>4.0931989924433247E-3</v>
      </c>
      <c r="T19" s="113">
        <f t="shared" si="16"/>
        <v>0</v>
      </c>
      <c r="U19" s="113">
        <f t="shared" si="16"/>
        <v>0</v>
      </c>
      <c r="V19" s="113">
        <f t="shared" si="16"/>
        <v>0</v>
      </c>
    </row>
    <row r="20" spans="1:22" ht="18" customHeight="1">
      <c r="A20" s="114" t="s">
        <v>17</v>
      </c>
      <c r="B20" s="114">
        <f t="shared" ref="B20:V20" si="17">SUM(B3:B19)</f>
        <v>1</v>
      </c>
      <c r="C20" s="115">
        <f t="shared" si="17"/>
        <v>1.0000000000000002</v>
      </c>
      <c r="D20" s="115">
        <f t="shared" si="17"/>
        <v>1</v>
      </c>
      <c r="E20" s="115">
        <f t="shared" si="17"/>
        <v>0.99999999999999989</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 t="shared" si="17"/>
        <v>1</v>
      </c>
      <c r="R20" s="114">
        <f t="shared" si="17"/>
        <v>1</v>
      </c>
      <c r="S20" s="114">
        <f t="shared" si="17"/>
        <v>0.99999999999999989</v>
      </c>
      <c r="T20" s="114">
        <f t="shared" si="17"/>
        <v>1</v>
      </c>
      <c r="U20" s="114">
        <f t="shared" si="17"/>
        <v>1</v>
      </c>
      <c r="V20" s="114">
        <f t="shared" si="17"/>
        <v>0.99999999999999989</v>
      </c>
    </row>
    <row r="21" spans="1:22" ht="18" customHeight="1">
      <c r="A21" s="13"/>
      <c r="R21" s="28"/>
    </row>
    <row r="22" spans="1:22" s="31" customFormat="1" ht="32.25" customHeight="1">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18" customHeight="1">
      <c r="A23" s="112" t="s">
        <v>51</v>
      </c>
      <c r="B23" s="116">
        <v>18679</v>
      </c>
      <c r="C23" s="116">
        <v>857</v>
      </c>
      <c r="D23" s="117"/>
      <c r="E23" s="116">
        <v>246</v>
      </c>
      <c r="F23" s="116">
        <v>25</v>
      </c>
      <c r="G23" s="116">
        <v>51</v>
      </c>
      <c r="H23" s="117"/>
      <c r="I23" s="116">
        <v>10866</v>
      </c>
      <c r="J23" s="116">
        <v>3</v>
      </c>
      <c r="K23" s="117"/>
      <c r="L23" s="116">
        <v>7</v>
      </c>
      <c r="M23" s="117"/>
      <c r="N23" s="117"/>
      <c r="O23" s="116">
        <v>6</v>
      </c>
      <c r="P23" s="117"/>
      <c r="Q23" s="117"/>
      <c r="R23" s="116">
        <v>50</v>
      </c>
      <c r="S23" s="116">
        <v>4</v>
      </c>
      <c r="T23" s="117"/>
      <c r="U23" s="117"/>
      <c r="V23" s="117"/>
    </row>
    <row r="24" spans="1:22" ht="18" customHeight="1">
      <c r="A24" s="112" t="s">
        <v>52</v>
      </c>
      <c r="B24" s="116">
        <f>800858-360</f>
        <v>800498</v>
      </c>
      <c r="C24" s="116">
        <v>66310</v>
      </c>
      <c r="D24" s="116">
        <v>178</v>
      </c>
      <c r="E24" s="116">
        <v>2088</v>
      </c>
      <c r="F24" s="116">
        <v>9</v>
      </c>
      <c r="G24" s="116">
        <v>727</v>
      </c>
      <c r="H24" s="116">
        <v>71</v>
      </c>
      <c r="I24" s="116">
        <v>213</v>
      </c>
      <c r="J24" s="116">
        <v>42</v>
      </c>
      <c r="K24" s="116">
        <v>11</v>
      </c>
      <c r="L24" s="116">
        <v>305</v>
      </c>
      <c r="M24" s="116">
        <v>14</v>
      </c>
      <c r="N24" s="117"/>
      <c r="O24" s="116">
        <v>86</v>
      </c>
      <c r="P24" s="116">
        <v>125</v>
      </c>
      <c r="Q24" s="116">
        <v>4</v>
      </c>
      <c r="R24" s="116">
        <v>1031</v>
      </c>
      <c r="S24" s="116">
        <v>416</v>
      </c>
      <c r="T24" s="116">
        <v>83</v>
      </c>
      <c r="U24" s="117"/>
      <c r="V24" s="116">
        <v>46</v>
      </c>
    </row>
    <row r="25" spans="1:22" ht="18" customHeight="1">
      <c r="A25" s="112" t="s">
        <v>53</v>
      </c>
      <c r="B25" s="116">
        <v>73971</v>
      </c>
      <c r="C25" s="116">
        <v>2058</v>
      </c>
      <c r="D25" s="117"/>
      <c r="E25" s="116">
        <v>193</v>
      </c>
      <c r="F25" s="116">
        <v>10567</v>
      </c>
      <c r="G25" s="116">
        <v>92</v>
      </c>
      <c r="H25" s="117"/>
      <c r="I25" s="116">
        <v>100</v>
      </c>
      <c r="J25" s="117"/>
      <c r="K25" s="117"/>
      <c r="L25" s="116">
        <v>112</v>
      </c>
      <c r="M25" s="116">
        <v>2</v>
      </c>
      <c r="N25" s="117"/>
      <c r="O25" s="116">
        <v>4</v>
      </c>
      <c r="P25" s="117"/>
      <c r="Q25" s="116">
        <v>4</v>
      </c>
      <c r="R25" s="116">
        <v>13</v>
      </c>
      <c r="S25" s="116">
        <v>8</v>
      </c>
      <c r="T25" s="117"/>
      <c r="U25" s="117"/>
      <c r="V25" s="117"/>
    </row>
    <row r="26" spans="1:22" ht="18" customHeight="1">
      <c r="A26" s="112" t="s">
        <v>54</v>
      </c>
      <c r="B26" s="116">
        <v>12598</v>
      </c>
      <c r="C26" s="116">
        <v>4776</v>
      </c>
      <c r="D26" s="116">
        <v>12</v>
      </c>
      <c r="E26" s="116">
        <v>120</v>
      </c>
      <c r="F26" s="116">
        <v>9</v>
      </c>
      <c r="G26" s="116">
        <v>72</v>
      </c>
      <c r="H26" s="116">
        <v>3</v>
      </c>
      <c r="I26" s="116">
        <v>3</v>
      </c>
      <c r="J26" s="116">
        <v>9</v>
      </c>
      <c r="K26" s="117"/>
      <c r="L26" s="116">
        <v>9</v>
      </c>
      <c r="M26" s="117"/>
      <c r="N26" s="117"/>
      <c r="O26" s="116">
        <v>5</v>
      </c>
      <c r="P26" s="116">
        <v>21</v>
      </c>
      <c r="Q26" s="117"/>
      <c r="R26" s="116">
        <v>54</v>
      </c>
      <c r="S26" s="116">
        <v>11961</v>
      </c>
      <c r="T26" s="116">
        <v>1791</v>
      </c>
      <c r="U26" s="117"/>
      <c r="V26" s="117"/>
    </row>
    <row r="27" spans="1:22" ht="18" customHeight="1">
      <c r="A27" s="112" t="s">
        <v>55</v>
      </c>
      <c r="B27" s="116">
        <v>90976</v>
      </c>
      <c r="C27" s="116">
        <v>3913</v>
      </c>
      <c r="D27" s="117"/>
      <c r="E27" s="116">
        <v>26366</v>
      </c>
      <c r="F27" s="116">
        <v>36</v>
      </c>
      <c r="G27" s="116">
        <v>16</v>
      </c>
      <c r="H27" s="116">
        <v>1</v>
      </c>
      <c r="I27" s="116">
        <v>44</v>
      </c>
      <c r="J27" s="117"/>
      <c r="K27" s="116">
        <v>8</v>
      </c>
      <c r="L27" s="117"/>
      <c r="M27" s="117"/>
      <c r="N27" s="117"/>
      <c r="O27" s="117"/>
      <c r="P27" s="117"/>
      <c r="Q27" s="117"/>
      <c r="R27" s="116">
        <v>154</v>
      </c>
      <c r="S27" s="117"/>
      <c r="T27" s="117"/>
      <c r="U27" s="116">
        <v>83</v>
      </c>
      <c r="V27" s="116">
        <v>367</v>
      </c>
    </row>
    <row r="28" spans="1:22" ht="18" customHeight="1">
      <c r="A28" s="112" t="s">
        <v>56</v>
      </c>
      <c r="B28" s="116">
        <v>67376</v>
      </c>
      <c r="C28" s="116">
        <v>678</v>
      </c>
      <c r="D28" s="116">
        <v>2</v>
      </c>
      <c r="E28" s="116">
        <v>378</v>
      </c>
      <c r="F28" s="116">
        <v>24</v>
      </c>
      <c r="G28" s="116">
        <v>519</v>
      </c>
      <c r="H28" s="117"/>
      <c r="I28" s="116">
        <v>180</v>
      </c>
      <c r="J28" s="116">
        <v>12</v>
      </c>
      <c r="K28" s="116">
        <v>1</v>
      </c>
      <c r="L28" s="117"/>
      <c r="M28" s="117"/>
      <c r="N28" s="117"/>
      <c r="O28" s="116">
        <v>7</v>
      </c>
      <c r="P28" s="116">
        <v>1</v>
      </c>
      <c r="Q28" s="117"/>
      <c r="R28" s="116">
        <v>16469</v>
      </c>
      <c r="S28" s="116">
        <v>188</v>
      </c>
      <c r="T28" s="117"/>
      <c r="U28" s="117"/>
      <c r="V28" s="117"/>
    </row>
    <row r="29" spans="1:22" ht="18" customHeight="1">
      <c r="A29" s="112" t="s">
        <v>58</v>
      </c>
      <c r="B29" s="116">
        <v>9176</v>
      </c>
      <c r="C29" s="116">
        <v>1088</v>
      </c>
      <c r="D29" s="116">
        <v>3</v>
      </c>
      <c r="E29" s="116">
        <v>65</v>
      </c>
      <c r="F29" s="117"/>
      <c r="G29" s="116">
        <v>26</v>
      </c>
      <c r="H29" s="116">
        <v>1482</v>
      </c>
      <c r="I29" s="117"/>
      <c r="J29" s="116">
        <v>3</v>
      </c>
      <c r="K29" s="117"/>
      <c r="L29" s="116">
        <v>146</v>
      </c>
      <c r="M29" s="117"/>
      <c r="N29" s="117"/>
      <c r="O29" s="117"/>
      <c r="P29" s="117"/>
      <c r="Q29" s="117"/>
      <c r="R29" s="116">
        <v>4</v>
      </c>
      <c r="S29" s="116">
        <v>4</v>
      </c>
      <c r="T29" s="117"/>
      <c r="U29" s="117"/>
      <c r="V29" s="117"/>
    </row>
    <row r="30" spans="1:22" ht="18" customHeight="1">
      <c r="A30" s="112" t="s">
        <v>59</v>
      </c>
      <c r="B30" s="116">
        <v>36</v>
      </c>
      <c r="C30" s="116">
        <v>331</v>
      </c>
      <c r="D30" s="117"/>
      <c r="E30" s="116">
        <v>158</v>
      </c>
      <c r="F30" s="116">
        <v>2</v>
      </c>
      <c r="G30" s="116">
        <v>62</v>
      </c>
      <c r="H30" s="117"/>
      <c r="I30" s="117"/>
      <c r="J30" s="117"/>
      <c r="K30" s="117"/>
      <c r="L30" s="116">
        <v>22846</v>
      </c>
      <c r="M30" s="117"/>
      <c r="N30" s="117"/>
      <c r="O30" s="116">
        <v>19</v>
      </c>
      <c r="P30" s="116">
        <v>3</v>
      </c>
      <c r="Q30" s="116">
        <v>1389</v>
      </c>
      <c r="R30" s="116">
        <v>20</v>
      </c>
      <c r="S30" s="116">
        <v>6</v>
      </c>
      <c r="T30" s="117"/>
      <c r="U30" s="117"/>
      <c r="V30" s="117"/>
    </row>
    <row r="31" spans="1:22" ht="18" customHeight="1">
      <c r="A31" s="112" t="s">
        <v>60</v>
      </c>
      <c r="B31" s="116">
        <v>163</v>
      </c>
      <c r="C31" s="116">
        <v>617</v>
      </c>
      <c r="D31" s="116">
        <v>51</v>
      </c>
      <c r="E31" s="116">
        <v>57</v>
      </c>
      <c r="F31" s="116">
        <v>105</v>
      </c>
      <c r="G31" s="116">
        <v>9867</v>
      </c>
      <c r="H31" s="116">
        <v>16</v>
      </c>
      <c r="I31" s="116">
        <v>222</v>
      </c>
      <c r="J31" s="116">
        <v>32</v>
      </c>
      <c r="K31" s="117"/>
      <c r="L31" s="116">
        <v>39</v>
      </c>
      <c r="M31" s="117"/>
      <c r="N31" s="117"/>
      <c r="O31" s="116">
        <v>49</v>
      </c>
      <c r="P31" s="116">
        <v>82</v>
      </c>
      <c r="Q31" s="116">
        <v>15</v>
      </c>
      <c r="R31" s="116">
        <v>153</v>
      </c>
      <c r="S31" s="116">
        <v>47</v>
      </c>
      <c r="T31" s="116">
        <v>13</v>
      </c>
      <c r="U31" s="117"/>
      <c r="V31" s="117"/>
    </row>
    <row r="32" spans="1:22" ht="18" customHeight="1">
      <c r="A32" s="112" t="s">
        <v>61</v>
      </c>
      <c r="B32" s="116">
        <v>3702</v>
      </c>
      <c r="C32" s="116">
        <v>78</v>
      </c>
      <c r="D32" s="116">
        <v>873</v>
      </c>
      <c r="E32" s="116">
        <v>21</v>
      </c>
      <c r="F32" s="117"/>
      <c r="G32" s="116">
        <v>98</v>
      </c>
      <c r="H32" s="117"/>
      <c r="I32" s="116">
        <v>1</v>
      </c>
      <c r="J32" s="116">
        <v>10</v>
      </c>
      <c r="K32" s="117"/>
      <c r="L32" s="117"/>
      <c r="M32" s="117"/>
      <c r="N32" s="117"/>
      <c r="O32" s="116">
        <v>33</v>
      </c>
      <c r="P32" s="116">
        <v>9618</v>
      </c>
      <c r="Q32" s="117"/>
      <c r="R32" s="116">
        <v>29</v>
      </c>
      <c r="S32" s="116">
        <v>5</v>
      </c>
      <c r="T32" s="117"/>
      <c r="U32" s="117"/>
      <c r="V32" s="117"/>
    </row>
    <row r="33" spans="1:22" ht="18" customHeight="1">
      <c r="A33" s="112" t="s">
        <v>63</v>
      </c>
      <c r="B33" s="116">
        <v>110</v>
      </c>
      <c r="C33" s="116">
        <v>137</v>
      </c>
      <c r="D33" s="116">
        <v>2343</v>
      </c>
      <c r="E33" s="116">
        <v>22</v>
      </c>
      <c r="F33" s="117"/>
      <c r="G33" s="117"/>
      <c r="H33" s="117"/>
      <c r="I33" s="117"/>
      <c r="J33" s="117"/>
      <c r="K33" s="117"/>
      <c r="L33" s="117"/>
      <c r="M33" s="116">
        <v>8</v>
      </c>
      <c r="N33" s="116">
        <v>13858</v>
      </c>
      <c r="O33" s="116">
        <v>13</v>
      </c>
      <c r="P33" s="117"/>
      <c r="Q33" s="117"/>
      <c r="R33" s="117"/>
      <c r="S33" s="117"/>
      <c r="T33" s="117"/>
      <c r="U33" s="117"/>
      <c r="V33" s="117"/>
    </row>
    <row r="34" spans="1:22" ht="18" customHeight="1">
      <c r="A34" s="112" t="s">
        <v>64</v>
      </c>
      <c r="B34" s="116">
        <v>32339</v>
      </c>
      <c r="C34" s="116">
        <v>12231</v>
      </c>
      <c r="D34" s="116">
        <v>3189.5</v>
      </c>
      <c r="E34" s="116">
        <v>764</v>
      </c>
      <c r="F34" s="117"/>
      <c r="G34" s="116">
        <v>129</v>
      </c>
      <c r="H34" s="116">
        <v>5</v>
      </c>
      <c r="I34" s="116">
        <v>5</v>
      </c>
      <c r="J34" s="116">
        <v>185</v>
      </c>
      <c r="K34" s="116">
        <v>2121</v>
      </c>
      <c r="L34" s="116">
        <v>16</v>
      </c>
      <c r="M34" s="116">
        <v>42504.5</v>
      </c>
      <c r="N34" s="116">
        <v>2014</v>
      </c>
      <c r="O34" s="116">
        <v>915.5</v>
      </c>
      <c r="P34" s="116">
        <v>174</v>
      </c>
      <c r="Q34" s="117"/>
      <c r="R34" s="116">
        <v>129.5</v>
      </c>
      <c r="S34" s="116">
        <v>4</v>
      </c>
      <c r="T34" s="117"/>
      <c r="U34" s="116">
        <v>4</v>
      </c>
      <c r="V34" s="116">
        <v>3</v>
      </c>
    </row>
    <row r="35" spans="1:22" ht="18" customHeight="1">
      <c r="A35" s="112" t="s">
        <v>65</v>
      </c>
      <c r="B35" s="116">
        <v>9858</v>
      </c>
      <c r="C35" s="116">
        <v>63</v>
      </c>
      <c r="D35" s="116">
        <v>10</v>
      </c>
      <c r="E35" s="116">
        <v>1318</v>
      </c>
      <c r="F35" s="117"/>
      <c r="G35" s="116">
        <v>3</v>
      </c>
      <c r="H35" s="117"/>
      <c r="I35" s="117"/>
      <c r="J35" s="116">
        <v>2402</v>
      </c>
      <c r="K35" s="116">
        <v>22</v>
      </c>
      <c r="L35" s="117"/>
      <c r="M35" s="117"/>
      <c r="N35" s="117"/>
      <c r="O35" s="116">
        <v>65</v>
      </c>
      <c r="P35" s="116">
        <v>3</v>
      </c>
      <c r="Q35" s="117"/>
      <c r="R35" s="117"/>
      <c r="S35" s="116">
        <v>9</v>
      </c>
      <c r="T35" s="117"/>
      <c r="U35" s="117"/>
      <c r="V35" s="117"/>
    </row>
    <row r="36" spans="1:22" ht="18" customHeight="1">
      <c r="A36" s="112" t="s">
        <v>66</v>
      </c>
      <c r="B36" s="116">
        <f>59+360</f>
        <v>419</v>
      </c>
      <c r="C36" s="116">
        <v>1598</v>
      </c>
      <c r="D36" s="116">
        <v>3</v>
      </c>
      <c r="E36" s="116">
        <v>155</v>
      </c>
      <c r="F36" s="117"/>
      <c r="G36" s="116">
        <v>9</v>
      </c>
      <c r="H36" s="117"/>
      <c r="I36" s="117"/>
      <c r="J36" s="116">
        <v>70</v>
      </c>
      <c r="K36" s="116">
        <v>15773</v>
      </c>
      <c r="L36" s="117"/>
      <c r="M36" s="117"/>
      <c r="N36" s="117"/>
      <c r="O36" s="116">
        <v>18</v>
      </c>
      <c r="P36" s="117"/>
      <c r="Q36" s="117"/>
      <c r="R36" s="116">
        <v>6</v>
      </c>
      <c r="S36" s="117"/>
      <c r="T36" s="117"/>
      <c r="U36" s="117"/>
      <c r="V36" s="117"/>
    </row>
    <row r="37" spans="1:22" ht="18" customHeight="1">
      <c r="A37" s="112" t="s">
        <v>67</v>
      </c>
      <c r="B37" s="116">
        <v>9768</v>
      </c>
      <c r="C37" s="116">
        <v>754</v>
      </c>
      <c r="D37" s="116">
        <v>62</v>
      </c>
      <c r="E37" s="116">
        <v>8724.5</v>
      </c>
      <c r="F37" s="116">
        <v>74</v>
      </c>
      <c r="G37" s="116">
        <v>193</v>
      </c>
      <c r="H37" s="116">
        <v>3</v>
      </c>
      <c r="I37" s="116">
        <v>21</v>
      </c>
      <c r="J37" s="116">
        <v>437</v>
      </c>
      <c r="K37" s="116">
        <v>78</v>
      </c>
      <c r="L37" s="116">
        <v>30</v>
      </c>
      <c r="M37" s="116">
        <v>93</v>
      </c>
      <c r="N37" s="116">
        <v>4</v>
      </c>
      <c r="O37" s="116">
        <v>5740</v>
      </c>
      <c r="P37" s="116">
        <v>120</v>
      </c>
      <c r="Q37" s="116">
        <v>2</v>
      </c>
      <c r="R37" s="116">
        <v>10</v>
      </c>
      <c r="S37" s="117"/>
      <c r="T37" s="117"/>
      <c r="U37" s="117"/>
      <c r="V37" s="117"/>
    </row>
    <row r="38" spans="1:22" ht="18" customHeight="1">
      <c r="A38" s="112" t="s">
        <v>62</v>
      </c>
      <c r="B38" s="116">
        <v>15819</v>
      </c>
      <c r="C38" s="117"/>
      <c r="D38" s="117"/>
      <c r="E38" s="117"/>
      <c r="F38" s="117"/>
      <c r="G38" s="117"/>
      <c r="H38" s="117"/>
      <c r="I38" s="117"/>
      <c r="J38" s="117"/>
      <c r="K38" s="117"/>
      <c r="L38" s="117"/>
      <c r="M38" s="117"/>
      <c r="N38" s="117"/>
      <c r="O38" s="117"/>
      <c r="P38" s="117"/>
      <c r="Q38" s="117"/>
      <c r="R38" s="117"/>
      <c r="S38" s="117"/>
      <c r="T38" s="117"/>
      <c r="U38" s="117"/>
      <c r="V38" s="117"/>
    </row>
    <row r="39" spans="1:22" ht="18" customHeight="1">
      <c r="A39" s="112" t="s">
        <v>57</v>
      </c>
      <c r="B39" s="116">
        <v>1984</v>
      </c>
      <c r="C39" s="116">
        <v>6416.5</v>
      </c>
      <c r="D39" s="116">
        <v>1</v>
      </c>
      <c r="E39" s="116">
        <v>107</v>
      </c>
      <c r="F39" s="117"/>
      <c r="G39" s="116">
        <v>15</v>
      </c>
      <c r="H39" s="116">
        <v>16</v>
      </c>
      <c r="I39" s="117"/>
      <c r="J39" s="117"/>
      <c r="K39" s="117"/>
      <c r="L39" s="117"/>
      <c r="M39" s="117"/>
      <c r="N39" s="117"/>
      <c r="O39" s="117"/>
      <c r="P39" s="116">
        <v>12</v>
      </c>
      <c r="Q39" s="117"/>
      <c r="R39" s="116">
        <v>95</v>
      </c>
      <c r="S39" s="116">
        <v>52</v>
      </c>
      <c r="T39" s="117"/>
      <c r="U39" s="117"/>
      <c r="V39" s="117"/>
    </row>
    <row r="40" spans="1:22" ht="18" customHeight="1">
      <c r="A40" s="118" t="s">
        <v>17</v>
      </c>
      <c r="B40" s="119">
        <f>SUM(B23:B39)</f>
        <v>1147472</v>
      </c>
      <c r="C40" s="119">
        <f t="shared" ref="C40:V40" si="18">SUM(C23:C39)</f>
        <v>101905.5</v>
      </c>
      <c r="D40" s="119">
        <f t="shared" si="18"/>
        <v>6727.5</v>
      </c>
      <c r="E40" s="119">
        <f t="shared" si="18"/>
        <v>40782.5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119">
        <f t="shared" si="18"/>
        <v>18217.5</v>
      </c>
      <c r="S40" s="119">
        <f t="shared" si="18"/>
        <v>12704</v>
      </c>
      <c r="T40" s="119">
        <f t="shared" si="18"/>
        <v>1887</v>
      </c>
      <c r="U40" s="119">
        <f t="shared" si="18"/>
        <v>87</v>
      </c>
      <c r="V40" s="119">
        <f t="shared" si="18"/>
        <v>416</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4"/>
  <sheetViews>
    <sheetView topLeftCell="E14" workbookViewId="0">
      <selection activeCell="E14" sqref="A1:XFD1048576"/>
    </sheetView>
  </sheetViews>
  <sheetFormatPr defaultColWidth="8.85546875" defaultRowHeight="15"/>
  <cols>
    <col min="1" max="1" width="2.28515625" style="32"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8.95" customHeight="1">
      <c r="B1" s="628" t="s">
        <v>441</v>
      </c>
      <c r="C1" s="628"/>
      <c r="D1" s="628"/>
      <c r="E1" s="628"/>
      <c r="F1" s="628"/>
      <c r="G1" s="628"/>
      <c r="H1" s="628"/>
      <c r="I1" s="628"/>
      <c r="J1" s="628"/>
      <c r="K1" s="628"/>
      <c r="L1" s="628"/>
      <c r="M1" s="628"/>
      <c r="N1" s="628"/>
      <c r="O1" s="628"/>
      <c r="P1" s="628"/>
      <c r="Q1" s="628"/>
      <c r="R1" s="628"/>
      <c r="S1" s="628"/>
      <c r="T1" s="628"/>
    </row>
    <row r="2" spans="1:24" ht="45">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15.75">
      <c r="A4" s="400"/>
      <c r="B4" s="631" t="s">
        <v>111</v>
      </c>
      <c r="C4" s="631"/>
      <c r="D4" s="631"/>
      <c r="E4" s="631"/>
      <c r="F4" s="631"/>
      <c r="G4" s="631"/>
      <c r="H4" s="631"/>
      <c r="I4" s="631"/>
      <c r="J4" s="631"/>
      <c r="K4" s="631"/>
      <c r="L4" s="631"/>
      <c r="M4" s="631"/>
      <c r="N4" s="631"/>
      <c r="O4" s="631"/>
      <c r="P4" s="631"/>
      <c r="Q4" s="631"/>
      <c r="R4" s="631"/>
      <c r="S4" s="631"/>
      <c r="T4" s="631"/>
    </row>
    <row r="5" spans="1:24" ht="18" customHeight="1">
      <c r="A5" s="411" t="s">
        <v>128</v>
      </c>
      <c r="B5" s="412" t="s">
        <v>21</v>
      </c>
      <c r="C5" s="413">
        <f t="shared" ref="C5:S5" si="0">+C29+C53</f>
        <v>5424598.6875892878</v>
      </c>
      <c r="D5" s="413">
        <f t="shared" si="0"/>
        <v>176935670.12051225</v>
      </c>
      <c r="E5" s="413">
        <f t="shared" si="0"/>
        <v>22449388.915951408</v>
      </c>
      <c r="F5" s="413">
        <f t="shared" si="0"/>
        <v>4194740.9204916274</v>
      </c>
      <c r="G5" s="413">
        <f t="shared" si="0"/>
        <v>27923815.34141656</v>
      </c>
      <c r="H5" s="413">
        <f t="shared" si="0"/>
        <v>13057992.095456025</v>
      </c>
      <c r="I5" s="413">
        <f t="shared" si="0"/>
        <v>3861419.9017306678</v>
      </c>
      <c r="J5" s="413">
        <f t="shared" si="0"/>
        <v>96372.849175939584</v>
      </c>
      <c r="K5" s="413">
        <f t="shared" si="0"/>
        <v>28393.134034837723</v>
      </c>
      <c r="L5" s="413">
        <f t="shared" si="0"/>
        <v>1021422.7120428795</v>
      </c>
      <c r="M5" s="413">
        <f t="shared" si="0"/>
        <v>9691.8870984301848</v>
      </c>
      <c r="N5" s="413">
        <f t="shared" si="0"/>
        <v>7834735.7018375136</v>
      </c>
      <c r="O5" s="413">
        <f t="shared" si="0"/>
        <v>3172591.0997750494</v>
      </c>
      <c r="P5" s="413">
        <f t="shared" si="0"/>
        <v>55830.729905041488</v>
      </c>
      <c r="Q5" s="413">
        <f t="shared" si="0"/>
        <v>4910941.9484663717</v>
      </c>
      <c r="R5" s="413">
        <f t="shared" si="0"/>
        <v>2403819.4344392009</v>
      </c>
      <c r="S5" s="413">
        <f t="shared" si="0"/>
        <v>39450.075654173568</v>
      </c>
      <c r="T5" s="413">
        <f t="shared" ref="T5:T26" si="1">SUM(C5:S5)</f>
        <v>273420875.55557722</v>
      </c>
      <c r="X5" s="495"/>
    </row>
    <row r="6" spans="1:24" ht="18" customHeight="1">
      <c r="A6" s="401" t="s">
        <v>129</v>
      </c>
      <c r="B6" s="408" t="s">
        <v>35</v>
      </c>
      <c r="C6" s="410">
        <f t="shared" ref="C6:S6" si="2">+C30+C54</f>
        <v>86736.811135256052</v>
      </c>
      <c r="D6" s="410">
        <f t="shared" si="2"/>
        <v>8401517.4905715976</v>
      </c>
      <c r="E6" s="410">
        <f t="shared" si="2"/>
        <v>304595.62428763625</v>
      </c>
      <c r="F6" s="410">
        <f t="shared" si="2"/>
        <v>35502.579746375508</v>
      </c>
      <c r="G6" s="410">
        <f t="shared" si="2"/>
        <v>525103.12776923378</v>
      </c>
      <c r="H6" s="410">
        <f t="shared" si="2"/>
        <v>13386.410552839572</v>
      </c>
      <c r="I6" s="410">
        <f t="shared" si="2"/>
        <v>207782.62902456199</v>
      </c>
      <c r="J6" s="410">
        <f t="shared" si="2"/>
        <v>8797.272581236306</v>
      </c>
      <c r="K6" s="410">
        <f t="shared" si="2"/>
        <v>72006.957831091102</v>
      </c>
      <c r="L6" s="410">
        <f t="shared" si="2"/>
        <v>4003.3370379726002</v>
      </c>
      <c r="M6" s="410">
        <f t="shared" si="2"/>
        <v>26.772821105679142</v>
      </c>
      <c r="N6" s="410">
        <f t="shared" si="2"/>
        <v>1787453.4362264881</v>
      </c>
      <c r="O6" s="410">
        <f t="shared" si="2"/>
        <v>2759.2011392320887</v>
      </c>
      <c r="P6" s="410">
        <f t="shared" si="2"/>
        <v>284279.63636956934</v>
      </c>
      <c r="Q6" s="410">
        <f t="shared" si="2"/>
        <v>26854.740134343316</v>
      </c>
      <c r="R6" s="410">
        <f t="shared" si="2"/>
        <v>133.8641055283957</v>
      </c>
      <c r="S6" s="410">
        <f t="shared" si="2"/>
        <v>976229.7496927816</v>
      </c>
      <c r="T6" s="410">
        <f t="shared" si="1"/>
        <v>12737169.641026847</v>
      </c>
      <c r="W6" s="497"/>
      <c r="X6" s="495"/>
    </row>
    <row r="7" spans="1:24" ht="18" customHeight="1">
      <c r="A7" s="401" t="s">
        <v>140</v>
      </c>
      <c r="B7" s="414" t="s">
        <v>36</v>
      </c>
      <c r="C7" s="415">
        <f t="shared" ref="C7:S7" si="3">+C31+C55</f>
        <v>0</v>
      </c>
      <c r="D7" s="415">
        <f t="shared" si="3"/>
        <v>11399.402507639767</v>
      </c>
      <c r="E7" s="415">
        <f t="shared" si="3"/>
        <v>0</v>
      </c>
      <c r="F7" s="415">
        <f t="shared" si="3"/>
        <v>1361.8755208242201</v>
      </c>
      <c r="G7" s="415">
        <f t="shared" si="3"/>
        <v>50.439834104600742</v>
      </c>
      <c r="H7" s="415">
        <f t="shared" si="3"/>
        <v>0</v>
      </c>
      <c r="I7" s="415">
        <f t="shared" si="3"/>
        <v>201.75933641840297</v>
      </c>
      <c r="J7" s="415">
        <f t="shared" si="3"/>
        <v>302.63900462760444</v>
      </c>
      <c r="K7" s="415">
        <f t="shared" si="3"/>
        <v>201.75933641840297</v>
      </c>
      <c r="L7" s="415">
        <f t="shared" si="3"/>
        <v>272476.25213004311</v>
      </c>
      <c r="M7" s="415">
        <f t="shared" si="3"/>
        <v>0</v>
      </c>
      <c r="N7" s="415">
        <f t="shared" si="3"/>
        <v>907841.0858346665</v>
      </c>
      <c r="O7" s="415">
        <f t="shared" si="3"/>
        <v>0</v>
      </c>
      <c r="P7" s="415">
        <f t="shared" si="3"/>
        <v>201.75933641840297</v>
      </c>
      <c r="Q7" s="415">
        <f t="shared" si="3"/>
        <v>2875.0705439622425</v>
      </c>
      <c r="R7" s="415">
        <f t="shared" si="3"/>
        <v>0</v>
      </c>
      <c r="S7" s="415">
        <f t="shared" si="3"/>
        <v>151.31950231380222</v>
      </c>
      <c r="T7" s="415">
        <f t="shared" si="1"/>
        <v>1197063.3628874372</v>
      </c>
    </row>
    <row r="8" spans="1:24" ht="18" customHeight="1">
      <c r="A8" s="401" t="s">
        <v>130</v>
      </c>
      <c r="B8" s="408" t="s">
        <v>37</v>
      </c>
      <c r="C8" s="410">
        <f t="shared" ref="C8:S8" si="4">+C32+C56</f>
        <v>10700.407403092433</v>
      </c>
      <c r="D8" s="410">
        <f t="shared" si="4"/>
        <v>148372.47561229492</v>
      </c>
      <c r="E8" s="410">
        <f t="shared" si="4"/>
        <v>20630.699426812316</v>
      </c>
      <c r="F8" s="410">
        <f t="shared" si="4"/>
        <v>16787.621337115459</v>
      </c>
      <c r="G8" s="410">
        <f t="shared" si="4"/>
        <v>7185754.0996404067</v>
      </c>
      <c r="H8" s="410">
        <f t="shared" si="4"/>
        <v>17069.869976671871</v>
      </c>
      <c r="I8" s="410">
        <f t="shared" si="4"/>
        <v>2887.2965530086631</v>
      </c>
      <c r="J8" s="410">
        <f t="shared" si="4"/>
        <v>22948.288577955551</v>
      </c>
      <c r="K8" s="410">
        <f t="shared" si="4"/>
        <v>721.82413825216577</v>
      </c>
      <c r="L8" s="410">
        <f t="shared" si="4"/>
        <v>992.50819009672796</v>
      </c>
      <c r="M8" s="410">
        <f t="shared" si="4"/>
        <v>0</v>
      </c>
      <c r="N8" s="410">
        <f t="shared" si="4"/>
        <v>119825.15621709553</v>
      </c>
      <c r="O8" s="410">
        <f t="shared" si="4"/>
        <v>437030.83166226267</v>
      </c>
      <c r="P8" s="410">
        <f t="shared" si="4"/>
        <v>541.36810368912427</v>
      </c>
      <c r="Q8" s="410">
        <f t="shared" si="4"/>
        <v>111406.18348284112</v>
      </c>
      <c r="R8" s="410">
        <f t="shared" si="4"/>
        <v>0</v>
      </c>
      <c r="S8" s="410">
        <f t="shared" si="4"/>
        <v>65229.962748749902</v>
      </c>
      <c r="T8" s="410">
        <f t="shared" si="1"/>
        <v>8160898.5930703441</v>
      </c>
    </row>
    <row r="9" spans="1:24" ht="18" customHeight="1">
      <c r="A9" s="416" t="s">
        <v>131</v>
      </c>
      <c r="B9" s="414" t="s">
        <v>141</v>
      </c>
      <c r="C9" s="415">
        <f t="shared" ref="C9:S9" si="5">+C33+C57</f>
        <v>574.03016383547333</v>
      </c>
      <c r="D9" s="415">
        <f t="shared" si="5"/>
        <v>87256.972801885306</v>
      </c>
      <c r="E9" s="415">
        <f t="shared" si="5"/>
        <v>1066.0560185515935</v>
      </c>
      <c r="F9" s="415">
        <f t="shared" si="5"/>
        <v>615.03231839515001</v>
      </c>
      <c r="G9" s="415">
        <f t="shared" si="5"/>
        <v>4346.228383325727</v>
      </c>
      <c r="H9" s="415">
        <f t="shared" si="5"/>
        <v>3247366.2532274988</v>
      </c>
      <c r="I9" s="415">
        <f t="shared" si="5"/>
        <v>0</v>
      </c>
      <c r="J9" s="415">
        <f t="shared" si="5"/>
        <v>1025.0538639919168</v>
      </c>
      <c r="K9" s="415">
        <f t="shared" si="5"/>
        <v>6232.327493070854</v>
      </c>
      <c r="L9" s="415">
        <f t="shared" si="5"/>
        <v>0</v>
      </c>
      <c r="M9" s="415">
        <f t="shared" si="5"/>
        <v>0</v>
      </c>
      <c r="N9" s="415">
        <f t="shared" si="5"/>
        <v>1271.0667913499767</v>
      </c>
      <c r="O9" s="415">
        <f t="shared" si="5"/>
        <v>0</v>
      </c>
      <c r="P9" s="415">
        <f t="shared" si="5"/>
        <v>0</v>
      </c>
      <c r="Q9" s="415">
        <f t="shared" si="5"/>
        <v>1435.0754095886834</v>
      </c>
      <c r="R9" s="415">
        <f t="shared" si="5"/>
        <v>123.00646367903001</v>
      </c>
      <c r="S9" s="415">
        <f t="shared" si="5"/>
        <v>1640.0861823870666</v>
      </c>
      <c r="T9" s="415">
        <f t="shared" si="1"/>
        <v>3352951.1891175597</v>
      </c>
    </row>
    <row r="10" spans="1:24" ht="18" customHeight="1">
      <c r="A10" s="401" t="s">
        <v>132</v>
      </c>
      <c r="B10" s="408" t="s">
        <v>206</v>
      </c>
      <c r="C10" s="410">
        <f t="shared" ref="C10:S10" si="6">+C34+C58</f>
        <v>0</v>
      </c>
      <c r="D10" s="410">
        <f t="shared" si="6"/>
        <v>32378.214900844039</v>
      </c>
      <c r="E10" s="410">
        <f t="shared" si="6"/>
        <v>169.38815930864391</v>
      </c>
      <c r="F10" s="410">
        <f t="shared" si="6"/>
        <v>4164806.2905283901</v>
      </c>
      <c r="G10" s="410">
        <f t="shared" si="6"/>
        <v>296.42927879012689</v>
      </c>
      <c r="H10" s="410">
        <f t="shared" si="6"/>
        <v>3641.8454251358448</v>
      </c>
      <c r="I10" s="410">
        <f t="shared" si="6"/>
        <v>719.89967706173672</v>
      </c>
      <c r="J10" s="410">
        <f t="shared" si="6"/>
        <v>0</v>
      </c>
      <c r="K10" s="410">
        <f t="shared" si="6"/>
        <v>5589.8092571852503</v>
      </c>
      <c r="L10" s="410">
        <f t="shared" si="6"/>
        <v>2583.1694294568201</v>
      </c>
      <c r="M10" s="410">
        <f t="shared" si="6"/>
        <v>0</v>
      </c>
      <c r="N10" s="410">
        <f t="shared" si="6"/>
        <v>1143.3700753333464</v>
      </c>
      <c r="O10" s="410">
        <f t="shared" si="6"/>
        <v>423.47039827160978</v>
      </c>
      <c r="P10" s="410">
        <f t="shared" si="6"/>
        <v>0</v>
      </c>
      <c r="Q10" s="410">
        <f t="shared" si="6"/>
        <v>1524.4934337777954</v>
      </c>
      <c r="R10" s="410">
        <f t="shared" si="6"/>
        <v>0</v>
      </c>
      <c r="S10" s="410">
        <f t="shared" si="6"/>
        <v>1312.7582346419904</v>
      </c>
      <c r="T10" s="410">
        <f t="shared" si="1"/>
        <v>4214589.1387981968</v>
      </c>
    </row>
    <row r="11" spans="1:24" ht="18" customHeight="1">
      <c r="A11" s="619"/>
      <c r="B11" s="414" t="s">
        <v>40</v>
      </c>
      <c r="C11" s="415"/>
      <c r="D11" s="415"/>
      <c r="E11" s="415"/>
      <c r="F11" s="415"/>
      <c r="G11" s="415"/>
      <c r="H11" s="415"/>
      <c r="I11" s="415"/>
      <c r="J11" s="415"/>
      <c r="K11" s="415"/>
      <c r="L11" s="415"/>
      <c r="M11" s="415"/>
      <c r="N11" s="415"/>
      <c r="O11" s="415"/>
      <c r="P11" s="415"/>
      <c r="Q11" s="415"/>
      <c r="R11" s="415"/>
      <c r="S11" s="415"/>
      <c r="T11" s="415"/>
    </row>
    <row r="12" spans="1:24" ht="18" customHeight="1">
      <c r="A12" s="401" t="s">
        <v>135</v>
      </c>
      <c r="B12" s="408" t="s">
        <v>70</v>
      </c>
      <c r="C12" s="410">
        <f t="shared" ref="C12:S12" si="7">+C36+C60</f>
        <v>119.51163137768094</v>
      </c>
      <c r="D12" s="410">
        <f t="shared" si="7"/>
        <v>6154.8490159505682</v>
      </c>
      <c r="E12" s="410">
        <f t="shared" si="7"/>
        <v>0</v>
      </c>
      <c r="F12" s="410">
        <f t="shared" si="7"/>
        <v>9919.684290119274</v>
      </c>
      <c r="G12" s="410">
        <f t="shared" si="7"/>
        <v>0</v>
      </c>
      <c r="H12" s="410">
        <f t="shared" si="7"/>
        <v>179.26744706652141</v>
      </c>
      <c r="I12" s="410">
        <f t="shared" si="7"/>
        <v>0</v>
      </c>
      <c r="J12" s="410">
        <f t="shared" si="7"/>
        <v>0</v>
      </c>
      <c r="K12" s="410">
        <f t="shared" si="7"/>
        <v>1912.1861020428951</v>
      </c>
      <c r="L12" s="410">
        <f t="shared" si="7"/>
        <v>2937194.7546056965</v>
      </c>
      <c r="M12" s="410">
        <f t="shared" si="7"/>
        <v>0</v>
      </c>
      <c r="N12" s="410">
        <f t="shared" si="7"/>
        <v>19142.071473354237</v>
      </c>
      <c r="O12" s="410">
        <f t="shared" si="7"/>
        <v>119.51163137768094</v>
      </c>
      <c r="P12" s="410">
        <f t="shared" si="7"/>
        <v>0</v>
      </c>
      <c r="Q12" s="410">
        <f t="shared" si="7"/>
        <v>86428.652139390906</v>
      </c>
      <c r="R12" s="410">
        <f t="shared" si="7"/>
        <v>0</v>
      </c>
      <c r="S12" s="410">
        <f t="shared" si="7"/>
        <v>18046.694109573335</v>
      </c>
      <c r="T12" s="410">
        <f t="shared" si="1"/>
        <v>3079217.1824459494</v>
      </c>
    </row>
    <row r="13" spans="1:24" ht="18" customHeight="1">
      <c r="A13" s="416" t="s">
        <v>136</v>
      </c>
      <c r="B13" s="414" t="s">
        <v>144</v>
      </c>
      <c r="C13" s="415">
        <f t="shared" ref="C13:S13" si="8">+C37+C61</f>
        <v>138.91494948352707</v>
      </c>
      <c r="D13" s="415">
        <f t="shared" si="8"/>
        <v>25050.995890196049</v>
      </c>
      <c r="E13" s="415">
        <f t="shared" si="8"/>
        <v>277.82989896705413</v>
      </c>
      <c r="F13" s="415">
        <f t="shared" si="8"/>
        <v>277.82989896705413</v>
      </c>
      <c r="G13" s="415">
        <f t="shared" si="8"/>
        <v>2176.3342085752574</v>
      </c>
      <c r="H13" s="415">
        <f t="shared" si="8"/>
        <v>1342.844511674095</v>
      </c>
      <c r="I13" s="415">
        <f t="shared" si="8"/>
        <v>185.21993264470277</v>
      </c>
      <c r="J13" s="415">
        <f t="shared" si="8"/>
        <v>231.52491580587846</v>
      </c>
      <c r="K13" s="415">
        <f t="shared" si="8"/>
        <v>1481.7594611576221</v>
      </c>
      <c r="L13" s="415">
        <f t="shared" si="8"/>
        <v>416.74484845058117</v>
      </c>
      <c r="M13" s="415">
        <f t="shared" si="8"/>
        <v>92.609966322351383</v>
      </c>
      <c r="N13" s="415">
        <f t="shared" si="8"/>
        <v>30492.138067151816</v>
      </c>
      <c r="O13" s="415">
        <f t="shared" si="8"/>
        <v>185.21993264470277</v>
      </c>
      <c r="P13" s="415">
        <f t="shared" si="8"/>
        <v>2500.4690907034874</v>
      </c>
      <c r="Q13" s="415">
        <f t="shared" si="8"/>
        <v>2200945.0004699044</v>
      </c>
      <c r="R13" s="415">
        <f t="shared" si="8"/>
        <v>0</v>
      </c>
      <c r="S13" s="415">
        <f t="shared" si="8"/>
        <v>833.48969690116235</v>
      </c>
      <c r="T13" s="415">
        <f t="shared" si="1"/>
        <v>2266628.92573955</v>
      </c>
    </row>
    <row r="14" spans="1:24" ht="18" customHeight="1">
      <c r="A14" s="401" t="s">
        <v>137</v>
      </c>
      <c r="B14" s="408" t="s">
        <v>49</v>
      </c>
      <c r="C14" s="410">
        <f t="shared" ref="C14:S14" si="9">+C38+C62</f>
        <v>3809.6192174761318</v>
      </c>
      <c r="D14" s="410">
        <f t="shared" si="9"/>
        <v>52213.946188481699</v>
      </c>
      <c r="E14" s="410">
        <f t="shared" si="9"/>
        <v>0</v>
      </c>
      <c r="F14" s="410">
        <f t="shared" si="9"/>
        <v>166.36474297717291</v>
      </c>
      <c r="G14" s="410">
        <f t="shared" si="9"/>
        <v>8822.4766791193542</v>
      </c>
      <c r="H14" s="410">
        <f t="shared" si="9"/>
        <v>554.54914325724303</v>
      </c>
      <c r="I14" s="410">
        <f t="shared" si="9"/>
        <v>0</v>
      </c>
      <c r="J14" s="410">
        <f t="shared" si="9"/>
        <v>1053.6433721887618</v>
      </c>
      <c r="K14" s="410">
        <f t="shared" si="9"/>
        <v>1885.4670870746263</v>
      </c>
      <c r="L14" s="410">
        <f t="shared" si="9"/>
        <v>25524.696493820753</v>
      </c>
      <c r="M14" s="410">
        <f t="shared" si="9"/>
        <v>2866.8856739388189</v>
      </c>
      <c r="N14" s="410">
        <f t="shared" si="9"/>
        <v>391631.65688727004</v>
      </c>
      <c r="O14" s="410">
        <f t="shared" si="9"/>
        <v>2922.3405882645434</v>
      </c>
      <c r="P14" s="410">
        <f t="shared" si="9"/>
        <v>1275.463029491659</v>
      </c>
      <c r="Q14" s="410">
        <f t="shared" si="9"/>
        <v>1229231.1630818674</v>
      </c>
      <c r="R14" s="410">
        <f t="shared" si="9"/>
        <v>0</v>
      </c>
      <c r="S14" s="410">
        <f t="shared" si="9"/>
        <v>610.00405758296733</v>
      </c>
      <c r="T14" s="410">
        <f t="shared" si="1"/>
        <v>1722568.276242811</v>
      </c>
    </row>
    <row r="15" spans="1:24" ht="18" customHeight="1">
      <c r="A15" s="401">
        <v>25</v>
      </c>
      <c r="B15" s="414" t="s">
        <v>207</v>
      </c>
      <c r="C15" s="415">
        <f t="shared" ref="C15:S15" si="10">+C39+C63</f>
        <v>4655277.3921288857</v>
      </c>
      <c r="D15" s="415">
        <f t="shared" si="10"/>
        <v>16436.630473955054</v>
      </c>
      <c r="E15" s="415">
        <f t="shared" si="10"/>
        <v>4769.5579500316007</v>
      </c>
      <c r="F15" s="415">
        <f t="shared" si="10"/>
        <v>0</v>
      </c>
      <c r="G15" s="415">
        <f t="shared" si="10"/>
        <v>15514.019429753072</v>
      </c>
      <c r="H15" s="415">
        <f t="shared" si="10"/>
        <v>11960.583782386937</v>
      </c>
      <c r="I15" s="415">
        <f t="shared" si="10"/>
        <v>146.75562923174158</v>
      </c>
      <c r="J15" s="415">
        <f t="shared" si="10"/>
        <v>440.26688769522468</v>
      </c>
      <c r="K15" s="415">
        <f t="shared" si="10"/>
        <v>12400.850670082164</v>
      </c>
      <c r="L15" s="415">
        <f t="shared" si="10"/>
        <v>0</v>
      </c>
      <c r="M15" s="415">
        <f t="shared" si="10"/>
        <v>0</v>
      </c>
      <c r="N15" s="415">
        <f t="shared" si="10"/>
        <v>513.64470231109544</v>
      </c>
      <c r="O15" s="415">
        <f t="shared" si="10"/>
        <v>0</v>
      </c>
      <c r="P15" s="415">
        <f t="shared" si="10"/>
        <v>0</v>
      </c>
      <c r="Q15" s="415">
        <f t="shared" si="10"/>
        <v>2935.1125846348314</v>
      </c>
      <c r="R15" s="415">
        <f t="shared" si="10"/>
        <v>0</v>
      </c>
      <c r="S15" s="415">
        <f t="shared" si="10"/>
        <v>0</v>
      </c>
      <c r="T15" s="415">
        <f t="shared" si="1"/>
        <v>4720394.8142389683</v>
      </c>
    </row>
    <row r="16" spans="1:24" ht="18" customHeight="1">
      <c r="A16" s="401" t="s">
        <v>147</v>
      </c>
      <c r="B16" s="408" t="s">
        <v>208</v>
      </c>
      <c r="C16" s="410">
        <f t="shared" ref="C16:S16" si="11">+C40+C64</f>
        <v>0</v>
      </c>
      <c r="D16" s="410">
        <f t="shared" si="11"/>
        <v>1085.1603794265043</v>
      </c>
      <c r="E16" s="410">
        <f t="shared" si="11"/>
        <v>271.29009485662607</v>
      </c>
      <c r="F16" s="410">
        <f t="shared" si="11"/>
        <v>0</v>
      </c>
      <c r="G16" s="410">
        <f t="shared" si="11"/>
        <v>1513529.5022476632</v>
      </c>
      <c r="H16" s="410">
        <f t="shared" si="11"/>
        <v>16004.052553994499</v>
      </c>
      <c r="I16" s="410">
        <f t="shared" si="11"/>
        <v>1356.4504742831305</v>
      </c>
      <c r="J16" s="410">
        <f t="shared" si="11"/>
        <v>0</v>
      </c>
      <c r="K16" s="410">
        <f t="shared" si="11"/>
        <v>0</v>
      </c>
      <c r="L16" s="410">
        <f t="shared" si="11"/>
        <v>0</v>
      </c>
      <c r="M16" s="410">
        <f t="shared" si="11"/>
        <v>0</v>
      </c>
      <c r="N16" s="410">
        <f t="shared" si="11"/>
        <v>11394.183983978293</v>
      </c>
      <c r="O16" s="410">
        <f t="shared" si="11"/>
        <v>0</v>
      </c>
      <c r="P16" s="410">
        <f t="shared" si="11"/>
        <v>0</v>
      </c>
      <c r="Q16" s="410">
        <f t="shared" si="11"/>
        <v>406.9351422849391</v>
      </c>
      <c r="R16" s="410">
        <f t="shared" si="11"/>
        <v>0</v>
      </c>
      <c r="S16" s="410">
        <f t="shared" si="11"/>
        <v>1627.7405691397564</v>
      </c>
      <c r="T16" s="410">
        <f t="shared" si="1"/>
        <v>1545675.3154456273</v>
      </c>
    </row>
    <row r="17" spans="1:91" ht="18" customHeight="1">
      <c r="A17" s="416" t="s">
        <v>148</v>
      </c>
      <c r="B17" s="414" t="s">
        <v>39</v>
      </c>
      <c r="C17" s="415">
        <f t="shared" ref="C17:S17" si="12">+C41+C65</f>
        <v>63251.195042373125</v>
      </c>
      <c r="D17" s="415">
        <f t="shared" si="12"/>
        <v>173824.83631660021</v>
      </c>
      <c r="E17" s="415">
        <f t="shared" si="12"/>
        <v>13861.65626558947</v>
      </c>
      <c r="F17" s="415">
        <f t="shared" si="12"/>
        <v>3667.1048321665262</v>
      </c>
      <c r="G17" s="415">
        <f t="shared" si="12"/>
        <v>1760.2103194399326</v>
      </c>
      <c r="H17" s="415">
        <f t="shared" si="12"/>
        <v>110423.67702295104</v>
      </c>
      <c r="I17" s="415">
        <f t="shared" si="12"/>
        <v>10998.034438510165</v>
      </c>
      <c r="J17" s="415">
        <f t="shared" si="12"/>
        <v>13931.718304243386</v>
      </c>
      <c r="K17" s="415">
        <f t="shared" si="12"/>
        <v>4028079.14997129</v>
      </c>
      <c r="L17" s="415">
        <f t="shared" si="12"/>
        <v>25979.896108644818</v>
      </c>
      <c r="M17" s="415">
        <f t="shared" si="12"/>
        <v>0</v>
      </c>
      <c r="N17" s="415">
        <f t="shared" si="12"/>
        <v>4987.2625717464762</v>
      </c>
      <c r="O17" s="415">
        <f t="shared" si="12"/>
        <v>0</v>
      </c>
      <c r="P17" s="415">
        <f t="shared" si="12"/>
        <v>0</v>
      </c>
      <c r="Q17" s="415">
        <f t="shared" si="12"/>
        <v>91457.988121191913</v>
      </c>
      <c r="R17" s="415">
        <f t="shared" si="12"/>
        <v>0</v>
      </c>
      <c r="S17" s="415">
        <f t="shared" si="12"/>
        <v>220.02628992999158</v>
      </c>
      <c r="T17" s="415">
        <f t="shared" si="1"/>
        <v>4542442.7556046769</v>
      </c>
    </row>
    <row r="18" spans="1:91" ht="18" customHeight="1">
      <c r="A18" s="401" t="s">
        <v>149</v>
      </c>
      <c r="B18" s="408" t="s">
        <v>38</v>
      </c>
      <c r="C18" s="410">
        <f t="shared" ref="C18:S18" si="13">+C42+C66</f>
        <v>2531.1100502818222</v>
      </c>
      <c r="D18" s="410">
        <f t="shared" si="13"/>
        <v>29065.425198774021</v>
      </c>
      <c r="E18" s="410">
        <f t="shared" si="13"/>
        <v>4517645.2868293207</v>
      </c>
      <c r="F18" s="410">
        <f t="shared" si="13"/>
        <v>0</v>
      </c>
      <c r="G18" s="410">
        <f t="shared" si="13"/>
        <v>13749.036573294363</v>
      </c>
      <c r="H18" s="410">
        <f t="shared" si="13"/>
        <v>0</v>
      </c>
      <c r="I18" s="410">
        <f t="shared" si="13"/>
        <v>2286.1639163835812</v>
      </c>
      <c r="J18" s="410">
        <f t="shared" si="13"/>
        <v>10646.385543916645</v>
      </c>
      <c r="K18" s="410">
        <f t="shared" si="13"/>
        <v>4245.7329875695077</v>
      </c>
      <c r="L18" s="410">
        <f t="shared" si="13"/>
        <v>0</v>
      </c>
      <c r="M18" s="410">
        <f t="shared" si="13"/>
        <v>0</v>
      </c>
      <c r="N18" s="410">
        <f t="shared" si="13"/>
        <v>11136.277811713127</v>
      </c>
      <c r="O18" s="410">
        <f t="shared" si="13"/>
        <v>0</v>
      </c>
      <c r="P18" s="410">
        <f t="shared" si="13"/>
        <v>9829.8984309225089</v>
      </c>
      <c r="Q18" s="410">
        <f t="shared" si="13"/>
        <v>31204.318230055211</v>
      </c>
      <c r="R18" s="410">
        <f t="shared" si="13"/>
        <v>0</v>
      </c>
      <c r="S18" s="410">
        <f t="shared" si="13"/>
        <v>0</v>
      </c>
      <c r="T18" s="410">
        <f t="shared" si="1"/>
        <v>4632339.6355722323</v>
      </c>
    </row>
    <row r="19" spans="1:91" ht="18" customHeight="1">
      <c r="A19" s="401" t="s">
        <v>150</v>
      </c>
      <c r="B19" s="414" t="s">
        <v>31</v>
      </c>
      <c r="C19" s="415">
        <f t="shared" ref="C19:S19" si="14">+C43+C67</f>
        <v>1387.9941356751081</v>
      </c>
      <c r="D19" s="415">
        <f t="shared" si="14"/>
        <v>42568.652948465766</v>
      </c>
      <c r="E19" s="415">
        <f t="shared" si="14"/>
        <v>25024.782804429</v>
      </c>
      <c r="F19" s="415">
        <f t="shared" si="14"/>
        <v>27247.120548730469</v>
      </c>
      <c r="G19" s="415">
        <f t="shared" si="14"/>
        <v>15341.976580873827</v>
      </c>
      <c r="H19" s="415">
        <f t="shared" si="14"/>
        <v>15255.226947394132</v>
      </c>
      <c r="I19" s="415">
        <f t="shared" si="14"/>
        <v>21934.948725330589</v>
      </c>
      <c r="J19" s="415">
        <f t="shared" si="14"/>
        <v>9625085.6696558781</v>
      </c>
      <c r="K19" s="415">
        <f t="shared" si="14"/>
        <v>15341.976580873827</v>
      </c>
      <c r="L19" s="415">
        <f t="shared" si="14"/>
        <v>260.24890043908272</v>
      </c>
      <c r="M19" s="415">
        <f t="shared" si="14"/>
        <v>0</v>
      </c>
      <c r="N19" s="415">
        <f t="shared" si="14"/>
        <v>86.749633479694253</v>
      </c>
      <c r="O19" s="415">
        <f t="shared" si="14"/>
        <v>0</v>
      </c>
      <c r="P19" s="415">
        <f t="shared" si="14"/>
        <v>260.24890043908272</v>
      </c>
      <c r="Q19" s="415">
        <f t="shared" si="14"/>
        <v>18725.212286581904</v>
      </c>
      <c r="R19" s="415">
        <f t="shared" si="14"/>
        <v>0</v>
      </c>
      <c r="S19" s="415">
        <f t="shared" si="14"/>
        <v>693.99706783755403</v>
      </c>
      <c r="T19" s="415">
        <f t="shared" si="1"/>
        <v>9809214.8057164289</v>
      </c>
    </row>
    <row r="20" spans="1:91" ht="18" customHeight="1">
      <c r="A20" s="401" t="s">
        <v>151</v>
      </c>
      <c r="B20" s="408" t="s">
        <v>209</v>
      </c>
      <c r="C20" s="410">
        <f t="shared" ref="C20:S20" si="15">+C44+C68</f>
        <v>0</v>
      </c>
      <c r="D20" s="410">
        <f t="shared" si="15"/>
        <v>11644.535393367762</v>
      </c>
      <c r="E20" s="410">
        <f t="shared" si="15"/>
        <v>1270.3129520037558</v>
      </c>
      <c r="F20" s="410">
        <f t="shared" si="15"/>
        <v>0</v>
      </c>
      <c r="G20" s="410">
        <f t="shared" si="15"/>
        <v>0</v>
      </c>
      <c r="H20" s="410">
        <f t="shared" si="15"/>
        <v>317.57823800093894</v>
      </c>
      <c r="I20" s="410">
        <f t="shared" si="15"/>
        <v>0</v>
      </c>
      <c r="J20" s="410">
        <f t="shared" si="15"/>
        <v>1291061.396886484</v>
      </c>
      <c r="K20" s="410">
        <f t="shared" si="15"/>
        <v>2328.9070786735524</v>
      </c>
      <c r="L20" s="410">
        <f t="shared" si="15"/>
        <v>0</v>
      </c>
      <c r="M20" s="410">
        <f t="shared" si="15"/>
        <v>0</v>
      </c>
      <c r="N20" s="410">
        <f t="shared" si="15"/>
        <v>317.57823800093894</v>
      </c>
      <c r="O20" s="410">
        <f t="shared" si="15"/>
        <v>0</v>
      </c>
      <c r="P20" s="410">
        <f t="shared" si="15"/>
        <v>0</v>
      </c>
      <c r="Q20" s="410">
        <f t="shared" si="15"/>
        <v>529.29706333489821</v>
      </c>
      <c r="R20" s="410">
        <f t="shared" si="15"/>
        <v>0</v>
      </c>
      <c r="S20" s="410">
        <f t="shared" si="15"/>
        <v>423.43765066791866</v>
      </c>
      <c r="T20" s="410">
        <f t="shared" si="1"/>
        <v>1307893.0435005338</v>
      </c>
    </row>
    <row r="21" spans="1:91" ht="18" customHeight="1">
      <c r="A21" s="416" t="s">
        <v>153</v>
      </c>
      <c r="B21" s="414" t="s">
        <v>210</v>
      </c>
      <c r="C21" s="415">
        <f t="shared" ref="C21:S21" si="16">+C45+C69</f>
        <v>736.44174834781381</v>
      </c>
      <c r="D21" s="415">
        <f t="shared" si="16"/>
        <v>1104.6626225217208</v>
      </c>
      <c r="E21" s="415">
        <f t="shared" si="16"/>
        <v>1963.8446622608369</v>
      </c>
      <c r="F21" s="415">
        <f t="shared" si="16"/>
        <v>0</v>
      </c>
      <c r="G21" s="415">
        <f t="shared" si="16"/>
        <v>0</v>
      </c>
      <c r="H21" s="415">
        <f t="shared" si="16"/>
        <v>0</v>
      </c>
      <c r="I21" s="415">
        <f t="shared" si="16"/>
        <v>368.22087417390691</v>
      </c>
      <c r="J21" s="415">
        <f t="shared" si="16"/>
        <v>0</v>
      </c>
      <c r="K21" s="415">
        <f t="shared" si="16"/>
        <v>2454.805827826046</v>
      </c>
      <c r="L21" s="415">
        <f t="shared" si="16"/>
        <v>736.44174834781381</v>
      </c>
      <c r="M21" s="415">
        <f t="shared" si="16"/>
        <v>0</v>
      </c>
      <c r="N21" s="415">
        <f t="shared" si="16"/>
        <v>4909.6116556520919</v>
      </c>
      <c r="O21" s="415">
        <f t="shared" si="16"/>
        <v>1353579.933463282</v>
      </c>
      <c r="P21" s="415">
        <f t="shared" si="16"/>
        <v>6873.4563179129291</v>
      </c>
      <c r="Q21" s="415">
        <f t="shared" si="16"/>
        <v>6137.0145695651154</v>
      </c>
      <c r="R21" s="415">
        <f t="shared" si="16"/>
        <v>0</v>
      </c>
      <c r="S21" s="415">
        <f t="shared" si="16"/>
        <v>122.74029139130231</v>
      </c>
      <c r="T21" s="415">
        <f t="shared" si="1"/>
        <v>1378987.1737812816</v>
      </c>
    </row>
    <row r="22" spans="1:91" ht="18" customHeight="1">
      <c r="A22" s="401" t="s">
        <v>155</v>
      </c>
      <c r="B22" s="408" t="s">
        <v>42</v>
      </c>
      <c r="C22" s="410">
        <f t="shared" ref="C22:S22" si="17">+C46+C70</f>
        <v>0</v>
      </c>
      <c r="D22" s="410">
        <f t="shared" si="17"/>
        <v>1842.1083861129075</v>
      </c>
      <c r="E22" s="410">
        <f t="shared" si="17"/>
        <v>736.84335444516307</v>
      </c>
      <c r="F22" s="410">
        <f t="shared" si="17"/>
        <v>0</v>
      </c>
      <c r="G22" s="410">
        <f t="shared" si="17"/>
        <v>0</v>
      </c>
      <c r="H22" s="410">
        <f t="shared" si="17"/>
        <v>0</v>
      </c>
      <c r="I22" s="410">
        <f t="shared" si="17"/>
        <v>0</v>
      </c>
      <c r="J22" s="410">
        <f t="shared" si="17"/>
        <v>0</v>
      </c>
      <c r="K22" s="410">
        <f t="shared" si="17"/>
        <v>0</v>
      </c>
      <c r="L22" s="410">
        <f t="shared" si="17"/>
        <v>0</v>
      </c>
      <c r="M22" s="410">
        <f t="shared" si="17"/>
        <v>147.36867088903261</v>
      </c>
      <c r="N22" s="410">
        <f t="shared" si="17"/>
        <v>145305.50949658616</v>
      </c>
      <c r="O22" s="410">
        <f t="shared" si="17"/>
        <v>2726.3204114471032</v>
      </c>
      <c r="P22" s="410">
        <f t="shared" si="17"/>
        <v>6731432.4645337872</v>
      </c>
      <c r="Q22" s="410">
        <f t="shared" si="17"/>
        <v>12821.074367345838</v>
      </c>
      <c r="R22" s="410">
        <f t="shared" si="17"/>
        <v>0</v>
      </c>
      <c r="S22" s="410">
        <f t="shared" si="17"/>
        <v>0</v>
      </c>
      <c r="T22" s="410">
        <f t="shared" si="1"/>
        <v>6895011.6892206138</v>
      </c>
    </row>
    <row r="23" spans="1:91" ht="18" customHeight="1">
      <c r="A23" s="401" t="s">
        <v>162</v>
      </c>
      <c r="B23" s="414" t="s">
        <v>76</v>
      </c>
      <c r="C23" s="415">
        <f t="shared" ref="C23:S23" si="18">+C47+C71</f>
        <v>0</v>
      </c>
      <c r="D23" s="415">
        <f t="shared" si="18"/>
        <v>825.76503159573474</v>
      </c>
      <c r="E23" s="415">
        <f t="shared" si="18"/>
        <v>0</v>
      </c>
      <c r="F23" s="415">
        <f t="shared" si="18"/>
        <v>0</v>
      </c>
      <c r="G23" s="415">
        <f t="shared" si="18"/>
        <v>30099.953328233172</v>
      </c>
      <c r="H23" s="415">
        <f t="shared" si="18"/>
        <v>206.44125789893369</v>
      </c>
      <c r="I23" s="415">
        <f t="shared" si="18"/>
        <v>0</v>
      </c>
      <c r="J23" s="415">
        <f t="shared" si="18"/>
        <v>0</v>
      </c>
      <c r="K23" s="415">
        <f t="shared" si="18"/>
        <v>0</v>
      </c>
      <c r="L23" s="415">
        <f t="shared" si="18"/>
        <v>0</v>
      </c>
      <c r="M23" s="415">
        <f t="shared" si="18"/>
        <v>0</v>
      </c>
      <c r="N23" s="415">
        <f t="shared" si="18"/>
        <v>14378653.095217191</v>
      </c>
      <c r="O23" s="415">
        <f t="shared" si="18"/>
        <v>0</v>
      </c>
      <c r="P23" s="415">
        <f t="shared" si="18"/>
        <v>0</v>
      </c>
      <c r="Q23" s="415">
        <f t="shared" si="18"/>
        <v>185857.22699165333</v>
      </c>
      <c r="R23" s="415">
        <f t="shared" si="18"/>
        <v>0</v>
      </c>
      <c r="S23" s="415">
        <f t="shared" si="18"/>
        <v>77513.992103302691</v>
      </c>
      <c r="T23" s="415">
        <f t="shared" si="1"/>
        <v>14673156.473929875</v>
      </c>
    </row>
    <row r="24" spans="1:91" ht="18" customHeight="1">
      <c r="A24" s="401" t="s">
        <v>156</v>
      </c>
      <c r="B24" s="408" t="s">
        <v>77</v>
      </c>
      <c r="C24" s="410">
        <f t="shared" ref="C24:S24" si="19">+C48+C72</f>
        <v>0</v>
      </c>
      <c r="D24" s="410">
        <f t="shared" si="19"/>
        <v>424.23161445306869</v>
      </c>
      <c r="E24" s="410">
        <f t="shared" si="19"/>
        <v>0</v>
      </c>
      <c r="F24" s="410">
        <f t="shared" si="19"/>
        <v>0</v>
      </c>
      <c r="G24" s="410">
        <f t="shared" si="19"/>
        <v>0</v>
      </c>
      <c r="H24" s="410">
        <f t="shared" si="19"/>
        <v>0</v>
      </c>
      <c r="I24" s="410">
        <f t="shared" si="19"/>
        <v>0</v>
      </c>
      <c r="J24" s="410">
        <f t="shared" si="19"/>
        <v>0</v>
      </c>
      <c r="K24" s="410">
        <f t="shared" si="19"/>
        <v>0</v>
      </c>
      <c r="L24" s="410">
        <f t="shared" si="19"/>
        <v>0</v>
      </c>
      <c r="M24" s="410">
        <f t="shared" si="19"/>
        <v>5642351.1774948891</v>
      </c>
      <c r="N24" s="410">
        <f t="shared" si="19"/>
        <v>150107.28624731081</v>
      </c>
      <c r="O24" s="410">
        <f t="shared" si="19"/>
        <v>0</v>
      </c>
      <c r="P24" s="410">
        <f t="shared" si="19"/>
        <v>0</v>
      </c>
      <c r="Q24" s="410">
        <f t="shared" si="19"/>
        <v>0</v>
      </c>
      <c r="R24" s="410">
        <f t="shared" si="19"/>
        <v>0</v>
      </c>
      <c r="S24" s="410">
        <f t="shared" si="19"/>
        <v>0</v>
      </c>
      <c r="T24" s="410">
        <f t="shared" si="1"/>
        <v>5792882.6953566531</v>
      </c>
    </row>
    <row r="25" spans="1:91" ht="18" customHeight="1">
      <c r="A25" s="417" t="s">
        <v>163</v>
      </c>
      <c r="B25" s="418" t="s">
        <v>164</v>
      </c>
      <c r="C25" s="419">
        <f t="shared" ref="C25:S25" si="20">+C49+C73</f>
        <v>0</v>
      </c>
      <c r="D25" s="419">
        <f t="shared" si="20"/>
        <v>0</v>
      </c>
      <c r="E25" s="419">
        <f t="shared" si="20"/>
        <v>0</v>
      </c>
      <c r="F25" s="419">
        <f t="shared" si="20"/>
        <v>0</v>
      </c>
      <c r="G25" s="419">
        <f t="shared" si="20"/>
        <v>0</v>
      </c>
      <c r="H25" s="419">
        <f t="shared" si="20"/>
        <v>0</v>
      </c>
      <c r="I25" s="419">
        <f t="shared" si="20"/>
        <v>0</v>
      </c>
      <c r="J25" s="419">
        <f t="shared" si="20"/>
        <v>0</v>
      </c>
      <c r="K25" s="419">
        <f t="shared" si="20"/>
        <v>0</v>
      </c>
      <c r="L25" s="419">
        <f t="shared" si="20"/>
        <v>0</v>
      </c>
      <c r="M25" s="419">
        <f t="shared" si="20"/>
        <v>876777.48824016424</v>
      </c>
      <c r="N25" s="419">
        <f t="shared" si="20"/>
        <v>1821.9481053583975</v>
      </c>
      <c r="O25" s="419">
        <f t="shared" si="20"/>
        <v>0</v>
      </c>
      <c r="P25" s="419">
        <f t="shared" si="20"/>
        <v>0</v>
      </c>
      <c r="Q25" s="419">
        <f t="shared" si="20"/>
        <v>840.89912555002957</v>
      </c>
      <c r="R25" s="419">
        <f t="shared" si="20"/>
        <v>0</v>
      </c>
      <c r="S25" s="419">
        <f t="shared" si="20"/>
        <v>0</v>
      </c>
      <c r="T25" s="420">
        <f t="shared" si="1"/>
        <v>879440.3354710727</v>
      </c>
    </row>
    <row r="26" spans="1:91" ht="18" customHeight="1">
      <c r="A26" s="402"/>
      <c r="B26" s="421" t="s">
        <v>17</v>
      </c>
      <c r="C26" s="569">
        <f t="shared" ref="C26:S26" si="21">SUM(C5:C25)</f>
        <v>10249862.115195373</v>
      </c>
      <c r="D26" s="569">
        <f t="shared" si="21"/>
        <v>185978836.47636634</v>
      </c>
      <c r="E26" s="569">
        <f t="shared" si="21"/>
        <v>27341672.088655621</v>
      </c>
      <c r="F26" s="569">
        <f t="shared" si="21"/>
        <v>8455092.4242556896</v>
      </c>
      <c r="G26" s="569">
        <f t="shared" si="21"/>
        <v>37240359.175689355</v>
      </c>
      <c r="H26" s="569">
        <f t="shared" si="21"/>
        <v>16495700.695542794</v>
      </c>
      <c r="I26" s="569">
        <f t="shared" si="21"/>
        <v>4110287.2803122764</v>
      </c>
      <c r="J26" s="569">
        <f t="shared" si="21"/>
        <v>11071896.708769964</v>
      </c>
      <c r="K26" s="569">
        <f t="shared" si="21"/>
        <v>4183276.6478574458</v>
      </c>
      <c r="L26" s="569">
        <f t="shared" si="21"/>
        <v>4291590.7615358485</v>
      </c>
      <c r="M26" s="569">
        <f t="shared" si="21"/>
        <v>6531954.1899657398</v>
      </c>
      <c r="N26" s="569">
        <f t="shared" si="21"/>
        <v>25802768.831073552</v>
      </c>
      <c r="O26" s="569">
        <f t="shared" si="21"/>
        <v>4972337.9290018324</v>
      </c>
      <c r="P26" s="569">
        <f t="shared" si="21"/>
        <v>7093025.4940179754</v>
      </c>
      <c r="Q26" s="569">
        <f t="shared" si="21"/>
        <v>8922557.4056442473</v>
      </c>
      <c r="R26" s="570">
        <f t="shared" si="21"/>
        <v>2404076.3050084081</v>
      </c>
      <c r="S26" s="423">
        <f t="shared" si="21"/>
        <v>1184106.0738513747</v>
      </c>
      <c r="T26" s="422">
        <f t="shared" si="1"/>
        <v>366329400.6027438</v>
      </c>
    </row>
    <row r="27" spans="1:91" s="18" customFormat="1" ht="18"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8"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18" customHeight="1">
      <c r="A29" s="403" t="s">
        <v>128</v>
      </c>
      <c r="B29" s="437" t="s">
        <v>21</v>
      </c>
      <c r="C29" s="438">
        <f>+UGpcntSCH*(VLOOKUP($A29,FY16ProjRevAut15!$A$4:$I$24,9,FALSE))*VLOOKUP($A29,FY16ProjSCH!$A$3:$S$23,MATCH(C$28,FY16ProjSCH!$A$2:$S$2,0),FALSE)</f>
        <v>3619169.0512771755</v>
      </c>
      <c r="D29" s="438">
        <f>+UGpcntSCH*(VLOOKUP($A29,FY16ProjRevAut15!$A$4:$I$24,9,FALSE))*VLOOKUP($A29,FY16ProjSCH!$A$3:$S$23,MATCH(D$28,FY16ProjSCH!$A$2:$S$2,0),FALSE)</f>
        <v>108431058.28635973</v>
      </c>
      <c r="E29" s="438">
        <f>+UGpcntSCH*(VLOOKUP($A29,FY16ProjRevAut15!$A$4:$I$24,9,FALSE))*VLOOKUP($A29,FY16ProjSCH!$A$3:$S$23,MATCH(E$28,FY16ProjSCH!$A$2:$S$2,0),FALSE)</f>
        <v>10586953.347788025</v>
      </c>
      <c r="F29" s="438">
        <f>+UGpcntSCH*(VLOOKUP($A29,FY16ProjRevAut15!$A$4:$I$24,9,FALSE))*VLOOKUP($A29,FY16ProjSCH!$A$3:$S$23,MATCH(F$28,FY16ProjSCH!$A$2:$S$2,0),FALSE)</f>
        <v>2262168.3520448594</v>
      </c>
      <c r="G29" s="438">
        <f>+UGpcntSCH*(VLOOKUP($A29,FY16ProjRevAut15!$A$4:$I$24,9,FALSE))*VLOOKUP($A29,FY16ProjSCH!$A$3:$S$23,MATCH(G$28,FY16ProjSCH!$A$2:$S$2,0),FALSE)</f>
        <v>15603665.217568416</v>
      </c>
      <c r="H29" s="438">
        <f>+UGpcntSCH*(VLOOKUP($A29,FY16ProjRevAut15!$A$4:$I$24,9,FALSE))*VLOOKUP($A29,FY16ProjSCH!$A$3:$S$23,MATCH(H$28,FY16ProjSCH!$A$2:$S$2,0),FALSE)</f>
        <v>9447132.8228318002</v>
      </c>
      <c r="I29" s="438">
        <f>+UGpcntSCH*(VLOOKUP($A29,FY16ProjRevAut15!$A$4:$I$24,9,FALSE))*VLOOKUP($A29,FY16ProjSCH!$A$3:$S$23,MATCH(I$28,FY16ProjSCH!$A$2:$S$2,0),FALSE)</f>
        <v>2272133.2500474704</v>
      </c>
      <c r="J29" s="438">
        <f>+UGpcntSCH*(VLOOKUP($A29,FY16ProjRevAut15!$A$4:$I$24,9,FALSE))*VLOOKUP($A29,FY16ProjSCH!$A$3:$S$23,MATCH(J$28,FY16ProjSCH!$A$2:$S$2,0),FALSE)</f>
        <v>96372.849175939584</v>
      </c>
      <c r="K29" s="438">
        <f>+UGpcntSCH*(VLOOKUP($A29,FY16ProjRevAut15!$A$4:$I$24,9,FALSE))*VLOOKUP($A29,FY16ProjSCH!$A$3:$S$23,MATCH(K$28,FY16ProjSCH!$A$2:$S$2,0),FALSE)</f>
        <v>28393.134034837723</v>
      </c>
      <c r="L29" s="438">
        <f>+UGpcntSCH*(VLOOKUP($A29,FY16ProjRevAut15!$A$4:$I$24,9,FALSE))*VLOOKUP($A29,FY16ProjSCH!$A$3:$S$23,MATCH(L$28,FY16ProjSCH!$A$2:$S$2,0),FALSE)</f>
        <v>512850.98350425641</v>
      </c>
      <c r="M29" s="438">
        <f>+UGpcntSCH*(VLOOKUP($A29,FY16ProjRevAut15!$A$4:$I$24,9,FALSE))*VLOOKUP($A29,FY16ProjSCH!$A$3:$S$23,MATCH(M$28,FY16ProjSCH!$A$2:$S$2,0),FALSE)</f>
        <v>9691.8870984301848</v>
      </c>
      <c r="N29" s="438">
        <f>+UGpcntSCH*(VLOOKUP($A29,FY16ProjRevAut15!$A$4:$I$24,9,FALSE))*VLOOKUP($A29,FY16ProjSCH!$A$3:$S$23,MATCH(N$28,FY16ProjSCH!$A$2:$S$2,0),FALSE)</f>
        <v>4681590.9848980503</v>
      </c>
      <c r="O29" s="438">
        <f>+UGpcntSCH*(VLOOKUP($A29,FY16ProjRevAut15!$A$4:$I$24,9,FALSE))*VLOOKUP($A29,FY16ProjSCH!$A$3:$S$23,MATCH(O$28,FY16ProjSCH!$A$2:$S$2,0),FALSE)</f>
        <v>1418018.6363167993</v>
      </c>
      <c r="P29" s="438">
        <f>+UGpcntSCH*(VLOOKUP($A29,FY16ProjRevAut15!$A$4:$I$24,9,FALSE))*VLOOKUP($A29,FY16ProjSCH!$A$3:$S$23,MATCH(P$28,FY16ProjSCH!$A$2:$S$2,0),FALSE)</f>
        <v>55830.729905041488</v>
      </c>
      <c r="Q29" s="438">
        <f>+UGpcntSCH*(VLOOKUP($A29,FY16ProjRevAut15!$A$4:$I$24,9,FALSE))*VLOOKUP($A29,FY16ProjSCH!$A$3:$S$23,MATCH(Q$28,FY16ProjSCH!$A$2:$S$2,0),FALSE)</f>
        <v>2736797.8089637575</v>
      </c>
      <c r="R29" s="438">
        <f>+UGpcntSCH*(VLOOKUP($A29,FY16ProjRevAut15!$A$4:$I$24,9,FALSE))*VLOOKUP($A29,FY16ProjSCH!$A$3:$S$23,MATCH(R$28,FY16ProjSCH!$A$2:$S$2,0),FALSE)</f>
        <v>2251247.9158776142</v>
      </c>
      <c r="S29" s="438">
        <f>+UGpcntSCH*(VLOOKUP($A29,FY16ProjRevAut15!$A$4:$I$24,9,FALSE))*VLOOKUP($A29,FY16ProjSCH!$A$3:$S$23,MATCH(S$28,FY16ProjSCH!$A$2:$S$2,0),FALSE)</f>
        <v>39450.075654173568</v>
      </c>
      <c r="T29" s="439">
        <f t="shared" ref="T29:T49" si="22">SUM(C29:Q29)+R29+S29</f>
        <v>164052525.3333464</v>
      </c>
    </row>
    <row r="30" spans="1:91" s="18" customFormat="1" ht="18" customHeight="1">
      <c r="A30" s="404" t="s">
        <v>129</v>
      </c>
      <c r="B30" s="440" t="s">
        <v>35</v>
      </c>
      <c r="C30" s="410">
        <f>+GPpcntSCH*(VLOOKUP($A30,FY16ProjRevAut15!$A$4:$I$24,9,FALSE))*VLOOKUP($A30,FY16ProjSCH!$A$3:$S$23,MATCH(C$28,FY16ProjSCH!$A$2:$S$2,0),FALSE)</f>
        <v>20695.39071468998</v>
      </c>
      <c r="D30" s="410">
        <f>+GPpcntSCH*(VLOOKUP($A30,FY16ProjRevAut15!$A$4:$I$24,9,FALSE))*VLOOKUP($A30,FY16ProjSCH!$A$3:$S$23,MATCH(D$28,FY16ProjSCH!$A$2:$S$2,0),FALSE)</f>
        <v>1708561.1245011259</v>
      </c>
      <c r="E30" s="410">
        <f>+GPpcntSCH*(VLOOKUP($A30,FY16ProjRevAut15!$A$4:$I$24,9,FALSE))*VLOOKUP($A30,FY16ProjSCH!$A$3:$S$23,MATCH(E$28,FY16ProjSCH!$A$2:$S$2,0),FALSE)</f>
        <v>55232.329941016069</v>
      </c>
      <c r="F30" s="410">
        <f>+GPpcntSCH*(VLOOKUP($A30,FY16ProjRevAut15!$A$4:$I$24,9,FALSE))*VLOOKUP($A30,FY16ProjSCH!$A$3:$S$23,MATCH(F$28,FY16ProjSCH!$A$2:$S$2,0),FALSE)</f>
        <v>13868.321332741796</v>
      </c>
      <c r="G30" s="410">
        <f>+GPpcntSCH*(VLOOKUP($A30,FY16ProjRevAut15!$A$4:$I$24,9,FALSE))*VLOOKUP($A30,FY16ProjSCH!$A$3:$S$23,MATCH(G$28,FY16ProjSCH!$A$2:$S$2,0),FALSE)</f>
        <v>114052.21791019315</v>
      </c>
      <c r="H30" s="410">
        <f>+GPpcntSCH*(VLOOKUP($A30,FY16ProjRevAut15!$A$4:$I$24,9,FALSE))*VLOOKUP($A30,FY16ProjSCH!$A$3:$S$23,MATCH(H$28,FY16ProjSCH!$A$2:$S$2,0),FALSE)</f>
        <v>13386.410552839572</v>
      </c>
      <c r="I30" s="410">
        <f>+GPpcntSCH*(VLOOKUP($A30,FY16ProjRevAut15!$A$4:$I$24,9,FALSE))*VLOOKUP($A30,FY16ProjSCH!$A$3:$S$23,MATCH(I$28,FY16ProjSCH!$A$2:$S$2,0),FALSE)</f>
        <v>38124.497254487098</v>
      </c>
      <c r="J30" s="410">
        <f>+GPpcntSCH*(VLOOKUP($A30,FY16ProjRevAut15!$A$4:$I$24,9,FALSE))*VLOOKUP($A30,FY16ProjSCH!$A$3:$S$23,MATCH(J$28,FY16ProjSCH!$A$2:$S$2,0),FALSE)</f>
        <v>5381.3370422415082</v>
      </c>
      <c r="K30" s="410">
        <f>+GPpcntSCH*(VLOOKUP($A30,FY16ProjRevAut15!$A$4:$I$24,9,FALSE))*VLOOKUP($A30,FY16ProjSCH!$A$3:$S$23,MATCH(K$28,FY16ProjSCH!$A$2:$S$2,0),FALSE)</f>
        <v>12797.408488514631</v>
      </c>
      <c r="L30" s="410">
        <f>+GPpcntSCH*(VLOOKUP($A30,FY16ProjRevAut15!$A$4:$I$24,9,FALSE))*VLOOKUP($A30,FY16ProjSCH!$A$3:$S$23,MATCH(L$28,FY16ProjSCH!$A$2:$S$2,0),FALSE)</f>
        <v>2864.6918583076681</v>
      </c>
      <c r="M30" s="410">
        <f>+GPpcntSCH*(VLOOKUP($A30,FY16ProjRevAut15!$A$4:$I$24,9,FALSE))*VLOOKUP($A30,FY16ProjSCH!$A$3:$S$23,MATCH(M$28,FY16ProjSCH!$A$2:$S$2,0),FALSE)</f>
        <v>26.772821105679142</v>
      </c>
      <c r="N30" s="410">
        <f>+GPpcntSCH*(VLOOKUP($A30,FY16ProjRevAut15!$A$4:$I$24,9,FALSE))*VLOOKUP($A30,FY16ProjSCH!$A$3:$S$23,MATCH(N$28,FY16ProjSCH!$A$2:$S$2,0),FALSE)</f>
        <v>331126.25143503968</v>
      </c>
      <c r="O30" s="410">
        <f>+GPpcntSCH*(VLOOKUP($A30,FY16ProjRevAut15!$A$4:$I$24,9,FALSE))*VLOOKUP($A30,FY16ProjSCH!$A$3:$S$23,MATCH(O$28,FY16ProjSCH!$A$2:$S$2,0),FALSE)</f>
        <v>481.91077990222453</v>
      </c>
      <c r="P30" s="410">
        <f>+GPpcntSCH*(VLOOKUP($A30,FY16ProjRevAut15!$A$4:$I$24,9,FALSE))*VLOOKUP($A30,FY16ProjSCH!$A$3:$S$23,MATCH(P$28,FY16ProjSCH!$A$2:$S$2,0),FALSE)</f>
        <v>47441.438999263439</v>
      </c>
      <c r="Q30" s="410">
        <f>+GPpcntSCH*(VLOOKUP($A30,FY16ProjRevAut15!$A$4:$I$24,9,FALSE))*VLOOKUP($A30,FY16ProjSCH!$A$3:$S$23,MATCH(Q$28,FY16ProjSCH!$A$2:$S$2,0),FALSE)</f>
        <v>24577.449775013451</v>
      </c>
      <c r="R30" s="410">
        <f>+GPpcntSCH*(VLOOKUP($A30,FY16ProjRevAut15!$A$4:$I$24,9,FALSE))*VLOOKUP($A30,FY16ProjSCH!$A$3:$S$23,MATCH(R$28,FY16ProjSCH!$A$2:$S$2,0),FALSE)</f>
        <v>133.8641055283957</v>
      </c>
      <c r="S30" s="410">
        <f>+GPpcntSCH*(VLOOKUP($A30,FY16ProjRevAut15!$A$4:$I$24,9,FALSE))*VLOOKUP($A30,FY16ProjSCH!$A$3:$S$23,MATCH(S$28,FY16ProjSCH!$A$2:$S$2,0),FALSE)</f>
        <v>158682.51069336029</v>
      </c>
      <c r="T30" s="441">
        <f t="shared" si="22"/>
        <v>2547433.9282053709</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18" customHeight="1">
      <c r="A31" s="404" t="s">
        <v>140</v>
      </c>
      <c r="B31" s="442" t="s">
        <v>36</v>
      </c>
      <c r="C31" s="443">
        <f>+GPpcntSCH*(VLOOKUP($A31,FY16ProjRevAut15!$A$4:$I$24,9,FALSE))*VLOOKUP($A31,FY16ProjSCH!$A$3:$S$23,MATCH(C$28,FY16ProjSCH!$A$2:$S$2,0),FALSE)</f>
        <v>0</v>
      </c>
      <c r="D31" s="443">
        <f>+GPpcntSCH*(VLOOKUP($A31,FY16ProjRevAut15!$A$4:$I$24,9,FALSE))*VLOOKUP($A31,FY16ProjSCH!$A$3:$S$23,MATCH(D$28,FY16ProjSCH!$A$2:$S$2,0),FALSE)</f>
        <v>11399.402507639767</v>
      </c>
      <c r="E31" s="443">
        <f>+GPpcntSCH*(VLOOKUP($A31,FY16ProjRevAut15!$A$4:$I$24,9,FALSE))*VLOOKUP($A31,FY16ProjSCH!$A$3:$S$23,MATCH(E$28,FY16ProjSCH!$A$2:$S$2,0),FALSE)</f>
        <v>0</v>
      </c>
      <c r="F31" s="443">
        <f>+GPpcntSCH*(VLOOKUP($A31,FY16ProjRevAut15!$A$4:$I$24,9,FALSE))*VLOOKUP($A31,FY16ProjSCH!$A$3:$S$23,MATCH(F$28,FY16ProjSCH!$A$2:$S$2,0),FALSE)</f>
        <v>1361.8755208242201</v>
      </c>
      <c r="G31" s="443">
        <f>+GPpcntSCH*(VLOOKUP($A31,FY16ProjRevAut15!$A$4:$I$24,9,FALSE))*VLOOKUP($A31,FY16ProjSCH!$A$3:$S$23,MATCH(G$28,FY16ProjSCH!$A$2:$S$2,0),FALSE)</f>
        <v>50.439834104600742</v>
      </c>
      <c r="H31" s="443">
        <f>+GPpcntSCH*(VLOOKUP($A31,FY16ProjRevAut15!$A$4:$I$24,9,FALSE))*VLOOKUP($A31,FY16ProjSCH!$A$3:$S$23,MATCH(H$28,FY16ProjSCH!$A$2:$S$2,0),FALSE)</f>
        <v>0</v>
      </c>
      <c r="I31" s="443">
        <f>+GPpcntSCH*(VLOOKUP($A31,FY16ProjRevAut15!$A$4:$I$24,9,FALSE))*VLOOKUP($A31,FY16ProjSCH!$A$3:$S$23,MATCH(I$28,FY16ProjSCH!$A$2:$S$2,0),FALSE)</f>
        <v>201.75933641840297</v>
      </c>
      <c r="J31" s="443">
        <f>+GPpcntSCH*(VLOOKUP($A31,FY16ProjRevAut15!$A$4:$I$24,9,FALSE))*VLOOKUP($A31,FY16ProjSCH!$A$3:$S$23,MATCH(J$28,FY16ProjSCH!$A$2:$S$2,0),FALSE)</f>
        <v>302.63900462760444</v>
      </c>
      <c r="K31" s="443">
        <f>+GPpcntSCH*(VLOOKUP($A31,FY16ProjRevAut15!$A$4:$I$24,9,FALSE))*VLOOKUP($A31,FY16ProjSCH!$A$3:$S$23,MATCH(K$28,FY16ProjSCH!$A$2:$S$2,0),FALSE)</f>
        <v>201.75933641840297</v>
      </c>
      <c r="L31" s="443">
        <f>+GPpcntSCH*(VLOOKUP($A31,FY16ProjRevAut15!$A$4:$I$24,9,FALSE))*VLOOKUP($A31,FY16ProjSCH!$A$3:$S$23,MATCH(L$28,FY16ProjSCH!$A$2:$S$2,0),FALSE)</f>
        <v>35610.522877848125</v>
      </c>
      <c r="M31" s="443">
        <f>+GPpcntSCH*(VLOOKUP($A31,FY16ProjRevAut15!$A$4:$I$24,9,FALSE))*VLOOKUP($A31,FY16ProjSCH!$A$3:$S$23,MATCH(M$28,FY16ProjSCH!$A$2:$S$2,0),FALSE)</f>
        <v>0</v>
      </c>
      <c r="N31" s="443">
        <f>+GPpcntSCH*(VLOOKUP($A31,FY16ProjRevAut15!$A$4:$I$24,9,FALSE))*VLOOKUP($A31,FY16ProjSCH!$A$3:$S$23,MATCH(N$28,FY16ProjSCH!$A$2:$S$2,0),FALSE)</f>
        <v>187056.12477691183</v>
      </c>
      <c r="O31" s="443">
        <f>+GPpcntSCH*(VLOOKUP($A31,FY16ProjRevAut15!$A$4:$I$24,9,FALSE))*VLOOKUP($A31,FY16ProjSCH!$A$3:$S$23,MATCH(O$28,FY16ProjSCH!$A$2:$S$2,0),FALSE)</f>
        <v>0</v>
      </c>
      <c r="P31" s="443">
        <f>+GPpcntSCH*(VLOOKUP($A31,FY16ProjRevAut15!$A$4:$I$24,9,FALSE))*VLOOKUP($A31,FY16ProjSCH!$A$3:$S$23,MATCH(P$28,FY16ProjSCH!$A$2:$S$2,0),FALSE)</f>
        <v>201.75933641840297</v>
      </c>
      <c r="Q31" s="443">
        <f>+GPpcntSCH*(VLOOKUP($A31,FY16ProjRevAut15!$A$4:$I$24,9,FALSE))*VLOOKUP($A31,FY16ProjSCH!$A$3:$S$23,MATCH(Q$28,FY16ProjSCH!$A$2:$S$2,0),FALSE)</f>
        <v>2875.0705439622425</v>
      </c>
      <c r="R31" s="443">
        <f>+GPpcntSCH*(VLOOKUP($A31,FY16ProjRevAut15!$A$4:$I$24,9,FALSE))*VLOOKUP($A31,FY16ProjSCH!$A$3:$S$23,MATCH(R$28,FY16ProjSCH!$A$2:$S$2,0),FALSE)</f>
        <v>0</v>
      </c>
      <c r="S31" s="443">
        <f>+GPpcntSCH*(VLOOKUP($A31,FY16ProjRevAut15!$A$4:$I$24,9,FALSE))*VLOOKUP($A31,FY16ProjSCH!$A$3:$S$23,MATCH(S$28,FY16ProjSCH!$A$2:$S$2,0),FALSE)</f>
        <v>151.31950231380222</v>
      </c>
      <c r="T31" s="444">
        <f t="shared" si="22"/>
        <v>239412.67257748742</v>
      </c>
    </row>
    <row r="32" spans="1:91" s="18" customFormat="1" ht="18" customHeight="1">
      <c r="A32" s="404" t="s">
        <v>130</v>
      </c>
      <c r="B32" s="440" t="s">
        <v>37</v>
      </c>
      <c r="C32" s="410">
        <f>+GPpcntSCH*(VLOOKUP($A32,FY16ProjRevAut15!$A$4:$I$24,9,FALSE))*VLOOKUP($A32,FY16ProjSCH!$A$3:$S$23,MATCH(C$28,FY16ProjSCH!$A$2:$S$2,0),FALSE)</f>
        <v>8752.1176763075091</v>
      </c>
      <c r="D32" s="410">
        <f>+GPpcntSCH*(VLOOKUP($A32,FY16ProjRevAut15!$A$4:$I$24,9,FALSE))*VLOOKUP($A32,FY16ProjSCH!$A$3:$S$23,MATCH(D$28,FY16ProjSCH!$A$2:$S$2,0),FALSE)</f>
        <v>97716.942715886937</v>
      </c>
      <c r="E32" s="410">
        <f>+GPpcntSCH*(VLOOKUP($A32,FY16ProjRevAut15!$A$4:$I$24,9,FALSE))*VLOOKUP($A32,FY16ProjSCH!$A$3:$S$23,MATCH(E$28,FY16ProjSCH!$A$2:$S$2,0),FALSE)</f>
        <v>6992.6713393178561</v>
      </c>
      <c r="F32" s="410">
        <f>+GPpcntSCH*(VLOOKUP($A32,FY16ProjRevAut15!$A$4:$I$24,9,FALSE))*VLOOKUP($A32,FY16ProjSCH!$A$3:$S$23,MATCH(F$28,FY16ProjSCH!$A$2:$S$2,0),FALSE)</f>
        <v>5097.8829764059201</v>
      </c>
      <c r="G32" s="410">
        <f>+GPpcntSCH*(VLOOKUP($A32,FY16ProjRevAut15!$A$4:$I$24,9,FALSE))*VLOOKUP($A32,FY16ProjSCH!$A$3:$S$23,MATCH(G$28,FY16ProjSCH!$A$2:$S$2,0),FALSE)</f>
        <v>1360367.8165534879</v>
      </c>
      <c r="H32" s="410">
        <f>+GPpcntSCH*(VLOOKUP($A32,FY16ProjRevAut15!$A$4:$I$24,9,FALSE))*VLOOKUP($A32,FY16ProjSCH!$A$3:$S$23,MATCH(H$28,FY16ProjSCH!$A$2:$S$2,0),FALSE)</f>
        <v>13173.290523102025</v>
      </c>
      <c r="I32" s="410">
        <f>+GPpcntSCH*(VLOOKUP($A32,FY16ProjRevAut15!$A$4:$I$24,9,FALSE))*VLOOKUP($A32,FY16ProjSCH!$A$3:$S$23,MATCH(I$28,FY16ProjSCH!$A$2:$S$2,0),FALSE)</f>
        <v>2887.2965530086631</v>
      </c>
      <c r="J32" s="410">
        <f>+GPpcntSCH*(VLOOKUP($A32,FY16ProjRevAut15!$A$4:$I$24,9,FALSE))*VLOOKUP($A32,FY16ProjSCH!$A$3:$S$23,MATCH(J$28,FY16ProjSCH!$A$2:$S$2,0),FALSE)</f>
        <v>5413.6810368912429</v>
      </c>
      <c r="K32" s="410">
        <f>+GPpcntSCH*(VLOOKUP($A32,FY16ProjRevAut15!$A$4:$I$24,9,FALSE))*VLOOKUP($A32,FY16ProjSCH!$A$3:$S$23,MATCH(K$28,FY16ProjSCH!$A$2:$S$2,0),FALSE)</f>
        <v>721.82413825216577</v>
      </c>
      <c r="L32" s="410">
        <f>+GPpcntSCH*(VLOOKUP($A32,FY16ProjRevAut15!$A$4:$I$24,9,FALSE))*VLOOKUP($A32,FY16ProjSCH!$A$3:$S$23,MATCH(L$28,FY16ProjSCH!$A$2:$S$2,0),FALSE)</f>
        <v>992.50819009672796</v>
      </c>
      <c r="M32" s="410">
        <f>+GPpcntSCH*(VLOOKUP($A32,FY16ProjRevAut15!$A$4:$I$24,9,FALSE))*VLOOKUP($A32,FY16ProjSCH!$A$3:$S$23,MATCH(M$28,FY16ProjSCH!$A$2:$S$2,0),FALSE)</f>
        <v>0</v>
      </c>
      <c r="N32" s="410">
        <f>+GPpcntSCH*(VLOOKUP($A32,FY16ProjRevAut15!$A$4:$I$24,9,FALSE))*VLOOKUP($A32,FY16ProjSCH!$A$3:$S$23,MATCH(N$28,FY16ProjSCH!$A$2:$S$2,0),FALSE)</f>
        <v>30203.828784989058</v>
      </c>
      <c r="O32" s="410">
        <f>+GPpcntSCH*(VLOOKUP($A32,FY16ProjRevAut15!$A$4:$I$24,9,FALSE))*VLOOKUP($A32,FY16ProjSCH!$A$3:$S$23,MATCH(O$28,FY16ProjSCH!$A$2:$S$2,0),FALSE)</f>
        <v>57114.334939202621</v>
      </c>
      <c r="P32" s="410">
        <f>+GPpcntSCH*(VLOOKUP($A32,FY16ProjRevAut15!$A$4:$I$24,9,FALSE))*VLOOKUP($A32,FY16ProjSCH!$A$3:$S$23,MATCH(P$28,FY16ProjSCH!$A$2:$S$2,0),FALSE)</f>
        <v>541.36810368912427</v>
      </c>
      <c r="Q32" s="410">
        <f>+GPpcntSCH*(VLOOKUP($A32,FY16ProjRevAut15!$A$4:$I$24,9,FALSE))*VLOOKUP($A32,FY16ProjSCH!$A$3:$S$23,MATCH(Q$28,FY16ProjSCH!$A$2:$S$2,0),FALSE)</f>
        <v>33474.594411444188</v>
      </c>
      <c r="R32" s="410">
        <f>+GPpcntSCH*(VLOOKUP($A32,FY16ProjRevAut15!$A$4:$I$24,9,FALSE))*VLOOKUP($A32,FY16ProjSCH!$A$3:$S$23,MATCH(R$28,FY16ProjSCH!$A$2:$S$2,0),FALSE)</f>
        <v>0</v>
      </c>
      <c r="S32" s="410">
        <f>+GPpcntSCH*(VLOOKUP($A32,FY16ProjRevAut15!$A$4:$I$24,9,FALSE))*VLOOKUP($A32,FY16ProjSCH!$A$3:$S$23,MATCH(S$28,FY16ProjSCH!$A$2:$S$2,0),FALSE)</f>
        <v>8729.5606719871284</v>
      </c>
      <c r="T32" s="441">
        <f t="shared" si="22"/>
        <v>1632179.7186140688</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18" customHeight="1">
      <c r="A33" s="404" t="s">
        <v>131</v>
      </c>
      <c r="B33" s="442" t="s">
        <v>141</v>
      </c>
      <c r="C33" s="443">
        <f>+GPpcntSCH*(VLOOKUP($A33,FY16ProjRevAut15!$A$4:$I$24,9,FALSE))*VLOOKUP($A33,FY16ProjSCH!$A$3:$S$23,MATCH(C$28,FY16ProjSCH!$A$2:$S$2,0),FALSE)</f>
        <v>574.03016383547333</v>
      </c>
      <c r="D33" s="443">
        <f>+GPpcntSCH*(VLOOKUP($A33,FY16ProjRevAut15!$A$4:$I$24,9,FALSE))*VLOOKUP($A33,FY16ProjSCH!$A$3:$S$23,MATCH(D$28,FY16ProjSCH!$A$2:$S$2,0),FALSE)</f>
        <v>39731.087768326695</v>
      </c>
      <c r="E33" s="443">
        <f>+GPpcntSCH*(VLOOKUP($A33,FY16ProjRevAut15!$A$4:$I$24,9,FALSE))*VLOOKUP($A33,FY16ProjSCH!$A$3:$S$23,MATCH(E$28,FY16ProjSCH!$A$2:$S$2,0),FALSE)</f>
        <v>1066.0560185515935</v>
      </c>
      <c r="F33" s="443">
        <f>+GPpcntSCH*(VLOOKUP($A33,FY16ProjRevAut15!$A$4:$I$24,9,FALSE))*VLOOKUP($A33,FY16ProjSCH!$A$3:$S$23,MATCH(F$28,FY16ProjSCH!$A$2:$S$2,0),FALSE)</f>
        <v>615.03231839515001</v>
      </c>
      <c r="G33" s="443">
        <f>+GPpcntSCH*(VLOOKUP($A33,FY16ProjRevAut15!$A$4:$I$24,9,FALSE))*VLOOKUP($A33,FY16ProjSCH!$A$3:$S$23,MATCH(G$28,FY16ProjSCH!$A$2:$S$2,0),FALSE)</f>
        <v>4346.228383325727</v>
      </c>
      <c r="H33" s="443">
        <f>+GPpcntSCH*(VLOOKUP($A33,FY16ProjRevAut15!$A$4:$I$24,9,FALSE))*VLOOKUP($A33,FY16ProjSCH!$A$3:$S$23,MATCH(H$28,FY16ProjSCH!$A$2:$S$2,0),FALSE)</f>
        <v>612531.18696700979</v>
      </c>
      <c r="I33" s="443">
        <f>+GPpcntSCH*(VLOOKUP($A33,FY16ProjRevAut15!$A$4:$I$24,9,FALSE))*VLOOKUP($A33,FY16ProjSCH!$A$3:$S$23,MATCH(I$28,FY16ProjSCH!$A$2:$S$2,0),FALSE)</f>
        <v>0</v>
      </c>
      <c r="J33" s="443">
        <f>+GPpcntSCH*(VLOOKUP($A33,FY16ProjRevAut15!$A$4:$I$24,9,FALSE))*VLOOKUP($A33,FY16ProjSCH!$A$3:$S$23,MATCH(J$28,FY16ProjSCH!$A$2:$S$2,0),FALSE)</f>
        <v>1025.0538639919168</v>
      </c>
      <c r="K33" s="443">
        <f>+GPpcntSCH*(VLOOKUP($A33,FY16ProjRevAut15!$A$4:$I$24,9,FALSE))*VLOOKUP($A33,FY16ProjSCH!$A$3:$S$23,MATCH(K$28,FY16ProjSCH!$A$2:$S$2,0),FALSE)</f>
        <v>6232.327493070854</v>
      </c>
      <c r="L33" s="443">
        <f>+GPpcntSCH*(VLOOKUP($A33,FY16ProjRevAut15!$A$4:$I$24,9,FALSE))*VLOOKUP($A33,FY16ProjSCH!$A$3:$S$23,MATCH(L$28,FY16ProjSCH!$A$2:$S$2,0),FALSE)</f>
        <v>0</v>
      </c>
      <c r="M33" s="443">
        <f>+GPpcntSCH*(VLOOKUP($A33,FY16ProjRevAut15!$A$4:$I$24,9,FALSE))*VLOOKUP($A33,FY16ProjSCH!$A$3:$S$23,MATCH(M$28,FY16ProjSCH!$A$2:$S$2,0),FALSE)</f>
        <v>0</v>
      </c>
      <c r="N33" s="443">
        <f>+GPpcntSCH*(VLOOKUP($A33,FY16ProjRevAut15!$A$4:$I$24,9,FALSE))*VLOOKUP($A33,FY16ProjSCH!$A$3:$S$23,MATCH(N$28,FY16ProjSCH!$A$2:$S$2,0),FALSE)</f>
        <v>1271.0667913499767</v>
      </c>
      <c r="O33" s="443">
        <f>+GPpcntSCH*(VLOOKUP($A33,FY16ProjRevAut15!$A$4:$I$24,9,FALSE))*VLOOKUP($A33,FY16ProjSCH!$A$3:$S$23,MATCH(O$28,FY16ProjSCH!$A$2:$S$2,0),FALSE)</f>
        <v>0</v>
      </c>
      <c r="P33" s="443">
        <f>+GPpcntSCH*(VLOOKUP($A33,FY16ProjRevAut15!$A$4:$I$24,9,FALSE))*VLOOKUP($A33,FY16ProjSCH!$A$3:$S$23,MATCH(P$28,FY16ProjSCH!$A$2:$S$2,0),FALSE)</f>
        <v>0</v>
      </c>
      <c r="Q33" s="443">
        <f>+GPpcntSCH*(VLOOKUP($A33,FY16ProjRevAut15!$A$4:$I$24,9,FALSE))*VLOOKUP($A33,FY16ProjSCH!$A$3:$S$23,MATCH(Q$28,FY16ProjSCH!$A$2:$S$2,0),FALSE)</f>
        <v>1435.0754095886834</v>
      </c>
      <c r="R33" s="443">
        <f>+GPpcntSCH*(VLOOKUP($A33,FY16ProjRevAut15!$A$4:$I$24,9,FALSE))*VLOOKUP($A33,FY16ProjSCH!$A$3:$S$23,MATCH(R$28,FY16ProjSCH!$A$2:$S$2,0),FALSE)</f>
        <v>123.00646367903001</v>
      </c>
      <c r="S33" s="443">
        <f>+GPpcntSCH*(VLOOKUP($A33,FY16ProjRevAut15!$A$4:$I$24,9,FALSE))*VLOOKUP($A33,FY16ProjSCH!$A$3:$S$23,MATCH(S$28,FY16ProjSCH!$A$2:$S$2,0),FALSE)</f>
        <v>1640.0861823870666</v>
      </c>
      <c r="T33" s="444">
        <f t="shared" si="22"/>
        <v>670590.23782351194</v>
      </c>
    </row>
    <row r="34" spans="1:91" s="18" customFormat="1" ht="18" customHeight="1">
      <c r="A34" s="404" t="s">
        <v>132</v>
      </c>
      <c r="B34" s="440" t="s">
        <v>206</v>
      </c>
      <c r="C34" s="410">
        <f>+GPpcntSCH*(VLOOKUP($A34,FY16ProjRevAut15!$A$4:$I$24,9,FALSE))*VLOOKUP($A34,FY16ProjSCH!$A$3:$S$23,MATCH(C$28,FY16ProjSCH!$A$2:$S$2,0),FALSE)</f>
        <v>0</v>
      </c>
      <c r="D34" s="410">
        <f>+GPpcntSCH*(VLOOKUP($A34,FY16ProjRevAut15!$A$4:$I$24,9,FALSE))*VLOOKUP($A34,FY16ProjSCH!$A$3:$S$23,MATCH(D$28,FY16ProjSCH!$A$2:$S$2,0),FALSE)</f>
        <v>26551.59397162994</v>
      </c>
      <c r="E34" s="410">
        <f>+GPpcntSCH*(VLOOKUP($A34,FY16ProjRevAut15!$A$4:$I$24,9,FALSE))*VLOOKUP($A34,FY16ProjSCH!$A$3:$S$23,MATCH(E$28,FY16ProjSCH!$A$2:$S$2,0),FALSE)</f>
        <v>169.38815930864391</v>
      </c>
      <c r="F34" s="410">
        <f>+GPpcntSCH*(VLOOKUP($A34,FY16ProjRevAut15!$A$4:$I$24,9,FALSE))*VLOOKUP($A34,FY16ProjSCH!$A$3:$S$23,MATCH(F$28,FY16ProjSCH!$A$2:$S$2,0),FALSE)</f>
        <v>798961.60041904624</v>
      </c>
      <c r="G34" s="410">
        <f>+GPpcntSCH*(VLOOKUP($A34,FY16ProjRevAut15!$A$4:$I$24,9,FALSE))*VLOOKUP($A34,FY16ProjSCH!$A$3:$S$23,MATCH(G$28,FY16ProjSCH!$A$2:$S$2,0),FALSE)</f>
        <v>296.42927879012689</v>
      </c>
      <c r="H34" s="410">
        <f>+GPpcntSCH*(VLOOKUP($A34,FY16ProjRevAut15!$A$4:$I$24,9,FALSE))*VLOOKUP($A34,FY16ProjSCH!$A$3:$S$23,MATCH(H$28,FY16ProjSCH!$A$2:$S$2,0),FALSE)</f>
        <v>3641.8454251358448</v>
      </c>
      <c r="I34" s="410">
        <f>+GPpcntSCH*(VLOOKUP($A34,FY16ProjRevAut15!$A$4:$I$24,9,FALSE))*VLOOKUP($A34,FY16ProjSCH!$A$3:$S$23,MATCH(I$28,FY16ProjSCH!$A$2:$S$2,0),FALSE)</f>
        <v>719.89967706173672</v>
      </c>
      <c r="J34" s="410">
        <f>+GPpcntSCH*(VLOOKUP($A34,FY16ProjRevAut15!$A$4:$I$24,9,FALSE))*VLOOKUP($A34,FY16ProjSCH!$A$3:$S$23,MATCH(J$28,FY16ProjSCH!$A$2:$S$2,0),FALSE)</f>
        <v>0</v>
      </c>
      <c r="K34" s="410">
        <f>+GPpcntSCH*(VLOOKUP($A34,FY16ProjRevAut15!$A$4:$I$24,9,FALSE))*VLOOKUP($A34,FY16ProjSCH!$A$3:$S$23,MATCH(K$28,FY16ProjSCH!$A$2:$S$2,0),FALSE)</f>
        <v>5589.8092571852503</v>
      </c>
      <c r="L34" s="410">
        <f>+GPpcntSCH*(VLOOKUP($A34,FY16ProjRevAut15!$A$4:$I$24,9,FALSE))*VLOOKUP($A34,FY16ProjSCH!$A$3:$S$23,MATCH(L$28,FY16ProjSCH!$A$2:$S$2,0),FALSE)</f>
        <v>2583.1694294568201</v>
      </c>
      <c r="M34" s="410">
        <f>+GPpcntSCH*(VLOOKUP($A34,FY16ProjRevAut15!$A$4:$I$24,9,FALSE))*VLOOKUP($A34,FY16ProjSCH!$A$3:$S$23,MATCH(M$28,FY16ProjSCH!$A$2:$S$2,0),FALSE)</f>
        <v>0</v>
      </c>
      <c r="N34" s="410">
        <f>+GPpcntSCH*(VLOOKUP($A34,FY16ProjRevAut15!$A$4:$I$24,9,FALSE))*VLOOKUP($A34,FY16ProjSCH!$A$3:$S$23,MATCH(N$28,FY16ProjSCH!$A$2:$S$2,0),FALSE)</f>
        <v>1143.3700753333464</v>
      </c>
      <c r="O34" s="410">
        <f>+GPpcntSCH*(VLOOKUP($A34,FY16ProjRevAut15!$A$4:$I$24,9,FALSE))*VLOOKUP($A34,FY16ProjSCH!$A$3:$S$23,MATCH(O$28,FY16ProjSCH!$A$2:$S$2,0),FALSE)</f>
        <v>423.47039827160978</v>
      </c>
      <c r="P34" s="410">
        <f>+GPpcntSCH*(VLOOKUP($A34,FY16ProjRevAut15!$A$4:$I$24,9,FALSE))*VLOOKUP($A34,FY16ProjSCH!$A$3:$S$23,MATCH(P$28,FY16ProjSCH!$A$2:$S$2,0),FALSE)</f>
        <v>0</v>
      </c>
      <c r="Q34" s="410">
        <f>+GPpcntSCH*(VLOOKUP($A34,FY16ProjRevAut15!$A$4:$I$24,9,FALSE))*VLOOKUP($A34,FY16ProjSCH!$A$3:$S$23,MATCH(Q$28,FY16ProjSCH!$A$2:$S$2,0),FALSE)</f>
        <v>1524.4934337777954</v>
      </c>
      <c r="R34" s="410">
        <f>+GPpcntSCH*(VLOOKUP($A34,FY16ProjRevAut15!$A$4:$I$24,9,FALSE))*VLOOKUP($A34,FY16ProjSCH!$A$3:$S$23,MATCH(R$28,FY16ProjSCH!$A$2:$S$2,0),FALSE)</f>
        <v>0</v>
      </c>
      <c r="S34" s="410">
        <f>+GPpcntSCH*(VLOOKUP($A34,FY16ProjRevAut15!$A$4:$I$24,9,FALSE))*VLOOKUP($A34,FY16ProjSCH!$A$3:$S$23,MATCH(S$28,FY16ProjSCH!$A$2:$S$2,0),FALSE)</f>
        <v>1312.7582346419904</v>
      </c>
      <c r="T34" s="441">
        <f t="shared" si="22"/>
        <v>842917.82775963924</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18" customHeight="1">
      <c r="A35" s="404" t="s">
        <v>131</v>
      </c>
      <c r="B35" s="442" t="s">
        <v>40</v>
      </c>
      <c r="C35" s="443"/>
      <c r="D35" s="443"/>
      <c r="E35" s="443"/>
      <c r="F35" s="443"/>
      <c r="G35" s="443"/>
      <c r="H35" s="443"/>
      <c r="I35" s="443"/>
      <c r="J35" s="443"/>
      <c r="K35" s="443"/>
      <c r="L35" s="443"/>
      <c r="M35" s="443"/>
      <c r="N35" s="443"/>
      <c r="O35" s="443"/>
      <c r="P35" s="443"/>
      <c r="Q35" s="443"/>
      <c r="R35" s="443"/>
      <c r="S35" s="443"/>
      <c r="T35" s="444">
        <f t="shared" si="22"/>
        <v>0</v>
      </c>
    </row>
    <row r="36" spans="1:91" s="18" customFormat="1" ht="18" customHeight="1">
      <c r="A36" s="404" t="s">
        <v>135</v>
      </c>
      <c r="B36" s="440" t="s">
        <v>70</v>
      </c>
      <c r="C36" s="410">
        <f>+GPpcntSCH*(VLOOKUP($A36,FY16ProjRevAut15!$A$4:$I$24,9,FALSE))*VLOOKUP($A36,FY16ProjSCH!$A$3:$S$23,MATCH(C$28,FY16ProjSCH!$A$2:$S$2,0),FALSE)</f>
        <v>119.51163137768094</v>
      </c>
      <c r="D36" s="410">
        <f>+GPpcntSCH*(VLOOKUP($A36,FY16ProjRevAut15!$A$4:$I$24,9,FALSE))*VLOOKUP($A36,FY16ProjSCH!$A$3:$S$23,MATCH(D$28,FY16ProjSCH!$A$2:$S$2,0),FALSE)</f>
        <v>6154.8490159505682</v>
      </c>
      <c r="E36" s="410">
        <f>+GPpcntSCH*(VLOOKUP($A36,FY16ProjRevAut15!$A$4:$I$24,9,FALSE))*VLOOKUP($A36,FY16ProjSCH!$A$3:$S$23,MATCH(E$28,FY16ProjSCH!$A$2:$S$2,0),FALSE)</f>
        <v>0</v>
      </c>
      <c r="F36" s="410">
        <f>+GPpcntSCH*(VLOOKUP($A36,FY16ProjRevAut15!$A$4:$I$24,9,FALSE))*VLOOKUP($A36,FY16ProjSCH!$A$3:$S$23,MATCH(F$28,FY16ProjSCH!$A$2:$S$2,0),FALSE)</f>
        <v>896.33723533260707</v>
      </c>
      <c r="G36" s="410">
        <f>+GPpcntSCH*(VLOOKUP($A36,FY16ProjRevAut15!$A$4:$I$24,9,FALSE))*VLOOKUP($A36,FY16ProjSCH!$A$3:$S$23,MATCH(G$28,FY16ProjSCH!$A$2:$S$2,0),FALSE)</f>
        <v>0</v>
      </c>
      <c r="H36" s="410">
        <f>+GPpcntSCH*(VLOOKUP($A36,FY16ProjRevAut15!$A$4:$I$24,9,FALSE))*VLOOKUP($A36,FY16ProjSCH!$A$3:$S$23,MATCH(H$28,FY16ProjSCH!$A$2:$S$2,0),FALSE)</f>
        <v>179.26744706652141</v>
      </c>
      <c r="I36" s="410">
        <f>+GPpcntSCH*(VLOOKUP($A36,FY16ProjRevAut15!$A$4:$I$24,9,FALSE))*VLOOKUP($A36,FY16ProjSCH!$A$3:$S$23,MATCH(I$28,FY16ProjSCH!$A$2:$S$2,0),FALSE)</f>
        <v>0</v>
      </c>
      <c r="J36" s="410">
        <f>+GPpcntSCH*(VLOOKUP($A36,FY16ProjRevAut15!$A$4:$I$24,9,FALSE))*VLOOKUP($A36,FY16ProjSCH!$A$3:$S$23,MATCH(J$28,FY16ProjSCH!$A$2:$S$2,0),FALSE)</f>
        <v>0</v>
      </c>
      <c r="K36" s="410">
        <f>+GPpcntSCH*(VLOOKUP($A36,FY16ProjRevAut15!$A$4:$I$24,9,FALSE))*VLOOKUP($A36,FY16ProjSCH!$A$3:$S$23,MATCH(K$28,FY16ProjSCH!$A$2:$S$2,0),FALSE)</f>
        <v>1912.1861020428951</v>
      </c>
      <c r="L36" s="410">
        <f>+GPpcntSCH*(VLOOKUP($A36,FY16ProjRevAut15!$A$4:$I$24,9,FALSE))*VLOOKUP($A36,FY16ProjSCH!$A$3:$S$23,MATCH(L$28,FY16ProjSCH!$A$2:$S$2,0),FALSE)</f>
        <v>588116.73800956784</v>
      </c>
      <c r="M36" s="410">
        <f>+GPpcntSCH*(VLOOKUP($A36,FY16ProjRevAut15!$A$4:$I$24,9,FALSE))*VLOOKUP($A36,FY16ProjSCH!$A$3:$S$23,MATCH(M$28,FY16ProjSCH!$A$2:$S$2,0),FALSE)</f>
        <v>0</v>
      </c>
      <c r="N36" s="410">
        <f>+GPpcntSCH*(VLOOKUP($A36,FY16ProjRevAut15!$A$4:$I$24,9,FALSE))*VLOOKUP($A36,FY16ProjSCH!$A$3:$S$23,MATCH(N$28,FY16ProjSCH!$A$2:$S$2,0),FALSE)</f>
        <v>7110.9420669720157</v>
      </c>
      <c r="O36" s="410">
        <f>+GPpcntSCH*(VLOOKUP($A36,FY16ProjRevAut15!$A$4:$I$24,9,FALSE))*VLOOKUP($A36,FY16ProjSCH!$A$3:$S$23,MATCH(O$28,FY16ProjSCH!$A$2:$S$2,0),FALSE)</f>
        <v>119.51163137768094</v>
      </c>
      <c r="P36" s="410">
        <f>+GPpcntSCH*(VLOOKUP($A36,FY16ProjRevAut15!$A$4:$I$24,9,FALSE))*VLOOKUP($A36,FY16ProjSCH!$A$3:$S$23,MATCH(P$28,FY16ProjSCH!$A$2:$S$2,0),FALSE)</f>
        <v>0</v>
      </c>
      <c r="Q36" s="410">
        <f>+GPpcntSCH*(VLOOKUP($A36,FY16ProjRevAut15!$A$4:$I$24,9,FALSE))*VLOOKUP($A36,FY16ProjSCH!$A$3:$S$23,MATCH(Q$28,FY16ProjSCH!$A$2:$S$2,0),FALSE)</f>
        <v>11234.093349502007</v>
      </c>
      <c r="R36" s="410">
        <f>+GPpcntSCH*(VLOOKUP($A36,FY16ProjRevAut15!$A$4:$I$24,9,FALSE))*VLOOKUP($A36,FY16ProjSCH!$A$3:$S$23,MATCH(R$28,FY16ProjSCH!$A$2:$S$2,0),FALSE)</f>
        <v>0</v>
      </c>
      <c r="S36" s="410">
        <f>+GPpcntSCH*(VLOOKUP($A36,FY16ProjRevAut15!$A$4:$I$24,9,FALSE))*VLOOKUP($A36,FY16ProjSCH!$A$3:$S$23,MATCH(S$28,FY16ProjSCH!$A$2:$S$2,0),FALSE)</f>
        <v>0</v>
      </c>
      <c r="T36" s="441">
        <f t="shared" si="22"/>
        <v>615843.43648918974</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18" customHeight="1">
      <c r="A37" s="404" t="s">
        <v>136</v>
      </c>
      <c r="B37" s="442" t="s">
        <v>144</v>
      </c>
      <c r="C37" s="443">
        <f>+GPpcntSCH*(VLOOKUP($A37,FY16ProjRevAut15!$A$4:$I$24,9,FALSE))*VLOOKUP($A37,FY16ProjSCH!$A$3:$S$23,MATCH(C$28,FY16ProjSCH!$A$2:$S$2,0),FALSE)</f>
        <v>138.91494948352707</v>
      </c>
      <c r="D37" s="443">
        <f>+GPpcntSCH*(VLOOKUP($A37,FY16ProjRevAut15!$A$4:$I$24,9,FALSE))*VLOOKUP($A37,FY16ProjSCH!$A$3:$S$23,MATCH(D$28,FY16ProjSCH!$A$2:$S$2,0),FALSE)</f>
        <v>25050.995890196049</v>
      </c>
      <c r="E37" s="443">
        <f>+GPpcntSCH*(VLOOKUP($A37,FY16ProjRevAut15!$A$4:$I$24,9,FALSE))*VLOOKUP($A37,FY16ProjSCH!$A$3:$S$23,MATCH(E$28,FY16ProjSCH!$A$2:$S$2,0),FALSE)</f>
        <v>277.82989896705413</v>
      </c>
      <c r="F37" s="443">
        <f>+GPpcntSCH*(VLOOKUP($A37,FY16ProjRevAut15!$A$4:$I$24,9,FALSE))*VLOOKUP($A37,FY16ProjSCH!$A$3:$S$23,MATCH(F$28,FY16ProjSCH!$A$2:$S$2,0),FALSE)</f>
        <v>277.82989896705413</v>
      </c>
      <c r="G37" s="443">
        <f>+GPpcntSCH*(VLOOKUP($A37,FY16ProjRevAut15!$A$4:$I$24,9,FALSE))*VLOOKUP($A37,FY16ProjSCH!$A$3:$S$23,MATCH(G$28,FY16ProjSCH!$A$2:$S$2,0),FALSE)</f>
        <v>2176.3342085752574</v>
      </c>
      <c r="H37" s="443">
        <f>+GPpcntSCH*(VLOOKUP($A37,FY16ProjRevAut15!$A$4:$I$24,9,FALSE))*VLOOKUP($A37,FY16ProjSCH!$A$3:$S$23,MATCH(H$28,FY16ProjSCH!$A$2:$S$2,0),FALSE)</f>
        <v>1342.844511674095</v>
      </c>
      <c r="I37" s="443">
        <f>+GPpcntSCH*(VLOOKUP($A37,FY16ProjRevAut15!$A$4:$I$24,9,FALSE))*VLOOKUP($A37,FY16ProjSCH!$A$3:$S$23,MATCH(I$28,FY16ProjSCH!$A$2:$S$2,0),FALSE)</f>
        <v>185.21993264470277</v>
      </c>
      <c r="J37" s="443">
        <f>+GPpcntSCH*(VLOOKUP($A37,FY16ProjRevAut15!$A$4:$I$24,9,FALSE))*VLOOKUP($A37,FY16ProjSCH!$A$3:$S$23,MATCH(J$28,FY16ProjSCH!$A$2:$S$2,0),FALSE)</f>
        <v>231.52491580587846</v>
      </c>
      <c r="K37" s="443">
        <f>+GPpcntSCH*(VLOOKUP($A37,FY16ProjRevAut15!$A$4:$I$24,9,FALSE))*VLOOKUP($A37,FY16ProjSCH!$A$3:$S$23,MATCH(K$28,FY16ProjSCH!$A$2:$S$2,0),FALSE)</f>
        <v>1481.7594611576221</v>
      </c>
      <c r="L37" s="443">
        <f>+GPpcntSCH*(VLOOKUP($A37,FY16ProjRevAut15!$A$4:$I$24,9,FALSE))*VLOOKUP($A37,FY16ProjSCH!$A$3:$S$23,MATCH(L$28,FY16ProjSCH!$A$2:$S$2,0),FALSE)</f>
        <v>416.74484845058117</v>
      </c>
      <c r="M37" s="443">
        <f>+GPpcntSCH*(VLOOKUP($A37,FY16ProjRevAut15!$A$4:$I$24,9,FALSE))*VLOOKUP($A37,FY16ProjSCH!$A$3:$S$23,MATCH(M$28,FY16ProjSCH!$A$2:$S$2,0),FALSE)</f>
        <v>92.609966322351383</v>
      </c>
      <c r="N37" s="443">
        <f>+GPpcntSCH*(VLOOKUP($A37,FY16ProjRevAut15!$A$4:$I$24,9,FALSE))*VLOOKUP($A37,FY16ProjSCH!$A$3:$S$23,MATCH(N$28,FY16ProjSCH!$A$2:$S$2,0),FALSE)</f>
        <v>12479.192961936849</v>
      </c>
      <c r="O37" s="443">
        <f>+GPpcntSCH*(VLOOKUP($A37,FY16ProjRevAut15!$A$4:$I$24,9,FALSE))*VLOOKUP($A37,FY16ProjSCH!$A$3:$S$23,MATCH(O$28,FY16ProjSCH!$A$2:$S$2,0),FALSE)</f>
        <v>185.21993264470277</v>
      </c>
      <c r="P37" s="443">
        <f>+GPpcntSCH*(VLOOKUP($A37,FY16ProjRevAut15!$A$4:$I$24,9,FALSE))*VLOOKUP($A37,FY16ProjSCH!$A$3:$S$23,MATCH(P$28,FY16ProjSCH!$A$2:$S$2,0),FALSE)</f>
        <v>2500.4690907034874</v>
      </c>
      <c r="Q37" s="443">
        <f>+GPpcntSCH*(VLOOKUP($A37,FY16ProjRevAut15!$A$4:$I$24,9,FALSE))*VLOOKUP($A37,FY16ProjSCH!$A$3:$S$23,MATCH(Q$28,FY16ProjSCH!$A$2:$S$2,0),FALSE)</f>
        <v>405654.80498347961</v>
      </c>
      <c r="R37" s="443">
        <f>+GPpcntSCH*(VLOOKUP($A37,FY16ProjRevAut15!$A$4:$I$24,9,FALSE))*VLOOKUP($A37,FY16ProjSCH!$A$3:$S$23,MATCH(R$28,FY16ProjSCH!$A$2:$S$2,0),FALSE)</f>
        <v>0</v>
      </c>
      <c r="S37" s="443">
        <f>+GPpcntSCH*(VLOOKUP($A37,FY16ProjRevAut15!$A$4:$I$24,9,FALSE))*VLOOKUP($A37,FY16ProjSCH!$A$3:$S$23,MATCH(S$28,FY16ProjSCH!$A$2:$S$2,0),FALSE)</f>
        <v>833.48969690116235</v>
      </c>
      <c r="T37" s="444">
        <f t="shared" si="22"/>
        <v>453325.78514791001</v>
      </c>
    </row>
    <row r="38" spans="1:91" s="18" customFormat="1" ht="18" customHeight="1">
      <c r="A38" s="404" t="s">
        <v>137</v>
      </c>
      <c r="B38" s="440" t="s">
        <v>49</v>
      </c>
      <c r="C38" s="410">
        <f>+GPpcntSCH*(VLOOKUP($A38,FY16ProjRevAut15!$A$4:$I$24,9,FALSE))*VLOOKUP($A38,FY16ProjSCH!$A$3:$S$23,MATCH(C$28,FY16ProjSCH!$A$2:$S$2,0),FALSE)</f>
        <v>1441.8277724688317</v>
      </c>
      <c r="D38" s="410">
        <f>+GPpcntSCH*(VLOOKUP($A38,FY16ProjRevAut15!$A$4:$I$24,9,FALSE))*VLOOKUP($A38,FY16ProjSCH!$A$3:$S$23,MATCH(D$28,FY16ProjSCH!$A$2:$S$2,0),FALSE)</f>
        <v>9593.7001783503038</v>
      </c>
      <c r="E38" s="410">
        <f>+GPpcntSCH*(VLOOKUP($A38,FY16ProjRevAut15!$A$4:$I$24,9,FALSE))*VLOOKUP($A38,FY16ProjSCH!$A$3:$S$23,MATCH(E$28,FY16ProjSCH!$A$2:$S$2,0),FALSE)</f>
        <v>0</v>
      </c>
      <c r="F38" s="410">
        <f>+GPpcntSCH*(VLOOKUP($A38,FY16ProjRevAut15!$A$4:$I$24,9,FALSE))*VLOOKUP($A38,FY16ProjSCH!$A$3:$S$23,MATCH(F$28,FY16ProjSCH!$A$2:$S$2,0),FALSE)</f>
        <v>166.36474297717291</v>
      </c>
      <c r="G38" s="410">
        <f>+GPpcntSCH*(VLOOKUP($A38,FY16ProjRevAut15!$A$4:$I$24,9,FALSE))*VLOOKUP($A38,FY16ProjSCH!$A$3:$S$23,MATCH(G$28,FY16ProjSCH!$A$2:$S$2,0),FALSE)</f>
        <v>1719.1023440974534</v>
      </c>
      <c r="H38" s="410">
        <f>+GPpcntSCH*(VLOOKUP($A38,FY16ProjRevAut15!$A$4:$I$24,9,FALSE))*VLOOKUP($A38,FY16ProjSCH!$A$3:$S$23,MATCH(H$28,FY16ProjSCH!$A$2:$S$2,0),FALSE)</f>
        <v>554.54914325724303</v>
      </c>
      <c r="I38" s="410">
        <f>+GPpcntSCH*(VLOOKUP($A38,FY16ProjRevAut15!$A$4:$I$24,9,FALSE))*VLOOKUP($A38,FY16ProjSCH!$A$3:$S$23,MATCH(I$28,FY16ProjSCH!$A$2:$S$2,0),FALSE)</f>
        <v>0</v>
      </c>
      <c r="J38" s="410">
        <f>+GPpcntSCH*(VLOOKUP($A38,FY16ProjRevAut15!$A$4:$I$24,9,FALSE))*VLOOKUP($A38,FY16ProjSCH!$A$3:$S$23,MATCH(J$28,FY16ProjSCH!$A$2:$S$2,0),FALSE)</f>
        <v>1053.6433721887618</v>
      </c>
      <c r="K38" s="410">
        <f>+GPpcntSCH*(VLOOKUP($A38,FY16ProjRevAut15!$A$4:$I$24,9,FALSE))*VLOOKUP($A38,FY16ProjSCH!$A$3:$S$23,MATCH(K$28,FY16ProjSCH!$A$2:$S$2,0),FALSE)</f>
        <v>1885.4670870746263</v>
      </c>
      <c r="L38" s="410">
        <f>+GPpcntSCH*(VLOOKUP($A38,FY16ProjRevAut15!$A$4:$I$24,9,FALSE))*VLOOKUP($A38,FY16ProjSCH!$A$3:$S$23,MATCH(L$28,FY16ProjSCH!$A$2:$S$2,0),FALSE)</f>
        <v>4214.573488755047</v>
      </c>
      <c r="M38" s="410">
        <f>+GPpcntSCH*(VLOOKUP($A38,FY16ProjRevAut15!$A$4:$I$24,9,FALSE))*VLOOKUP($A38,FY16ProjSCH!$A$3:$S$23,MATCH(M$28,FY16ProjSCH!$A$2:$S$2,0),FALSE)</f>
        <v>499.09422893151867</v>
      </c>
      <c r="N38" s="410">
        <f>+GPpcntSCH*(VLOOKUP($A38,FY16ProjRevAut15!$A$4:$I$24,9,FALSE))*VLOOKUP($A38,FY16ProjSCH!$A$3:$S$23,MATCH(N$28,FY16ProjSCH!$A$2:$S$2,0),FALSE)</f>
        <v>60140.854586248002</v>
      </c>
      <c r="O38" s="410">
        <f>+GPpcntSCH*(VLOOKUP($A38,FY16ProjRevAut15!$A$4:$I$24,9,FALSE))*VLOOKUP($A38,FY16ProjSCH!$A$3:$S$23,MATCH(O$28,FY16ProjSCH!$A$2:$S$2,0),FALSE)</f>
        <v>554.54914325724303</v>
      </c>
      <c r="P38" s="410">
        <f>+GPpcntSCH*(VLOOKUP($A38,FY16ProjRevAut15!$A$4:$I$24,9,FALSE))*VLOOKUP($A38,FY16ProjSCH!$A$3:$S$23,MATCH(P$28,FY16ProjSCH!$A$2:$S$2,0),FALSE)</f>
        <v>1275.463029491659</v>
      </c>
      <c r="Q38" s="410">
        <f>+GPpcntSCH*(VLOOKUP($A38,FY16ProjRevAut15!$A$4:$I$24,9,FALSE))*VLOOKUP($A38,FY16ProjSCH!$A$3:$S$23,MATCH(Q$28,FY16ProjSCH!$A$2:$S$2,0),FALSE)</f>
        <v>260804.46207388138</v>
      </c>
      <c r="R38" s="410">
        <f>+GPpcntSCH*(VLOOKUP($A38,FY16ProjRevAut15!$A$4:$I$24,9,FALSE))*VLOOKUP($A38,FY16ProjSCH!$A$3:$S$23,MATCH(R$28,FY16ProjSCH!$A$2:$S$2,0),FALSE)</f>
        <v>0</v>
      </c>
      <c r="S38" s="410">
        <f>+GPpcntSCH*(VLOOKUP($A38,FY16ProjRevAut15!$A$4:$I$24,9,FALSE))*VLOOKUP($A38,FY16ProjSCH!$A$3:$S$23,MATCH(S$28,FY16ProjSCH!$A$2:$S$2,0),FALSE)</f>
        <v>610.00405758296733</v>
      </c>
      <c r="T38" s="441">
        <f t="shared" si="22"/>
        <v>344513.65524856222</v>
      </c>
    </row>
    <row r="39" spans="1:91" ht="18" customHeight="1">
      <c r="A39" s="553" t="s">
        <v>145</v>
      </c>
      <c r="B39" s="442" t="s">
        <v>207</v>
      </c>
      <c r="C39" s="443">
        <f>+GPpcntSCH*(VLOOKUP($A39,FY16ProjRevAut15!$A$4:$I$24,9,FALSE))*VLOOKUP($A39,FY16ProjSCH!$A$3:$S$23,MATCH(C$28,FY16ProjSCH!$A$2:$S$2,0),FALSE)</f>
        <v>889559.24658820149</v>
      </c>
      <c r="D39" s="443">
        <f>+GPpcntSCH*(VLOOKUP($A39,FY16ProjRevAut15!$A$4:$I$24,9,FALSE))*VLOOKUP($A39,FY16ProjSCH!$A$3:$S$23,MATCH(D$28,FY16ProjSCH!$A$2:$S$2,0),FALSE)</f>
        <v>16436.630473955054</v>
      </c>
      <c r="E39" s="443">
        <f>+GPpcntSCH*(VLOOKUP($A39,FY16ProjRevAut15!$A$4:$I$24,9,FALSE))*VLOOKUP($A39,FY16ProjSCH!$A$3:$S$23,MATCH(E$28,FY16ProjSCH!$A$2:$S$2,0),FALSE)</f>
        <v>4769.5579500316007</v>
      </c>
      <c r="F39" s="443">
        <f>+GPpcntSCH*(VLOOKUP($A39,FY16ProjRevAut15!$A$4:$I$24,9,FALSE))*VLOOKUP($A39,FY16ProjSCH!$A$3:$S$23,MATCH(F$28,FY16ProjSCH!$A$2:$S$2,0),FALSE)</f>
        <v>0</v>
      </c>
      <c r="G39" s="443">
        <f>+GPpcntSCH*(VLOOKUP($A39,FY16ProjRevAut15!$A$4:$I$24,9,FALSE))*VLOOKUP($A39,FY16ProjSCH!$A$3:$S$23,MATCH(G$28,FY16ProjSCH!$A$2:$S$2,0),FALSE)</f>
        <v>4916.313579263342</v>
      </c>
      <c r="H39" s="443">
        <f>+GPpcntSCH*(VLOOKUP($A39,FY16ProjRevAut15!$A$4:$I$24,9,FALSE))*VLOOKUP($A39,FY16ProjSCH!$A$3:$S$23,MATCH(H$28,FY16ProjSCH!$A$2:$S$2,0),FALSE)</f>
        <v>11960.583782386937</v>
      </c>
      <c r="I39" s="443">
        <f>+GPpcntSCH*(VLOOKUP($A39,FY16ProjRevAut15!$A$4:$I$24,9,FALSE))*VLOOKUP($A39,FY16ProjSCH!$A$3:$S$23,MATCH(I$28,FY16ProjSCH!$A$2:$S$2,0),FALSE)</f>
        <v>146.75562923174158</v>
      </c>
      <c r="J39" s="443">
        <f>+GPpcntSCH*(VLOOKUP($A39,FY16ProjRevAut15!$A$4:$I$24,9,FALSE))*VLOOKUP($A39,FY16ProjSCH!$A$3:$S$23,MATCH(J$28,FY16ProjSCH!$A$2:$S$2,0),FALSE)</f>
        <v>440.26688769522468</v>
      </c>
      <c r="K39" s="443">
        <f>+GPpcntSCH*(VLOOKUP($A39,FY16ProjRevAut15!$A$4:$I$24,9,FALSE))*VLOOKUP($A39,FY16ProjSCH!$A$3:$S$23,MATCH(K$28,FY16ProjSCH!$A$2:$S$2,0),FALSE)</f>
        <v>12400.850670082164</v>
      </c>
      <c r="L39" s="443">
        <f>+GPpcntSCH*(VLOOKUP($A39,FY16ProjRevAut15!$A$4:$I$24,9,FALSE))*VLOOKUP($A39,FY16ProjSCH!$A$3:$S$23,MATCH(L$28,FY16ProjSCH!$A$2:$S$2,0),FALSE)</f>
        <v>0</v>
      </c>
      <c r="M39" s="443">
        <f>+GPpcntSCH*(VLOOKUP($A39,FY16ProjRevAut15!$A$4:$I$24,9,FALSE))*VLOOKUP($A39,FY16ProjSCH!$A$3:$S$23,MATCH(M$28,FY16ProjSCH!$A$2:$S$2,0),FALSE)</f>
        <v>0</v>
      </c>
      <c r="N39" s="443">
        <f>+GPpcntSCH*(VLOOKUP($A39,FY16ProjRevAut15!$A$4:$I$24,9,FALSE))*VLOOKUP($A39,FY16ProjSCH!$A$3:$S$23,MATCH(N$28,FY16ProjSCH!$A$2:$S$2,0),FALSE)</f>
        <v>513.64470231109544</v>
      </c>
      <c r="O39" s="443">
        <f>+GPpcntSCH*(VLOOKUP($A39,FY16ProjRevAut15!$A$4:$I$24,9,FALSE))*VLOOKUP($A39,FY16ProjSCH!$A$3:$S$23,MATCH(O$28,FY16ProjSCH!$A$2:$S$2,0),FALSE)</f>
        <v>0</v>
      </c>
      <c r="P39" s="443">
        <f>+GPpcntSCH*(VLOOKUP($A39,FY16ProjRevAut15!$A$4:$I$24,9,FALSE))*VLOOKUP($A39,FY16ProjSCH!$A$3:$S$23,MATCH(P$28,FY16ProjSCH!$A$2:$S$2,0),FALSE)</f>
        <v>0</v>
      </c>
      <c r="Q39" s="443">
        <f>+GPpcntSCH*(VLOOKUP($A39,FY16ProjRevAut15!$A$4:$I$24,9,FALSE))*VLOOKUP($A39,FY16ProjSCH!$A$3:$S$23,MATCH(Q$28,FY16ProjSCH!$A$2:$S$2,0),FALSE)</f>
        <v>2935.1125846348314</v>
      </c>
      <c r="R39" s="443">
        <f>+GPpcntSCH*(VLOOKUP($A39,FY16ProjRevAut15!$A$4:$I$24,9,FALSE))*VLOOKUP($A39,FY16ProjSCH!$A$3:$S$23,MATCH(R$28,FY16ProjSCH!$A$2:$S$2,0),FALSE)</f>
        <v>0</v>
      </c>
      <c r="S39" s="443">
        <f>+GPpcntSCH*(VLOOKUP($A39,FY16ProjRevAut15!$A$4:$I$24,9,FALSE))*VLOOKUP($A39,FY16ProjSCH!$A$3:$S$23,MATCH(S$28,FY16ProjSCH!$A$2:$S$2,0),FALSE)</f>
        <v>0</v>
      </c>
      <c r="T39" s="444">
        <f t="shared" si="22"/>
        <v>944078.96284779347</v>
      </c>
    </row>
    <row r="40" spans="1:91" s="18" customFormat="1" ht="18" customHeight="1">
      <c r="A40" s="404" t="s">
        <v>147</v>
      </c>
      <c r="B40" s="440" t="s">
        <v>208</v>
      </c>
      <c r="C40" s="410">
        <f>+GPpcntSCH*(VLOOKUP($A40,FY16ProjRevAut15!$A$4:$I$24,9,FALSE))*VLOOKUP($A40,FY16ProjSCH!$A$3:$S$23,MATCH(C$28,FY16ProjSCH!$A$2:$S$2,0),FALSE)</f>
        <v>0</v>
      </c>
      <c r="D40" s="410">
        <f>+GPpcntSCH*(VLOOKUP($A40,FY16ProjRevAut15!$A$4:$I$24,9,FALSE))*VLOOKUP($A40,FY16ProjSCH!$A$3:$S$23,MATCH(D$28,FY16ProjSCH!$A$2:$S$2,0),FALSE)</f>
        <v>1085.1603794265043</v>
      </c>
      <c r="E40" s="410">
        <f>+GPpcntSCH*(VLOOKUP($A40,FY16ProjRevAut15!$A$4:$I$24,9,FALSE))*VLOOKUP($A40,FY16ProjSCH!$A$3:$S$23,MATCH(E$28,FY16ProjSCH!$A$2:$S$2,0),FALSE)</f>
        <v>271.29009485662607</v>
      </c>
      <c r="F40" s="410">
        <f>+GPpcntSCH*(VLOOKUP($A40,FY16ProjRevAut15!$A$4:$I$24,9,FALSE))*VLOOKUP($A40,FY16ProjSCH!$A$3:$S$23,MATCH(F$28,FY16ProjSCH!$A$2:$S$2,0),FALSE)</f>
        <v>0</v>
      </c>
      <c r="G40" s="410">
        <f>+GPpcntSCH*(VLOOKUP($A40,FY16ProjRevAut15!$A$4:$I$24,9,FALSE))*VLOOKUP($A40,FY16ProjSCH!$A$3:$S$23,MATCH(G$28,FY16ProjSCH!$A$2:$S$2,0),FALSE)</f>
        <v>291094.27178115974</v>
      </c>
      <c r="H40" s="410">
        <f>+GPpcntSCH*(VLOOKUP($A40,FY16ProjRevAut15!$A$4:$I$24,9,FALSE))*VLOOKUP($A40,FY16ProjSCH!$A$3:$S$23,MATCH(H$28,FY16ProjSCH!$A$2:$S$2,0),FALSE)</f>
        <v>1899.0306639963824</v>
      </c>
      <c r="I40" s="410">
        <f>+GPpcntSCH*(VLOOKUP($A40,FY16ProjRevAut15!$A$4:$I$24,9,FALSE))*VLOOKUP($A40,FY16ProjSCH!$A$3:$S$23,MATCH(I$28,FY16ProjSCH!$A$2:$S$2,0),FALSE)</f>
        <v>1356.4504742831305</v>
      </c>
      <c r="J40" s="410">
        <f>+GPpcntSCH*(VLOOKUP($A40,FY16ProjRevAut15!$A$4:$I$24,9,FALSE))*VLOOKUP($A40,FY16ProjSCH!$A$3:$S$23,MATCH(J$28,FY16ProjSCH!$A$2:$S$2,0),FALSE)</f>
        <v>0</v>
      </c>
      <c r="K40" s="410">
        <f>+GPpcntSCH*(VLOOKUP($A40,FY16ProjRevAut15!$A$4:$I$24,9,FALSE))*VLOOKUP($A40,FY16ProjSCH!$A$3:$S$23,MATCH(K$28,FY16ProjSCH!$A$2:$S$2,0),FALSE)</f>
        <v>0</v>
      </c>
      <c r="L40" s="410">
        <f>+GPpcntSCH*(VLOOKUP($A40,FY16ProjRevAut15!$A$4:$I$24,9,FALSE))*VLOOKUP($A40,FY16ProjSCH!$A$3:$S$23,MATCH(L$28,FY16ProjSCH!$A$2:$S$2,0),FALSE)</f>
        <v>0</v>
      </c>
      <c r="M40" s="410">
        <f>+GPpcntSCH*(VLOOKUP($A40,FY16ProjRevAut15!$A$4:$I$24,9,FALSE))*VLOOKUP($A40,FY16ProjSCH!$A$3:$S$23,MATCH(M$28,FY16ProjSCH!$A$2:$S$2,0),FALSE)</f>
        <v>0</v>
      </c>
      <c r="N40" s="410">
        <f>+GPpcntSCH*(VLOOKUP($A40,FY16ProjRevAut15!$A$4:$I$24,9,FALSE))*VLOOKUP($A40,FY16ProjSCH!$A$3:$S$23,MATCH(N$28,FY16ProjSCH!$A$2:$S$2,0),FALSE)</f>
        <v>11394.183983978293</v>
      </c>
      <c r="O40" s="410">
        <f>+GPpcntSCH*(VLOOKUP($A40,FY16ProjRevAut15!$A$4:$I$24,9,FALSE))*VLOOKUP($A40,FY16ProjSCH!$A$3:$S$23,MATCH(O$28,FY16ProjSCH!$A$2:$S$2,0),FALSE)</f>
        <v>0</v>
      </c>
      <c r="P40" s="410">
        <f>+GPpcntSCH*(VLOOKUP($A40,FY16ProjRevAut15!$A$4:$I$24,9,FALSE))*VLOOKUP($A40,FY16ProjSCH!$A$3:$S$23,MATCH(P$28,FY16ProjSCH!$A$2:$S$2,0),FALSE)</f>
        <v>0</v>
      </c>
      <c r="Q40" s="410">
        <f>+GPpcntSCH*(VLOOKUP($A40,FY16ProjRevAut15!$A$4:$I$24,9,FALSE))*VLOOKUP($A40,FY16ProjSCH!$A$3:$S$23,MATCH(Q$28,FY16ProjSCH!$A$2:$S$2,0),FALSE)</f>
        <v>406.9351422849391</v>
      </c>
      <c r="R40" s="410">
        <f>+GPpcntSCH*(VLOOKUP($A40,FY16ProjRevAut15!$A$4:$I$24,9,FALSE))*VLOOKUP($A40,FY16ProjSCH!$A$3:$S$23,MATCH(R$28,FY16ProjSCH!$A$2:$S$2,0),FALSE)</f>
        <v>0</v>
      </c>
      <c r="S40" s="410">
        <f>+GPpcntSCH*(VLOOKUP($A40,FY16ProjRevAut15!$A$4:$I$24,9,FALSE))*VLOOKUP($A40,FY16ProjSCH!$A$3:$S$23,MATCH(S$28,FY16ProjSCH!$A$2:$S$2,0),FALSE)</f>
        <v>1627.7405691397564</v>
      </c>
      <c r="T40" s="441">
        <f t="shared" si="22"/>
        <v>309135.06308912544</v>
      </c>
    </row>
    <row r="41" spans="1:91" ht="18" customHeight="1">
      <c r="A41" s="404" t="s">
        <v>148</v>
      </c>
      <c r="B41" s="442" t="s">
        <v>39</v>
      </c>
      <c r="C41" s="443">
        <f>+GPpcntSCH*(VLOOKUP($A41,FY16ProjRevAut15!$A$4:$I$24,9,FALSE))*VLOOKUP($A41,FY16ProjSCH!$A$3:$S$23,MATCH(C$28,FY16ProjSCH!$A$2:$S$2,0),FALSE)</f>
        <v>7994.2885341230267</v>
      </c>
      <c r="D41" s="443">
        <f>+GPpcntSCH*(VLOOKUP($A41,FY16ProjRevAut15!$A$4:$I$24,9,FALSE))*VLOOKUP($A41,FY16ProjSCH!$A$3:$S$23,MATCH(D$28,FY16ProjSCH!$A$2:$S$2,0),FALSE)</f>
        <v>40558.179443761779</v>
      </c>
      <c r="E41" s="443">
        <f>+GPpcntSCH*(VLOOKUP($A41,FY16ProjRevAut15!$A$4:$I$24,9,FALSE))*VLOOKUP($A41,FY16ProjSCH!$A$3:$S$23,MATCH(E$28,FY16ProjSCH!$A$2:$S$2,0),FALSE)</f>
        <v>13861.65626558947</v>
      </c>
      <c r="F41" s="443">
        <f>+GPpcntSCH*(VLOOKUP($A41,FY16ProjRevAut15!$A$4:$I$24,9,FALSE))*VLOOKUP($A41,FY16ProjSCH!$A$3:$S$23,MATCH(F$28,FY16ProjSCH!$A$2:$S$2,0),FALSE)</f>
        <v>3667.1048321665262</v>
      </c>
      <c r="G41" s="443">
        <f>+GPpcntSCH*(VLOOKUP($A41,FY16ProjRevAut15!$A$4:$I$24,9,FALSE))*VLOOKUP($A41,FY16ProjSCH!$A$3:$S$23,MATCH(G$28,FY16ProjSCH!$A$2:$S$2,0),FALSE)</f>
        <v>1760.2103194399326</v>
      </c>
      <c r="H41" s="443">
        <f>+GPpcntSCH*(VLOOKUP($A41,FY16ProjRevAut15!$A$4:$I$24,9,FALSE))*VLOOKUP($A41,FY16ProjSCH!$A$3:$S$23,MATCH(H$28,FY16ProjSCH!$A$2:$S$2,0),FALSE)</f>
        <v>22662.707862789135</v>
      </c>
      <c r="I41" s="443">
        <f>+GPpcntSCH*(VLOOKUP($A41,FY16ProjRevAut15!$A$4:$I$24,9,FALSE))*VLOOKUP($A41,FY16ProjSCH!$A$3:$S$23,MATCH(I$28,FY16ProjSCH!$A$2:$S$2,0),FALSE)</f>
        <v>1246.815642936619</v>
      </c>
      <c r="J41" s="443">
        <f>+GPpcntSCH*(VLOOKUP($A41,FY16ProjRevAut15!$A$4:$I$24,9,FALSE))*VLOOKUP($A41,FY16ProjSCH!$A$3:$S$23,MATCH(J$28,FY16ProjSCH!$A$2:$S$2,0),FALSE)</f>
        <v>4180.49950866984</v>
      </c>
      <c r="K41" s="443">
        <f>+GPpcntSCH*(VLOOKUP($A41,FY16ProjRevAut15!$A$4:$I$24,9,FALSE))*VLOOKUP($A41,FY16ProjSCH!$A$3:$S$23,MATCH(K$28,FY16ProjSCH!$A$2:$S$2,0),FALSE)</f>
        <v>784173.69731049007</v>
      </c>
      <c r="L41" s="443">
        <f>+GPpcntSCH*(VLOOKUP($A41,FY16ProjRevAut15!$A$4:$I$24,9,FALSE))*VLOOKUP($A41,FY16ProjSCH!$A$3:$S$23,MATCH(L$28,FY16ProjSCH!$A$2:$S$2,0),FALSE)</f>
        <v>3227.0522523065433</v>
      </c>
      <c r="M41" s="443">
        <f>+GPpcntSCH*(VLOOKUP($A41,FY16ProjRevAut15!$A$4:$I$24,9,FALSE))*VLOOKUP($A41,FY16ProjSCH!$A$3:$S$23,MATCH(M$28,FY16ProjSCH!$A$2:$S$2,0),FALSE)</f>
        <v>0</v>
      </c>
      <c r="N41" s="443">
        <f>+GPpcntSCH*(VLOOKUP($A41,FY16ProjRevAut15!$A$4:$I$24,9,FALSE))*VLOOKUP($A41,FY16ProjSCH!$A$3:$S$23,MATCH(N$28,FY16ProjSCH!$A$2:$S$2,0),FALSE)</f>
        <v>4987.2625717464762</v>
      </c>
      <c r="O41" s="443">
        <f>+GPpcntSCH*(VLOOKUP($A41,FY16ProjRevAut15!$A$4:$I$24,9,FALSE))*VLOOKUP($A41,FY16ProjSCH!$A$3:$S$23,MATCH(O$28,FY16ProjSCH!$A$2:$S$2,0),FALSE)</f>
        <v>0</v>
      </c>
      <c r="P41" s="443">
        <f>+GPpcntSCH*(VLOOKUP($A41,FY16ProjRevAut15!$A$4:$I$24,9,FALSE))*VLOOKUP($A41,FY16ProjSCH!$A$3:$S$23,MATCH(P$28,FY16ProjSCH!$A$2:$S$2,0),FALSE)</f>
        <v>0</v>
      </c>
      <c r="Q41" s="443">
        <f>+GPpcntSCH*(VLOOKUP($A41,FY16ProjRevAut15!$A$4:$I$24,9,FALSE))*VLOOKUP($A41,FY16ProjSCH!$A$3:$S$23,MATCH(Q$28,FY16ProjSCH!$A$2:$S$2,0),FALSE)</f>
        <v>19949.050286985905</v>
      </c>
      <c r="R41" s="443">
        <f>+GPpcntSCH*(VLOOKUP($A41,FY16ProjRevAut15!$A$4:$I$24,9,FALSE))*VLOOKUP($A41,FY16ProjSCH!$A$3:$S$23,MATCH(R$28,FY16ProjSCH!$A$2:$S$2,0),FALSE)</f>
        <v>0</v>
      </c>
      <c r="S41" s="443">
        <f>+GPpcntSCH*(VLOOKUP($A41,FY16ProjRevAut15!$A$4:$I$24,9,FALSE))*VLOOKUP($A41,FY16ProjSCH!$A$3:$S$23,MATCH(S$28,FY16ProjSCH!$A$2:$S$2,0),FALSE)</f>
        <v>220.02628992999158</v>
      </c>
      <c r="T41" s="444">
        <f t="shared" si="22"/>
        <v>908488.55112093524</v>
      </c>
    </row>
    <row r="42" spans="1:91" s="18" customFormat="1" ht="18" customHeight="1">
      <c r="A42" s="404" t="s">
        <v>149</v>
      </c>
      <c r="B42" s="440" t="s">
        <v>38</v>
      </c>
      <c r="C42" s="410">
        <f>+GPpcntSCH*(VLOOKUP($A42,FY16ProjRevAut15!$A$4:$I$24,9,FALSE))*VLOOKUP($A42,FY16ProjSCH!$A$3:$S$23,MATCH(C$28,FY16ProjSCH!$A$2:$S$2,0),FALSE)</f>
        <v>2531.1100502818222</v>
      </c>
      <c r="D42" s="410">
        <f>+GPpcntSCH*(VLOOKUP($A42,FY16ProjRevAut15!$A$4:$I$24,9,FALSE))*VLOOKUP($A42,FY16ProjSCH!$A$3:$S$23,MATCH(D$28,FY16ProjSCH!$A$2:$S$2,0),FALSE)</f>
        <v>4490.6791214677487</v>
      </c>
      <c r="E42" s="410">
        <f>+GPpcntSCH*(VLOOKUP($A42,FY16ProjRevAut15!$A$4:$I$24,9,FALSE))*VLOOKUP($A42,FY16ProjSCH!$A$3:$S$23,MATCH(E$28,FY16ProjSCH!$A$2:$S$2,0),FALSE)</f>
        <v>905157.61346529925</v>
      </c>
      <c r="F42" s="410">
        <f>+GPpcntSCH*(VLOOKUP($A42,FY16ProjRevAut15!$A$4:$I$24,9,FALSE))*VLOOKUP($A42,FY16ProjSCH!$A$3:$S$23,MATCH(F$28,FY16ProjSCH!$A$2:$S$2,0),FALSE)</f>
        <v>0</v>
      </c>
      <c r="G42" s="410">
        <f>+GPpcntSCH*(VLOOKUP($A42,FY16ProjRevAut15!$A$4:$I$24,9,FALSE))*VLOOKUP($A42,FY16ProjSCH!$A$3:$S$23,MATCH(G$28,FY16ProjSCH!$A$2:$S$2,0),FALSE)</f>
        <v>3919.1381423718535</v>
      </c>
      <c r="H42" s="410">
        <f>+GPpcntSCH*(VLOOKUP($A42,FY16ProjRevAut15!$A$4:$I$24,9,FALSE))*VLOOKUP($A42,FY16ProjSCH!$A$3:$S$23,MATCH(H$28,FY16ProjSCH!$A$2:$S$2,0),FALSE)</f>
        <v>0</v>
      </c>
      <c r="I42" s="410">
        <f>+GPpcntSCH*(VLOOKUP($A42,FY16ProjRevAut15!$A$4:$I$24,9,FALSE))*VLOOKUP($A42,FY16ProjSCH!$A$3:$S$23,MATCH(I$28,FY16ProjSCH!$A$2:$S$2,0),FALSE)</f>
        <v>2286.1639163835812</v>
      </c>
      <c r="J42" s="410">
        <f>+GPpcntSCH*(VLOOKUP($A42,FY16ProjRevAut15!$A$4:$I$24,9,FALSE))*VLOOKUP($A42,FY16ProjSCH!$A$3:$S$23,MATCH(J$28,FY16ProjSCH!$A$2:$S$2,0),FALSE)</f>
        <v>816.48711299413606</v>
      </c>
      <c r="K42" s="410">
        <f>+GPpcntSCH*(VLOOKUP($A42,FY16ProjRevAut15!$A$4:$I$24,9,FALSE))*VLOOKUP($A42,FY16ProjSCH!$A$3:$S$23,MATCH(K$28,FY16ProjSCH!$A$2:$S$2,0),FALSE)</f>
        <v>4245.7329875695077</v>
      </c>
      <c r="L42" s="410">
        <f>+GPpcntSCH*(VLOOKUP($A42,FY16ProjRevAut15!$A$4:$I$24,9,FALSE))*VLOOKUP($A42,FY16ProjSCH!$A$3:$S$23,MATCH(L$28,FY16ProjSCH!$A$2:$S$2,0),FALSE)</f>
        <v>0</v>
      </c>
      <c r="M42" s="410">
        <f>+GPpcntSCH*(VLOOKUP($A42,FY16ProjRevAut15!$A$4:$I$24,9,FALSE))*VLOOKUP($A42,FY16ProjSCH!$A$3:$S$23,MATCH(M$28,FY16ProjSCH!$A$2:$S$2,0),FALSE)</f>
        <v>0</v>
      </c>
      <c r="N42" s="410">
        <f>+GPpcntSCH*(VLOOKUP($A42,FY16ProjRevAut15!$A$4:$I$24,9,FALSE))*VLOOKUP($A42,FY16ProjSCH!$A$3:$S$23,MATCH(N$28,FY16ProjSCH!$A$2:$S$2,0),FALSE)</f>
        <v>1306.3793807906177</v>
      </c>
      <c r="O42" s="410">
        <f>+GPpcntSCH*(VLOOKUP($A42,FY16ProjRevAut15!$A$4:$I$24,9,FALSE))*VLOOKUP($A42,FY16ProjSCH!$A$3:$S$23,MATCH(O$28,FY16ProjSCH!$A$2:$S$2,0),FALSE)</f>
        <v>0</v>
      </c>
      <c r="P42" s="410">
        <f>+GPpcntSCH*(VLOOKUP($A42,FY16ProjRevAut15!$A$4:$I$24,9,FALSE))*VLOOKUP($A42,FY16ProjSCH!$A$3:$S$23,MATCH(P$28,FY16ProjSCH!$A$2:$S$2,0),FALSE)</f>
        <v>0</v>
      </c>
      <c r="Q42" s="410">
        <f>+GPpcntSCH*(VLOOKUP($A42,FY16ProjRevAut15!$A$4:$I$24,9,FALSE))*VLOOKUP($A42,FY16ProjSCH!$A$3:$S$23,MATCH(Q$28,FY16ProjSCH!$A$2:$S$2,0),FALSE)</f>
        <v>1714.6229372876858</v>
      </c>
      <c r="R42" s="410">
        <f>+GPpcntSCH*(VLOOKUP($A42,FY16ProjRevAut15!$A$4:$I$24,9,FALSE))*VLOOKUP($A42,FY16ProjSCH!$A$3:$S$23,MATCH(R$28,FY16ProjSCH!$A$2:$S$2,0),FALSE)</f>
        <v>0</v>
      </c>
      <c r="S42" s="410">
        <f>+GPpcntSCH*(VLOOKUP($A42,FY16ProjRevAut15!$A$4:$I$24,9,FALSE))*VLOOKUP($A42,FY16ProjSCH!$A$3:$S$23,MATCH(S$28,FY16ProjSCH!$A$2:$S$2,0),FALSE)</f>
        <v>0</v>
      </c>
      <c r="T42" s="441">
        <f t="shared" si="22"/>
        <v>926467.92711444641</v>
      </c>
    </row>
    <row r="43" spans="1:91" ht="18" customHeight="1">
      <c r="A43" s="404" t="s">
        <v>150</v>
      </c>
      <c r="B43" s="442" t="s">
        <v>31</v>
      </c>
      <c r="C43" s="443">
        <f>+GPpcntSCH*(VLOOKUP($A43,FY16ProjRevAut15!$A$4:$I$24,9,FALSE))*VLOOKUP($A43,FY16ProjSCH!$A$3:$S$23,MATCH(C$28,FY16ProjSCH!$A$2:$S$2,0),FALSE)</f>
        <v>1387.9941356751081</v>
      </c>
      <c r="D43" s="443">
        <f>+GPpcntSCH*(VLOOKUP($A43,FY16ProjRevAut15!$A$4:$I$24,9,FALSE))*VLOOKUP($A43,FY16ProjSCH!$A$3:$S$23,MATCH(D$28,FY16ProjSCH!$A$2:$S$2,0),FALSE)</f>
        <v>12578.696854555667</v>
      </c>
      <c r="E43" s="443">
        <f>+GPpcntSCH*(VLOOKUP($A43,FY16ProjRevAut15!$A$4:$I$24,9,FALSE))*VLOOKUP($A43,FY16ProjSCH!$A$3:$S$23,MATCH(E$28,FY16ProjSCH!$A$2:$S$2,0),FALSE)</f>
        <v>5031.4787418222668</v>
      </c>
      <c r="F43" s="443">
        <f>+GPpcntSCH*(VLOOKUP($A43,FY16ProjRevAut15!$A$4:$I$24,9,FALSE))*VLOOKUP($A43,FY16ProjSCH!$A$3:$S$23,MATCH(F$28,FY16ProjSCH!$A$2:$S$2,0),FALSE)</f>
        <v>2255.4904704720507</v>
      </c>
      <c r="G43" s="443">
        <f>+GPpcntSCH*(VLOOKUP($A43,FY16ProjRevAut15!$A$4:$I$24,9,FALSE))*VLOOKUP($A43,FY16ProjSCH!$A$3:$S$23,MATCH(G$28,FY16ProjSCH!$A$2:$S$2,0),FALSE)</f>
        <v>346.99853391877701</v>
      </c>
      <c r="H43" s="443">
        <f>+GPpcntSCH*(VLOOKUP($A43,FY16ProjRevAut15!$A$4:$I$24,9,FALSE))*VLOOKUP($A43,FY16ProjSCH!$A$3:$S$23,MATCH(H$28,FY16ProjSCH!$A$2:$S$2,0),FALSE)</f>
        <v>260.24890043908272</v>
      </c>
      <c r="I43" s="443">
        <f>+GPpcntSCH*(VLOOKUP($A43,FY16ProjRevAut15!$A$4:$I$24,9,FALSE))*VLOOKUP($A43,FY16ProjSCH!$A$3:$S$23,MATCH(I$28,FY16ProjSCH!$A$2:$S$2,0),FALSE)</f>
        <v>6939.97067837554</v>
      </c>
      <c r="J43" s="443">
        <f>+GPpcntSCH*(VLOOKUP($A43,FY16ProjRevAut15!$A$4:$I$24,9,FALSE))*VLOOKUP($A43,FY16ProjSCH!$A$3:$S$23,MATCH(J$28,FY16ProjSCH!$A$2:$S$2,0),FALSE)</f>
        <v>1927663.6055522859</v>
      </c>
      <c r="K43" s="443">
        <f>+GPpcntSCH*(VLOOKUP($A43,FY16ProjRevAut15!$A$4:$I$24,9,FALSE))*VLOOKUP($A43,FY16ProjSCH!$A$3:$S$23,MATCH(K$28,FY16ProjSCH!$A$2:$S$2,0),FALSE)</f>
        <v>346.99853391877701</v>
      </c>
      <c r="L43" s="443">
        <f>+GPpcntSCH*(VLOOKUP($A43,FY16ProjRevAut15!$A$4:$I$24,9,FALSE))*VLOOKUP($A43,FY16ProjSCH!$A$3:$S$23,MATCH(L$28,FY16ProjSCH!$A$2:$S$2,0),FALSE)</f>
        <v>260.24890043908272</v>
      </c>
      <c r="M43" s="443">
        <f>+GPpcntSCH*(VLOOKUP($A43,FY16ProjRevAut15!$A$4:$I$24,9,FALSE))*VLOOKUP($A43,FY16ProjSCH!$A$3:$S$23,MATCH(M$28,FY16ProjSCH!$A$2:$S$2,0),FALSE)</f>
        <v>0</v>
      </c>
      <c r="N43" s="443">
        <f>+GPpcntSCH*(VLOOKUP($A43,FY16ProjRevAut15!$A$4:$I$24,9,FALSE))*VLOOKUP($A43,FY16ProjSCH!$A$3:$S$23,MATCH(N$28,FY16ProjSCH!$A$2:$S$2,0),FALSE)</f>
        <v>86.749633479694253</v>
      </c>
      <c r="O43" s="443">
        <f>+GPpcntSCH*(VLOOKUP($A43,FY16ProjRevAut15!$A$4:$I$24,9,FALSE))*VLOOKUP($A43,FY16ProjSCH!$A$3:$S$23,MATCH(O$28,FY16ProjSCH!$A$2:$S$2,0),FALSE)</f>
        <v>0</v>
      </c>
      <c r="P43" s="443">
        <f>+GPpcntSCH*(VLOOKUP($A43,FY16ProjRevAut15!$A$4:$I$24,9,FALSE))*VLOOKUP($A43,FY16ProjSCH!$A$3:$S$23,MATCH(P$28,FY16ProjSCH!$A$2:$S$2,0),FALSE)</f>
        <v>260.24890043908272</v>
      </c>
      <c r="Q43" s="443">
        <f>+GPpcntSCH*(VLOOKUP($A43,FY16ProjRevAut15!$A$4:$I$24,9,FALSE))*VLOOKUP($A43,FY16ProjSCH!$A$3:$S$23,MATCH(Q$28,FY16ProjSCH!$A$2:$S$2,0),FALSE)</f>
        <v>3730.2342396268527</v>
      </c>
      <c r="R43" s="443">
        <f>+GPpcntSCH*(VLOOKUP($A43,FY16ProjRevAut15!$A$4:$I$24,9,FALSE))*VLOOKUP($A43,FY16ProjSCH!$A$3:$S$23,MATCH(R$28,FY16ProjSCH!$A$2:$S$2,0),FALSE)</f>
        <v>0</v>
      </c>
      <c r="S43" s="443">
        <f>+GPpcntSCH*(VLOOKUP($A43,FY16ProjRevAut15!$A$4:$I$24,9,FALSE))*VLOOKUP($A43,FY16ProjSCH!$A$3:$S$23,MATCH(S$28,FY16ProjSCH!$A$2:$S$2,0),FALSE)</f>
        <v>693.99706783755403</v>
      </c>
      <c r="T43" s="444">
        <f t="shared" si="22"/>
        <v>1961842.9611432855</v>
      </c>
    </row>
    <row r="44" spans="1:91" s="18" customFormat="1" ht="18" customHeight="1">
      <c r="A44" s="404" t="s">
        <v>151</v>
      </c>
      <c r="B44" s="440" t="s">
        <v>209</v>
      </c>
      <c r="C44" s="410">
        <f>+GPpcntSCH*(VLOOKUP($A44,FY16ProjRevAut15!$A$4:$I$24,9,FALSE))*VLOOKUP($A44,FY16ProjSCH!$A$3:$S$23,MATCH(C$28,FY16ProjSCH!$A$2:$S$2,0),FALSE)</f>
        <v>0</v>
      </c>
      <c r="D44" s="410">
        <f>+GPpcntSCH*(VLOOKUP($A44,FY16ProjRevAut15!$A$4:$I$24,9,FALSE))*VLOOKUP($A44,FY16ProjSCH!$A$3:$S$23,MATCH(D$28,FY16ProjSCH!$A$2:$S$2,0),FALSE)</f>
        <v>11644.535393367762</v>
      </c>
      <c r="E44" s="410">
        <f>+GPpcntSCH*(VLOOKUP($A44,FY16ProjRevAut15!$A$4:$I$24,9,FALSE))*VLOOKUP($A44,FY16ProjSCH!$A$3:$S$23,MATCH(E$28,FY16ProjSCH!$A$2:$S$2,0),FALSE)</f>
        <v>1270.3129520037558</v>
      </c>
      <c r="F44" s="410">
        <f>+GPpcntSCH*(VLOOKUP($A44,FY16ProjRevAut15!$A$4:$I$24,9,FALSE))*VLOOKUP($A44,FY16ProjSCH!$A$3:$S$23,MATCH(F$28,FY16ProjSCH!$A$2:$S$2,0),FALSE)</f>
        <v>0</v>
      </c>
      <c r="G44" s="410">
        <f>+GPpcntSCH*(VLOOKUP($A44,FY16ProjRevAut15!$A$4:$I$24,9,FALSE))*VLOOKUP($A44,FY16ProjSCH!$A$3:$S$23,MATCH(G$28,FY16ProjSCH!$A$2:$S$2,0),FALSE)</f>
        <v>0</v>
      </c>
      <c r="H44" s="410">
        <f>+GPpcntSCH*(VLOOKUP($A44,FY16ProjRevAut15!$A$4:$I$24,9,FALSE))*VLOOKUP($A44,FY16ProjSCH!$A$3:$S$23,MATCH(H$28,FY16ProjSCH!$A$2:$S$2,0),FALSE)</f>
        <v>317.57823800093894</v>
      </c>
      <c r="I44" s="410">
        <f>+GPpcntSCH*(VLOOKUP($A44,FY16ProjRevAut15!$A$4:$I$24,9,FALSE))*VLOOKUP($A44,FY16ProjSCH!$A$3:$S$23,MATCH(I$28,FY16ProjSCH!$A$2:$S$2,0),FALSE)</f>
        <v>0</v>
      </c>
      <c r="J44" s="410">
        <f>+GPpcntSCH*(VLOOKUP($A44,FY16ProjRevAut15!$A$4:$I$24,9,FALSE))*VLOOKUP($A44,FY16ProjSCH!$A$3:$S$23,MATCH(J$28,FY16ProjSCH!$A$2:$S$2,0),FALSE)</f>
        <v>244746.96208605697</v>
      </c>
      <c r="K44" s="410">
        <f>+GPpcntSCH*(VLOOKUP($A44,FY16ProjRevAut15!$A$4:$I$24,9,FALSE))*VLOOKUP($A44,FY16ProjSCH!$A$3:$S$23,MATCH(K$28,FY16ProjSCH!$A$2:$S$2,0),FALSE)</f>
        <v>2328.9070786735524</v>
      </c>
      <c r="L44" s="410">
        <f>+GPpcntSCH*(VLOOKUP($A44,FY16ProjRevAut15!$A$4:$I$24,9,FALSE))*VLOOKUP($A44,FY16ProjSCH!$A$3:$S$23,MATCH(L$28,FY16ProjSCH!$A$2:$S$2,0),FALSE)</f>
        <v>0</v>
      </c>
      <c r="M44" s="410">
        <f>+GPpcntSCH*(VLOOKUP($A44,FY16ProjRevAut15!$A$4:$I$24,9,FALSE))*VLOOKUP($A44,FY16ProjSCH!$A$3:$S$23,MATCH(M$28,FY16ProjSCH!$A$2:$S$2,0),FALSE)</f>
        <v>0</v>
      </c>
      <c r="N44" s="410">
        <f>+GPpcntSCH*(VLOOKUP($A44,FY16ProjRevAut15!$A$4:$I$24,9,FALSE))*VLOOKUP($A44,FY16ProjSCH!$A$3:$S$23,MATCH(N$28,FY16ProjSCH!$A$2:$S$2,0),FALSE)</f>
        <v>317.57823800093894</v>
      </c>
      <c r="O44" s="410">
        <f>+GPpcntSCH*(VLOOKUP($A44,FY16ProjRevAut15!$A$4:$I$24,9,FALSE))*VLOOKUP($A44,FY16ProjSCH!$A$3:$S$23,MATCH(O$28,FY16ProjSCH!$A$2:$S$2,0),FALSE)</f>
        <v>0</v>
      </c>
      <c r="P44" s="410">
        <f>+GPpcntSCH*(VLOOKUP($A44,FY16ProjRevAut15!$A$4:$I$24,9,FALSE))*VLOOKUP($A44,FY16ProjSCH!$A$3:$S$23,MATCH(P$28,FY16ProjSCH!$A$2:$S$2,0),FALSE)</f>
        <v>0</v>
      </c>
      <c r="Q44" s="410">
        <f>+GPpcntSCH*(VLOOKUP($A44,FY16ProjRevAut15!$A$4:$I$24,9,FALSE))*VLOOKUP($A44,FY16ProjSCH!$A$3:$S$23,MATCH(Q$28,FY16ProjSCH!$A$2:$S$2,0),FALSE)</f>
        <v>529.29706333489821</v>
      </c>
      <c r="R44" s="410">
        <f>+GPpcntSCH*(VLOOKUP($A44,FY16ProjRevAut15!$A$4:$I$24,9,FALSE))*VLOOKUP($A44,FY16ProjSCH!$A$3:$S$23,MATCH(R$28,FY16ProjSCH!$A$2:$S$2,0),FALSE)</f>
        <v>0</v>
      </c>
      <c r="S44" s="410">
        <f>+GPpcntSCH*(VLOOKUP($A44,FY16ProjRevAut15!$A$4:$I$24,9,FALSE))*VLOOKUP($A44,FY16ProjSCH!$A$3:$S$23,MATCH(S$28,FY16ProjSCH!$A$2:$S$2,0),FALSE)</f>
        <v>423.43765066791866</v>
      </c>
      <c r="T44" s="441">
        <f t="shared" si="22"/>
        <v>261578.60870010674</v>
      </c>
    </row>
    <row r="45" spans="1:91" ht="18" customHeight="1">
      <c r="A45" s="404" t="s">
        <v>153</v>
      </c>
      <c r="B45" s="442" t="s">
        <v>100</v>
      </c>
      <c r="C45" s="443">
        <f>+GPpcntSCH*(VLOOKUP($A45,FY16ProjRevAut15!$A$4:$I$24,9,FALSE))*VLOOKUP($A45,FY16ProjSCH!$A$3:$S$23,MATCH(C$28,FY16ProjSCH!$A$2:$S$2,0),FALSE)</f>
        <v>736.44174834781381</v>
      </c>
      <c r="D45" s="443">
        <f>+GPpcntSCH*(VLOOKUP($A45,FY16ProjRevAut15!$A$4:$I$24,9,FALSE))*VLOOKUP($A45,FY16ProjSCH!$A$3:$S$23,MATCH(D$28,FY16ProjSCH!$A$2:$S$2,0),FALSE)</f>
        <v>1104.6626225217208</v>
      </c>
      <c r="E45" s="443">
        <f>+GPpcntSCH*(VLOOKUP($A45,FY16ProjRevAut15!$A$4:$I$24,9,FALSE))*VLOOKUP($A45,FY16ProjSCH!$A$3:$S$23,MATCH(E$28,FY16ProjSCH!$A$2:$S$2,0),FALSE)</f>
        <v>1963.8446622608369</v>
      </c>
      <c r="F45" s="443">
        <f>+GPpcntSCH*(VLOOKUP($A45,FY16ProjRevAut15!$A$4:$I$24,9,FALSE))*VLOOKUP($A45,FY16ProjSCH!$A$3:$S$23,MATCH(F$28,FY16ProjSCH!$A$2:$S$2,0),FALSE)</f>
        <v>0</v>
      </c>
      <c r="G45" s="443">
        <f>+GPpcntSCH*(VLOOKUP($A45,FY16ProjRevAut15!$A$4:$I$24,9,FALSE))*VLOOKUP($A45,FY16ProjSCH!$A$3:$S$23,MATCH(G$28,FY16ProjSCH!$A$2:$S$2,0),FALSE)</f>
        <v>0</v>
      </c>
      <c r="H45" s="443">
        <f>+GPpcntSCH*(VLOOKUP($A45,FY16ProjRevAut15!$A$4:$I$24,9,FALSE))*VLOOKUP($A45,FY16ProjSCH!$A$3:$S$23,MATCH(H$28,FY16ProjSCH!$A$2:$S$2,0),FALSE)</f>
        <v>0</v>
      </c>
      <c r="I45" s="443">
        <f>+GPpcntSCH*(VLOOKUP($A45,FY16ProjRevAut15!$A$4:$I$24,9,FALSE))*VLOOKUP($A45,FY16ProjSCH!$A$3:$S$23,MATCH(I$28,FY16ProjSCH!$A$2:$S$2,0),FALSE)</f>
        <v>368.22087417390691</v>
      </c>
      <c r="J45" s="443">
        <f>+GPpcntSCH*(VLOOKUP($A45,FY16ProjRevAut15!$A$4:$I$24,9,FALSE))*VLOOKUP($A45,FY16ProjSCH!$A$3:$S$23,MATCH(J$28,FY16ProjSCH!$A$2:$S$2,0),FALSE)</f>
        <v>0</v>
      </c>
      <c r="K45" s="443">
        <f>+GPpcntSCH*(VLOOKUP($A45,FY16ProjRevAut15!$A$4:$I$24,9,FALSE))*VLOOKUP($A45,FY16ProjSCH!$A$3:$S$23,MATCH(K$28,FY16ProjSCH!$A$2:$S$2,0),FALSE)</f>
        <v>2454.805827826046</v>
      </c>
      <c r="L45" s="443">
        <f>+GPpcntSCH*(VLOOKUP($A45,FY16ProjRevAut15!$A$4:$I$24,9,FALSE))*VLOOKUP($A45,FY16ProjSCH!$A$3:$S$23,MATCH(L$28,FY16ProjSCH!$A$2:$S$2,0),FALSE)</f>
        <v>736.44174834781381</v>
      </c>
      <c r="M45" s="443">
        <f>+GPpcntSCH*(VLOOKUP($A45,FY16ProjRevAut15!$A$4:$I$24,9,FALSE))*VLOOKUP($A45,FY16ProjSCH!$A$3:$S$23,MATCH(M$28,FY16ProjSCH!$A$2:$S$2,0),FALSE)</f>
        <v>0</v>
      </c>
      <c r="N45" s="443">
        <f>+GPpcntSCH*(VLOOKUP($A45,FY16ProjRevAut15!$A$4:$I$24,9,FALSE))*VLOOKUP($A45,FY16ProjSCH!$A$3:$S$23,MATCH(N$28,FY16ProjSCH!$A$2:$S$2,0),FALSE)</f>
        <v>4909.6116556520919</v>
      </c>
      <c r="O45" s="443">
        <f>+GPpcntSCH*(VLOOKUP($A45,FY16ProjRevAut15!$A$4:$I$24,9,FALSE))*VLOOKUP($A45,FY16ProjSCH!$A$3:$S$23,MATCH(O$28,FY16ProjSCH!$A$2:$S$2,0),FALSE)</f>
        <v>250390.1944382567</v>
      </c>
      <c r="P45" s="443">
        <f>+GPpcntSCH*(VLOOKUP($A45,FY16ProjRevAut15!$A$4:$I$24,9,FALSE))*VLOOKUP($A45,FY16ProjSCH!$A$3:$S$23,MATCH(P$28,FY16ProjSCH!$A$2:$S$2,0),FALSE)</f>
        <v>6873.4563179129291</v>
      </c>
      <c r="Q45" s="443">
        <f>+GPpcntSCH*(VLOOKUP($A45,FY16ProjRevAut15!$A$4:$I$24,9,FALSE))*VLOOKUP($A45,FY16ProjSCH!$A$3:$S$23,MATCH(Q$28,FY16ProjSCH!$A$2:$S$2,0),FALSE)</f>
        <v>6137.0145695651154</v>
      </c>
      <c r="R45" s="443">
        <f>+GPpcntSCH*(VLOOKUP($A45,FY16ProjRevAut15!$A$4:$I$24,9,FALSE))*VLOOKUP($A45,FY16ProjSCH!$A$3:$S$23,MATCH(R$28,FY16ProjSCH!$A$2:$S$2,0),FALSE)</f>
        <v>0</v>
      </c>
      <c r="S45" s="443">
        <f>+GPpcntSCH*(VLOOKUP($A45,FY16ProjRevAut15!$A$4:$I$24,9,FALSE))*VLOOKUP($A45,FY16ProjSCH!$A$3:$S$23,MATCH(S$28,FY16ProjSCH!$A$2:$S$2,0),FALSE)</f>
        <v>122.74029139130231</v>
      </c>
      <c r="T45" s="444">
        <f t="shared" si="22"/>
        <v>275797.43475625629</v>
      </c>
    </row>
    <row r="46" spans="1:91" s="18" customFormat="1" ht="18" customHeight="1">
      <c r="A46" s="404" t="s">
        <v>155</v>
      </c>
      <c r="B46" s="440" t="s">
        <v>42</v>
      </c>
      <c r="C46" s="410">
        <f>+GPpcntSCH*(VLOOKUP($A46,FY16ProjRevAut15!$A$4:$I$24,9,FALSE))*VLOOKUP($A46,FY16ProjSCH!$A$3:$S$23,MATCH(C$28,FY16ProjSCH!$A$2:$S$2,0),FALSE)</f>
        <v>0</v>
      </c>
      <c r="D46" s="410">
        <f>+GPpcntSCH*(VLOOKUP($A46,FY16ProjRevAut15!$A$4:$I$24,9,FALSE))*VLOOKUP($A46,FY16ProjSCH!$A$3:$S$23,MATCH(D$28,FY16ProjSCH!$A$2:$S$2,0),FALSE)</f>
        <v>1842.1083861129075</v>
      </c>
      <c r="E46" s="410">
        <f>+GPpcntSCH*(VLOOKUP($A46,FY16ProjRevAut15!$A$4:$I$24,9,FALSE))*VLOOKUP($A46,FY16ProjSCH!$A$3:$S$23,MATCH(E$28,FY16ProjSCH!$A$2:$S$2,0),FALSE)</f>
        <v>736.84335444516307</v>
      </c>
      <c r="F46" s="410">
        <f>+GPpcntSCH*(VLOOKUP($A46,FY16ProjRevAut15!$A$4:$I$24,9,FALSE))*VLOOKUP($A46,FY16ProjSCH!$A$3:$S$23,MATCH(F$28,FY16ProjSCH!$A$2:$S$2,0),FALSE)</f>
        <v>0</v>
      </c>
      <c r="G46" s="410">
        <f>+GPpcntSCH*(VLOOKUP($A46,FY16ProjRevAut15!$A$4:$I$24,9,FALSE))*VLOOKUP($A46,FY16ProjSCH!$A$3:$S$23,MATCH(G$28,FY16ProjSCH!$A$2:$S$2,0),FALSE)</f>
        <v>0</v>
      </c>
      <c r="H46" s="410">
        <f>+GPpcntSCH*(VLOOKUP($A46,FY16ProjRevAut15!$A$4:$I$24,9,FALSE))*VLOOKUP($A46,FY16ProjSCH!$A$3:$S$23,MATCH(H$28,FY16ProjSCH!$A$2:$S$2,0),FALSE)</f>
        <v>0</v>
      </c>
      <c r="I46" s="410">
        <f>+GPpcntSCH*(VLOOKUP($A46,FY16ProjRevAut15!$A$4:$I$24,9,FALSE))*VLOOKUP($A46,FY16ProjSCH!$A$3:$S$23,MATCH(I$28,FY16ProjSCH!$A$2:$S$2,0),FALSE)</f>
        <v>0</v>
      </c>
      <c r="J46" s="410">
        <f>+GPpcntSCH*(VLOOKUP($A46,FY16ProjRevAut15!$A$4:$I$24,9,FALSE))*VLOOKUP($A46,FY16ProjSCH!$A$3:$S$23,MATCH(J$28,FY16ProjSCH!$A$2:$S$2,0),FALSE)</f>
        <v>0</v>
      </c>
      <c r="K46" s="410">
        <f>+GPpcntSCH*(VLOOKUP($A46,FY16ProjRevAut15!$A$4:$I$24,9,FALSE))*VLOOKUP($A46,FY16ProjSCH!$A$3:$S$23,MATCH(K$28,FY16ProjSCH!$A$2:$S$2,0),FALSE)</f>
        <v>0</v>
      </c>
      <c r="L46" s="410">
        <f>+GPpcntSCH*(VLOOKUP($A46,FY16ProjRevAut15!$A$4:$I$24,9,FALSE))*VLOOKUP($A46,FY16ProjSCH!$A$3:$S$23,MATCH(L$28,FY16ProjSCH!$A$2:$S$2,0),FALSE)</f>
        <v>0</v>
      </c>
      <c r="M46" s="410">
        <f>+GPpcntSCH*(VLOOKUP($A46,FY16ProjRevAut15!$A$4:$I$24,9,FALSE))*VLOOKUP($A46,FY16ProjSCH!$A$3:$S$23,MATCH(M$28,FY16ProjSCH!$A$2:$S$2,0),FALSE)</f>
        <v>147.36867088903261</v>
      </c>
      <c r="N46" s="410">
        <f>+GPpcntSCH*(VLOOKUP($A46,FY16ProjRevAut15!$A$4:$I$24,9,FALSE))*VLOOKUP($A46,FY16ProjSCH!$A$3:$S$23,MATCH(N$28,FY16ProjSCH!$A$2:$S$2,0),FALSE)</f>
        <v>145305.50949658616</v>
      </c>
      <c r="O46" s="410">
        <f>+GPpcntSCH*(VLOOKUP($A46,FY16ProjRevAut15!$A$4:$I$24,9,FALSE))*VLOOKUP($A46,FY16ProjSCH!$A$3:$S$23,MATCH(O$28,FY16ProjSCH!$A$2:$S$2,0),FALSE)</f>
        <v>2726.3204114471032</v>
      </c>
      <c r="P46" s="410">
        <f>+GPpcntSCH*(VLOOKUP($A46,FY16ProjRevAut15!$A$4:$I$24,9,FALSE))*VLOOKUP($A46,FY16ProjSCH!$A$3:$S$23,MATCH(P$28,FY16ProjSCH!$A$2:$S$2,0),FALSE)</f>
        <v>1215423.1131572963</v>
      </c>
      <c r="Q46" s="410">
        <f>+GPpcntSCH*(VLOOKUP($A46,FY16ProjRevAut15!$A$4:$I$24,9,FALSE))*VLOOKUP($A46,FY16ProjSCH!$A$3:$S$23,MATCH(Q$28,FY16ProjSCH!$A$2:$S$2,0),FALSE)</f>
        <v>12821.074367345838</v>
      </c>
      <c r="R46" s="410">
        <f>+GPpcntSCH*(VLOOKUP($A46,FY16ProjRevAut15!$A$4:$I$24,9,FALSE))*VLOOKUP($A46,FY16ProjSCH!$A$3:$S$23,MATCH(R$28,FY16ProjSCH!$A$2:$S$2,0),FALSE)</f>
        <v>0</v>
      </c>
      <c r="S46" s="410">
        <f>+GPpcntSCH*(VLOOKUP($A46,FY16ProjRevAut15!$A$4:$I$24,9,FALSE))*VLOOKUP($A46,FY16ProjSCH!$A$3:$S$23,MATCH(S$28,FY16ProjSCH!$A$2:$S$2,0),FALSE)</f>
        <v>0</v>
      </c>
      <c r="T46" s="441">
        <f t="shared" si="22"/>
        <v>1379002.3378441224</v>
      </c>
    </row>
    <row r="47" spans="1:91" ht="18" customHeight="1">
      <c r="A47" s="404" t="s">
        <v>162</v>
      </c>
      <c r="B47" s="442" t="s">
        <v>76</v>
      </c>
      <c r="C47" s="443">
        <f>+GPpcntSCH*(VLOOKUP($A47,FY16ProjRevAut15!$A$4:$I$24,9,FALSE))*VLOOKUP($A47,FY16ProjSCH!$A$3:$S$23,MATCH(C$28,FY16ProjSCH!$A$2:$S$2,0),FALSE)</f>
        <v>0</v>
      </c>
      <c r="D47" s="443">
        <f>+GPpcntSCH*(VLOOKUP($A47,FY16ProjRevAut15!$A$4:$I$24,9,FALSE))*VLOOKUP($A47,FY16ProjSCH!$A$3:$S$23,MATCH(D$28,FY16ProjSCH!$A$2:$S$2,0),FALSE)</f>
        <v>825.76503159573474</v>
      </c>
      <c r="E47" s="443">
        <f>+GPpcntSCH*(VLOOKUP($A47,FY16ProjRevAut15!$A$4:$I$24,9,FALSE))*VLOOKUP($A47,FY16ProjSCH!$A$3:$S$23,MATCH(E$28,FY16ProjSCH!$A$2:$S$2,0),FALSE)</f>
        <v>0</v>
      </c>
      <c r="F47" s="443">
        <f>+GPpcntSCH*(VLOOKUP($A47,FY16ProjRevAut15!$A$4:$I$24,9,FALSE))*VLOOKUP($A47,FY16ProjSCH!$A$3:$S$23,MATCH(F$28,FY16ProjSCH!$A$2:$S$2,0),FALSE)</f>
        <v>0</v>
      </c>
      <c r="G47" s="443">
        <f>+GPpcntSCH*(VLOOKUP($A47,FY16ProjRevAut15!$A$4:$I$24,9,FALSE))*VLOOKUP($A47,FY16ProjSCH!$A$3:$S$23,MATCH(G$28,FY16ProjSCH!$A$2:$S$2,0),FALSE)</f>
        <v>1032.2062894946682</v>
      </c>
      <c r="H47" s="443">
        <f>+GPpcntSCH*(VLOOKUP($A47,FY16ProjRevAut15!$A$4:$I$24,9,FALSE))*VLOOKUP($A47,FY16ProjSCH!$A$3:$S$23,MATCH(H$28,FY16ProjSCH!$A$2:$S$2,0),FALSE)</f>
        <v>206.44125789893369</v>
      </c>
      <c r="I47" s="443">
        <f>+GPpcntSCH*(VLOOKUP($A47,FY16ProjRevAut15!$A$4:$I$24,9,FALSE))*VLOOKUP($A47,FY16ProjSCH!$A$3:$S$23,MATCH(I$28,FY16ProjSCH!$A$2:$S$2,0),FALSE)</f>
        <v>0</v>
      </c>
      <c r="J47" s="443">
        <f>+GPpcntSCH*(VLOOKUP($A47,FY16ProjRevAut15!$A$4:$I$24,9,FALSE))*VLOOKUP($A47,FY16ProjSCH!$A$3:$S$23,MATCH(J$28,FY16ProjSCH!$A$2:$S$2,0),FALSE)</f>
        <v>0</v>
      </c>
      <c r="K47" s="443">
        <f>+GPpcntSCH*(VLOOKUP($A47,FY16ProjRevAut15!$A$4:$I$24,9,FALSE))*VLOOKUP($A47,FY16ProjSCH!$A$3:$S$23,MATCH(K$28,FY16ProjSCH!$A$2:$S$2,0),FALSE)</f>
        <v>0</v>
      </c>
      <c r="L47" s="443">
        <f>+GPpcntSCH*(VLOOKUP($A47,FY16ProjRevAut15!$A$4:$I$24,9,FALSE))*VLOOKUP($A47,FY16ProjSCH!$A$3:$S$23,MATCH(L$28,FY16ProjSCH!$A$2:$S$2,0),FALSE)</f>
        <v>0</v>
      </c>
      <c r="M47" s="443">
        <f>+GPpcntSCH*(VLOOKUP($A47,FY16ProjRevAut15!$A$4:$I$24,9,FALSE))*VLOOKUP($A47,FY16ProjSCH!$A$3:$S$23,MATCH(M$28,FY16ProjSCH!$A$2:$S$2,0),FALSE)</f>
        <v>0</v>
      </c>
      <c r="N47" s="443">
        <f>+GPpcntSCH*(VLOOKUP($A47,FY16ProjRevAut15!$A$4:$I$24,9,FALSE))*VLOOKUP($A47,FY16ProjSCH!$A$3:$S$23,MATCH(N$28,FY16ProjSCH!$A$2:$S$2,0),FALSE)</f>
        <v>2925960.7619542195</v>
      </c>
      <c r="O47" s="443">
        <f>+GPpcntSCH*(VLOOKUP($A47,FY16ProjRevAut15!$A$4:$I$24,9,FALSE))*VLOOKUP($A47,FY16ProjSCH!$A$3:$S$23,MATCH(O$28,FY16ProjSCH!$A$2:$S$2,0),FALSE)</f>
        <v>0</v>
      </c>
      <c r="P47" s="443">
        <f>+GPpcntSCH*(VLOOKUP($A47,FY16ProjRevAut15!$A$4:$I$24,9,FALSE))*VLOOKUP($A47,FY16ProjSCH!$A$3:$S$23,MATCH(P$28,FY16ProjSCH!$A$2:$S$2,0),FALSE)</f>
        <v>0</v>
      </c>
      <c r="Q47" s="443">
        <f>+GPpcntSCH*(VLOOKUP($A47,FY16ProjRevAut15!$A$4:$I$24,9,FALSE))*VLOOKUP($A47,FY16ProjSCH!$A$3:$S$23,MATCH(Q$28,FY16ProjSCH!$A$2:$S$2,0),FALSE)</f>
        <v>6606.1202527658779</v>
      </c>
      <c r="R47" s="443">
        <f>+GPpcntSCH*(VLOOKUP($A47,FY16ProjRevAut15!$A$4:$I$24,9,FALSE))*VLOOKUP($A47,FY16ProjSCH!$A$3:$S$23,MATCH(R$28,FY16ProjSCH!$A$2:$S$2,0),FALSE)</f>
        <v>0</v>
      </c>
      <c r="S47" s="443">
        <f>+GPpcntSCH*(VLOOKUP($A47,FY16ProjRevAut15!$A$4:$I$24,9,FALSE))*VLOOKUP($A47,FY16ProjSCH!$A$3:$S$23,MATCH(S$28,FY16ProjSCH!$A$2:$S$2,0),FALSE)</f>
        <v>0</v>
      </c>
      <c r="T47" s="444">
        <f t="shared" si="22"/>
        <v>2934631.2947859745</v>
      </c>
    </row>
    <row r="48" spans="1:91" s="18" customFormat="1" ht="18" customHeight="1">
      <c r="A48" s="404" t="s">
        <v>156</v>
      </c>
      <c r="B48" s="440" t="s">
        <v>77</v>
      </c>
      <c r="C48" s="410">
        <f>+GPpcntSCH*(VLOOKUP($A48,FY16ProjRevAut15!$A$4:$I$24,9,FALSE))*VLOOKUP($A48,FY16ProjSCH!$A$3:$S$23,MATCH(C$28,FY16ProjSCH!$A$2:$S$2,0),FALSE)</f>
        <v>0</v>
      </c>
      <c r="D48" s="410">
        <f>+GPpcntSCH*(VLOOKUP($A48,FY16ProjRevAut15!$A$4:$I$24,9,FALSE))*VLOOKUP($A48,FY16ProjSCH!$A$3:$S$23,MATCH(D$28,FY16ProjSCH!$A$2:$S$2,0),FALSE)</f>
        <v>424.23161445306869</v>
      </c>
      <c r="E48" s="410">
        <f>+GPpcntSCH*(VLOOKUP($A48,FY16ProjRevAut15!$A$4:$I$24,9,FALSE))*VLOOKUP($A48,FY16ProjSCH!$A$3:$S$23,MATCH(E$28,FY16ProjSCH!$A$2:$S$2,0),FALSE)</f>
        <v>0</v>
      </c>
      <c r="F48" s="410">
        <f>+GPpcntSCH*(VLOOKUP($A48,FY16ProjRevAut15!$A$4:$I$24,9,FALSE))*VLOOKUP($A48,FY16ProjSCH!$A$3:$S$23,MATCH(F$28,FY16ProjSCH!$A$2:$S$2,0),FALSE)</f>
        <v>0</v>
      </c>
      <c r="G48" s="410">
        <f>+GPpcntSCH*(VLOOKUP($A48,FY16ProjRevAut15!$A$4:$I$24,9,FALSE))*VLOOKUP($A48,FY16ProjSCH!$A$3:$S$23,MATCH(G$28,FY16ProjSCH!$A$2:$S$2,0),FALSE)</f>
        <v>0</v>
      </c>
      <c r="H48" s="410">
        <f>+GPpcntSCH*(VLOOKUP($A48,FY16ProjRevAut15!$A$4:$I$24,9,FALSE))*VLOOKUP($A48,FY16ProjSCH!$A$3:$S$23,MATCH(H$28,FY16ProjSCH!$A$2:$S$2,0),FALSE)</f>
        <v>0</v>
      </c>
      <c r="I48" s="410">
        <f>+GPpcntSCH*(VLOOKUP($A48,FY16ProjRevAut15!$A$4:$I$24,9,FALSE))*VLOOKUP($A48,FY16ProjSCH!$A$3:$S$23,MATCH(I$28,FY16ProjSCH!$A$2:$S$2,0),FALSE)</f>
        <v>0</v>
      </c>
      <c r="J48" s="410">
        <f>+GPpcntSCH*(VLOOKUP($A48,FY16ProjRevAut15!$A$4:$I$24,9,FALSE))*VLOOKUP($A48,FY16ProjSCH!$A$3:$S$23,MATCH(J$28,FY16ProjSCH!$A$2:$S$2,0),FALSE)</f>
        <v>0</v>
      </c>
      <c r="K48" s="410">
        <f>+GPpcntSCH*(VLOOKUP($A48,FY16ProjRevAut15!$A$4:$I$24,9,FALSE))*VLOOKUP($A48,FY16ProjSCH!$A$3:$S$23,MATCH(K$28,FY16ProjSCH!$A$2:$S$2,0),FALSE)</f>
        <v>0</v>
      </c>
      <c r="L48" s="410">
        <f>+GPpcntSCH*(VLOOKUP($A48,FY16ProjRevAut15!$A$4:$I$24,9,FALSE))*VLOOKUP($A48,FY16ProjSCH!$A$3:$S$23,MATCH(L$28,FY16ProjSCH!$A$2:$S$2,0),FALSE)</f>
        <v>0</v>
      </c>
      <c r="M48" s="410">
        <f>+GPpcntSCH*(VLOOKUP($A48,FY16ProjRevAut15!$A$4:$I$24,9,FALSE))*VLOOKUP($A48,FY16ProjSCH!$A$3:$S$23,MATCH(M$28,FY16ProjSCH!$A$2:$S$2,0),FALSE)</f>
        <v>1008045.0212095667</v>
      </c>
      <c r="N48" s="410">
        <f>+GPpcntSCH*(VLOOKUP($A48,FY16ProjRevAut15!$A$4:$I$24,9,FALSE))*VLOOKUP($A48,FY16ProjSCH!$A$3:$S$23,MATCH(N$28,FY16ProjSCH!$A$2:$S$2,0),FALSE)</f>
        <v>150107.28624731081</v>
      </c>
      <c r="O48" s="410">
        <f>+GPpcntSCH*(VLOOKUP($A48,FY16ProjRevAut15!$A$4:$I$24,9,FALSE))*VLOOKUP($A48,FY16ProjSCH!$A$3:$S$23,MATCH(O$28,FY16ProjSCH!$A$2:$S$2,0),FALSE)</f>
        <v>0</v>
      </c>
      <c r="P48" s="410">
        <f>+GPpcntSCH*(VLOOKUP($A48,FY16ProjRevAut15!$A$4:$I$24,9,FALSE))*VLOOKUP($A48,FY16ProjSCH!$A$3:$S$23,MATCH(P$28,FY16ProjSCH!$A$2:$S$2,0),FALSE)</f>
        <v>0</v>
      </c>
      <c r="Q48" s="410">
        <f>+GPpcntSCH*(VLOOKUP($A48,FY16ProjRevAut15!$A$4:$I$24,9,FALSE))*VLOOKUP($A48,FY16ProjSCH!$A$3:$S$23,MATCH(Q$28,FY16ProjSCH!$A$2:$S$2,0),FALSE)</f>
        <v>0</v>
      </c>
      <c r="R48" s="410">
        <f>+GPpcntSCH*(VLOOKUP($A48,FY16ProjRevAut15!$A$4:$I$24,9,FALSE))*VLOOKUP($A48,FY16ProjSCH!$A$3:$S$23,MATCH(R$28,FY16ProjSCH!$A$2:$S$2,0),FALSE)</f>
        <v>0</v>
      </c>
      <c r="S48" s="410">
        <f>+GPpcntSCH*(VLOOKUP($A48,FY16ProjRevAut15!$A$4:$I$24,9,FALSE))*VLOOKUP($A48,FY16ProjSCH!$A$3:$S$23,MATCH(S$28,FY16ProjSCH!$A$2:$S$2,0),FALSE)</f>
        <v>0</v>
      </c>
      <c r="T48" s="441">
        <f t="shared" si="22"/>
        <v>1158576.5390713306</v>
      </c>
    </row>
    <row r="49" spans="1:20" ht="18" customHeight="1">
      <c r="A49" s="404" t="s">
        <v>163</v>
      </c>
      <c r="B49" s="445" t="s">
        <v>164</v>
      </c>
      <c r="C49" s="443">
        <f>+GPpcntSCH*(VLOOKUP($A49,FY16ProjRevAut15!$A$4:$I$24,9,FALSE))*VLOOKUP($A49,FY16ProjSCH!$A$3:$S$23,MATCH(C$28,FY16ProjSCH!$A$2:$S$2,0),FALSE)</f>
        <v>0</v>
      </c>
      <c r="D49" s="443">
        <f>+GPpcntSCH*(VLOOKUP($A49,FY16ProjRevAut15!$A$4:$I$24,9,FALSE))*VLOOKUP($A49,FY16ProjSCH!$A$3:$S$23,MATCH(D$28,FY16ProjSCH!$A$2:$S$2,0),FALSE)</f>
        <v>0</v>
      </c>
      <c r="E49" s="443">
        <f>+GPpcntSCH*(VLOOKUP($A49,FY16ProjRevAut15!$A$4:$I$24,9,FALSE))*VLOOKUP($A49,FY16ProjSCH!$A$3:$S$23,MATCH(E$28,FY16ProjSCH!$A$2:$S$2,0),FALSE)</f>
        <v>0</v>
      </c>
      <c r="F49" s="443">
        <f>+GPpcntSCH*(VLOOKUP($A49,FY16ProjRevAut15!$A$4:$I$24,9,FALSE))*VLOOKUP($A49,FY16ProjSCH!$A$3:$S$23,MATCH(F$28,FY16ProjSCH!$A$2:$S$2,0),FALSE)</f>
        <v>0</v>
      </c>
      <c r="G49" s="443">
        <f>+GPpcntSCH*(VLOOKUP($A49,FY16ProjRevAut15!$A$4:$I$24,9,FALSE))*VLOOKUP($A49,FY16ProjSCH!$A$3:$S$23,MATCH(G$28,FY16ProjSCH!$A$2:$S$2,0),FALSE)</f>
        <v>0</v>
      </c>
      <c r="H49" s="443">
        <f>+GPpcntSCH*(VLOOKUP($A49,FY16ProjRevAut15!$A$4:$I$24,9,FALSE))*VLOOKUP($A49,FY16ProjSCH!$A$3:$S$23,MATCH(H$28,FY16ProjSCH!$A$2:$S$2,0),FALSE)</f>
        <v>0</v>
      </c>
      <c r="I49" s="443">
        <f>+GPpcntSCH*(VLOOKUP($A49,FY16ProjRevAut15!$A$4:$I$24,9,FALSE))*VLOOKUP($A49,FY16ProjSCH!$A$3:$S$23,MATCH(I$28,FY16ProjSCH!$A$2:$S$2,0),FALSE)</f>
        <v>0</v>
      </c>
      <c r="J49" s="443">
        <f>+GPpcntSCH*(VLOOKUP($A49,FY16ProjRevAut15!$A$4:$I$24,9,FALSE))*VLOOKUP($A49,FY16ProjSCH!$A$3:$S$23,MATCH(J$28,FY16ProjSCH!$A$2:$S$2,0),FALSE)</f>
        <v>0</v>
      </c>
      <c r="K49" s="443">
        <f>+GPpcntSCH*(VLOOKUP($A49,FY16ProjRevAut15!$A$4:$I$24,9,FALSE))*VLOOKUP($A49,FY16ProjSCH!$A$3:$S$23,MATCH(K$28,FY16ProjSCH!$A$2:$S$2,0),FALSE)</f>
        <v>0</v>
      </c>
      <c r="L49" s="443">
        <f>+GPpcntSCH*(VLOOKUP($A49,FY16ProjRevAut15!$A$4:$I$24,9,FALSE))*VLOOKUP($A49,FY16ProjSCH!$A$3:$S$23,MATCH(L$28,FY16ProjSCH!$A$2:$S$2,0),FALSE)</f>
        <v>0</v>
      </c>
      <c r="M49" s="443">
        <f>+GPpcntSCH*(VLOOKUP($A49,FY16ProjRevAut15!$A$4:$I$24,9,FALSE))*VLOOKUP($A49,FY16ProjSCH!$A$3:$S$23,MATCH(M$28,FY16ProjSCH!$A$2:$S$2,0),FALSE)</f>
        <v>173225.21986330609</v>
      </c>
      <c r="N49" s="443">
        <f>+GPpcntSCH*(VLOOKUP($A49,FY16ProjRevAut15!$A$4:$I$24,9,FALSE))*VLOOKUP($A49,FY16ProjSCH!$A$3:$S$23,MATCH(N$28,FY16ProjSCH!$A$2:$S$2,0),FALSE)</f>
        <v>1821.9481053583975</v>
      </c>
      <c r="O49" s="443">
        <f>+GPpcntSCH*(VLOOKUP($A49,FY16ProjRevAut15!$A$4:$I$24,9,FALSE))*VLOOKUP($A49,FY16ProjSCH!$A$3:$S$23,MATCH(O$28,FY16ProjSCH!$A$2:$S$2,0),FALSE)</f>
        <v>0</v>
      </c>
      <c r="P49" s="443">
        <f>+GPpcntSCH*(VLOOKUP($A49,FY16ProjRevAut15!$A$4:$I$24,9,FALSE))*VLOOKUP($A49,FY16ProjSCH!$A$3:$S$23,MATCH(P$28,FY16ProjSCH!$A$2:$S$2,0),FALSE)</f>
        <v>0</v>
      </c>
      <c r="Q49" s="443">
        <f>+GPpcntSCH*(VLOOKUP($A49,FY16ProjRevAut15!$A$4:$I$24,9,FALSE))*VLOOKUP($A49,FY16ProjSCH!$A$3:$S$23,MATCH(Q$28,FY16ProjSCH!$A$2:$S$2,0),FALSE)</f>
        <v>840.89912555002957</v>
      </c>
      <c r="R49" s="443">
        <f>+GPpcntSCH*(VLOOKUP($A49,FY16ProjRevAut15!$A$4:$I$24,9,FALSE))*VLOOKUP($A49,FY16ProjSCH!$A$3:$S$23,MATCH(R$28,FY16ProjSCH!$A$2:$S$2,0),FALSE)</f>
        <v>0</v>
      </c>
      <c r="S49" s="443">
        <f>+GPpcntSCH*(VLOOKUP($A49,FY16ProjRevAut15!$A$4:$I$24,9,FALSE))*VLOOKUP($A49,FY16ProjSCH!$A$3:$S$23,MATCH(S$28,FY16ProjSCH!$A$2:$S$2,0),FALSE)</f>
        <v>0</v>
      </c>
      <c r="T49" s="446">
        <f t="shared" si="22"/>
        <v>175888.06709421452</v>
      </c>
    </row>
    <row r="50" spans="1:20" ht="18" customHeight="1">
      <c r="A50" s="405"/>
      <c r="B50" s="447" t="s">
        <v>17</v>
      </c>
      <c r="C50" s="448">
        <f t="shared" ref="C50:S50" si="23">SUM(C29:C49)</f>
        <v>4553099.9252419677</v>
      </c>
      <c r="D50" s="448">
        <f t="shared" si="23"/>
        <v>110446808.63223006</v>
      </c>
      <c r="E50" s="448">
        <f t="shared" si="23"/>
        <v>11583754.220631495</v>
      </c>
      <c r="F50" s="448">
        <f t="shared" si="23"/>
        <v>3089336.1917921877</v>
      </c>
      <c r="G50" s="448">
        <f t="shared" si="23"/>
        <v>17389742.924726643</v>
      </c>
      <c r="H50" s="448">
        <f t="shared" si="23"/>
        <v>10129248.808107398</v>
      </c>
      <c r="I50" s="448">
        <f t="shared" si="23"/>
        <v>2326596.3000164758</v>
      </c>
      <c r="J50" s="448">
        <f t="shared" si="23"/>
        <v>2287628.5495593883</v>
      </c>
      <c r="K50" s="448">
        <f t="shared" si="23"/>
        <v>865166.66780711431</v>
      </c>
      <c r="L50" s="448">
        <f t="shared" si="23"/>
        <v>1151873.6751078328</v>
      </c>
      <c r="M50" s="448">
        <f t="shared" si="23"/>
        <v>1191727.9738585516</v>
      </c>
      <c r="N50" s="448">
        <f t="shared" si="23"/>
        <v>8558833.5323462654</v>
      </c>
      <c r="O50" s="448">
        <f t="shared" si="23"/>
        <v>1730014.1479911595</v>
      </c>
      <c r="P50" s="448">
        <f t="shared" si="23"/>
        <v>1330348.0468402558</v>
      </c>
      <c r="Q50" s="448">
        <f t="shared" si="23"/>
        <v>3534048.2135137878</v>
      </c>
      <c r="R50" s="448">
        <f t="shared" si="23"/>
        <v>2251504.7864468214</v>
      </c>
      <c r="S50" s="448">
        <f t="shared" si="23"/>
        <v>214497.74656231448</v>
      </c>
      <c r="T50" s="448">
        <f>SUM(C50:S50)</f>
        <v>182634230.3427797</v>
      </c>
    </row>
    <row r="51" spans="1:20" ht="18" customHeight="1">
      <c r="B51" s="634" t="s">
        <v>216</v>
      </c>
      <c r="C51" s="634"/>
      <c r="D51" s="634"/>
      <c r="E51" s="634"/>
      <c r="F51" s="634"/>
      <c r="G51" s="634"/>
      <c r="H51" s="634"/>
      <c r="I51" s="634"/>
      <c r="J51" s="634"/>
      <c r="K51" s="634"/>
      <c r="L51" s="634"/>
      <c r="M51" s="634"/>
      <c r="N51" s="634"/>
      <c r="O51" s="634"/>
      <c r="P51" s="634"/>
      <c r="Q51" s="634"/>
      <c r="R51" s="634"/>
      <c r="S51" s="634"/>
      <c r="T51" s="634"/>
    </row>
    <row r="52" spans="1:20" ht="33.950000000000003"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18" customHeight="1">
      <c r="A53" s="403" t="s">
        <v>128</v>
      </c>
      <c r="B53" s="454" t="s">
        <v>21</v>
      </c>
      <c r="C53" s="455">
        <f>+UGpcntDeg*(VLOOKUP($A53,FY16ProjRevAut15!$A$4:$I$24,9,FALSE))*VLOOKUP($A53,FY16ProjMjrsActDegs!$A$3:$S$23,MATCH(C$28,FY16ProjMjrsActDegs!$A$2:$S$2,0),FALSE)</f>
        <v>1805429.6363121122</v>
      </c>
      <c r="D53" s="455">
        <f>+UGpcntDeg*(VLOOKUP($A53,FY16ProjRevAut15!$A$4:$I$24,9,FALSE))*VLOOKUP($A53,FY16ProjMjrsActDegs!$A$3:$S$23,MATCH(D$28,FY16ProjMjrsActDegs!$A$2:$S$2,0),FALSE)</f>
        <v>68504611.834152535</v>
      </c>
      <c r="E53" s="455">
        <f>+UGpcntDeg*(VLOOKUP($A53,FY16ProjRevAut15!$A$4:$I$24,9,FALSE))*VLOOKUP($A53,FY16ProjMjrsActDegs!$A$3:$S$23,MATCH(E$28,FY16ProjMjrsActDegs!$A$2:$S$2,0),FALSE)</f>
        <v>11862435.568163384</v>
      </c>
      <c r="F53" s="455">
        <f>+UGpcntDeg*(VLOOKUP($A53,FY16ProjRevAut15!$A$4:$I$24,9,FALSE))*VLOOKUP($A53,FY16ProjMjrsActDegs!$A$3:$S$23,MATCH(F$28,FY16ProjMjrsActDegs!$A$2:$S$2,0),FALSE)</f>
        <v>1932572.568446768</v>
      </c>
      <c r="G53" s="455">
        <f>+UGpcntDeg*(VLOOKUP($A53,FY16ProjRevAut15!$A$4:$I$24,9,FALSE))*VLOOKUP($A53,FY16ProjMjrsActDegs!$A$3:$S$23,MATCH(G$28,FY16ProjMjrsActDegs!$A$2:$S$2,0),FALSE)</f>
        <v>12320150.123848146</v>
      </c>
      <c r="H53" s="455">
        <f>+UGpcntDeg*(VLOOKUP($A53,FY16ProjRevAut15!$A$4:$I$24,9,FALSE))*VLOOKUP($A53,FY16ProjMjrsActDegs!$A$3:$S$23,MATCH(H$28,FY16ProjMjrsActDegs!$A$2:$S$2,0),FALSE)</f>
        <v>3610859.2726242244</v>
      </c>
      <c r="I53" s="455">
        <f>+UGpcntDeg*(VLOOKUP($A53,FY16ProjRevAut15!$A$4:$I$24,9,FALSE))*VLOOKUP($A53,FY16ProjMjrsActDegs!$A$3:$S$23,MATCH(I$28,FY16ProjMjrsActDegs!$A$2:$S$2,0),FALSE)</f>
        <v>1589286.6516831974</v>
      </c>
      <c r="J53" s="455">
        <f>+UGpcntDeg*(VLOOKUP($A53,FY16ProjRevAut15!$A$4:$I$24,9,FALSE))*VLOOKUP($A53,FY16ProjMjrsActDegs!$A$3:$S$23,MATCH(J$28,FY16ProjMjrsActDegs!$A$2:$S$2,0),FALSE)</f>
        <v>0</v>
      </c>
      <c r="K53" s="455">
        <f>+UGpcntDeg*(VLOOKUP($A53,FY16ProjRevAut15!$A$4:$I$24,9,FALSE))*VLOOKUP($A53,FY16ProjMjrsActDegs!$A$3:$S$23,MATCH(K$28,FY16ProjMjrsActDegs!$A$2:$S$2,0),FALSE)</f>
        <v>0</v>
      </c>
      <c r="L53" s="455">
        <f>+UGpcntDeg*(VLOOKUP($A53,FY16ProjRevAut15!$A$4:$I$24,9,FALSE))*VLOOKUP($A53,FY16ProjMjrsActDegs!$A$3:$S$23,MATCH(L$28,FY16ProjMjrsActDegs!$A$2:$S$2,0),FALSE)</f>
        <v>508571.7285386232</v>
      </c>
      <c r="M53" s="455">
        <f>+UGpcntDeg*(VLOOKUP($A53,FY16ProjRevAut15!$A$4:$I$24,9,FALSE))*VLOOKUP($A53,FY16ProjMjrsActDegs!$A$3:$S$23,MATCH(M$28,FY16ProjMjrsActDegs!$A$2:$S$2,0),FALSE)</f>
        <v>0</v>
      </c>
      <c r="N53" s="455">
        <f>+UGpcntDeg*(VLOOKUP($A53,FY16ProjRevAut15!$A$4:$I$24,9,FALSE))*VLOOKUP($A53,FY16ProjMjrsActDegs!$A$3:$S$23,MATCH(N$28,FY16ProjMjrsActDegs!$A$2:$S$2,0),FALSE)</f>
        <v>3153144.7169394637</v>
      </c>
      <c r="O53" s="455">
        <f>+UGpcntDeg*(VLOOKUP($A53,FY16ProjRevAut15!$A$4:$I$24,9,FALSE))*VLOOKUP($A53,FY16ProjMjrsActDegs!$A$3:$S$23,MATCH(O$28,FY16ProjMjrsActDegs!$A$2:$S$2,0),FALSE)</f>
        <v>1754572.46345825</v>
      </c>
      <c r="P53" s="455">
        <f>+UGpcntDeg*(VLOOKUP($A53,FY16ProjRevAut15!$A$4:$I$24,9,FALSE))*VLOOKUP($A53,FY16ProjMjrsActDegs!$A$3:$S$23,MATCH(P$28,FY16ProjMjrsActDegs!$A$2:$S$2,0),FALSE)</f>
        <v>0</v>
      </c>
      <c r="Q53" s="455">
        <f>+UGpcntDeg*(VLOOKUP($A53,FY16ProjRevAut15!$A$4:$I$24,9,FALSE))*VLOOKUP($A53,FY16ProjMjrsActDegs!$A$3:$S$23,MATCH(Q$28,FY16ProjMjrsActDegs!$A$2:$S$2,0),FALSE)</f>
        <v>2174144.1395026138</v>
      </c>
      <c r="R53" s="455">
        <f>+UGpcntDeg*(VLOOKUP($A53,FY16ProjRevAut15!$A$4:$I$24,9,FALSE))*VLOOKUP($A53,FY16ProjMjrsActDegs!$A$3:$S$23,MATCH(R$28,FY16ProjMjrsActDegs!$A$2:$S$2,0),FALSE)</f>
        <v>152571.51856158694</v>
      </c>
      <c r="S53" s="455">
        <f>+UGpcntDeg*(VLOOKUP($A53,FY16ProjRevAut15!$A$4:$I$24,9,FALSE))*VLOOKUP($A53,FY16ProjMjrsActDegs!$A$3:$S$23,MATCH(S$28,FY16ProjMjrsActDegs!$A$2:$S$2,0),FALSE)</f>
        <v>0</v>
      </c>
      <c r="T53" s="455">
        <f t="shared" ref="T53:T74" si="24">SUM(C53:Q53)+R53+S53</f>
        <v>109368350.2222309</v>
      </c>
    </row>
    <row r="54" spans="1:20" s="18" customFormat="1" ht="18" customHeight="1">
      <c r="A54" s="404" t="s">
        <v>129</v>
      </c>
      <c r="B54" s="440" t="s">
        <v>35</v>
      </c>
      <c r="C54" s="410">
        <f>+GPpcntMjr*(VLOOKUP($A54,FY16ProjRevAut15!$A$4:$I$24,9,FALSE))*VLOOKUP($A54,FY16ProjMjrsActDegs!$A$3:$S$23,MATCH(C$28,FY16ProjMjrsActDegs!$A$2:$S$2,0),FALSE)</f>
        <v>66041.420420566079</v>
      </c>
      <c r="D54" s="410">
        <f>+GPpcntMjr*(VLOOKUP($A54,FY16ProjRevAut15!$A$4:$I$24,9,FALSE))*VLOOKUP($A54,FY16ProjMjrsActDegs!$A$3:$S$23,MATCH(D$28,FY16ProjMjrsActDegs!$A$2:$S$2,0),FALSE)</f>
        <v>6692956.3660704717</v>
      </c>
      <c r="E54" s="410">
        <f>+GPpcntMjr*(VLOOKUP($A54,FY16ProjRevAut15!$A$4:$I$24,9,FALSE))*VLOOKUP($A54,FY16ProjMjrsActDegs!$A$3:$S$23,MATCH(E$28,FY16ProjMjrsActDegs!$A$2:$S$2,0),FALSE)</f>
        <v>249363.29434662018</v>
      </c>
      <c r="F54" s="410">
        <f>+GPpcntMjr*(VLOOKUP($A54,FY16ProjRevAut15!$A$4:$I$24,9,FALSE))*VLOOKUP($A54,FY16ProjMjrsActDegs!$A$3:$S$23,MATCH(F$28,FY16ProjMjrsActDegs!$A$2:$S$2,0),FALSE)</f>
        <v>21634.25841363371</v>
      </c>
      <c r="G54" s="410">
        <f>+GPpcntMjr*(VLOOKUP($A54,FY16ProjRevAut15!$A$4:$I$24,9,FALSE))*VLOOKUP($A54,FY16ProjMjrsActDegs!$A$3:$S$23,MATCH(G$28,FY16ProjMjrsActDegs!$A$2:$S$2,0),FALSE)</f>
        <v>411050.90985904058</v>
      </c>
      <c r="H54" s="410">
        <f>+GPpcntMjr*(VLOOKUP($A54,FY16ProjRevAut15!$A$4:$I$24,9,FALSE))*VLOOKUP($A54,FY16ProjMjrsActDegs!$A$3:$S$23,MATCH(H$28,FY16ProjMjrsActDegs!$A$2:$S$2,0),FALSE)</f>
        <v>0</v>
      </c>
      <c r="I54" s="410">
        <f>+GPpcntMjr*(VLOOKUP($A54,FY16ProjRevAut15!$A$4:$I$24,9,FALSE))*VLOOKUP($A54,FY16ProjMjrsActDegs!$A$3:$S$23,MATCH(I$28,FY16ProjMjrsActDegs!$A$2:$S$2,0),FALSE)</f>
        <v>169658.13177007489</v>
      </c>
      <c r="J54" s="410">
        <f>+GPpcntMjr*(VLOOKUP($A54,FY16ProjRevAut15!$A$4:$I$24,9,FALSE))*VLOOKUP($A54,FY16ProjMjrsActDegs!$A$3:$S$23,MATCH(J$28,FY16ProjMjrsActDegs!$A$2:$S$2,0),FALSE)</f>
        <v>3415.9355389947968</v>
      </c>
      <c r="K54" s="410">
        <f>+GPpcntMjr*(VLOOKUP($A54,FY16ProjRevAut15!$A$4:$I$24,9,FALSE))*VLOOKUP($A54,FY16ProjMjrsActDegs!$A$3:$S$23,MATCH(K$28,FY16ProjMjrsActDegs!$A$2:$S$2,0),FALSE)</f>
        <v>59209.549342576473</v>
      </c>
      <c r="L54" s="410">
        <f>+GPpcntMjr*(VLOOKUP($A54,FY16ProjRevAut15!$A$4:$I$24,9,FALSE))*VLOOKUP($A54,FY16ProjMjrsActDegs!$A$3:$S$23,MATCH(L$28,FY16ProjMjrsActDegs!$A$2:$S$2,0),FALSE)</f>
        <v>1138.6451796649321</v>
      </c>
      <c r="M54" s="410">
        <f>+GPpcntMjr*(VLOOKUP($A54,FY16ProjRevAut15!$A$4:$I$24,9,FALSE))*VLOOKUP($A54,FY16ProjMjrsActDegs!$A$3:$S$23,MATCH(M$28,FY16ProjMjrsActDegs!$A$2:$S$2,0),FALSE)</f>
        <v>0</v>
      </c>
      <c r="N54" s="410">
        <f>+GPpcntMjr*(VLOOKUP($A54,FY16ProjRevAut15!$A$4:$I$24,9,FALSE))*VLOOKUP($A54,FY16ProjMjrsActDegs!$A$3:$S$23,MATCH(N$28,FY16ProjMjrsActDegs!$A$2:$S$2,0),FALSE)</f>
        <v>1456327.1847914485</v>
      </c>
      <c r="O54" s="410">
        <f>+GPpcntMjr*(VLOOKUP($A54,FY16ProjRevAut15!$A$4:$I$24,9,FALSE))*VLOOKUP($A54,FY16ProjMjrsActDegs!$A$3:$S$23,MATCH(O$28,FY16ProjMjrsActDegs!$A$2:$S$2,0),FALSE)</f>
        <v>2277.2903593298643</v>
      </c>
      <c r="P54" s="410">
        <f>+GPpcntMjr*(VLOOKUP($A54,FY16ProjRevAut15!$A$4:$I$24,9,FALSE))*VLOOKUP($A54,FY16ProjMjrsActDegs!$A$3:$S$23,MATCH(P$28,FY16ProjMjrsActDegs!$A$2:$S$2,0),FALSE)</f>
        <v>236838.19737030589</v>
      </c>
      <c r="Q54" s="410">
        <f>+GPpcntMjr*(VLOOKUP($A54,FY16ProjRevAut15!$A$4:$I$24,9,FALSE))*VLOOKUP($A54,FY16ProjMjrsActDegs!$A$3:$S$23,MATCH(Q$28,FY16ProjMjrsActDegs!$A$2:$S$2,0),FALSE)</f>
        <v>2277.2903593298643</v>
      </c>
      <c r="R54" s="410">
        <f>+GPpcntMjr*(VLOOKUP($A54,FY16ProjRevAut15!$A$4:$I$24,9,FALSE))*VLOOKUP($A54,FY16ProjMjrsActDegs!$A$3:$S$23,MATCH(R$28,FY16ProjMjrsActDegs!$A$2:$S$2,0),FALSE)</f>
        <v>0</v>
      </c>
      <c r="S54" s="410">
        <f>+GPpcntMjr*(VLOOKUP($A54,FY16ProjRevAut15!$A$4:$I$24,9,FALSE))*VLOOKUP($A54,FY16ProjMjrsActDegs!$A$3:$S$23,MATCH(S$28,FY16ProjMjrsActDegs!$A$2:$S$2,0),FALSE)</f>
        <v>817547.23899942124</v>
      </c>
      <c r="T54" s="410">
        <f t="shared" si="24"/>
        <v>10189735.712821478</v>
      </c>
    </row>
    <row r="55" spans="1:20" ht="18" customHeight="1">
      <c r="A55" s="404" t="s">
        <v>140</v>
      </c>
      <c r="B55" s="456" t="s">
        <v>36</v>
      </c>
      <c r="C55" s="457">
        <f>+GPpcntMjr*(VLOOKUP($A55,FY16ProjRevAut15!$A$4:$I$24,9,FALSE))*VLOOKUP($A55,FY16ProjMjrsActDegs!$A$3:$S$23,MATCH(C$28,FY16ProjMjrsActDegs!$A$2:$S$2,0),FALSE)</f>
        <v>0</v>
      </c>
      <c r="D55" s="457">
        <f>+GPpcntMjr*(VLOOKUP($A55,FY16ProjRevAut15!$A$4:$I$24,9,FALSE))*VLOOKUP($A55,FY16ProjMjrsActDegs!$A$3:$S$23,MATCH(D$28,FY16ProjMjrsActDegs!$A$2:$S$2,0),FALSE)</f>
        <v>0</v>
      </c>
      <c r="E55" s="457">
        <f>+GPpcntMjr*(VLOOKUP($A55,FY16ProjRevAut15!$A$4:$I$24,9,FALSE))*VLOOKUP($A55,FY16ProjMjrsActDegs!$A$3:$S$23,MATCH(E$28,FY16ProjMjrsActDegs!$A$2:$S$2,0),FALSE)</f>
        <v>0</v>
      </c>
      <c r="F55" s="457">
        <f>+GPpcntMjr*(VLOOKUP($A55,FY16ProjRevAut15!$A$4:$I$24,9,FALSE))*VLOOKUP($A55,FY16ProjMjrsActDegs!$A$3:$S$23,MATCH(F$28,FY16ProjMjrsActDegs!$A$2:$S$2,0),FALSE)</f>
        <v>0</v>
      </c>
      <c r="G55" s="457">
        <f>+GPpcntMjr*(VLOOKUP($A55,FY16ProjRevAut15!$A$4:$I$24,9,FALSE))*VLOOKUP($A55,FY16ProjMjrsActDegs!$A$3:$S$23,MATCH(G$28,FY16ProjMjrsActDegs!$A$2:$S$2,0),FALSE)</f>
        <v>0</v>
      </c>
      <c r="H55" s="457">
        <f>+GPpcntMjr*(VLOOKUP($A55,FY16ProjRevAut15!$A$4:$I$24,9,FALSE))*VLOOKUP($A55,FY16ProjMjrsActDegs!$A$3:$S$23,MATCH(H$28,FY16ProjMjrsActDegs!$A$2:$S$2,0),FALSE)</f>
        <v>0</v>
      </c>
      <c r="I55" s="457">
        <f>+GPpcntMjr*(VLOOKUP($A55,FY16ProjRevAut15!$A$4:$I$24,9,FALSE))*VLOOKUP($A55,FY16ProjMjrsActDegs!$A$3:$S$23,MATCH(I$28,FY16ProjMjrsActDegs!$A$2:$S$2,0),FALSE)</f>
        <v>0</v>
      </c>
      <c r="J55" s="457">
        <f>+GPpcntMjr*(VLOOKUP($A55,FY16ProjRevAut15!$A$4:$I$24,9,FALSE))*VLOOKUP($A55,FY16ProjMjrsActDegs!$A$3:$S$23,MATCH(J$28,FY16ProjMjrsActDegs!$A$2:$S$2,0),FALSE)</f>
        <v>0</v>
      </c>
      <c r="K55" s="457">
        <f>+GPpcntMjr*(VLOOKUP($A55,FY16ProjRevAut15!$A$4:$I$24,9,FALSE))*VLOOKUP($A55,FY16ProjMjrsActDegs!$A$3:$S$23,MATCH(K$28,FY16ProjMjrsActDegs!$A$2:$S$2,0),FALSE)</f>
        <v>0</v>
      </c>
      <c r="L55" s="457">
        <f>+GPpcntMjr*(VLOOKUP($A55,FY16ProjRevAut15!$A$4:$I$24,9,FALSE))*VLOOKUP($A55,FY16ProjMjrsActDegs!$A$3:$S$23,MATCH(L$28,FY16ProjMjrsActDegs!$A$2:$S$2,0),FALSE)</f>
        <v>236865.72925219499</v>
      </c>
      <c r="M55" s="457">
        <f>+GPpcntMjr*(VLOOKUP($A55,FY16ProjRevAut15!$A$4:$I$24,9,FALSE))*VLOOKUP($A55,FY16ProjMjrsActDegs!$A$3:$S$23,MATCH(M$28,FY16ProjMjrsActDegs!$A$2:$S$2,0),FALSE)</f>
        <v>0</v>
      </c>
      <c r="N55" s="457">
        <f>+GPpcntMjr*(VLOOKUP($A55,FY16ProjRevAut15!$A$4:$I$24,9,FALSE))*VLOOKUP($A55,FY16ProjMjrsActDegs!$A$3:$S$23,MATCH(N$28,FY16ProjMjrsActDegs!$A$2:$S$2,0),FALSE)</f>
        <v>720784.9610577547</v>
      </c>
      <c r="O55" s="457">
        <f>+GPpcntMjr*(VLOOKUP($A55,FY16ProjRevAut15!$A$4:$I$24,9,FALSE))*VLOOKUP($A55,FY16ProjMjrsActDegs!$A$3:$S$23,MATCH(O$28,FY16ProjMjrsActDegs!$A$2:$S$2,0),FALSE)</f>
        <v>0</v>
      </c>
      <c r="P55" s="457">
        <f>+GPpcntMjr*(VLOOKUP($A55,FY16ProjRevAut15!$A$4:$I$24,9,FALSE))*VLOOKUP($A55,FY16ProjMjrsActDegs!$A$3:$S$23,MATCH(P$28,FY16ProjMjrsActDegs!$A$2:$S$2,0),FALSE)</f>
        <v>0</v>
      </c>
      <c r="Q55" s="457">
        <f>+GPpcntMjr*(VLOOKUP($A55,FY16ProjRevAut15!$A$4:$I$24,9,FALSE))*VLOOKUP($A55,FY16ProjMjrsActDegs!$A$3:$S$23,MATCH(Q$28,FY16ProjMjrsActDegs!$A$2:$S$2,0),FALSE)</f>
        <v>0</v>
      </c>
      <c r="R55" s="457">
        <f>+GPpcntMjr*(VLOOKUP($A55,FY16ProjRevAut15!$A$4:$I$24,9,FALSE))*VLOOKUP($A55,FY16ProjMjrsActDegs!$A$3:$S$23,MATCH(R$28,FY16ProjMjrsActDegs!$A$2:$S$2,0),FALSE)</f>
        <v>0</v>
      </c>
      <c r="S55" s="457">
        <f>+GPpcntMjr*(VLOOKUP($A55,FY16ProjRevAut15!$A$4:$I$24,9,FALSE))*VLOOKUP($A55,FY16ProjMjrsActDegs!$A$3:$S$23,MATCH(S$28,FY16ProjMjrsActDegs!$A$2:$S$2,0),FALSE)</f>
        <v>0</v>
      </c>
      <c r="T55" s="457">
        <f t="shared" si="24"/>
        <v>957650.69030994968</v>
      </c>
    </row>
    <row r="56" spans="1:20" s="18" customFormat="1" ht="18" customHeight="1">
      <c r="A56" s="404" t="s">
        <v>130</v>
      </c>
      <c r="B56" s="440" t="s">
        <v>37</v>
      </c>
      <c r="C56" s="410">
        <f>+GPpcntMjr*(VLOOKUP($A56,FY16ProjRevAut15!$A$4:$I$24,9,FALSE))*VLOOKUP($A56,FY16ProjMjrsActDegs!$A$3:$S$23,MATCH(C$28,FY16ProjMjrsActDegs!$A$2:$S$2,0),FALSE)</f>
        <v>1948.2897267849232</v>
      </c>
      <c r="D56" s="410">
        <f>+GPpcntMjr*(VLOOKUP($A56,FY16ProjRevAut15!$A$4:$I$24,9,FALSE))*VLOOKUP($A56,FY16ProjMjrsActDegs!$A$3:$S$23,MATCH(D$28,FY16ProjMjrsActDegs!$A$2:$S$2,0),FALSE)</f>
        <v>50655.532896407996</v>
      </c>
      <c r="E56" s="410">
        <f>+GPpcntMjr*(VLOOKUP($A56,FY16ProjRevAut15!$A$4:$I$24,9,FALSE))*VLOOKUP($A56,FY16ProjMjrsActDegs!$A$3:$S$23,MATCH(E$28,FY16ProjMjrsActDegs!$A$2:$S$2,0),FALSE)</f>
        <v>13638.028087494462</v>
      </c>
      <c r="F56" s="410">
        <f>+GPpcntMjr*(VLOOKUP($A56,FY16ProjRevAut15!$A$4:$I$24,9,FALSE))*VLOOKUP($A56,FY16ProjMjrsActDegs!$A$3:$S$23,MATCH(F$28,FY16ProjMjrsActDegs!$A$2:$S$2,0),FALSE)</f>
        <v>11689.73836070954</v>
      </c>
      <c r="G56" s="410">
        <f>+GPpcntMjr*(VLOOKUP($A56,FY16ProjRevAut15!$A$4:$I$24,9,FALSE))*VLOOKUP($A56,FY16ProjMjrsActDegs!$A$3:$S$23,MATCH(G$28,FY16ProjMjrsActDegs!$A$2:$S$2,0),FALSE)</f>
        <v>5825386.2830869192</v>
      </c>
      <c r="H56" s="410">
        <f>+GPpcntMjr*(VLOOKUP($A56,FY16ProjRevAut15!$A$4:$I$24,9,FALSE))*VLOOKUP($A56,FY16ProjMjrsActDegs!$A$3:$S$23,MATCH(H$28,FY16ProjMjrsActDegs!$A$2:$S$2,0),FALSE)</f>
        <v>3896.5794535698465</v>
      </c>
      <c r="I56" s="410">
        <f>+GPpcntMjr*(VLOOKUP($A56,FY16ProjRevAut15!$A$4:$I$24,9,FALSE))*VLOOKUP($A56,FY16ProjMjrsActDegs!$A$3:$S$23,MATCH(I$28,FY16ProjMjrsActDegs!$A$2:$S$2,0),FALSE)</f>
        <v>0</v>
      </c>
      <c r="J56" s="410">
        <f>+GPpcntMjr*(VLOOKUP($A56,FY16ProjRevAut15!$A$4:$I$24,9,FALSE))*VLOOKUP($A56,FY16ProjMjrsActDegs!$A$3:$S$23,MATCH(J$28,FY16ProjMjrsActDegs!$A$2:$S$2,0),FALSE)</f>
        <v>17534.60754106431</v>
      </c>
      <c r="K56" s="410">
        <f>+GPpcntMjr*(VLOOKUP($A56,FY16ProjRevAut15!$A$4:$I$24,9,FALSE))*VLOOKUP($A56,FY16ProjMjrsActDegs!$A$3:$S$23,MATCH(K$28,FY16ProjMjrsActDegs!$A$2:$S$2,0),FALSE)</f>
        <v>0</v>
      </c>
      <c r="L56" s="410">
        <f>+GPpcntMjr*(VLOOKUP($A56,FY16ProjRevAut15!$A$4:$I$24,9,FALSE))*VLOOKUP($A56,FY16ProjMjrsActDegs!$A$3:$S$23,MATCH(L$28,FY16ProjMjrsActDegs!$A$2:$S$2,0),FALSE)</f>
        <v>0</v>
      </c>
      <c r="M56" s="410">
        <f>+GPpcntMjr*(VLOOKUP($A56,FY16ProjRevAut15!$A$4:$I$24,9,FALSE))*VLOOKUP($A56,FY16ProjMjrsActDegs!$A$3:$S$23,MATCH(M$28,FY16ProjMjrsActDegs!$A$2:$S$2,0),FALSE)</f>
        <v>0</v>
      </c>
      <c r="N56" s="410">
        <f>+GPpcntMjr*(VLOOKUP($A56,FY16ProjRevAut15!$A$4:$I$24,9,FALSE))*VLOOKUP($A56,FY16ProjMjrsActDegs!$A$3:$S$23,MATCH(N$28,FY16ProjMjrsActDegs!$A$2:$S$2,0),FALSE)</f>
        <v>89621.327432106467</v>
      </c>
      <c r="O56" s="410">
        <f>+GPpcntMjr*(VLOOKUP($A56,FY16ProjRevAut15!$A$4:$I$24,9,FALSE))*VLOOKUP($A56,FY16ProjMjrsActDegs!$A$3:$S$23,MATCH(O$28,FY16ProjMjrsActDegs!$A$2:$S$2,0),FALSE)</f>
        <v>379916.49672306003</v>
      </c>
      <c r="P56" s="410">
        <f>+GPpcntMjr*(VLOOKUP($A56,FY16ProjRevAut15!$A$4:$I$24,9,FALSE))*VLOOKUP($A56,FY16ProjMjrsActDegs!$A$3:$S$23,MATCH(P$28,FY16ProjMjrsActDegs!$A$2:$S$2,0),FALSE)</f>
        <v>0</v>
      </c>
      <c r="Q56" s="410">
        <f>+GPpcntMjr*(VLOOKUP($A56,FY16ProjRevAut15!$A$4:$I$24,9,FALSE))*VLOOKUP($A56,FY16ProjMjrsActDegs!$A$3:$S$23,MATCH(Q$28,FY16ProjMjrsActDegs!$A$2:$S$2,0),FALSE)</f>
        <v>77931.589071396927</v>
      </c>
      <c r="R56" s="410">
        <f>+GPpcntMjr*(VLOOKUP($A56,FY16ProjRevAut15!$A$4:$I$24,9,FALSE))*VLOOKUP($A56,FY16ProjMjrsActDegs!$A$3:$S$23,MATCH(R$28,FY16ProjMjrsActDegs!$A$2:$S$2,0),FALSE)</f>
        <v>0</v>
      </c>
      <c r="S56" s="410">
        <f>+GPpcntMjr*(VLOOKUP($A56,FY16ProjRevAut15!$A$4:$I$24,9,FALSE))*VLOOKUP($A56,FY16ProjMjrsActDegs!$A$3:$S$23,MATCH(S$28,FY16ProjMjrsActDegs!$A$2:$S$2,0),FALSE)</f>
        <v>56500.402076762774</v>
      </c>
      <c r="T56" s="410">
        <f t="shared" si="24"/>
        <v>6528718.8744562762</v>
      </c>
    </row>
    <row r="57" spans="1:20" ht="18" customHeight="1">
      <c r="A57" s="404" t="s">
        <v>131</v>
      </c>
      <c r="B57" s="456" t="s">
        <v>141</v>
      </c>
      <c r="C57" s="457">
        <f>+GPpcntMjr*(VLOOKUP($A57,FY16ProjRevAut15!$A$4:$I$24,9,FALSE))*VLOOKUP($A57,FY16ProjMjrsActDegs!$A$3:$S$23,MATCH(C$28,FY16ProjMjrsActDegs!$A$2:$S$2,0),FALSE)</f>
        <v>0</v>
      </c>
      <c r="D57" s="457">
        <f>+GPpcntMjr*(VLOOKUP($A57,FY16ProjRevAut15!$A$4:$I$24,9,FALSE))*VLOOKUP($A57,FY16ProjMjrsActDegs!$A$3:$S$23,MATCH(D$28,FY16ProjMjrsActDegs!$A$2:$S$2,0),FALSE)</f>
        <v>47525.88503355861</v>
      </c>
      <c r="E57" s="457">
        <f>+GPpcntMjr*(VLOOKUP($A57,FY16ProjRevAut15!$A$4:$I$24,9,FALSE))*VLOOKUP($A57,FY16ProjMjrsActDegs!$A$3:$S$23,MATCH(E$28,FY16ProjMjrsActDegs!$A$2:$S$2,0),FALSE)</f>
        <v>0</v>
      </c>
      <c r="F57" s="457">
        <f>+GPpcntMjr*(VLOOKUP($A57,FY16ProjRevAut15!$A$4:$I$24,9,FALSE))*VLOOKUP($A57,FY16ProjMjrsActDegs!$A$3:$S$23,MATCH(F$28,FY16ProjMjrsActDegs!$A$2:$S$2,0),FALSE)</f>
        <v>0</v>
      </c>
      <c r="G57" s="457">
        <f>+GPpcntMjr*(VLOOKUP($A57,FY16ProjRevAut15!$A$4:$I$24,9,FALSE))*VLOOKUP($A57,FY16ProjMjrsActDegs!$A$3:$S$23,MATCH(G$28,FY16ProjMjrsActDegs!$A$2:$S$2,0),FALSE)</f>
        <v>0</v>
      </c>
      <c r="H57" s="457">
        <f>+GPpcntMjr*(VLOOKUP($A57,FY16ProjRevAut15!$A$4:$I$24,9,FALSE))*VLOOKUP($A57,FY16ProjMjrsActDegs!$A$3:$S$23,MATCH(H$28,FY16ProjMjrsActDegs!$A$2:$S$2,0),FALSE)</f>
        <v>2634835.0662604892</v>
      </c>
      <c r="I57" s="457">
        <f>+GPpcntMjr*(VLOOKUP($A57,FY16ProjRevAut15!$A$4:$I$24,9,FALSE))*VLOOKUP($A57,FY16ProjMjrsActDegs!$A$3:$S$23,MATCH(I$28,FY16ProjMjrsActDegs!$A$2:$S$2,0),FALSE)</f>
        <v>0</v>
      </c>
      <c r="J57" s="457">
        <f>+GPpcntMjr*(VLOOKUP($A57,FY16ProjRevAut15!$A$4:$I$24,9,FALSE))*VLOOKUP($A57,FY16ProjMjrsActDegs!$A$3:$S$23,MATCH(J$28,FY16ProjMjrsActDegs!$A$2:$S$2,0),FALSE)</f>
        <v>0</v>
      </c>
      <c r="K57" s="457">
        <f>+GPpcntMjr*(VLOOKUP($A57,FY16ProjRevAut15!$A$4:$I$24,9,FALSE))*VLOOKUP($A57,FY16ProjMjrsActDegs!$A$3:$S$23,MATCH(K$28,FY16ProjMjrsActDegs!$A$2:$S$2,0),FALSE)</f>
        <v>0</v>
      </c>
      <c r="L57" s="457">
        <f>+GPpcntMjr*(VLOOKUP($A57,FY16ProjRevAut15!$A$4:$I$24,9,FALSE))*VLOOKUP($A57,FY16ProjMjrsActDegs!$A$3:$S$23,MATCH(L$28,FY16ProjMjrsActDegs!$A$2:$S$2,0),FALSE)</f>
        <v>0</v>
      </c>
      <c r="M57" s="457">
        <f>+GPpcntMjr*(VLOOKUP($A57,FY16ProjRevAut15!$A$4:$I$24,9,FALSE))*VLOOKUP($A57,FY16ProjMjrsActDegs!$A$3:$S$23,MATCH(M$28,FY16ProjMjrsActDegs!$A$2:$S$2,0),FALSE)</f>
        <v>0</v>
      </c>
      <c r="N57" s="457">
        <f>+GPpcntMjr*(VLOOKUP($A57,FY16ProjRevAut15!$A$4:$I$24,9,FALSE))*VLOOKUP($A57,FY16ProjMjrsActDegs!$A$3:$S$23,MATCH(N$28,FY16ProjMjrsActDegs!$A$2:$S$2,0),FALSE)</f>
        <v>0</v>
      </c>
      <c r="O57" s="457">
        <f>+GPpcntMjr*(VLOOKUP($A57,FY16ProjRevAut15!$A$4:$I$24,9,FALSE))*VLOOKUP($A57,FY16ProjMjrsActDegs!$A$3:$S$23,MATCH(O$28,FY16ProjMjrsActDegs!$A$2:$S$2,0),FALSE)</f>
        <v>0</v>
      </c>
      <c r="P57" s="457">
        <f>+GPpcntMjr*(VLOOKUP($A57,FY16ProjRevAut15!$A$4:$I$24,9,FALSE))*VLOOKUP($A57,FY16ProjMjrsActDegs!$A$3:$S$23,MATCH(P$28,FY16ProjMjrsActDegs!$A$2:$S$2,0),FALSE)</f>
        <v>0</v>
      </c>
      <c r="Q57" s="457">
        <f>+GPpcntMjr*(VLOOKUP($A57,FY16ProjRevAut15!$A$4:$I$24,9,FALSE))*VLOOKUP($A57,FY16ProjMjrsActDegs!$A$3:$S$23,MATCH(Q$28,FY16ProjMjrsActDegs!$A$2:$S$2,0),FALSE)</f>
        <v>0</v>
      </c>
      <c r="R57" s="457">
        <f>+GPpcntMjr*(VLOOKUP($A57,FY16ProjRevAut15!$A$4:$I$24,9,FALSE))*VLOOKUP($A57,FY16ProjMjrsActDegs!$A$3:$S$23,MATCH(R$28,FY16ProjMjrsActDegs!$A$2:$S$2,0),FALSE)</f>
        <v>0</v>
      </c>
      <c r="S57" s="457">
        <f>+GPpcntMjr*(VLOOKUP($A57,FY16ProjRevAut15!$A$4:$I$24,9,FALSE))*VLOOKUP($A57,FY16ProjMjrsActDegs!$A$3:$S$23,MATCH(S$28,FY16ProjMjrsActDegs!$A$2:$S$2,0),FALSE)</f>
        <v>0</v>
      </c>
      <c r="T57" s="457">
        <f t="shared" si="24"/>
        <v>2682360.9512940478</v>
      </c>
    </row>
    <row r="58" spans="1:20" s="18" customFormat="1" ht="18" customHeight="1">
      <c r="A58" s="404" t="s">
        <v>132</v>
      </c>
      <c r="B58" s="440" t="s">
        <v>206</v>
      </c>
      <c r="C58" s="410">
        <f>+GPpcntMjr*(VLOOKUP($A58,FY16ProjRevAut15!$A$4:$I$24,9,FALSE))*VLOOKUP($A58,FY16ProjMjrsActDegs!$A$3:$S$23,MATCH(C$28,FY16ProjMjrsActDegs!$A$2:$S$2,0),FALSE)</f>
        <v>0</v>
      </c>
      <c r="D58" s="410">
        <f>+GPpcntMjr*(VLOOKUP($A58,FY16ProjRevAut15!$A$4:$I$24,9,FALSE))*VLOOKUP($A58,FY16ProjMjrsActDegs!$A$3:$S$23,MATCH(D$28,FY16ProjMjrsActDegs!$A$2:$S$2,0),FALSE)</f>
        <v>5826.6209292140975</v>
      </c>
      <c r="E58" s="410">
        <f>+GPpcntMjr*(VLOOKUP($A58,FY16ProjRevAut15!$A$4:$I$24,9,FALSE))*VLOOKUP($A58,FY16ProjMjrsActDegs!$A$3:$S$23,MATCH(E$28,FY16ProjMjrsActDegs!$A$2:$S$2,0),FALSE)</f>
        <v>0</v>
      </c>
      <c r="F58" s="410">
        <f>+GPpcntMjr*(VLOOKUP($A58,FY16ProjRevAut15!$A$4:$I$24,9,FALSE))*VLOOKUP($A58,FY16ProjMjrsActDegs!$A$3:$S$23,MATCH(F$28,FY16ProjMjrsActDegs!$A$2:$S$2,0),FALSE)</f>
        <v>3365844.6901093437</v>
      </c>
      <c r="G58" s="410">
        <f>+GPpcntMjr*(VLOOKUP($A58,FY16ProjRevAut15!$A$4:$I$24,9,FALSE))*VLOOKUP($A58,FY16ProjMjrsActDegs!$A$3:$S$23,MATCH(G$28,FY16ProjMjrsActDegs!$A$2:$S$2,0),FALSE)</f>
        <v>0</v>
      </c>
      <c r="H58" s="410">
        <f>+GPpcntMjr*(VLOOKUP($A58,FY16ProjRevAut15!$A$4:$I$24,9,FALSE))*VLOOKUP($A58,FY16ProjMjrsActDegs!$A$3:$S$23,MATCH(H$28,FY16ProjMjrsActDegs!$A$2:$S$2,0),FALSE)</f>
        <v>0</v>
      </c>
      <c r="I58" s="410">
        <f>+GPpcntMjr*(VLOOKUP($A58,FY16ProjRevAut15!$A$4:$I$24,9,FALSE))*VLOOKUP($A58,FY16ProjMjrsActDegs!$A$3:$S$23,MATCH(I$28,FY16ProjMjrsActDegs!$A$2:$S$2,0),FALSE)</f>
        <v>0</v>
      </c>
      <c r="J58" s="410">
        <f>+GPpcntMjr*(VLOOKUP($A58,FY16ProjRevAut15!$A$4:$I$24,9,FALSE))*VLOOKUP($A58,FY16ProjMjrsActDegs!$A$3:$S$23,MATCH(J$28,FY16ProjMjrsActDegs!$A$2:$S$2,0),FALSE)</f>
        <v>0</v>
      </c>
      <c r="K58" s="410">
        <f>+GPpcntMjr*(VLOOKUP($A58,FY16ProjRevAut15!$A$4:$I$24,9,FALSE))*VLOOKUP($A58,FY16ProjMjrsActDegs!$A$3:$S$23,MATCH(K$28,FY16ProjMjrsActDegs!$A$2:$S$2,0),FALSE)</f>
        <v>0</v>
      </c>
      <c r="L58" s="410">
        <f>+GPpcntMjr*(VLOOKUP($A58,FY16ProjRevAut15!$A$4:$I$24,9,FALSE))*VLOOKUP($A58,FY16ProjMjrsActDegs!$A$3:$S$23,MATCH(L$28,FY16ProjMjrsActDegs!$A$2:$S$2,0),FALSE)</f>
        <v>0</v>
      </c>
      <c r="M58" s="410">
        <f>+GPpcntMjr*(VLOOKUP($A58,FY16ProjRevAut15!$A$4:$I$24,9,FALSE))*VLOOKUP($A58,FY16ProjMjrsActDegs!$A$3:$S$23,MATCH(M$28,FY16ProjMjrsActDegs!$A$2:$S$2,0),FALSE)</f>
        <v>0</v>
      </c>
      <c r="N58" s="410">
        <f>+GPpcntMjr*(VLOOKUP($A58,FY16ProjRevAut15!$A$4:$I$24,9,FALSE))*VLOOKUP($A58,FY16ProjMjrsActDegs!$A$3:$S$23,MATCH(N$28,FY16ProjMjrsActDegs!$A$2:$S$2,0),FALSE)</f>
        <v>0</v>
      </c>
      <c r="O58" s="410">
        <f>+GPpcntMjr*(VLOOKUP($A58,FY16ProjRevAut15!$A$4:$I$24,9,FALSE))*VLOOKUP($A58,FY16ProjMjrsActDegs!$A$3:$S$23,MATCH(O$28,FY16ProjMjrsActDegs!$A$2:$S$2,0),FALSE)</f>
        <v>0</v>
      </c>
      <c r="P58" s="410">
        <f>+GPpcntMjr*(VLOOKUP($A58,FY16ProjRevAut15!$A$4:$I$24,9,FALSE))*VLOOKUP($A58,FY16ProjMjrsActDegs!$A$3:$S$23,MATCH(P$28,FY16ProjMjrsActDegs!$A$2:$S$2,0),FALSE)</f>
        <v>0</v>
      </c>
      <c r="Q58" s="410">
        <f>+GPpcntMjr*(VLOOKUP($A58,FY16ProjRevAut15!$A$4:$I$24,9,FALSE))*VLOOKUP($A58,FY16ProjMjrsActDegs!$A$3:$S$23,MATCH(Q$28,FY16ProjMjrsActDegs!$A$2:$S$2,0),FALSE)</f>
        <v>0</v>
      </c>
      <c r="R58" s="410">
        <f>+GPpcntMjr*(VLOOKUP($A58,FY16ProjRevAut15!$A$4:$I$24,9,FALSE))*VLOOKUP($A58,FY16ProjMjrsActDegs!$A$3:$S$23,MATCH(R$28,FY16ProjMjrsActDegs!$A$2:$S$2,0),FALSE)</f>
        <v>0</v>
      </c>
      <c r="S58" s="410">
        <f>+GPpcntMjr*(VLOOKUP($A58,FY16ProjRevAut15!$A$4:$I$24,9,FALSE))*VLOOKUP($A58,FY16ProjMjrsActDegs!$A$3:$S$23,MATCH(S$28,FY16ProjMjrsActDegs!$A$2:$S$2,0),FALSE)</f>
        <v>0</v>
      </c>
      <c r="T58" s="410">
        <f t="shared" si="24"/>
        <v>3371671.3110385579</v>
      </c>
    </row>
    <row r="59" spans="1:20" s="18" customFormat="1" ht="18" customHeight="1">
      <c r="A59" s="404"/>
      <c r="B59" s="440"/>
      <c r="C59" s="410"/>
      <c r="D59" s="410"/>
      <c r="E59" s="410"/>
      <c r="F59" s="410"/>
      <c r="G59" s="410"/>
      <c r="H59" s="410"/>
      <c r="I59" s="410"/>
      <c r="J59" s="410"/>
      <c r="K59" s="410"/>
      <c r="L59" s="410"/>
      <c r="M59" s="410"/>
      <c r="N59" s="410"/>
      <c r="O59" s="410"/>
      <c r="P59" s="410"/>
      <c r="Q59" s="410"/>
      <c r="R59" s="410"/>
      <c r="S59" s="410"/>
      <c r="T59" s="410"/>
    </row>
    <row r="60" spans="1:20" s="18" customFormat="1" ht="18" customHeight="1">
      <c r="A60" s="404" t="s">
        <v>135</v>
      </c>
      <c r="B60" s="440" t="s">
        <v>70</v>
      </c>
      <c r="C60" s="410">
        <f>+GPpcntMjr*(VLOOKUP($A60,FY16ProjRevAut15!$A$4:$I$24,9,FALSE))*VLOOKUP($A60,FY16ProjMjrsActDegs!$A$3:$S$23,MATCH(C$28,FY16ProjMjrsActDegs!$A$2:$S$2,0),FALSE)</f>
        <v>0</v>
      </c>
      <c r="D60" s="410">
        <f>+GPpcntMjr*(VLOOKUP($A60,FY16ProjRevAut15!$A$4:$I$24,9,FALSE))*VLOOKUP($A60,FY16ProjMjrsActDegs!$A$3:$S$23,MATCH(D$28,FY16ProjMjrsActDegs!$A$2:$S$2,0),FALSE)</f>
        <v>0</v>
      </c>
      <c r="E60" s="410">
        <f>+GPpcntMjr*(VLOOKUP($A60,FY16ProjRevAut15!$A$4:$I$24,9,FALSE))*VLOOKUP($A60,FY16ProjMjrsActDegs!$A$3:$S$23,MATCH(E$28,FY16ProjMjrsActDegs!$A$2:$S$2,0),FALSE)</f>
        <v>0</v>
      </c>
      <c r="F60" s="410">
        <f>+GPpcntMjr*(VLOOKUP($A60,FY16ProjRevAut15!$A$4:$I$24,9,FALSE))*VLOOKUP($A60,FY16ProjMjrsActDegs!$A$3:$S$23,MATCH(F$28,FY16ProjMjrsActDegs!$A$2:$S$2,0),FALSE)</f>
        <v>9023.3470547866673</v>
      </c>
      <c r="G60" s="410">
        <f>+GPpcntMjr*(VLOOKUP($A60,FY16ProjRevAut15!$A$4:$I$24,9,FALSE))*VLOOKUP($A60,FY16ProjMjrsActDegs!$A$3:$S$23,MATCH(G$28,FY16ProjMjrsActDegs!$A$2:$S$2,0),FALSE)</f>
        <v>0</v>
      </c>
      <c r="H60" s="410">
        <f>+GPpcntMjr*(VLOOKUP($A60,FY16ProjRevAut15!$A$4:$I$24,9,FALSE))*VLOOKUP($A60,FY16ProjMjrsActDegs!$A$3:$S$23,MATCH(H$28,FY16ProjMjrsActDegs!$A$2:$S$2,0),FALSE)</f>
        <v>0</v>
      </c>
      <c r="I60" s="410">
        <f>+GPpcntMjr*(VLOOKUP($A60,FY16ProjRevAut15!$A$4:$I$24,9,FALSE))*VLOOKUP($A60,FY16ProjMjrsActDegs!$A$3:$S$23,MATCH(I$28,FY16ProjMjrsActDegs!$A$2:$S$2,0),FALSE)</f>
        <v>0</v>
      </c>
      <c r="J60" s="410">
        <f>+GPpcntMjr*(VLOOKUP($A60,FY16ProjRevAut15!$A$4:$I$24,9,FALSE))*VLOOKUP($A60,FY16ProjMjrsActDegs!$A$3:$S$23,MATCH(J$28,FY16ProjMjrsActDegs!$A$2:$S$2,0),FALSE)</f>
        <v>0</v>
      </c>
      <c r="K60" s="410">
        <f>+GPpcntMjr*(VLOOKUP($A60,FY16ProjRevAut15!$A$4:$I$24,9,FALSE))*VLOOKUP($A60,FY16ProjMjrsActDegs!$A$3:$S$23,MATCH(K$28,FY16ProjMjrsActDegs!$A$2:$S$2,0),FALSE)</f>
        <v>0</v>
      </c>
      <c r="L60" s="410">
        <f>+GPpcntMjr*(VLOOKUP($A60,FY16ProjRevAut15!$A$4:$I$24,9,FALSE))*VLOOKUP($A60,FY16ProjMjrsActDegs!$A$3:$S$23,MATCH(L$28,FY16ProjMjrsActDegs!$A$2:$S$2,0),FALSE)</f>
        <v>2349078.0165961287</v>
      </c>
      <c r="M60" s="410">
        <f>+GPpcntMjr*(VLOOKUP($A60,FY16ProjRevAut15!$A$4:$I$24,9,FALSE))*VLOOKUP($A60,FY16ProjMjrsActDegs!$A$3:$S$23,MATCH(M$28,FY16ProjMjrsActDegs!$A$2:$S$2,0),FALSE)</f>
        <v>0</v>
      </c>
      <c r="N60" s="410">
        <f>+GPpcntMjr*(VLOOKUP($A60,FY16ProjRevAut15!$A$4:$I$24,9,FALSE))*VLOOKUP($A60,FY16ProjMjrsActDegs!$A$3:$S$23,MATCH(N$28,FY16ProjMjrsActDegs!$A$2:$S$2,0),FALSE)</f>
        <v>12031.129406382222</v>
      </c>
      <c r="O60" s="410">
        <f>+GPpcntMjr*(VLOOKUP($A60,FY16ProjRevAut15!$A$4:$I$24,9,FALSE))*VLOOKUP($A60,FY16ProjMjrsActDegs!$A$3:$S$23,MATCH(O$28,FY16ProjMjrsActDegs!$A$2:$S$2,0),FALSE)</f>
        <v>0</v>
      </c>
      <c r="P60" s="410">
        <f>+GPpcntMjr*(VLOOKUP($A60,FY16ProjRevAut15!$A$4:$I$24,9,FALSE))*VLOOKUP($A60,FY16ProjMjrsActDegs!$A$3:$S$23,MATCH(P$28,FY16ProjMjrsActDegs!$A$2:$S$2,0),FALSE)</f>
        <v>0</v>
      </c>
      <c r="Q60" s="410">
        <f>+GPpcntMjr*(VLOOKUP($A60,FY16ProjRevAut15!$A$4:$I$24,9,FALSE))*VLOOKUP($A60,FY16ProjMjrsActDegs!$A$3:$S$23,MATCH(Q$28,FY16ProjMjrsActDegs!$A$2:$S$2,0),FALSE)</f>
        <v>75194.558789888892</v>
      </c>
      <c r="R60" s="410">
        <f>+GPpcntMjr*(VLOOKUP($A60,FY16ProjRevAut15!$A$4:$I$24,9,FALSE))*VLOOKUP($A60,FY16ProjMjrsActDegs!$A$3:$S$23,MATCH(R$28,FY16ProjMjrsActDegs!$A$2:$S$2,0),FALSE)</f>
        <v>0</v>
      </c>
      <c r="S60" s="410">
        <f>+GPpcntMjr*(VLOOKUP($A60,FY16ProjRevAut15!$A$4:$I$24,9,FALSE))*VLOOKUP($A60,FY16ProjMjrsActDegs!$A$3:$S$23,MATCH(S$28,FY16ProjMjrsActDegs!$A$2:$S$2,0),FALSE)</f>
        <v>18046.694109573335</v>
      </c>
      <c r="T60" s="410">
        <f t="shared" si="24"/>
        <v>2463373.7459567599</v>
      </c>
    </row>
    <row r="61" spans="1:20" ht="18" customHeight="1">
      <c r="A61" s="404" t="s">
        <v>136</v>
      </c>
      <c r="B61" s="456" t="s">
        <v>144</v>
      </c>
      <c r="C61" s="457">
        <f>+GPpcntMjr*(VLOOKUP($A61,FY16ProjRevAut15!$A$4:$I$24,9,FALSE))*VLOOKUP($A61,FY16ProjMjrsActDegs!$A$3:$S$23,MATCH(C$28,FY16ProjMjrsActDegs!$A$2:$S$2,0),FALSE)</f>
        <v>0</v>
      </c>
      <c r="D61" s="457">
        <f>+GPpcntMjr*(VLOOKUP($A61,FY16ProjRevAut15!$A$4:$I$24,9,FALSE))*VLOOKUP($A61,FY16ProjMjrsActDegs!$A$3:$S$23,MATCH(D$28,FY16ProjMjrsActDegs!$A$2:$S$2,0),FALSE)</f>
        <v>0</v>
      </c>
      <c r="E61" s="457">
        <f>+GPpcntMjr*(VLOOKUP($A61,FY16ProjRevAut15!$A$4:$I$24,9,FALSE))*VLOOKUP($A61,FY16ProjMjrsActDegs!$A$3:$S$23,MATCH(E$28,FY16ProjMjrsActDegs!$A$2:$S$2,0),FALSE)</f>
        <v>0</v>
      </c>
      <c r="F61" s="457">
        <f>+GPpcntMjr*(VLOOKUP($A61,FY16ProjRevAut15!$A$4:$I$24,9,FALSE))*VLOOKUP($A61,FY16ProjMjrsActDegs!$A$3:$S$23,MATCH(F$28,FY16ProjMjrsActDegs!$A$2:$S$2,0),FALSE)</f>
        <v>0</v>
      </c>
      <c r="G61" s="457">
        <f>+GPpcntMjr*(VLOOKUP($A61,FY16ProjRevAut15!$A$4:$I$24,9,FALSE))*VLOOKUP($A61,FY16ProjMjrsActDegs!$A$3:$S$23,MATCH(G$28,FY16ProjMjrsActDegs!$A$2:$S$2,0),FALSE)</f>
        <v>0</v>
      </c>
      <c r="H61" s="457">
        <f>+GPpcntMjr*(VLOOKUP($A61,FY16ProjRevAut15!$A$4:$I$24,9,FALSE))*VLOOKUP($A61,FY16ProjMjrsActDegs!$A$3:$S$23,MATCH(H$28,FY16ProjMjrsActDegs!$A$2:$S$2,0),FALSE)</f>
        <v>0</v>
      </c>
      <c r="I61" s="457">
        <f>+GPpcntMjr*(VLOOKUP($A61,FY16ProjRevAut15!$A$4:$I$24,9,FALSE))*VLOOKUP($A61,FY16ProjMjrsActDegs!$A$3:$S$23,MATCH(I$28,FY16ProjMjrsActDegs!$A$2:$S$2,0),FALSE)</f>
        <v>0</v>
      </c>
      <c r="J61" s="457">
        <f>+GPpcntMjr*(VLOOKUP($A61,FY16ProjRevAut15!$A$4:$I$24,9,FALSE))*VLOOKUP($A61,FY16ProjMjrsActDegs!$A$3:$S$23,MATCH(J$28,FY16ProjMjrsActDegs!$A$2:$S$2,0),FALSE)</f>
        <v>0</v>
      </c>
      <c r="K61" s="457">
        <f>+GPpcntMjr*(VLOOKUP($A61,FY16ProjRevAut15!$A$4:$I$24,9,FALSE))*VLOOKUP($A61,FY16ProjMjrsActDegs!$A$3:$S$23,MATCH(K$28,FY16ProjMjrsActDegs!$A$2:$S$2,0),FALSE)</f>
        <v>0</v>
      </c>
      <c r="L61" s="457">
        <f>+GPpcntMjr*(VLOOKUP($A61,FY16ProjRevAut15!$A$4:$I$24,9,FALSE))*VLOOKUP($A61,FY16ProjMjrsActDegs!$A$3:$S$23,MATCH(L$28,FY16ProjMjrsActDegs!$A$2:$S$2,0),FALSE)</f>
        <v>0</v>
      </c>
      <c r="M61" s="457">
        <f>+GPpcntMjr*(VLOOKUP($A61,FY16ProjRevAut15!$A$4:$I$24,9,FALSE))*VLOOKUP($A61,FY16ProjMjrsActDegs!$A$3:$S$23,MATCH(M$28,FY16ProjMjrsActDegs!$A$2:$S$2,0),FALSE)</f>
        <v>0</v>
      </c>
      <c r="N61" s="457">
        <f>+GPpcntMjr*(VLOOKUP($A61,FY16ProjRevAut15!$A$4:$I$24,9,FALSE))*VLOOKUP($A61,FY16ProjMjrsActDegs!$A$3:$S$23,MATCH(N$28,FY16ProjMjrsActDegs!$A$2:$S$2,0),FALSE)</f>
        <v>18012.945105214967</v>
      </c>
      <c r="O61" s="457">
        <f>+GPpcntMjr*(VLOOKUP($A61,FY16ProjRevAut15!$A$4:$I$24,9,FALSE))*VLOOKUP($A61,FY16ProjMjrsActDegs!$A$3:$S$23,MATCH(O$28,FY16ProjMjrsActDegs!$A$2:$S$2,0),FALSE)</f>
        <v>0</v>
      </c>
      <c r="P61" s="457">
        <f>+GPpcntMjr*(VLOOKUP($A61,FY16ProjRevAut15!$A$4:$I$24,9,FALSE))*VLOOKUP($A61,FY16ProjMjrsActDegs!$A$3:$S$23,MATCH(P$28,FY16ProjMjrsActDegs!$A$2:$S$2,0),FALSE)</f>
        <v>0</v>
      </c>
      <c r="Q61" s="457">
        <f>+GPpcntMjr*(VLOOKUP($A61,FY16ProjRevAut15!$A$4:$I$24,9,FALSE))*VLOOKUP($A61,FY16ProjMjrsActDegs!$A$3:$S$23,MATCH(Q$28,FY16ProjMjrsActDegs!$A$2:$S$2,0),FALSE)</f>
        <v>1795290.195486425</v>
      </c>
      <c r="R61" s="457">
        <f>+GPpcntMjr*(VLOOKUP($A61,FY16ProjRevAut15!$A$4:$I$24,9,FALSE))*VLOOKUP($A61,FY16ProjMjrsActDegs!$A$3:$S$23,MATCH(R$28,FY16ProjMjrsActDegs!$A$2:$S$2,0),FALSE)</f>
        <v>0</v>
      </c>
      <c r="S61" s="457">
        <f>+GPpcntMjr*(VLOOKUP($A61,FY16ProjRevAut15!$A$4:$I$24,9,FALSE))*VLOOKUP($A61,FY16ProjMjrsActDegs!$A$3:$S$23,MATCH(S$28,FY16ProjMjrsActDegs!$A$2:$S$2,0),FALSE)</f>
        <v>0</v>
      </c>
      <c r="T61" s="457">
        <f t="shared" si="24"/>
        <v>1813303.14059164</v>
      </c>
    </row>
    <row r="62" spans="1:20" s="18" customFormat="1" ht="18" customHeight="1">
      <c r="A62" s="404" t="s">
        <v>137</v>
      </c>
      <c r="B62" s="440" t="s">
        <v>49</v>
      </c>
      <c r="C62" s="410">
        <f>+GPpcntMjr*(VLOOKUP($A62,FY16ProjRevAut15!$A$4:$I$24,9,FALSE))*VLOOKUP($A62,FY16ProjMjrsActDegs!$A$3:$S$23,MATCH(C$28,FY16ProjMjrsActDegs!$A$2:$S$2,0),FALSE)</f>
        <v>2367.7914450073004</v>
      </c>
      <c r="D62" s="410">
        <f>+GPpcntMjr*(VLOOKUP($A62,FY16ProjRevAut15!$A$4:$I$24,9,FALSE))*VLOOKUP($A62,FY16ProjMjrsActDegs!$A$3:$S$23,MATCH(D$28,FY16ProjMjrsActDegs!$A$2:$S$2,0),FALSE)</f>
        <v>42620.246010131399</v>
      </c>
      <c r="E62" s="410">
        <f>+GPpcntMjr*(VLOOKUP($A62,FY16ProjRevAut15!$A$4:$I$24,9,FALSE))*VLOOKUP($A62,FY16ProjMjrsActDegs!$A$3:$S$23,MATCH(E$28,FY16ProjMjrsActDegs!$A$2:$S$2,0),FALSE)</f>
        <v>0</v>
      </c>
      <c r="F62" s="410">
        <f>+GPpcntMjr*(VLOOKUP($A62,FY16ProjRevAut15!$A$4:$I$24,9,FALSE))*VLOOKUP($A62,FY16ProjMjrsActDegs!$A$3:$S$23,MATCH(F$28,FY16ProjMjrsActDegs!$A$2:$S$2,0),FALSE)</f>
        <v>0</v>
      </c>
      <c r="G62" s="410">
        <f>+GPpcntMjr*(VLOOKUP($A62,FY16ProjRevAut15!$A$4:$I$24,9,FALSE))*VLOOKUP($A62,FY16ProjMjrsActDegs!$A$3:$S$23,MATCH(G$28,FY16ProjMjrsActDegs!$A$2:$S$2,0),FALSE)</f>
        <v>7103.3743350219011</v>
      </c>
      <c r="H62" s="410">
        <f>+GPpcntMjr*(VLOOKUP($A62,FY16ProjRevAut15!$A$4:$I$24,9,FALSE))*VLOOKUP($A62,FY16ProjMjrsActDegs!$A$3:$S$23,MATCH(H$28,FY16ProjMjrsActDegs!$A$2:$S$2,0),FALSE)</f>
        <v>0</v>
      </c>
      <c r="I62" s="410">
        <f>+GPpcntMjr*(VLOOKUP($A62,FY16ProjRevAut15!$A$4:$I$24,9,FALSE))*VLOOKUP($A62,FY16ProjMjrsActDegs!$A$3:$S$23,MATCH(I$28,FY16ProjMjrsActDegs!$A$2:$S$2,0),FALSE)</f>
        <v>0</v>
      </c>
      <c r="J62" s="410">
        <f>+GPpcntMjr*(VLOOKUP($A62,FY16ProjRevAut15!$A$4:$I$24,9,FALSE))*VLOOKUP($A62,FY16ProjMjrsActDegs!$A$3:$S$23,MATCH(J$28,FY16ProjMjrsActDegs!$A$2:$S$2,0),FALSE)</f>
        <v>0</v>
      </c>
      <c r="K62" s="410">
        <f>+GPpcntMjr*(VLOOKUP($A62,FY16ProjRevAut15!$A$4:$I$24,9,FALSE))*VLOOKUP($A62,FY16ProjMjrsActDegs!$A$3:$S$23,MATCH(K$28,FY16ProjMjrsActDegs!$A$2:$S$2,0),FALSE)</f>
        <v>0</v>
      </c>
      <c r="L62" s="410">
        <f>+GPpcntMjr*(VLOOKUP($A62,FY16ProjRevAut15!$A$4:$I$24,9,FALSE))*VLOOKUP($A62,FY16ProjMjrsActDegs!$A$3:$S$23,MATCH(L$28,FY16ProjMjrsActDegs!$A$2:$S$2,0),FALSE)</f>
        <v>21310.123005065707</v>
      </c>
      <c r="M62" s="410">
        <f>+GPpcntMjr*(VLOOKUP($A62,FY16ProjRevAut15!$A$4:$I$24,9,FALSE))*VLOOKUP($A62,FY16ProjMjrsActDegs!$A$3:$S$23,MATCH(M$28,FY16ProjMjrsActDegs!$A$2:$S$2,0),FALSE)</f>
        <v>2367.7914450073004</v>
      </c>
      <c r="N62" s="410">
        <f>+GPpcntMjr*(VLOOKUP($A62,FY16ProjRevAut15!$A$4:$I$24,9,FALSE))*VLOOKUP($A62,FY16ProjMjrsActDegs!$A$3:$S$23,MATCH(N$28,FY16ProjMjrsActDegs!$A$2:$S$2,0),FALSE)</f>
        <v>331490.80230102205</v>
      </c>
      <c r="O62" s="410">
        <f>+GPpcntMjr*(VLOOKUP($A62,FY16ProjRevAut15!$A$4:$I$24,9,FALSE))*VLOOKUP($A62,FY16ProjMjrsActDegs!$A$3:$S$23,MATCH(O$28,FY16ProjMjrsActDegs!$A$2:$S$2,0),FALSE)</f>
        <v>2367.7914450073004</v>
      </c>
      <c r="P62" s="410">
        <f>+GPpcntMjr*(VLOOKUP($A62,FY16ProjRevAut15!$A$4:$I$24,9,FALSE))*VLOOKUP($A62,FY16ProjMjrsActDegs!$A$3:$S$23,MATCH(P$28,FY16ProjMjrsActDegs!$A$2:$S$2,0),FALSE)</f>
        <v>0</v>
      </c>
      <c r="Q62" s="410">
        <f>+GPpcntMjr*(VLOOKUP($A62,FY16ProjRevAut15!$A$4:$I$24,9,FALSE))*VLOOKUP($A62,FY16ProjMjrsActDegs!$A$3:$S$23,MATCH(Q$28,FY16ProjMjrsActDegs!$A$2:$S$2,0),FALSE)</f>
        <v>968426.70100798598</v>
      </c>
      <c r="R62" s="410">
        <f>+GPpcntMjr*(VLOOKUP($A62,FY16ProjRevAut15!$A$4:$I$24,9,FALSE))*VLOOKUP($A62,FY16ProjMjrsActDegs!$A$3:$S$23,MATCH(R$28,FY16ProjMjrsActDegs!$A$2:$S$2,0),FALSE)</f>
        <v>0</v>
      </c>
      <c r="S62" s="410">
        <f>+GPpcntMjr*(VLOOKUP($A62,FY16ProjRevAut15!$A$4:$I$24,9,FALSE))*VLOOKUP($A62,FY16ProjMjrsActDegs!$A$3:$S$23,MATCH(S$28,FY16ProjMjrsActDegs!$A$2:$S$2,0),FALSE)</f>
        <v>0</v>
      </c>
      <c r="T62" s="410">
        <f t="shared" si="24"/>
        <v>1378054.6209942489</v>
      </c>
    </row>
    <row r="63" spans="1:20" ht="18" customHeight="1">
      <c r="A63" s="553" t="s">
        <v>145</v>
      </c>
      <c r="B63" s="456" t="s">
        <v>207</v>
      </c>
      <c r="C63" s="457">
        <f>+GPpcntMjr*(VLOOKUP($A63,FY16ProjRevAut15!$A$4:$I$24,9,FALSE))*VLOOKUP($A63,FY16ProjMjrsActDegs!$A$3:$S$23,MATCH(C$28,FY16ProjMjrsActDegs!$A$2:$S$2,0),FALSE)</f>
        <v>3765718.145540684</v>
      </c>
      <c r="D63" s="457">
        <f>+GPpcntMjr*(VLOOKUP($A63,FY16ProjRevAut15!$A$4:$I$24,9,FALSE))*VLOOKUP($A63,FY16ProjMjrsActDegs!$A$3:$S$23,MATCH(D$28,FY16ProjMjrsActDegs!$A$2:$S$2,0),FALSE)</f>
        <v>0</v>
      </c>
      <c r="E63" s="457">
        <f>+GPpcntMjr*(VLOOKUP($A63,FY16ProjRevAut15!$A$4:$I$24,9,FALSE))*VLOOKUP($A63,FY16ProjMjrsActDegs!$A$3:$S$23,MATCH(E$28,FY16ProjMjrsActDegs!$A$2:$S$2,0),FALSE)</f>
        <v>0</v>
      </c>
      <c r="F63" s="457">
        <f>+GPpcntMjr*(VLOOKUP($A63,FY16ProjRevAut15!$A$4:$I$24,9,FALSE))*VLOOKUP($A63,FY16ProjMjrsActDegs!$A$3:$S$23,MATCH(F$28,FY16ProjMjrsActDegs!$A$2:$S$2,0),FALSE)</f>
        <v>0</v>
      </c>
      <c r="G63" s="457">
        <f>+GPpcntMjr*(VLOOKUP($A63,FY16ProjRevAut15!$A$4:$I$24,9,FALSE))*VLOOKUP($A63,FY16ProjMjrsActDegs!$A$3:$S$23,MATCH(G$28,FY16ProjMjrsActDegs!$A$2:$S$2,0),FALSE)</f>
        <v>10597.70585048973</v>
      </c>
      <c r="H63" s="457">
        <f>+GPpcntMjr*(VLOOKUP($A63,FY16ProjRevAut15!$A$4:$I$24,9,FALSE))*VLOOKUP($A63,FY16ProjMjrsActDegs!$A$3:$S$23,MATCH(H$28,FY16ProjMjrsActDegs!$A$2:$S$2,0),FALSE)</f>
        <v>0</v>
      </c>
      <c r="I63" s="457">
        <f>+GPpcntMjr*(VLOOKUP($A63,FY16ProjRevAut15!$A$4:$I$24,9,FALSE))*VLOOKUP($A63,FY16ProjMjrsActDegs!$A$3:$S$23,MATCH(I$28,FY16ProjMjrsActDegs!$A$2:$S$2,0),FALSE)</f>
        <v>0</v>
      </c>
      <c r="J63" s="457">
        <f>+GPpcntMjr*(VLOOKUP($A63,FY16ProjRevAut15!$A$4:$I$24,9,FALSE))*VLOOKUP($A63,FY16ProjMjrsActDegs!$A$3:$S$23,MATCH(J$28,FY16ProjMjrsActDegs!$A$2:$S$2,0),FALSE)</f>
        <v>0</v>
      </c>
      <c r="K63" s="457">
        <f>+GPpcntMjr*(VLOOKUP($A63,FY16ProjRevAut15!$A$4:$I$24,9,FALSE))*VLOOKUP($A63,FY16ProjMjrsActDegs!$A$3:$S$23,MATCH(K$28,FY16ProjMjrsActDegs!$A$2:$S$2,0),FALSE)</f>
        <v>0</v>
      </c>
      <c r="L63" s="457">
        <f>+GPpcntMjr*(VLOOKUP($A63,FY16ProjRevAut15!$A$4:$I$24,9,FALSE))*VLOOKUP($A63,FY16ProjMjrsActDegs!$A$3:$S$23,MATCH(L$28,FY16ProjMjrsActDegs!$A$2:$S$2,0),FALSE)</f>
        <v>0</v>
      </c>
      <c r="M63" s="457">
        <f>+GPpcntMjr*(VLOOKUP($A63,FY16ProjRevAut15!$A$4:$I$24,9,FALSE))*VLOOKUP($A63,FY16ProjMjrsActDegs!$A$3:$S$23,MATCH(M$28,FY16ProjMjrsActDegs!$A$2:$S$2,0),FALSE)</f>
        <v>0</v>
      </c>
      <c r="N63" s="457">
        <f>+GPpcntMjr*(VLOOKUP($A63,FY16ProjRevAut15!$A$4:$I$24,9,FALSE))*VLOOKUP($A63,FY16ProjMjrsActDegs!$A$3:$S$23,MATCH(N$28,FY16ProjMjrsActDegs!$A$2:$S$2,0),FALSE)</f>
        <v>0</v>
      </c>
      <c r="O63" s="457">
        <f>+GPpcntMjr*(VLOOKUP($A63,FY16ProjRevAut15!$A$4:$I$24,9,FALSE))*VLOOKUP($A63,FY16ProjMjrsActDegs!$A$3:$S$23,MATCH(O$28,FY16ProjMjrsActDegs!$A$2:$S$2,0),FALSE)</f>
        <v>0</v>
      </c>
      <c r="P63" s="457">
        <f>+GPpcntMjr*(VLOOKUP($A63,FY16ProjRevAut15!$A$4:$I$24,9,FALSE))*VLOOKUP($A63,FY16ProjMjrsActDegs!$A$3:$S$23,MATCH(P$28,FY16ProjMjrsActDegs!$A$2:$S$2,0),FALSE)</f>
        <v>0</v>
      </c>
      <c r="Q63" s="457">
        <f>+GPpcntMjr*(VLOOKUP($A63,FY16ProjRevAut15!$A$4:$I$24,9,FALSE))*VLOOKUP($A63,FY16ProjMjrsActDegs!$A$3:$S$23,MATCH(Q$28,FY16ProjMjrsActDegs!$A$2:$S$2,0),FALSE)</f>
        <v>0</v>
      </c>
      <c r="R63" s="457">
        <f>+GPpcntMjr*(VLOOKUP($A63,FY16ProjRevAut15!$A$4:$I$24,9,FALSE))*VLOOKUP($A63,FY16ProjMjrsActDegs!$A$3:$S$23,MATCH(R$28,FY16ProjMjrsActDegs!$A$2:$S$2,0),FALSE)</f>
        <v>0</v>
      </c>
      <c r="S63" s="457">
        <f>+GPpcntMjr*(VLOOKUP($A63,FY16ProjRevAut15!$A$4:$I$24,9,FALSE))*VLOOKUP($A63,FY16ProjMjrsActDegs!$A$3:$S$23,MATCH(S$28,FY16ProjMjrsActDegs!$A$2:$S$2,0),FALSE)</f>
        <v>0</v>
      </c>
      <c r="T63" s="457">
        <f t="shared" si="24"/>
        <v>3776315.8513911739</v>
      </c>
    </row>
    <row r="64" spans="1:20" s="18" customFormat="1" ht="18" customHeight="1">
      <c r="A64" s="404" t="s">
        <v>147</v>
      </c>
      <c r="B64" s="440" t="s">
        <v>208</v>
      </c>
      <c r="C64" s="410">
        <f>+GPpcntMjr*(VLOOKUP($A64,FY16ProjRevAut15!$A$4:$I$24,9,FALSE))*VLOOKUP($A64,FY16ProjMjrsActDegs!$A$3:$S$23,MATCH(C$28,FY16ProjMjrsActDegs!$A$2:$S$2,0),FALSE)</f>
        <v>0</v>
      </c>
      <c r="D64" s="410">
        <f>+GPpcntMjr*(VLOOKUP($A64,FY16ProjRevAut15!$A$4:$I$24,9,FALSE))*VLOOKUP($A64,FY16ProjMjrsActDegs!$A$3:$S$23,MATCH(D$28,FY16ProjMjrsActDegs!$A$2:$S$2,0),FALSE)</f>
        <v>0</v>
      </c>
      <c r="E64" s="410">
        <f>+GPpcntMjr*(VLOOKUP($A64,FY16ProjRevAut15!$A$4:$I$24,9,FALSE))*VLOOKUP($A64,FY16ProjMjrsActDegs!$A$3:$S$23,MATCH(E$28,FY16ProjMjrsActDegs!$A$2:$S$2,0),FALSE)</f>
        <v>0</v>
      </c>
      <c r="F64" s="410">
        <f>+GPpcntMjr*(VLOOKUP($A64,FY16ProjRevAut15!$A$4:$I$24,9,FALSE))*VLOOKUP($A64,FY16ProjMjrsActDegs!$A$3:$S$23,MATCH(F$28,FY16ProjMjrsActDegs!$A$2:$S$2,0),FALSE)</f>
        <v>0</v>
      </c>
      <c r="G64" s="410">
        <f>+GPpcntMjr*(VLOOKUP($A64,FY16ProjRevAut15!$A$4:$I$24,9,FALSE))*VLOOKUP($A64,FY16ProjMjrsActDegs!$A$3:$S$23,MATCH(G$28,FY16ProjMjrsActDegs!$A$2:$S$2,0),FALSE)</f>
        <v>1222435.2304665034</v>
      </c>
      <c r="H64" s="410">
        <f>+GPpcntMjr*(VLOOKUP($A64,FY16ProjRevAut15!$A$4:$I$24,9,FALSE))*VLOOKUP($A64,FY16ProjMjrsActDegs!$A$3:$S$23,MATCH(H$28,FY16ProjMjrsActDegs!$A$2:$S$2,0),FALSE)</f>
        <v>14105.021889998117</v>
      </c>
      <c r="I64" s="410">
        <f>+GPpcntMjr*(VLOOKUP($A64,FY16ProjRevAut15!$A$4:$I$24,9,FALSE))*VLOOKUP($A64,FY16ProjMjrsActDegs!$A$3:$S$23,MATCH(I$28,FY16ProjMjrsActDegs!$A$2:$S$2,0),FALSE)</f>
        <v>0</v>
      </c>
      <c r="J64" s="410">
        <f>+GPpcntMjr*(VLOOKUP($A64,FY16ProjRevAut15!$A$4:$I$24,9,FALSE))*VLOOKUP($A64,FY16ProjMjrsActDegs!$A$3:$S$23,MATCH(J$28,FY16ProjMjrsActDegs!$A$2:$S$2,0),FALSE)</f>
        <v>0</v>
      </c>
      <c r="K64" s="410">
        <f>+GPpcntMjr*(VLOOKUP($A64,FY16ProjRevAut15!$A$4:$I$24,9,FALSE))*VLOOKUP($A64,FY16ProjMjrsActDegs!$A$3:$S$23,MATCH(K$28,FY16ProjMjrsActDegs!$A$2:$S$2,0),FALSE)</f>
        <v>0</v>
      </c>
      <c r="L64" s="410">
        <f>+GPpcntMjr*(VLOOKUP($A64,FY16ProjRevAut15!$A$4:$I$24,9,FALSE))*VLOOKUP($A64,FY16ProjMjrsActDegs!$A$3:$S$23,MATCH(L$28,FY16ProjMjrsActDegs!$A$2:$S$2,0),FALSE)</f>
        <v>0</v>
      </c>
      <c r="M64" s="410">
        <f>+GPpcntMjr*(VLOOKUP($A64,FY16ProjRevAut15!$A$4:$I$24,9,FALSE))*VLOOKUP($A64,FY16ProjMjrsActDegs!$A$3:$S$23,MATCH(M$28,FY16ProjMjrsActDegs!$A$2:$S$2,0),FALSE)</f>
        <v>0</v>
      </c>
      <c r="N64" s="410">
        <f>+GPpcntMjr*(VLOOKUP($A64,FY16ProjRevAut15!$A$4:$I$24,9,FALSE))*VLOOKUP($A64,FY16ProjMjrsActDegs!$A$3:$S$23,MATCH(N$28,FY16ProjMjrsActDegs!$A$2:$S$2,0),FALSE)</f>
        <v>0</v>
      </c>
      <c r="O64" s="410">
        <f>+GPpcntMjr*(VLOOKUP($A64,FY16ProjRevAut15!$A$4:$I$24,9,FALSE))*VLOOKUP($A64,FY16ProjMjrsActDegs!$A$3:$S$23,MATCH(O$28,FY16ProjMjrsActDegs!$A$2:$S$2,0),FALSE)</f>
        <v>0</v>
      </c>
      <c r="P64" s="410">
        <f>+GPpcntMjr*(VLOOKUP($A64,FY16ProjRevAut15!$A$4:$I$24,9,FALSE))*VLOOKUP($A64,FY16ProjMjrsActDegs!$A$3:$S$23,MATCH(P$28,FY16ProjMjrsActDegs!$A$2:$S$2,0),FALSE)</f>
        <v>0</v>
      </c>
      <c r="Q64" s="410">
        <f>+GPpcntMjr*(VLOOKUP($A64,FY16ProjRevAut15!$A$4:$I$24,9,FALSE))*VLOOKUP($A64,FY16ProjMjrsActDegs!$A$3:$S$23,MATCH(Q$28,FY16ProjMjrsActDegs!$A$2:$S$2,0),FALSE)</f>
        <v>0</v>
      </c>
      <c r="R64" s="410">
        <f>+GPpcntMjr*(VLOOKUP($A64,FY16ProjRevAut15!$A$4:$I$24,9,FALSE))*VLOOKUP($A64,FY16ProjMjrsActDegs!$A$3:$S$23,MATCH(R$28,FY16ProjMjrsActDegs!$A$2:$S$2,0),FALSE)</f>
        <v>0</v>
      </c>
      <c r="S64" s="410">
        <f>+GPpcntMjr*(VLOOKUP($A64,FY16ProjRevAut15!$A$4:$I$24,9,FALSE))*VLOOKUP($A64,FY16ProjMjrsActDegs!$A$3:$S$23,MATCH(S$28,FY16ProjMjrsActDegs!$A$2:$S$2,0),FALSE)</f>
        <v>0</v>
      </c>
      <c r="T64" s="410">
        <f t="shared" si="24"/>
        <v>1236540.2523565015</v>
      </c>
    </row>
    <row r="65" spans="1:20" ht="18" customHeight="1">
      <c r="A65" s="404" t="s">
        <v>148</v>
      </c>
      <c r="B65" s="456" t="s">
        <v>39</v>
      </c>
      <c r="C65" s="457">
        <f>+GPpcntMjr*(VLOOKUP($A65,FY16ProjRevAut15!$A$4:$I$24,9,FALSE))*VLOOKUP($A65,FY16ProjMjrsActDegs!$A$3:$S$23,MATCH(C$28,FY16ProjMjrsActDegs!$A$2:$S$2,0),FALSE)</f>
        <v>55256.906508250097</v>
      </c>
      <c r="D65" s="457">
        <f>+GPpcntMjr*(VLOOKUP($A65,FY16ProjRevAut15!$A$4:$I$24,9,FALSE))*VLOOKUP($A65,FY16ProjMjrsActDegs!$A$3:$S$23,MATCH(D$28,FY16ProjMjrsActDegs!$A$2:$S$2,0),FALSE)</f>
        <v>133266.65687283844</v>
      </c>
      <c r="E65" s="457">
        <f>+GPpcntMjr*(VLOOKUP($A65,FY16ProjRevAut15!$A$4:$I$24,9,FALSE))*VLOOKUP($A65,FY16ProjMjrsActDegs!$A$3:$S$23,MATCH(E$28,FY16ProjMjrsActDegs!$A$2:$S$2,0),FALSE)</f>
        <v>0</v>
      </c>
      <c r="F65" s="457">
        <f>+GPpcntMjr*(VLOOKUP($A65,FY16ProjRevAut15!$A$4:$I$24,9,FALSE))*VLOOKUP($A65,FY16ProjMjrsActDegs!$A$3:$S$23,MATCH(F$28,FY16ProjMjrsActDegs!$A$2:$S$2,0),FALSE)</f>
        <v>0</v>
      </c>
      <c r="G65" s="457">
        <f>+GPpcntMjr*(VLOOKUP($A65,FY16ProjRevAut15!$A$4:$I$24,9,FALSE))*VLOOKUP($A65,FY16ProjMjrsActDegs!$A$3:$S$23,MATCH(G$28,FY16ProjMjrsActDegs!$A$2:$S$2,0),FALSE)</f>
        <v>0</v>
      </c>
      <c r="H65" s="457">
        <f>+GPpcntMjr*(VLOOKUP($A65,FY16ProjRevAut15!$A$4:$I$24,9,FALSE))*VLOOKUP($A65,FY16ProjMjrsActDegs!$A$3:$S$23,MATCH(H$28,FY16ProjMjrsActDegs!$A$2:$S$2,0),FALSE)</f>
        <v>87760.969160161912</v>
      </c>
      <c r="I65" s="457">
        <f>+GPpcntMjr*(VLOOKUP($A65,FY16ProjRevAut15!$A$4:$I$24,9,FALSE))*VLOOKUP($A65,FY16ProjMjrsActDegs!$A$3:$S$23,MATCH(I$28,FY16ProjMjrsActDegs!$A$2:$S$2,0),FALSE)</f>
        <v>9751.2187955735462</v>
      </c>
      <c r="J65" s="457">
        <f>+GPpcntMjr*(VLOOKUP($A65,FY16ProjRevAut15!$A$4:$I$24,9,FALSE))*VLOOKUP($A65,FY16ProjMjrsActDegs!$A$3:$S$23,MATCH(J$28,FY16ProjMjrsActDegs!$A$2:$S$2,0),FALSE)</f>
        <v>9751.2187955735462</v>
      </c>
      <c r="K65" s="457">
        <f>+GPpcntMjr*(VLOOKUP($A65,FY16ProjRevAut15!$A$4:$I$24,9,FALSE))*VLOOKUP($A65,FY16ProjMjrsActDegs!$A$3:$S$23,MATCH(K$28,FY16ProjMjrsActDegs!$A$2:$S$2,0),FALSE)</f>
        <v>3243905.4526608</v>
      </c>
      <c r="L65" s="457">
        <f>+GPpcntMjr*(VLOOKUP($A65,FY16ProjRevAut15!$A$4:$I$24,9,FALSE))*VLOOKUP($A65,FY16ProjMjrsActDegs!$A$3:$S$23,MATCH(L$28,FY16ProjMjrsActDegs!$A$2:$S$2,0),FALSE)</f>
        <v>22752.843856338273</v>
      </c>
      <c r="M65" s="457">
        <f>+GPpcntMjr*(VLOOKUP($A65,FY16ProjRevAut15!$A$4:$I$24,9,FALSE))*VLOOKUP($A65,FY16ProjMjrsActDegs!$A$3:$S$23,MATCH(M$28,FY16ProjMjrsActDegs!$A$2:$S$2,0),FALSE)</f>
        <v>0</v>
      </c>
      <c r="N65" s="457">
        <f>+GPpcntMjr*(VLOOKUP($A65,FY16ProjRevAut15!$A$4:$I$24,9,FALSE))*VLOOKUP($A65,FY16ProjMjrsActDegs!$A$3:$S$23,MATCH(N$28,FY16ProjMjrsActDegs!$A$2:$S$2,0),FALSE)</f>
        <v>0</v>
      </c>
      <c r="O65" s="457">
        <f>+GPpcntMjr*(VLOOKUP($A65,FY16ProjRevAut15!$A$4:$I$24,9,FALSE))*VLOOKUP($A65,FY16ProjMjrsActDegs!$A$3:$S$23,MATCH(O$28,FY16ProjMjrsActDegs!$A$2:$S$2,0),FALSE)</f>
        <v>0</v>
      </c>
      <c r="P65" s="457">
        <f>+GPpcntMjr*(VLOOKUP($A65,FY16ProjRevAut15!$A$4:$I$24,9,FALSE))*VLOOKUP($A65,FY16ProjMjrsActDegs!$A$3:$S$23,MATCH(P$28,FY16ProjMjrsActDegs!$A$2:$S$2,0),FALSE)</f>
        <v>0</v>
      </c>
      <c r="Q65" s="457">
        <f>+GPpcntMjr*(VLOOKUP($A65,FY16ProjRevAut15!$A$4:$I$24,9,FALSE))*VLOOKUP($A65,FY16ProjMjrsActDegs!$A$3:$S$23,MATCH(Q$28,FY16ProjMjrsActDegs!$A$2:$S$2,0),FALSE)</f>
        <v>71508.937834206008</v>
      </c>
      <c r="R65" s="457">
        <f>+GPpcntMjr*(VLOOKUP($A65,FY16ProjRevAut15!$A$4:$I$24,9,FALSE))*VLOOKUP($A65,FY16ProjMjrsActDegs!$A$3:$S$23,MATCH(R$28,FY16ProjMjrsActDegs!$A$2:$S$2,0),FALSE)</f>
        <v>0</v>
      </c>
      <c r="S65" s="457">
        <f>+GPpcntMjr*(VLOOKUP($A65,FY16ProjRevAut15!$A$4:$I$24,9,FALSE))*VLOOKUP($A65,FY16ProjMjrsActDegs!$A$3:$S$23,MATCH(S$28,FY16ProjMjrsActDegs!$A$2:$S$2,0),FALSE)</f>
        <v>0</v>
      </c>
      <c r="T65" s="457">
        <f t="shared" si="24"/>
        <v>3633954.2044837419</v>
      </c>
    </row>
    <row r="66" spans="1:20" s="18" customFormat="1" ht="18" customHeight="1">
      <c r="A66" s="404" t="s">
        <v>149</v>
      </c>
      <c r="B66" s="440" t="s">
        <v>38</v>
      </c>
      <c r="C66" s="410">
        <f>+GPpcntMjr*(VLOOKUP($A66,FY16ProjRevAut15!$A$4:$I$24,9,FALSE))*VLOOKUP($A66,FY16ProjMjrsActDegs!$A$3:$S$23,MATCH(C$28,FY16ProjMjrsActDegs!$A$2:$S$2,0),FALSE)</f>
        <v>0</v>
      </c>
      <c r="D66" s="410">
        <f>+GPpcntMjr*(VLOOKUP($A66,FY16ProjRevAut15!$A$4:$I$24,9,FALSE))*VLOOKUP($A66,FY16ProjMjrsActDegs!$A$3:$S$23,MATCH(D$28,FY16ProjMjrsActDegs!$A$2:$S$2,0),FALSE)</f>
        <v>24574.74607730627</v>
      </c>
      <c r="E66" s="410">
        <f>+GPpcntMjr*(VLOOKUP($A66,FY16ProjRevAut15!$A$4:$I$24,9,FALSE))*VLOOKUP($A66,FY16ProjMjrsActDegs!$A$3:$S$23,MATCH(E$28,FY16ProjMjrsActDegs!$A$2:$S$2,0),FALSE)</f>
        <v>3612487.6733640218</v>
      </c>
      <c r="F66" s="410">
        <f>+GPpcntMjr*(VLOOKUP($A66,FY16ProjRevAut15!$A$4:$I$24,9,FALSE))*VLOOKUP($A66,FY16ProjMjrsActDegs!$A$3:$S$23,MATCH(F$28,FY16ProjMjrsActDegs!$A$2:$S$2,0),FALSE)</f>
        <v>0</v>
      </c>
      <c r="G66" s="410">
        <f>+GPpcntMjr*(VLOOKUP($A66,FY16ProjRevAut15!$A$4:$I$24,9,FALSE))*VLOOKUP($A66,FY16ProjMjrsActDegs!$A$3:$S$23,MATCH(G$28,FY16ProjMjrsActDegs!$A$2:$S$2,0),FALSE)</f>
        <v>9829.8984309225089</v>
      </c>
      <c r="H66" s="410">
        <f>+GPpcntMjr*(VLOOKUP($A66,FY16ProjRevAut15!$A$4:$I$24,9,FALSE))*VLOOKUP($A66,FY16ProjMjrsActDegs!$A$3:$S$23,MATCH(H$28,FY16ProjMjrsActDegs!$A$2:$S$2,0),FALSE)</f>
        <v>0</v>
      </c>
      <c r="I66" s="410">
        <f>+GPpcntMjr*(VLOOKUP($A66,FY16ProjRevAut15!$A$4:$I$24,9,FALSE))*VLOOKUP($A66,FY16ProjMjrsActDegs!$A$3:$S$23,MATCH(I$28,FY16ProjMjrsActDegs!$A$2:$S$2,0),FALSE)</f>
        <v>0</v>
      </c>
      <c r="J66" s="410">
        <f>+GPpcntMjr*(VLOOKUP($A66,FY16ProjRevAut15!$A$4:$I$24,9,FALSE))*VLOOKUP($A66,FY16ProjMjrsActDegs!$A$3:$S$23,MATCH(J$28,FY16ProjMjrsActDegs!$A$2:$S$2,0),FALSE)</f>
        <v>9829.8984309225089</v>
      </c>
      <c r="K66" s="410">
        <f>+GPpcntMjr*(VLOOKUP($A66,FY16ProjRevAut15!$A$4:$I$24,9,FALSE))*VLOOKUP($A66,FY16ProjMjrsActDegs!$A$3:$S$23,MATCH(K$28,FY16ProjMjrsActDegs!$A$2:$S$2,0),FALSE)</f>
        <v>0</v>
      </c>
      <c r="L66" s="410">
        <f>+GPpcntMjr*(VLOOKUP($A66,FY16ProjRevAut15!$A$4:$I$24,9,FALSE))*VLOOKUP($A66,FY16ProjMjrsActDegs!$A$3:$S$23,MATCH(L$28,FY16ProjMjrsActDegs!$A$2:$S$2,0),FALSE)</f>
        <v>0</v>
      </c>
      <c r="M66" s="410">
        <f>+GPpcntMjr*(VLOOKUP($A66,FY16ProjRevAut15!$A$4:$I$24,9,FALSE))*VLOOKUP($A66,FY16ProjMjrsActDegs!$A$3:$S$23,MATCH(M$28,FY16ProjMjrsActDegs!$A$2:$S$2,0),FALSE)</f>
        <v>0</v>
      </c>
      <c r="N66" s="410">
        <f>+GPpcntMjr*(VLOOKUP($A66,FY16ProjRevAut15!$A$4:$I$24,9,FALSE))*VLOOKUP($A66,FY16ProjMjrsActDegs!$A$3:$S$23,MATCH(N$28,FY16ProjMjrsActDegs!$A$2:$S$2,0),FALSE)</f>
        <v>9829.8984309225089</v>
      </c>
      <c r="O66" s="410">
        <f>+GPpcntMjr*(VLOOKUP($A66,FY16ProjRevAut15!$A$4:$I$24,9,FALSE))*VLOOKUP($A66,FY16ProjMjrsActDegs!$A$3:$S$23,MATCH(O$28,FY16ProjMjrsActDegs!$A$2:$S$2,0),FALSE)</f>
        <v>0</v>
      </c>
      <c r="P66" s="410">
        <f>+GPpcntMjr*(VLOOKUP($A66,FY16ProjRevAut15!$A$4:$I$24,9,FALSE))*VLOOKUP($A66,FY16ProjMjrsActDegs!$A$3:$S$23,MATCH(P$28,FY16ProjMjrsActDegs!$A$2:$S$2,0),FALSE)</f>
        <v>9829.8984309225089</v>
      </c>
      <c r="Q66" s="410">
        <f>+GPpcntMjr*(VLOOKUP($A66,FY16ProjRevAut15!$A$4:$I$24,9,FALSE))*VLOOKUP($A66,FY16ProjMjrsActDegs!$A$3:$S$23,MATCH(Q$28,FY16ProjMjrsActDegs!$A$2:$S$2,0),FALSE)</f>
        <v>29489.695292767527</v>
      </c>
      <c r="R66" s="410">
        <f>+GPpcntMjr*(VLOOKUP($A66,FY16ProjRevAut15!$A$4:$I$24,9,FALSE))*VLOOKUP($A66,FY16ProjMjrsActDegs!$A$3:$S$23,MATCH(R$28,FY16ProjMjrsActDegs!$A$2:$S$2,0),FALSE)</f>
        <v>0</v>
      </c>
      <c r="S66" s="410">
        <f>+GPpcntMjr*(VLOOKUP($A66,FY16ProjRevAut15!$A$4:$I$24,9,FALSE))*VLOOKUP($A66,FY16ProjMjrsActDegs!$A$3:$S$23,MATCH(S$28,FY16ProjMjrsActDegs!$A$2:$S$2,0),FALSE)</f>
        <v>0</v>
      </c>
      <c r="T66" s="410">
        <f t="shared" si="24"/>
        <v>3705871.7084577857</v>
      </c>
    </row>
    <row r="67" spans="1:20" ht="18" customHeight="1">
      <c r="A67" s="404" t="s">
        <v>150</v>
      </c>
      <c r="B67" s="456" t="s">
        <v>31</v>
      </c>
      <c r="C67" s="457">
        <f>+GPpcntMjr*(VLOOKUP($A67,FY16ProjRevAut15!$A$4:$I$24,9,FALSE))*VLOOKUP($A67,FY16ProjMjrsActDegs!$A$3:$S$23,MATCH(C$28,FY16ProjMjrsActDegs!$A$2:$S$2,0),FALSE)</f>
        <v>0</v>
      </c>
      <c r="D67" s="457">
        <f>+GPpcntMjr*(VLOOKUP($A67,FY16ProjRevAut15!$A$4:$I$24,9,FALSE))*VLOOKUP($A67,FY16ProjMjrsActDegs!$A$3:$S$23,MATCH(D$28,FY16ProjMjrsActDegs!$A$2:$S$2,0),FALSE)</f>
        <v>29989.956093910099</v>
      </c>
      <c r="E67" s="457">
        <f>+GPpcntMjr*(VLOOKUP($A67,FY16ProjRevAut15!$A$4:$I$24,9,FALSE))*VLOOKUP($A67,FY16ProjMjrsActDegs!$A$3:$S$23,MATCH(E$28,FY16ProjMjrsActDegs!$A$2:$S$2,0),FALSE)</f>
        <v>19993.304062606734</v>
      </c>
      <c r="F67" s="457">
        <f>+GPpcntMjr*(VLOOKUP($A67,FY16ProjRevAut15!$A$4:$I$24,9,FALSE))*VLOOKUP($A67,FY16ProjMjrsActDegs!$A$3:$S$23,MATCH(F$28,FY16ProjMjrsActDegs!$A$2:$S$2,0),FALSE)</f>
        <v>24991.630078258419</v>
      </c>
      <c r="G67" s="457">
        <f>+GPpcntMjr*(VLOOKUP($A67,FY16ProjRevAut15!$A$4:$I$24,9,FALSE))*VLOOKUP($A67,FY16ProjMjrsActDegs!$A$3:$S$23,MATCH(G$28,FY16ProjMjrsActDegs!$A$2:$S$2,0),FALSE)</f>
        <v>14994.97804695505</v>
      </c>
      <c r="H67" s="457">
        <f>+GPpcntMjr*(VLOOKUP($A67,FY16ProjRevAut15!$A$4:$I$24,9,FALSE))*VLOOKUP($A67,FY16ProjMjrsActDegs!$A$3:$S$23,MATCH(H$28,FY16ProjMjrsActDegs!$A$2:$S$2,0),FALSE)</f>
        <v>14994.97804695505</v>
      </c>
      <c r="I67" s="457">
        <f>+GPpcntMjr*(VLOOKUP($A67,FY16ProjRevAut15!$A$4:$I$24,9,FALSE))*VLOOKUP($A67,FY16ProjMjrsActDegs!$A$3:$S$23,MATCH(I$28,FY16ProjMjrsActDegs!$A$2:$S$2,0),FALSE)</f>
        <v>14994.97804695505</v>
      </c>
      <c r="J67" s="457">
        <f>+GPpcntMjr*(VLOOKUP($A67,FY16ProjRevAut15!$A$4:$I$24,9,FALSE))*VLOOKUP($A67,FY16ProjMjrsActDegs!$A$3:$S$23,MATCH(J$28,FY16ProjMjrsActDegs!$A$2:$S$2,0),FALSE)</f>
        <v>7697422.0641035913</v>
      </c>
      <c r="K67" s="457">
        <f>+GPpcntMjr*(VLOOKUP($A67,FY16ProjRevAut15!$A$4:$I$24,9,FALSE))*VLOOKUP($A67,FY16ProjMjrsActDegs!$A$3:$S$23,MATCH(K$28,FY16ProjMjrsActDegs!$A$2:$S$2,0),FALSE)</f>
        <v>14994.97804695505</v>
      </c>
      <c r="L67" s="457">
        <f>+GPpcntMjr*(VLOOKUP($A67,FY16ProjRevAut15!$A$4:$I$24,9,FALSE))*VLOOKUP($A67,FY16ProjMjrsActDegs!$A$3:$S$23,MATCH(L$28,FY16ProjMjrsActDegs!$A$2:$S$2,0),FALSE)</f>
        <v>0</v>
      </c>
      <c r="M67" s="457">
        <f>+GPpcntMjr*(VLOOKUP($A67,FY16ProjRevAut15!$A$4:$I$24,9,FALSE))*VLOOKUP($A67,FY16ProjMjrsActDegs!$A$3:$S$23,MATCH(M$28,FY16ProjMjrsActDegs!$A$2:$S$2,0),FALSE)</f>
        <v>0</v>
      </c>
      <c r="N67" s="457">
        <f>+GPpcntMjr*(VLOOKUP($A67,FY16ProjRevAut15!$A$4:$I$24,9,FALSE))*VLOOKUP($A67,FY16ProjMjrsActDegs!$A$3:$S$23,MATCH(N$28,FY16ProjMjrsActDegs!$A$2:$S$2,0),FALSE)</f>
        <v>0</v>
      </c>
      <c r="O67" s="457">
        <f>+GPpcntMjr*(VLOOKUP($A67,FY16ProjRevAut15!$A$4:$I$24,9,FALSE))*VLOOKUP($A67,FY16ProjMjrsActDegs!$A$3:$S$23,MATCH(O$28,FY16ProjMjrsActDegs!$A$2:$S$2,0),FALSE)</f>
        <v>0</v>
      </c>
      <c r="P67" s="457">
        <f>+GPpcntMjr*(VLOOKUP($A67,FY16ProjRevAut15!$A$4:$I$24,9,FALSE))*VLOOKUP($A67,FY16ProjMjrsActDegs!$A$3:$S$23,MATCH(P$28,FY16ProjMjrsActDegs!$A$2:$S$2,0),FALSE)</f>
        <v>0</v>
      </c>
      <c r="Q67" s="457">
        <f>+GPpcntMjr*(VLOOKUP($A67,FY16ProjRevAut15!$A$4:$I$24,9,FALSE))*VLOOKUP($A67,FY16ProjMjrsActDegs!$A$3:$S$23,MATCH(Q$28,FY16ProjMjrsActDegs!$A$2:$S$2,0),FALSE)</f>
        <v>14994.97804695505</v>
      </c>
      <c r="R67" s="457">
        <f>+GPpcntMjr*(VLOOKUP($A67,FY16ProjRevAut15!$A$4:$I$24,9,FALSE))*VLOOKUP($A67,FY16ProjMjrsActDegs!$A$3:$S$23,MATCH(R$28,FY16ProjMjrsActDegs!$A$2:$S$2,0),FALSE)</f>
        <v>0</v>
      </c>
      <c r="S67" s="457">
        <f>+GPpcntMjr*(VLOOKUP($A67,FY16ProjRevAut15!$A$4:$I$24,9,FALSE))*VLOOKUP($A67,FY16ProjMjrsActDegs!$A$3:$S$23,MATCH(S$28,FY16ProjMjrsActDegs!$A$2:$S$2,0),FALSE)</f>
        <v>0</v>
      </c>
      <c r="T67" s="457">
        <f t="shared" si="24"/>
        <v>7847371.8445731411</v>
      </c>
    </row>
    <row r="68" spans="1:20" s="18" customFormat="1" ht="18" customHeight="1">
      <c r="A68" s="404" t="s">
        <v>151</v>
      </c>
      <c r="B68" s="440" t="s">
        <v>209</v>
      </c>
      <c r="C68" s="410">
        <f>+GPpcntMjr*(VLOOKUP($A68,FY16ProjRevAut15!$A$4:$I$24,9,FALSE))*VLOOKUP($A68,FY16ProjMjrsActDegs!$A$3:$S$23,MATCH(C$28,FY16ProjMjrsActDegs!$A$2:$S$2,0),FALSE)</f>
        <v>0</v>
      </c>
      <c r="D68" s="410">
        <f>+GPpcntMjr*(VLOOKUP($A68,FY16ProjRevAut15!$A$4:$I$24,9,FALSE))*VLOOKUP($A68,FY16ProjMjrsActDegs!$A$3:$S$23,MATCH(D$28,FY16ProjMjrsActDegs!$A$2:$S$2,0),FALSE)</f>
        <v>0</v>
      </c>
      <c r="E68" s="410">
        <f>+GPpcntMjr*(VLOOKUP($A68,FY16ProjRevAut15!$A$4:$I$24,9,FALSE))*VLOOKUP($A68,FY16ProjMjrsActDegs!$A$3:$S$23,MATCH(E$28,FY16ProjMjrsActDegs!$A$2:$S$2,0),FALSE)</f>
        <v>0</v>
      </c>
      <c r="F68" s="410">
        <f>+GPpcntMjr*(VLOOKUP($A68,FY16ProjRevAut15!$A$4:$I$24,9,FALSE))*VLOOKUP($A68,FY16ProjMjrsActDegs!$A$3:$S$23,MATCH(F$28,FY16ProjMjrsActDegs!$A$2:$S$2,0),FALSE)</f>
        <v>0</v>
      </c>
      <c r="G68" s="410">
        <f>+GPpcntMjr*(VLOOKUP($A68,FY16ProjRevAut15!$A$4:$I$24,9,FALSE))*VLOOKUP($A68,FY16ProjMjrsActDegs!$A$3:$S$23,MATCH(G$28,FY16ProjMjrsActDegs!$A$2:$S$2,0),FALSE)</f>
        <v>0</v>
      </c>
      <c r="H68" s="410">
        <f>+GPpcntMjr*(VLOOKUP($A68,FY16ProjRevAut15!$A$4:$I$24,9,FALSE))*VLOOKUP($A68,FY16ProjMjrsActDegs!$A$3:$S$23,MATCH(H$28,FY16ProjMjrsActDegs!$A$2:$S$2,0),FALSE)</f>
        <v>0</v>
      </c>
      <c r="I68" s="410">
        <f>+GPpcntMjr*(VLOOKUP($A68,FY16ProjRevAut15!$A$4:$I$24,9,FALSE))*VLOOKUP($A68,FY16ProjMjrsActDegs!$A$3:$S$23,MATCH(I$28,FY16ProjMjrsActDegs!$A$2:$S$2,0),FALSE)</f>
        <v>0</v>
      </c>
      <c r="J68" s="410">
        <f>+GPpcntMjr*(VLOOKUP($A68,FY16ProjRevAut15!$A$4:$I$24,9,FALSE))*VLOOKUP($A68,FY16ProjMjrsActDegs!$A$3:$S$23,MATCH(J$28,FY16ProjMjrsActDegs!$A$2:$S$2,0),FALSE)</f>
        <v>1046314.4348004269</v>
      </c>
      <c r="K68" s="410">
        <f>+GPpcntMjr*(VLOOKUP($A68,FY16ProjRevAut15!$A$4:$I$24,9,FALSE))*VLOOKUP($A68,FY16ProjMjrsActDegs!$A$3:$S$23,MATCH(K$28,FY16ProjMjrsActDegs!$A$2:$S$2,0),FALSE)</f>
        <v>0</v>
      </c>
      <c r="L68" s="410">
        <f>+GPpcntMjr*(VLOOKUP($A68,FY16ProjRevAut15!$A$4:$I$24,9,FALSE))*VLOOKUP($A68,FY16ProjMjrsActDegs!$A$3:$S$23,MATCH(L$28,FY16ProjMjrsActDegs!$A$2:$S$2,0),FALSE)</f>
        <v>0</v>
      </c>
      <c r="M68" s="410">
        <f>+GPpcntMjr*(VLOOKUP($A68,FY16ProjRevAut15!$A$4:$I$24,9,FALSE))*VLOOKUP($A68,FY16ProjMjrsActDegs!$A$3:$S$23,MATCH(M$28,FY16ProjMjrsActDegs!$A$2:$S$2,0),FALSE)</f>
        <v>0</v>
      </c>
      <c r="N68" s="410">
        <f>+GPpcntMjr*(VLOOKUP($A68,FY16ProjRevAut15!$A$4:$I$24,9,FALSE))*VLOOKUP($A68,FY16ProjMjrsActDegs!$A$3:$S$23,MATCH(N$28,FY16ProjMjrsActDegs!$A$2:$S$2,0),FALSE)</f>
        <v>0</v>
      </c>
      <c r="O68" s="410">
        <f>+GPpcntMjr*(VLOOKUP($A68,FY16ProjRevAut15!$A$4:$I$24,9,FALSE))*VLOOKUP($A68,FY16ProjMjrsActDegs!$A$3:$S$23,MATCH(O$28,FY16ProjMjrsActDegs!$A$2:$S$2,0),FALSE)</f>
        <v>0</v>
      </c>
      <c r="P68" s="410">
        <f>+GPpcntMjr*(VLOOKUP($A68,FY16ProjRevAut15!$A$4:$I$24,9,FALSE))*VLOOKUP($A68,FY16ProjMjrsActDegs!$A$3:$S$23,MATCH(P$28,FY16ProjMjrsActDegs!$A$2:$S$2,0),FALSE)</f>
        <v>0</v>
      </c>
      <c r="Q68" s="410">
        <f>+GPpcntMjr*(VLOOKUP($A68,FY16ProjRevAut15!$A$4:$I$24,9,FALSE))*VLOOKUP($A68,FY16ProjMjrsActDegs!$A$3:$S$23,MATCH(Q$28,FY16ProjMjrsActDegs!$A$2:$S$2,0),FALSE)</f>
        <v>0</v>
      </c>
      <c r="R68" s="410">
        <f>+GPpcntMjr*(VLOOKUP($A68,FY16ProjRevAut15!$A$4:$I$24,9,FALSE))*VLOOKUP($A68,FY16ProjMjrsActDegs!$A$3:$S$23,MATCH(R$28,FY16ProjMjrsActDegs!$A$2:$S$2,0),FALSE)</f>
        <v>0</v>
      </c>
      <c r="S68" s="410">
        <f>+GPpcntMjr*(VLOOKUP($A68,FY16ProjRevAut15!$A$4:$I$24,9,FALSE))*VLOOKUP($A68,FY16ProjMjrsActDegs!$A$3:$S$23,MATCH(S$28,FY16ProjMjrsActDegs!$A$2:$S$2,0),FALSE)</f>
        <v>0</v>
      </c>
      <c r="T68" s="410">
        <f t="shared" si="24"/>
        <v>1046314.4348004269</v>
      </c>
    </row>
    <row r="69" spans="1:20" ht="18" customHeight="1">
      <c r="A69" s="404" t="s">
        <v>153</v>
      </c>
      <c r="B69" s="456" t="s">
        <v>100</v>
      </c>
      <c r="C69" s="457">
        <f>+GPpcntMjr*(VLOOKUP($A69,FY16ProjRevAut15!$A$4:$I$24,9,FALSE))*VLOOKUP($A69,FY16ProjMjrsActDegs!$A$3:$S$23,MATCH(C$28,FY16ProjMjrsActDegs!$A$2:$S$2,0),FALSE)</f>
        <v>0</v>
      </c>
      <c r="D69" s="457">
        <f>+GPpcntMjr*(VLOOKUP($A69,FY16ProjRevAut15!$A$4:$I$24,9,FALSE))*VLOOKUP($A69,FY16ProjMjrsActDegs!$A$3:$S$23,MATCH(D$28,FY16ProjMjrsActDegs!$A$2:$S$2,0),FALSE)</f>
        <v>0</v>
      </c>
      <c r="E69" s="457">
        <f>+GPpcntMjr*(VLOOKUP($A69,FY16ProjRevAut15!$A$4:$I$24,9,FALSE))*VLOOKUP($A69,FY16ProjMjrsActDegs!$A$3:$S$23,MATCH(E$28,FY16ProjMjrsActDegs!$A$2:$S$2,0),FALSE)</f>
        <v>0</v>
      </c>
      <c r="F69" s="457">
        <f>+GPpcntMjr*(VLOOKUP($A69,FY16ProjRevAut15!$A$4:$I$24,9,FALSE))*VLOOKUP($A69,FY16ProjMjrsActDegs!$A$3:$S$23,MATCH(F$28,FY16ProjMjrsActDegs!$A$2:$S$2,0),FALSE)</f>
        <v>0</v>
      </c>
      <c r="G69" s="457">
        <f>+GPpcntMjr*(VLOOKUP($A69,FY16ProjRevAut15!$A$4:$I$24,9,FALSE))*VLOOKUP($A69,FY16ProjMjrsActDegs!$A$3:$S$23,MATCH(G$28,FY16ProjMjrsActDegs!$A$2:$S$2,0),FALSE)</f>
        <v>0</v>
      </c>
      <c r="H69" s="457">
        <f>+GPpcntMjr*(VLOOKUP($A69,FY16ProjRevAut15!$A$4:$I$24,9,FALSE))*VLOOKUP($A69,FY16ProjMjrsActDegs!$A$3:$S$23,MATCH(H$28,FY16ProjMjrsActDegs!$A$2:$S$2,0),FALSE)</f>
        <v>0</v>
      </c>
      <c r="I69" s="457">
        <f>+GPpcntMjr*(VLOOKUP($A69,FY16ProjRevAut15!$A$4:$I$24,9,FALSE))*VLOOKUP($A69,FY16ProjMjrsActDegs!$A$3:$S$23,MATCH(I$28,FY16ProjMjrsActDegs!$A$2:$S$2,0),FALSE)</f>
        <v>0</v>
      </c>
      <c r="J69" s="457">
        <f>+GPpcntMjr*(VLOOKUP($A69,FY16ProjRevAut15!$A$4:$I$24,9,FALSE))*VLOOKUP($A69,FY16ProjMjrsActDegs!$A$3:$S$23,MATCH(J$28,FY16ProjMjrsActDegs!$A$2:$S$2,0),FALSE)</f>
        <v>0</v>
      </c>
      <c r="K69" s="457">
        <f>+GPpcntMjr*(VLOOKUP($A69,FY16ProjRevAut15!$A$4:$I$24,9,FALSE))*VLOOKUP($A69,FY16ProjMjrsActDegs!$A$3:$S$23,MATCH(K$28,FY16ProjMjrsActDegs!$A$2:$S$2,0),FALSE)</f>
        <v>0</v>
      </c>
      <c r="L69" s="457">
        <f>+GPpcntMjr*(VLOOKUP($A69,FY16ProjRevAut15!$A$4:$I$24,9,FALSE))*VLOOKUP($A69,FY16ProjMjrsActDegs!$A$3:$S$23,MATCH(L$28,FY16ProjMjrsActDegs!$A$2:$S$2,0),FALSE)</f>
        <v>0</v>
      </c>
      <c r="M69" s="457">
        <f>+GPpcntMjr*(VLOOKUP($A69,FY16ProjRevAut15!$A$4:$I$24,9,FALSE))*VLOOKUP($A69,FY16ProjMjrsActDegs!$A$3:$S$23,MATCH(M$28,FY16ProjMjrsActDegs!$A$2:$S$2,0),FALSE)</f>
        <v>0</v>
      </c>
      <c r="N69" s="457">
        <f>+GPpcntMjr*(VLOOKUP($A69,FY16ProjRevAut15!$A$4:$I$24,9,FALSE))*VLOOKUP($A69,FY16ProjMjrsActDegs!$A$3:$S$23,MATCH(N$28,FY16ProjMjrsActDegs!$A$2:$S$2,0),FALSE)</f>
        <v>0</v>
      </c>
      <c r="O69" s="457">
        <f>+GPpcntMjr*(VLOOKUP($A69,FY16ProjRevAut15!$A$4:$I$24,9,FALSE))*VLOOKUP($A69,FY16ProjMjrsActDegs!$A$3:$S$23,MATCH(O$28,FY16ProjMjrsActDegs!$A$2:$S$2,0),FALSE)</f>
        <v>1103189.7390250252</v>
      </c>
      <c r="P69" s="457">
        <f>+GPpcntMjr*(VLOOKUP($A69,FY16ProjRevAut15!$A$4:$I$24,9,FALSE))*VLOOKUP($A69,FY16ProjMjrsActDegs!$A$3:$S$23,MATCH(P$28,FY16ProjMjrsActDegs!$A$2:$S$2,0),FALSE)</f>
        <v>0</v>
      </c>
      <c r="Q69" s="457">
        <f>+GPpcntMjr*(VLOOKUP($A69,FY16ProjRevAut15!$A$4:$I$24,9,FALSE))*VLOOKUP($A69,FY16ProjMjrsActDegs!$A$3:$S$23,MATCH(Q$28,FY16ProjMjrsActDegs!$A$2:$S$2,0),FALSE)</f>
        <v>0</v>
      </c>
      <c r="R69" s="457">
        <f>+GPpcntMjr*(VLOOKUP($A69,FY16ProjRevAut15!$A$4:$I$24,9,FALSE))*VLOOKUP($A69,FY16ProjMjrsActDegs!$A$3:$S$23,MATCH(R$28,FY16ProjMjrsActDegs!$A$2:$S$2,0),FALSE)</f>
        <v>0</v>
      </c>
      <c r="S69" s="457">
        <f>+GPpcntMjr*(VLOOKUP($A69,FY16ProjRevAut15!$A$4:$I$24,9,FALSE))*VLOOKUP($A69,FY16ProjMjrsActDegs!$A$3:$S$23,MATCH(S$28,FY16ProjMjrsActDegs!$A$2:$S$2,0),FALSE)</f>
        <v>0</v>
      </c>
      <c r="T69" s="457">
        <f t="shared" si="24"/>
        <v>1103189.7390250252</v>
      </c>
    </row>
    <row r="70" spans="1:20" s="18" customFormat="1" ht="18" customHeight="1">
      <c r="A70" s="404" t="s">
        <v>155</v>
      </c>
      <c r="B70" s="440" t="s">
        <v>42</v>
      </c>
      <c r="C70" s="410">
        <f>+GPpcntMjr*(VLOOKUP($A70,FY16ProjRevAut15!$A$4:$I$24,9,FALSE))*VLOOKUP($A70,FY16ProjMjrsActDegs!$A$3:$S$23,MATCH(C$28,FY16ProjMjrsActDegs!$A$2:$S$2,0),FALSE)</f>
        <v>0</v>
      </c>
      <c r="D70" s="410">
        <f>+GPpcntMjr*(VLOOKUP($A70,FY16ProjRevAut15!$A$4:$I$24,9,FALSE))*VLOOKUP($A70,FY16ProjMjrsActDegs!$A$3:$S$23,MATCH(D$28,FY16ProjMjrsActDegs!$A$2:$S$2,0),FALSE)</f>
        <v>0</v>
      </c>
      <c r="E70" s="410">
        <f>+GPpcntMjr*(VLOOKUP($A70,FY16ProjRevAut15!$A$4:$I$24,9,FALSE))*VLOOKUP($A70,FY16ProjMjrsActDegs!$A$3:$S$23,MATCH(E$28,FY16ProjMjrsActDegs!$A$2:$S$2,0),FALSE)</f>
        <v>0</v>
      </c>
      <c r="F70" s="410">
        <f>+GPpcntMjr*(VLOOKUP($A70,FY16ProjRevAut15!$A$4:$I$24,9,FALSE))*VLOOKUP($A70,FY16ProjMjrsActDegs!$A$3:$S$23,MATCH(F$28,FY16ProjMjrsActDegs!$A$2:$S$2,0),FALSE)</f>
        <v>0</v>
      </c>
      <c r="G70" s="410">
        <f>+GPpcntMjr*(VLOOKUP($A70,FY16ProjRevAut15!$A$4:$I$24,9,FALSE))*VLOOKUP($A70,FY16ProjMjrsActDegs!$A$3:$S$23,MATCH(G$28,FY16ProjMjrsActDegs!$A$2:$S$2,0),FALSE)</f>
        <v>0</v>
      </c>
      <c r="H70" s="410">
        <f>+GPpcntMjr*(VLOOKUP($A70,FY16ProjRevAut15!$A$4:$I$24,9,FALSE))*VLOOKUP($A70,FY16ProjMjrsActDegs!$A$3:$S$23,MATCH(H$28,FY16ProjMjrsActDegs!$A$2:$S$2,0),FALSE)</f>
        <v>0</v>
      </c>
      <c r="I70" s="410">
        <f>+GPpcntMjr*(VLOOKUP($A70,FY16ProjRevAut15!$A$4:$I$24,9,FALSE))*VLOOKUP($A70,FY16ProjMjrsActDegs!$A$3:$S$23,MATCH(I$28,FY16ProjMjrsActDegs!$A$2:$S$2,0),FALSE)</f>
        <v>0</v>
      </c>
      <c r="J70" s="410">
        <f>+GPpcntMjr*(VLOOKUP($A70,FY16ProjRevAut15!$A$4:$I$24,9,FALSE))*VLOOKUP($A70,FY16ProjMjrsActDegs!$A$3:$S$23,MATCH(J$28,FY16ProjMjrsActDegs!$A$2:$S$2,0),FALSE)</f>
        <v>0</v>
      </c>
      <c r="K70" s="410">
        <f>+GPpcntMjr*(VLOOKUP($A70,FY16ProjRevAut15!$A$4:$I$24,9,FALSE))*VLOOKUP($A70,FY16ProjMjrsActDegs!$A$3:$S$23,MATCH(K$28,FY16ProjMjrsActDegs!$A$2:$S$2,0),FALSE)</f>
        <v>0</v>
      </c>
      <c r="L70" s="410">
        <f>+GPpcntMjr*(VLOOKUP($A70,FY16ProjRevAut15!$A$4:$I$24,9,FALSE))*VLOOKUP($A70,FY16ProjMjrsActDegs!$A$3:$S$23,MATCH(L$28,FY16ProjMjrsActDegs!$A$2:$S$2,0),FALSE)</f>
        <v>0</v>
      </c>
      <c r="M70" s="410">
        <f>+GPpcntMjr*(VLOOKUP($A70,FY16ProjRevAut15!$A$4:$I$24,9,FALSE))*VLOOKUP($A70,FY16ProjMjrsActDegs!$A$3:$S$23,MATCH(M$28,FY16ProjMjrsActDegs!$A$2:$S$2,0),FALSE)</f>
        <v>0</v>
      </c>
      <c r="N70" s="410">
        <f>+GPpcntMjr*(VLOOKUP($A70,FY16ProjRevAut15!$A$4:$I$24,9,FALSE))*VLOOKUP($A70,FY16ProjMjrsActDegs!$A$3:$S$23,MATCH(N$28,FY16ProjMjrsActDegs!$A$2:$S$2,0),FALSE)</f>
        <v>0</v>
      </c>
      <c r="O70" s="410">
        <f>+GPpcntMjr*(VLOOKUP($A70,FY16ProjRevAut15!$A$4:$I$24,9,FALSE))*VLOOKUP($A70,FY16ProjMjrsActDegs!$A$3:$S$23,MATCH(O$28,FY16ProjMjrsActDegs!$A$2:$S$2,0),FALSE)</f>
        <v>0</v>
      </c>
      <c r="P70" s="410">
        <f>+GPpcntMjr*(VLOOKUP($A70,FY16ProjRevAut15!$A$4:$I$24,9,FALSE))*VLOOKUP($A70,FY16ProjMjrsActDegs!$A$3:$S$23,MATCH(P$28,FY16ProjMjrsActDegs!$A$2:$S$2,0),FALSE)</f>
        <v>5516009.3513764907</v>
      </c>
      <c r="Q70" s="410">
        <f>+GPpcntMjr*(VLOOKUP($A70,FY16ProjRevAut15!$A$4:$I$24,9,FALSE))*VLOOKUP($A70,FY16ProjMjrsActDegs!$A$3:$S$23,MATCH(Q$28,FY16ProjMjrsActDegs!$A$2:$S$2,0),FALSE)</f>
        <v>0</v>
      </c>
      <c r="R70" s="410">
        <f>+GPpcntMjr*(VLOOKUP($A70,FY16ProjRevAut15!$A$4:$I$24,9,FALSE))*VLOOKUP($A70,FY16ProjMjrsActDegs!$A$3:$S$23,MATCH(R$28,FY16ProjMjrsActDegs!$A$2:$S$2,0),FALSE)</f>
        <v>0</v>
      </c>
      <c r="S70" s="410">
        <f>+GPpcntMjr*(VLOOKUP($A70,FY16ProjRevAut15!$A$4:$I$24,9,FALSE))*VLOOKUP($A70,FY16ProjMjrsActDegs!$A$3:$S$23,MATCH(S$28,FY16ProjMjrsActDegs!$A$2:$S$2,0),FALSE)</f>
        <v>0</v>
      </c>
      <c r="T70" s="410">
        <f t="shared" si="24"/>
        <v>5516009.3513764907</v>
      </c>
    </row>
    <row r="71" spans="1:20" ht="18" customHeight="1">
      <c r="A71" s="404" t="s">
        <v>162</v>
      </c>
      <c r="B71" s="456" t="s">
        <v>76</v>
      </c>
      <c r="C71" s="457">
        <f>+GPpcntMjr*(VLOOKUP($A71,FY16ProjRevAut15!$A$4:$I$24,9,FALSE))*VLOOKUP($A71,FY16ProjMjrsActDegs!$A$3:$S$23,MATCH(C$28,FY16ProjMjrsActDegs!$A$2:$S$2,0),FALSE)</f>
        <v>0</v>
      </c>
      <c r="D71" s="457">
        <f>+GPpcntMjr*(VLOOKUP($A71,FY16ProjRevAut15!$A$4:$I$24,9,FALSE))*VLOOKUP($A71,FY16ProjMjrsActDegs!$A$3:$S$23,MATCH(D$28,FY16ProjMjrsActDegs!$A$2:$S$2,0),FALSE)</f>
        <v>0</v>
      </c>
      <c r="E71" s="457">
        <f>+GPpcntMjr*(VLOOKUP($A71,FY16ProjRevAut15!$A$4:$I$24,9,FALSE))*VLOOKUP($A71,FY16ProjMjrsActDegs!$A$3:$S$23,MATCH(E$28,FY16ProjMjrsActDegs!$A$2:$S$2,0),FALSE)</f>
        <v>0</v>
      </c>
      <c r="F71" s="457">
        <f>+GPpcntMjr*(VLOOKUP($A71,FY16ProjRevAut15!$A$4:$I$24,9,FALSE))*VLOOKUP($A71,FY16ProjMjrsActDegs!$A$3:$S$23,MATCH(F$28,FY16ProjMjrsActDegs!$A$2:$S$2,0),FALSE)</f>
        <v>0</v>
      </c>
      <c r="G71" s="457">
        <f>+GPpcntMjr*(VLOOKUP($A71,FY16ProjRevAut15!$A$4:$I$24,9,FALSE))*VLOOKUP($A71,FY16ProjMjrsActDegs!$A$3:$S$23,MATCH(G$28,FY16ProjMjrsActDegs!$A$2:$S$2,0),FALSE)</f>
        <v>29067.747038738504</v>
      </c>
      <c r="H71" s="457">
        <f>+GPpcntMjr*(VLOOKUP($A71,FY16ProjRevAut15!$A$4:$I$24,9,FALSE))*VLOOKUP($A71,FY16ProjMjrsActDegs!$A$3:$S$23,MATCH(H$28,FY16ProjMjrsActDegs!$A$2:$S$2,0),FALSE)</f>
        <v>0</v>
      </c>
      <c r="I71" s="457">
        <f>+GPpcntMjr*(VLOOKUP($A71,FY16ProjRevAut15!$A$4:$I$24,9,FALSE))*VLOOKUP($A71,FY16ProjMjrsActDegs!$A$3:$S$23,MATCH(I$28,FY16ProjMjrsActDegs!$A$2:$S$2,0),FALSE)</f>
        <v>0</v>
      </c>
      <c r="J71" s="457">
        <f>+GPpcntMjr*(VLOOKUP($A71,FY16ProjRevAut15!$A$4:$I$24,9,FALSE))*VLOOKUP($A71,FY16ProjMjrsActDegs!$A$3:$S$23,MATCH(J$28,FY16ProjMjrsActDegs!$A$2:$S$2,0),FALSE)</f>
        <v>0</v>
      </c>
      <c r="K71" s="457">
        <f>+GPpcntMjr*(VLOOKUP($A71,FY16ProjRevAut15!$A$4:$I$24,9,FALSE))*VLOOKUP($A71,FY16ProjMjrsActDegs!$A$3:$S$23,MATCH(K$28,FY16ProjMjrsActDegs!$A$2:$S$2,0),FALSE)</f>
        <v>0</v>
      </c>
      <c r="L71" s="457">
        <f>+GPpcntMjr*(VLOOKUP($A71,FY16ProjRevAut15!$A$4:$I$24,9,FALSE))*VLOOKUP($A71,FY16ProjMjrsActDegs!$A$3:$S$23,MATCH(L$28,FY16ProjMjrsActDegs!$A$2:$S$2,0),FALSE)</f>
        <v>0</v>
      </c>
      <c r="M71" s="457">
        <f>+GPpcntMjr*(VLOOKUP($A71,FY16ProjRevAut15!$A$4:$I$24,9,FALSE))*VLOOKUP($A71,FY16ProjMjrsActDegs!$A$3:$S$23,MATCH(M$28,FY16ProjMjrsActDegs!$A$2:$S$2,0),FALSE)</f>
        <v>0</v>
      </c>
      <c r="N71" s="457">
        <f>+GPpcntMjr*(VLOOKUP($A71,FY16ProjRevAut15!$A$4:$I$24,9,FALSE))*VLOOKUP($A71,FY16ProjMjrsActDegs!$A$3:$S$23,MATCH(N$28,FY16ProjMjrsActDegs!$A$2:$S$2,0),FALSE)</f>
        <v>11452692.333262971</v>
      </c>
      <c r="O71" s="457">
        <f>+GPpcntMjr*(VLOOKUP($A71,FY16ProjRevAut15!$A$4:$I$24,9,FALSE))*VLOOKUP($A71,FY16ProjMjrsActDegs!$A$3:$S$23,MATCH(O$28,FY16ProjMjrsActDegs!$A$2:$S$2,0),FALSE)</f>
        <v>0</v>
      </c>
      <c r="P71" s="457">
        <f>+GPpcntMjr*(VLOOKUP($A71,FY16ProjRevAut15!$A$4:$I$24,9,FALSE))*VLOOKUP($A71,FY16ProjMjrsActDegs!$A$3:$S$23,MATCH(P$28,FY16ProjMjrsActDegs!$A$2:$S$2,0),FALSE)</f>
        <v>0</v>
      </c>
      <c r="Q71" s="457">
        <f>+GPpcntMjr*(VLOOKUP($A71,FY16ProjRevAut15!$A$4:$I$24,9,FALSE))*VLOOKUP($A71,FY16ProjMjrsActDegs!$A$3:$S$23,MATCH(Q$28,FY16ProjMjrsActDegs!$A$2:$S$2,0),FALSE)</f>
        <v>179251.10673888744</v>
      </c>
      <c r="R71" s="457">
        <f>+GPpcntMjr*(VLOOKUP($A71,FY16ProjRevAut15!$A$4:$I$24,9,FALSE))*VLOOKUP($A71,FY16ProjMjrsActDegs!$A$3:$S$23,MATCH(R$28,FY16ProjMjrsActDegs!$A$2:$S$2,0),FALSE)</f>
        <v>0</v>
      </c>
      <c r="S71" s="457">
        <f>+GPpcntMjr*(VLOOKUP($A71,FY16ProjRevAut15!$A$4:$I$24,9,FALSE))*VLOOKUP($A71,FY16ProjMjrsActDegs!$A$3:$S$23,MATCH(S$28,FY16ProjMjrsActDegs!$A$2:$S$2,0),FALSE)</f>
        <v>77513.992103302691</v>
      </c>
      <c r="T71" s="457">
        <f t="shared" si="24"/>
        <v>11738525.1791439</v>
      </c>
    </row>
    <row r="72" spans="1:20" s="18" customFormat="1" ht="18" customHeight="1">
      <c r="A72" s="404" t="s">
        <v>156</v>
      </c>
      <c r="B72" s="440" t="s">
        <v>77</v>
      </c>
      <c r="C72" s="410">
        <f>+GPpcntMjr*(VLOOKUP($A72,FY16ProjRevAut15!$A$4:$I$24,9,FALSE))*VLOOKUP($A72,FY16ProjMjrsActDegs!$A$3:$S$23,MATCH(C$28,FY16ProjMjrsActDegs!$A$2:$S$2,0),FALSE)</f>
        <v>0</v>
      </c>
      <c r="D72" s="410">
        <f>+GPpcntMjr*(VLOOKUP($A72,FY16ProjRevAut15!$A$4:$I$24,9,FALSE))*VLOOKUP($A72,FY16ProjMjrsActDegs!$A$3:$S$23,MATCH(D$28,FY16ProjMjrsActDegs!$A$2:$S$2,0),FALSE)</f>
        <v>0</v>
      </c>
      <c r="E72" s="410">
        <f>+GPpcntMjr*(VLOOKUP($A72,FY16ProjRevAut15!$A$4:$I$24,9,FALSE))*VLOOKUP($A72,FY16ProjMjrsActDegs!$A$3:$S$23,MATCH(E$28,FY16ProjMjrsActDegs!$A$2:$S$2,0),FALSE)</f>
        <v>0</v>
      </c>
      <c r="F72" s="410">
        <f>+GPpcntMjr*(VLOOKUP($A72,FY16ProjRevAut15!$A$4:$I$24,9,FALSE))*VLOOKUP($A72,FY16ProjMjrsActDegs!$A$3:$S$23,MATCH(F$28,FY16ProjMjrsActDegs!$A$2:$S$2,0),FALSE)</f>
        <v>0</v>
      </c>
      <c r="G72" s="410">
        <f>+GPpcntMjr*(VLOOKUP($A72,FY16ProjRevAut15!$A$4:$I$24,9,FALSE))*VLOOKUP($A72,FY16ProjMjrsActDegs!$A$3:$S$23,MATCH(G$28,FY16ProjMjrsActDegs!$A$2:$S$2,0),FALSE)</f>
        <v>0</v>
      </c>
      <c r="H72" s="410">
        <f>+GPpcntMjr*(VLOOKUP($A72,FY16ProjRevAut15!$A$4:$I$24,9,FALSE))*VLOOKUP($A72,FY16ProjMjrsActDegs!$A$3:$S$23,MATCH(H$28,FY16ProjMjrsActDegs!$A$2:$S$2,0),FALSE)</f>
        <v>0</v>
      </c>
      <c r="I72" s="410">
        <f>+GPpcntMjr*(VLOOKUP($A72,FY16ProjRevAut15!$A$4:$I$24,9,FALSE))*VLOOKUP($A72,FY16ProjMjrsActDegs!$A$3:$S$23,MATCH(I$28,FY16ProjMjrsActDegs!$A$2:$S$2,0),FALSE)</f>
        <v>0</v>
      </c>
      <c r="J72" s="410">
        <f>+GPpcntMjr*(VLOOKUP($A72,FY16ProjRevAut15!$A$4:$I$24,9,FALSE))*VLOOKUP($A72,FY16ProjMjrsActDegs!$A$3:$S$23,MATCH(J$28,FY16ProjMjrsActDegs!$A$2:$S$2,0),FALSE)</f>
        <v>0</v>
      </c>
      <c r="K72" s="410">
        <f>+GPpcntMjr*(VLOOKUP($A72,FY16ProjRevAut15!$A$4:$I$24,9,FALSE))*VLOOKUP($A72,FY16ProjMjrsActDegs!$A$3:$S$23,MATCH(K$28,FY16ProjMjrsActDegs!$A$2:$S$2,0),FALSE)</f>
        <v>0</v>
      </c>
      <c r="L72" s="410">
        <f>+GPpcntMjr*(VLOOKUP($A72,FY16ProjRevAut15!$A$4:$I$24,9,FALSE))*VLOOKUP($A72,FY16ProjMjrsActDegs!$A$3:$S$23,MATCH(L$28,FY16ProjMjrsActDegs!$A$2:$S$2,0),FALSE)</f>
        <v>0</v>
      </c>
      <c r="M72" s="410">
        <f>+GPpcntMjr*(VLOOKUP($A72,FY16ProjRevAut15!$A$4:$I$24,9,FALSE))*VLOOKUP($A72,FY16ProjMjrsActDegs!$A$3:$S$23,MATCH(M$28,FY16ProjMjrsActDegs!$A$2:$S$2,0),FALSE)</f>
        <v>4634306.1562853223</v>
      </c>
      <c r="N72" s="410">
        <f>+GPpcntMjr*(VLOOKUP($A72,FY16ProjRevAut15!$A$4:$I$24,9,FALSE))*VLOOKUP($A72,FY16ProjMjrsActDegs!$A$3:$S$23,MATCH(N$28,FY16ProjMjrsActDegs!$A$2:$S$2,0),FALSE)</f>
        <v>0</v>
      </c>
      <c r="O72" s="410">
        <f>+GPpcntMjr*(VLOOKUP($A72,FY16ProjRevAut15!$A$4:$I$24,9,FALSE))*VLOOKUP($A72,FY16ProjMjrsActDegs!$A$3:$S$23,MATCH(O$28,FY16ProjMjrsActDegs!$A$2:$S$2,0),FALSE)</f>
        <v>0</v>
      </c>
      <c r="P72" s="410">
        <f>+GPpcntMjr*(VLOOKUP($A72,FY16ProjRevAut15!$A$4:$I$24,9,FALSE))*VLOOKUP($A72,FY16ProjMjrsActDegs!$A$3:$S$23,MATCH(P$28,FY16ProjMjrsActDegs!$A$2:$S$2,0),FALSE)</f>
        <v>0</v>
      </c>
      <c r="Q72" s="410">
        <f>+GPpcntMjr*(VLOOKUP($A72,FY16ProjRevAut15!$A$4:$I$24,9,FALSE))*VLOOKUP($A72,FY16ProjMjrsActDegs!$A$3:$S$23,MATCH(Q$28,FY16ProjMjrsActDegs!$A$2:$S$2,0),FALSE)</f>
        <v>0</v>
      </c>
      <c r="R72" s="410">
        <f>+GPpcntMjr*(VLOOKUP($A72,FY16ProjRevAut15!$A$4:$I$24,9,FALSE))*VLOOKUP($A72,FY16ProjMjrsActDegs!$A$3:$S$23,MATCH(R$28,FY16ProjMjrsActDegs!$A$2:$S$2,0),FALSE)</f>
        <v>0</v>
      </c>
      <c r="S72" s="410">
        <f>+GPpcntMjr*(VLOOKUP($A72,FY16ProjRevAut15!$A$4:$I$24,9,FALSE))*VLOOKUP($A72,FY16ProjMjrsActDegs!$A$3:$S$23,MATCH(S$28,FY16ProjMjrsActDegs!$A$2:$S$2,0),FALSE)</f>
        <v>0</v>
      </c>
      <c r="T72" s="410">
        <f t="shared" si="24"/>
        <v>4634306.1562853223</v>
      </c>
    </row>
    <row r="73" spans="1:20" ht="18" customHeight="1">
      <c r="A73" s="406" t="s">
        <v>163</v>
      </c>
      <c r="B73" s="458" t="s">
        <v>164</v>
      </c>
      <c r="C73" s="457">
        <f>+GPpcntMjr*(VLOOKUP($A73,FY16ProjRevAut15!$A$4:$I$24,9,FALSE))*VLOOKUP($A73,FY16ProjMjrsActDegs!$A$3:$S$23,MATCH(C$28,FY16ProjMjrsActDegs!$A$2:$S$2,0),FALSE)</f>
        <v>0</v>
      </c>
      <c r="D73" s="457">
        <f>+GPpcntMjr*(VLOOKUP($A73,FY16ProjRevAut15!$A$4:$I$24,9,FALSE))*VLOOKUP($A73,FY16ProjMjrsActDegs!$A$3:$S$23,MATCH(D$28,FY16ProjMjrsActDegs!$A$2:$S$2,0),FALSE)</f>
        <v>0</v>
      </c>
      <c r="E73" s="457">
        <f>+GPpcntMjr*(VLOOKUP($A73,FY16ProjRevAut15!$A$4:$I$24,9,FALSE))*VLOOKUP($A73,FY16ProjMjrsActDegs!$A$3:$S$23,MATCH(E$28,FY16ProjMjrsActDegs!$A$2:$S$2,0),FALSE)</f>
        <v>0</v>
      </c>
      <c r="F73" s="457">
        <f>+GPpcntMjr*(VLOOKUP($A73,FY16ProjRevAut15!$A$4:$I$24,9,FALSE))*VLOOKUP($A73,FY16ProjMjrsActDegs!$A$3:$S$23,MATCH(F$28,FY16ProjMjrsActDegs!$A$2:$S$2,0),FALSE)</f>
        <v>0</v>
      </c>
      <c r="G73" s="457">
        <f>+GPpcntMjr*(VLOOKUP($A73,FY16ProjRevAut15!$A$4:$I$24,9,FALSE))*VLOOKUP($A73,FY16ProjMjrsActDegs!$A$3:$S$23,MATCH(G$28,FY16ProjMjrsActDegs!$A$2:$S$2,0),FALSE)</f>
        <v>0</v>
      </c>
      <c r="H73" s="457">
        <f>+GPpcntMjr*(VLOOKUP($A73,FY16ProjRevAut15!$A$4:$I$24,9,FALSE))*VLOOKUP($A73,FY16ProjMjrsActDegs!$A$3:$S$23,MATCH(H$28,FY16ProjMjrsActDegs!$A$2:$S$2,0),FALSE)</f>
        <v>0</v>
      </c>
      <c r="I73" s="457">
        <f>+GPpcntMjr*(VLOOKUP($A73,FY16ProjRevAut15!$A$4:$I$24,9,FALSE))*VLOOKUP($A73,FY16ProjMjrsActDegs!$A$3:$S$23,MATCH(I$28,FY16ProjMjrsActDegs!$A$2:$S$2,0),FALSE)</f>
        <v>0</v>
      </c>
      <c r="J73" s="457">
        <f>+GPpcntMjr*(VLOOKUP($A73,FY16ProjRevAut15!$A$4:$I$24,9,FALSE))*VLOOKUP($A73,FY16ProjMjrsActDegs!$A$3:$S$23,MATCH(J$28,FY16ProjMjrsActDegs!$A$2:$S$2,0),FALSE)</f>
        <v>0</v>
      </c>
      <c r="K73" s="457">
        <f>+GPpcntMjr*(VLOOKUP($A73,FY16ProjRevAut15!$A$4:$I$24,9,FALSE))*VLOOKUP($A73,FY16ProjMjrsActDegs!$A$3:$S$23,MATCH(K$28,FY16ProjMjrsActDegs!$A$2:$S$2,0),FALSE)</f>
        <v>0</v>
      </c>
      <c r="L73" s="457">
        <f>+GPpcntMjr*(VLOOKUP($A73,FY16ProjRevAut15!$A$4:$I$24,9,FALSE))*VLOOKUP($A73,FY16ProjMjrsActDegs!$A$3:$S$23,MATCH(L$28,FY16ProjMjrsActDegs!$A$2:$S$2,0),FALSE)</f>
        <v>0</v>
      </c>
      <c r="M73" s="457">
        <f>+GPpcntMjr*(VLOOKUP($A73,FY16ProjRevAut15!$A$4:$I$24,9,FALSE))*VLOOKUP($A73,FY16ProjMjrsActDegs!$A$3:$S$23,MATCH(M$28,FY16ProjMjrsActDegs!$A$2:$S$2,0),FALSE)</f>
        <v>703552.26837685809</v>
      </c>
      <c r="N73" s="457">
        <f>+GPpcntMjr*(VLOOKUP($A73,FY16ProjRevAut15!$A$4:$I$24,9,FALSE))*VLOOKUP($A73,FY16ProjMjrsActDegs!$A$3:$S$23,MATCH(N$28,FY16ProjMjrsActDegs!$A$2:$S$2,0),FALSE)</f>
        <v>0</v>
      </c>
      <c r="O73" s="457">
        <f>+GPpcntMjr*(VLOOKUP($A73,FY16ProjRevAut15!$A$4:$I$24,9,FALSE))*VLOOKUP($A73,FY16ProjMjrsActDegs!$A$3:$S$23,MATCH(O$28,FY16ProjMjrsActDegs!$A$2:$S$2,0),FALSE)</f>
        <v>0</v>
      </c>
      <c r="P73" s="457">
        <f>+GPpcntMjr*(VLOOKUP($A73,FY16ProjRevAut15!$A$4:$I$24,9,FALSE))*VLOOKUP($A73,FY16ProjMjrsActDegs!$A$3:$S$23,MATCH(P$28,FY16ProjMjrsActDegs!$A$2:$S$2,0),FALSE)</f>
        <v>0</v>
      </c>
      <c r="Q73" s="457">
        <f>+GPpcntMjr*(VLOOKUP($A73,FY16ProjRevAut15!$A$4:$I$24,9,FALSE))*VLOOKUP($A73,FY16ProjMjrsActDegs!$A$3:$S$23,MATCH(Q$28,FY16ProjMjrsActDegs!$A$2:$S$2,0),FALSE)</f>
        <v>0</v>
      </c>
      <c r="R73" s="457">
        <f>+GPpcntMjr*(VLOOKUP($A73,FY16ProjRevAut15!$A$4:$I$24,9,FALSE))*VLOOKUP($A73,FY16ProjMjrsActDegs!$A$3:$S$23,MATCH(R$28,FY16ProjMjrsActDegs!$A$2:$S$2,0),FALSE)</f>
        <v>0</v>
      </c>
      <c r="S73" s="457">
        <f>+GPpcntMjr*(VLOOKUP($A73,FY16ProjRevAut15!$A$4:$I$24,9,FALSE))*VLOOKUP($A73,FY16ProjMjrsActDegs!$A$3:$S$23,MATCH(S$28,FY16ProjMjrsActDegs!$A$2:$S$2,0),FALSE)</f>
        <v>0</v>
      </c>
      <c r="T73" s="457">
        <f t="shared" si="24"/>
        <v>703552.26837685809</v>
      </c>
    </row>
    <row r="74" spans="1:20" ht="18" customHeight="1">
      <c r="B74" s="459" t="s">
        <v>17</v>
      </c>
      <c r="C74" s="460">
        <f t="shared" ref="C74:S74" si="25">SUM(C53:C73)</f>
        <v>5696762.1899534045</v>
      </c>
      <c r="D74" s="460">
        <f t="shared" si="25"/>
        <v>75532027.844136357</v>
      </c>
      <c r="E74" s="460">
        <f t="shared" si="25"/>
        <v>15757917.868024128</v>
      </c>
      <c r="F74" s="460">
        <f t="shared" si="25"/>
        <v>5365756.2324634995</v>
      </c>
      <c r="G74" s="460">
        <f t="shared" si="25"/>
        <v>19850616.25096273</v>
      </c>
      <c r="H74" s="460">
        <f t="shared" si="25"/>
        <v>6366451.887435399</v>
      </c>
      <c r="I74" s="460">
        <f t="shared" si="25"/>
        <v>1783690.9802958008</v>
      </c>
      <c r="J74" s="460">
        <f t="shared" si="25"/>
        <v>8784268.1592105739</v>
      </c>
      <c r="K74" s="460">
        <f t="shared" si="25"/>
        <v>3318109.9800503314</v>
      </c>
      <c r="L74" s="460">
        <f t="shared" si="25"/>
        <v>3139717.086428016</v>
      </c>
      <c r="M74" s="460">
        <f t="shared" si="25"/>
        <v>5340226.2161071878</v>
      </c>
      <c r="N74" s="460">
        <f t="shared" si="25"/>
        <v>17243935.298727285</v>
      </c>
      <c r="O74" s="460">
        <f t="shared" si="25"/>
        <v>3242323.7810106725</v>
      </c>
      <c r="P74" s="460">
        <f t="shared" si="25"/>
        <v>5762677.4471777193</v>
      </c>
      <c r="Q74" s="460">
        <f t="shared" si="25"/>
        <v>5388509.1921304557</v>
      </c>
      <c r="R74" s="460">
        <f t="shared" si="25"/>
        <v>152571.51856158694</v>
      </c>
      <c r="S74" s="460">
        <f t="shared" si="25"/>
        <v>969608.32728906011</v>
      </c>
      <c r="T74" s="460">
        <f t="shared" si="24"/>
        <v>183695170.2599642</v>
      </c>
    </row>
  </sheetData>
  <mergeCells count="5">
    <mergeCell ref="A2:A3"/>
    <mergeCell ref="B4:T4"/>
    <mergeCell ref="B27:T27"/>
    <mergeCell ref="B51:T51"/>
    <mergeCell ref="B1:T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heetViews>
  <sheetFormatPr defaultColWidth="8.85546875" defaultRowHeight="18" customHeight="1"/>
  <cols>
    <col min="1" max="1" width="53.7109375" style="32" customWidth="1"/>
    <col min="2" max="2" width="14.85546875" style="32" customWidth="1"/>
    <col min="3" max="3" width="14.28515625" style="32" customWidth="1"/>
    <col min="4" max="14" width="12.7109375" style="32" customWidth="1"/>
    <col min="15" max="17" width="10.7109375" style="32" customWidth="1"/>
    <col min="18" max="22" width="13.140625" style="32" customWidth="1"/>
    <col min="23" max="16384" width="8.85546875" style="32"/>
  </cols>
  <sheetData>
    <row r="1" spans="1:22" ht="20.25" customHeight="1">
      <c r="A1" s="13" t="s">
        <v>338</v>
      </c>
      <c r="B1" s="13"/>
      <c r="C1" s="6"/>
      <c r="D1" s="6"/>
      <c r="E1" s="6"/>
      <c r="F1" s="6"/>
      <c r="G1" s="6"/>
      <c r="H1" s="6"/>
      <c r="I1" s="6"/>
      <c r="J1" s="6"/>
      <c r="K1" s="6"/>
      <c r="L1" s="6"/>
      <c r="M1" s="6"/>
      <c r="N1" s="6"/>
      <c r="O1" s="6"/>
      <c r="P1" s="6"/>
    </row>
    <row r="2" spans="1:22" s="18" customFormat="1" ht="47.25" customHeight="1">
      <c r="A2" s="120" t="s">
        <v>78</v>
      </c>
      <c r="B2" s="120" t="s">
        <v>87</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c r="A3" s="128" t="s">
        <v>51</v>
      </c>
      <c r="B3" s="129">
        <v>1.7148118310507537E-2</v>
      </c>
      <c r="C3" s="129">
        <f>+C23/C$40</f>
        <v>4.9615721373674482E-3</v>
      </c>
      <c r="D3" s="129">
        <f t="shared" ref="D3:V3" si="0">+D23/D$40</f>
        <v>0</v>
      </c>
      <c r="E3" s="129">
        <f t="shared" si="0"/>
        <v>0</v>
      </c>
      <c r="F3" s="129">
        <f t="shared" si="0"/>
        <v>0</v>
      </c>
      <c r="G3" s="129">
        <f t="shared" si="0"/>
        <v>0</v>
      </c>
      <c r="H3" s="129">
        <f t="shared" si="0"/>
        <v>0</v>
      </c>
      <c r="I3" s="129">
        <f t="shared" si="0"/>
        <v>0.92560553633217968</v>
      </c>
      <c r="J3" s="129">
        <f t="shared" si="0"/>
        <v>0</v>
      </c>
      <c r="K3" s="129">
        <f t="shared" si="0"/>
        <v>0</v>
      </c>
      <c r="L3" s="129">
        <f t="shared" si="0"/>
        <v>1.2077294685990338E-3</v>
      </c>
      <c r="M3" s="129">
        <f t="shared" si="0"/>
        <v>0</v>
      </c>
      <c r="N3" s="129">
        <f t="shared" si="0"/>
        <v>0</v>
      </c>
      <c r="O3" s="129">
        <f t="shared" si="0"/>
        <v>1.5082956259426846E-3</v>
      </c>
      <c r="P3" s="129">
        <f t="shared" si="0"/>
        <v>0</v>
      </c>
      <c r="Q3" s="129">
        <f t="shared" si="0"/>
        <v>0</v>
      </c>
      <c r="R3" s="129">
        <f t="shared" si="0"/>
        <v>1.4634146341463417E-3</v>
      </c>
      <c r="S3" s="129">
        <f t="shared" si="0"/>
        <v>0</v>
      </c>
      <c r="T3" s="129">
        <f t="shared" si="0"/>
        <v>0</v>
      </c>
      <c r="U3" s="129">
        <f t="shared" si="0"/>
        <v>0</v>
      </c>
      <c r="V3" s="129">
        <f t="shared" si="0"/>
        <v>0</v>
      </c>
    </row>
    <row r="4" spans="1:22" ht="21" customHeight="1">
      <c r="A4" s="128" t="s">
        <v>52</v>
      </c>
      <c r="B4" s="129">
        <v>0.68040050638738636</v>
      </c>
      <c r="C4" s="129">
        <f t="shared" ref="C4:V16" si="1">+C24/C$40</f>
        <v>0.61007880143982873</v>
      </c>
      <c r="D4" s="129">
        <f t="shared" si="1"/>
        <v>0</v>
      </c>
      <c r="E4" s="129">
        <f t="shared" si="1"/>
        <v>9.0771558245083209E-3</v>
      </c>
      <c r="F4" s="129">
        <f t="shared" si="1"/>
        <v>0</v>
      </c>
      <c r="G4" s="129">
        <f t="shared" si="1"/>
        <v>9.2136616362192225E-2</v>
      </c>
      <c r="H4" s="129">
        <f t="shared" si="1"/>
        <v>4.4871794871794865E-2</v>
      </c>
      <c r="I4" s="129">
        <f t="shared" si="1"/>
        <v>1.7301038062283731E-3</v>
      </c>
      <c r="J4" s="129">
        <f t="shared" si="1"/>
        <v>0</v>
      </c>
      <c r="K4" s="129">
        <f t="shared" si="1"/>
        <v>0</v>
      </c>
      <c r="L4" s="129">
        <f t="shared" si="1"/>
        <v>4.830917874396135E-3</v>
      </c>
      <c r="M4" s="129">
        <f t="shared" si="1"/>
        <v>0</v>
      </c>
      <c r="N4" s="129">
        <f t="shared" si="1"/>
        <v>0</v>
      </c>
      <c r="O4" s="129">
        <f t="shared" si="1"/>
        <v>1.9607843137254902E-2</v>
      </c>
      <c r="P4" s="129">
        <f t="shared" si="1"/>
        <v>2.5706940874035992E-3</v>
      </c>
      <c r="Q4" s="129">
        <f t="shared" si="1"/>
        <v>0</v>
      </c>
      <c r="R4" s="129">
        <f t="shared" si="1"/>
        <v>7.1707317073170726E-2</v>
      </c>
      <c r="S4" s="129">
        <f t="shared" si="1"/>
        <v>1.9980019980019976E-3</v>
      </c>
      <c r="T4" s="129">
        <f t="shared" si="1"/>
        <v>2.3255813953488372E-2</v>
      </c>
      <c r="U4" s="129">
        <f t="shared" si="1"/>
        <v>0</v>
      </c>
      <c r="V4" s="129">
        <f t="shared" si="1"/>
        <v>6.8181818181818163E-2</v>
      </c>
    </row>
    <row r="5" spans="1:22" ht="21" customHeight="1">
      <c r="A5" s="128" t="s">
        <v>53</v>
      </c>
      <c r="B5" s="129">
        <v>9.5638163194844056E-2</v>
      </c>
      <c r="C5" s="129">
        <f t="shared" si="1"/>
        <v>2.2764860394980053E-2</v>
      </c>
      <c r="D5" s="129">
        <f t="shared" si="1"/>
        <v>0</v>
      </c>
      <c r="E5" s="129">
        <f t="shared" si="1"/>
        <v>2.5214321734745334E-3</v>
      </c>
      <c r="F5" s="129">
        <f t="shared" si="1"/>
        <v>0.96739130434782616</v>
      </c>
      <c r="G5" s="129">
        <f t="shared" si="1"/>
        <v>2.3828435266084196E-3</v>
      </c>
      <c r="H5" s="129">
        <f t="shared" si="1"/>
        <v>0</v>
      </c>
      <c r="I5" s="129">
        <f t="shared" si="1"/>
        <v>5.19031141868512E-3</v>
      </c>
      <c r="J5" s="129">
        <f t="shared" si="1"/>
        <v>0</v>
      </c>
      <c r="K5" s="129">
        <f t="shared" si="1"/>
        <v>0</v>
      </c>
      <c r="L5" s="129">
        <f t="shared" si="1"/>
        <v>7.85024154589372E-3</v>
      </c>
      <c r="M5" s="129">
        <f t="shared" si="1"/>
        <v>0</v>
      </c>
      <c r="N5" s="129">
        <f t="shared" si="1"/>
        <v>0</v>
      </c>
      <c r="O5" s="129">
        <f t="shared" si="1"/>
        <v>0</v>
      </c>
      <c r="P5" s="129">
        <f t="shared" si="1"/>
        <v>0</v>
      </c>
      <c r="Q5" s="129">
        <f t="shared" si="1"/>
        <v>0</v>
      </c>
      <c r="R5" s="129">
        <f t="shared" si="1"/>
        <v>0</v>
      </c>
      <c r="S5" s="129">
        <f t="shared" si="1"/>
        <v>0</v>
      </c>
      <c r="T5" s="129">
        <f t="shared" si="1"/>
        <v>0</v>
      </c>
      <c r="U5" s="129">
        <f t="shared" si="1"/>
        <v>0</v>
      </c>
      <c r="V5" s="129">
        <f t="shared" si="1"/>
        <v>0</v>
      </c>
    </row>
    <row r="6" spans="1:22" ht="21" customHeight="1">
      <c r="A6" s="128" t="s">
        <v>54</v>
      </c>
      <c r="B6" s="129">
        <v>4.9487858211531826E-3</v>
      </c>
      <c r="C6" s="129">
        <f t="shared" si="1"/>
        <v>5.126957875279696E-2</v>
      </c>
      <c r="D6" s="129">
        <f t="shared" si="1"/>
        <v>0</v>
      </c>
      <c r="E6" s="129">
        <f t="shared" si="1"/>
        <v>1.5128593040847202E-3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129">
        <f t="shared" si="1"/>
        <v>4.8780487804878049E-4</v>
      </c>
      <c r="S6" s="129">
        <f t="shared" si="1"/>
        <v>0.98901098901098894</v>
      </c>
      <c r="T6" s="129">
        <f t="shared" si="1"/>
        <v>0.96124031007751942</v>
      </c>
      <c r="U6" s="129">
        <f t="shared" si="1"/>
        <v>0</v>
      </c>
      <c r="V6" s="129">
        <f t="shared" si="1"/>
        <v>0</v>
      </c>
    </row>
    <row r="7" spans="1:22" ht="21" customHeight="1">
      <c r="A7" s="128" t="s">
        <v>55</v>
      </c>
      <c r="B7" s="129">
        <v>9.2415698008976865E-2</v>
      </c>
      <c r="C7" s="129">
        <f t="shared" si="1"/>
        <v>3.6093005156143589E-2</v>
      </c>
      <c r="D7" s="129">
        <f t="shared" si="1"/>
        <v>0</v>
      </c>
      <c r="E7" s="129">
        <f t="shared" si="1"/>
        <v>0.67322239031770048</v>
      </c>
      <c r="F7" s="129">
        <f t="shared" si="1"/>
        <v>0</v>
      </c>
      <c r="G7" s="129">
        <f t="shared" si="1"/>
        <v>7.9428117553613986E-4</v>
      </c>
      <c r="H7" s="129">
        <f t="shared" si="1"/>
        <v>0</v>
      </c>
      <c r="I7" s="129">
        <f t="shared" si="1"/>
        <v>4.3252595155709329E-3</v>
      </c>
      <c r="J7" s="129">
        <f t="shared" si="1"/>
        <v>0</v>
      </c>
      <c r="K7" s="129">
        <f t="shared" si="1"/>
        <v>0</v>
      </c>
      <c r="L7" s="129">
        <f t="shared" si="1"/>
        <v>0</v>
      </c>
      <c r="M7" s="129">
        <f t="shared" si="1"/>
        <v>0</v>
      </c>
      <c r="N7" s="129">
        <f t="shared" si="1"/>
        <v>0</v>
      </c>
      <c r="O7" s="129">
        <f t="shared" si="1"/>
        <v>0</v>
      </c>
      <c r="P7" s="129">
        <f t="shared" si="1"/>
        <v>0</v>
      </c>
      <c r="Q7" s="129">
        <f t="shared" si="1"/>
        <v>0</v>
      </c>
      <c r="R7" s="129">
        <f t="shared" si="1"/>
        <v>1.8536585365853661E-2</v>
      </c>
      <c r="S7" s="129">
        <f t="shared" si="1"/>
        <v>0</v>
      </c>
      <c r="T7" s="129">
        <f t="shared" si="1"/>
        <v>0</v>
      </c>
      <c r="U7" s="129">
        <f t="shared" si="1"/>
        <v>1</v>
      </c>
      <c r="V7" s="129">
        <f t="shared" si="1"/>
        <v>0.93181818181818177</v>
      </c>
    </row>
    <row r="8" spans="1:22" ht="21" customHeight="1">
      <c r="A8" s="128" t="s">
        <v>56</v>
      </c>
      <c r="B8" s="129">
        <v>2.4628841063413513E-2</v>
      </c>
      <c r="C8" s="129">
        <f t="shared" si="1"/>
        <v>7.0045724292246321E-3</v>
      </c>
      <c r="D8" s="129">
        <f t="shared" si="1"/>
        <v>0</v>
      </c>
      <c r="E8" s="129">
        <f t="shared" si="1"/>
        <v>3.2778618255168935E-3</v>
      </c>
      <c r="F8" s="129">
        <f t="shared" si="1"/>
        <v>0</v>
      </c>
      <c r="G8" s="129">
        <f t="shared" si="1"/>
        <v>4.5274027005559971E-2</v>
      </c>
      <c r="H8" s="129">
        <f t="shared" si="1"/>
        <v>0</v>
      </c>
      <c r="I8" s="129">
        <f t="shared" si="1"/>
        <v>5.19031141868512E-3</v>
      </c>
      <c r="J8" s="129">
        <f t="shared" si="1"/>
        <v>0</v>
      </c>
      <c r="K8" s="129">
        <f t="shared" si="1"/>
        <v>0</v>
      </c>
      <c r="L8" s="129">
        <f t="shared" si="1"/>
        <v>0</v>
      </c>
      <c r="M8" s="129">
        <f t="shared" si="1"/>
        <v>0</v>
      </c>
      <c r="N8" s="129">
        <f t="shared" si="1"/>
        <v>0</v>
      </c>
      <c r="O8" s="129">
        <f t="shared" si="1"/>
        <v>0</v>
      </c>
      <c r="P8" s="129">
        <f t="shared" si="1"/>
        <v>0</v>
      </c>
      <c r="Q8" s="129">
        <f t="shared" si="1"/>
        <v>0</v>
      </c>
      <c r="R8" s="129">
        <f t="shared" si="1"/>
        <v>0.82975609756097568</v>
      </c>
      <c r="S8" s="129">
        <f t="shared" si="1"/>
        <v>0</v>
      </c>
      <c r="T8" s="129">
        <f t="shared" si="1"/>
        <v>3.875968992248062E-3</v>
      </c>
      <c r="U8" s="129">
        <f t="shared" si="1"/>
        <v>0</v>
      </c>
      <c r="V8" s="129">
        <f t="shared" si="1"/>
        <v>0</v>
      </c>
    </row>
    <row r="9" spans="1:22" ht="21" customHeight="1">
      <c r="A9" s="128" t="s">
        <v>58</v>
      </c>
      <c r="B9" s="129">
        <v>7.8259868799631718E-3</v>
      </c>
      <c r="C9" s="129">
        <f t="shared" si="1"/>
        <v>1.1285144469306351E-2</v>
      </c>
      <c r="D9" s="129">
        <f t="shared" si="1"/>
        <v>0</v>
      </c>
      <c r="E9" s="129">
        <f t="shared" si="1"/>
        <v>7.5642965204236008E-4</v>
      </c>
      <c r="F9" s="129">
        <f t="shared" si="1"/>
        <v>0</v>
      </c>
      <c r="G9" s="129">
        <f t="shared" si="1"/>
        <v>7.1485305798252591E-3</v>
      </c>
      <c r="H9" s="129">
        <f t="shared" si="1"/>
        <v>0.9358974358974359</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129">
        <f t="shared" si="1"/>
        <v>0</v>
      </c>
      <c r="S9" s="129">
        <f t="shared" si="1"/>
        <v>0</v>
      </c>
      <c r="T9" s="129">
        <f t="shared" si="1"/>
        <v>0</v>
      </c>
      <c r="U9" s="129">
        <f t="shared" si="1"/>
        <v>0</v>
      </c>
      <c r="V9" s="129">
        <f t="shared" si="1"/>
        <v>0</v>
      </c>
    </row>
    <row r="10" spans="1:22" ht="21" customHeight="1">
      <c r="A10" s="128" t="s">
        <v>59</v>
      </c>
      <c r="B10" s="129">
        <v>0</v>
      </c>
      <c r="C10" s="129">
        <f t="shared" si="1"/>
        <v>4.4751434964490702E-3</v>
      </c>
      <c r="D10" s="129">
        <f t="shared" si="1"/>
        <v>0</v>
      </c>
      <c r="E10" s="129">
        <f t="shared" si="1"/>
        <v>3.2778618255168935E-3</v>
      </c>
      <c r="F10" s="129">
        <f t="shared" si="1"/>
        <v>1.3586956521739132E-3</v>
      </c>
      <c r="G10" s="129">
        <f t="shared" si="1"/>
        <v>0</v>
      </c>
      <c r="H10" s="129">
        <f t="shared" si="1"/>
        <v>0</v>
      </c>
      <c r="I10" s="129">
        <f t="shared" si="1"/>
        <v>0</v>
      </c>
      <c r="J10" s="129">
        <f t="shared" si="1"/>
        <v>0</v>
      </c>
      <c r="K10" s="129">
        <f t="shared" si="1"/>
        <v>0</v>
      </c>
      <c r="L10" s="129">
        <f t="shared" si="1"/>
        <v>0.97946859903381633</v>
      </c>
      <c r="M10" s="129">
        <f t="shared" si="1"/>
        <v>0</v>
      </c>
      <c r="N10" s="129">
        <f t="shared" si="1"/>
        <v>0</v>
      </c>
      <c r="O10" s="129">
        <f t="shared" si="1"/>
        <v>0</v>
      </c>
      <c r="P10" s="129">
        <f t="shared" si="1"/>
        <v>0</v>
      </c>
      <c r="Q10" s="129">
        <f t="shared" si="1"/>
        <v>1</v>
      </c>
      <c r="R10" s="129">
        <f t="shared" si="1"/>
        <v>0</v>
      </c>
      <c r="S10" s="129">
        <f t="shared" si="1"/>
        <v>0</v>
      </c>
      <c r="T10" s="129">
        <f t="shared" si="1"/>
        <v>0</v>
      </c>
      <c r="U10" s="129">
        <f t="shared" si="1"/>
        <v>0</v>
      </c>
      <c r="V10" s="129">
        <f t="shared" si="1"/>
        <v>0</v>
      </c>
    </row>
    <row r="11" spans="1:22" ht="21" customHeight="1">
      <c r="A11" s="128" t="s">
        <v>60</v>
      </c>
      <c r="B11" s="129">
        <v>0</v>
      </c>
      <c r="C11" s="129">
        <f t="shared" si="1"/>
        <v>5.2534293219184741E-3</v>
      </c>
      <c r="D11" s="129">
        <f t="shared" si="1"/>
        <v>0</v>
      </c>
      <c r="E11" s="129">
        <f t="shared" si="1"/>
        <v>0</v>
      </c>
      <c r="F11" s="129">
        <f t="shared" si="1"/>
        <v>1.3586956521739132E-3</v>
      </c>
      <c r="G11" s="129">
        <f t="shared" si="1"/>
        <v>0.83876092136616365</v>
      </c>
      <c r="H11" s="129">
        <f t="shared" si="1"/>
        <v>0</v>
      </c>
      <c r="I11" s="129">
        <f t="shared" si="1"/>
        <v>2.5951557093425601E-2</v>
      </c>
      <c r="J11" s="129">
        <f t="shared" si="1"/>
        <v>0</v>
      </c>
      <c r="K11" s="129">
        <f t="shared" si="1"/>
        <v>0</v>
      </c>
      <c r="L11" s="129">
        <f t="shared" si="1"/>
        <v>6.642512077294686E-3</v>
      </c>
      <c r="M11" s="129">
        <f t="shared" si="1"/>
        <v>0</v>
      </c>
      <c r="N11" s="129">
        <f t="shared" si="1"/>
        <v>0</v>
      </c>
      <c r="O11" s="129">
        <f t="shared" si="1"/>
        <v>3.0165912518853692E-3</v>
      </c>
      <c r="P11" s="129">
        <f t="shared" si="1"/>
        <v>6.4267352185089985E-3</v>
      </c>
      <c r="Q11" s="129">
        <f t="shared" si="1"/>
        <v>0</v>
      </c>
      <c r="R11" s="129">
        <f t="shared" si="1"/>
        <v>0</v>
      </c>
      <c r="S11" s="129">
        <f t="shared" si="1"/>
        <v>0</v>
      </c>
      <c r="T11" s="129">
        <f t="shared" si="1"/>
        <v>1.1627906976744186E-2</v>
      </c>
      <c r="U11" s="129">
        <f t="shared" si="1"/>
        <v>0</v>
      </c>
      <c r="V11" s="129">
        <f t="shared" si="1"/>
        <v>0</v>
      </c>
    </row>
    <row r="12" spans="1:22" ht="21" customHeight="1">
      <c r="A12" s="128" t="s">
        <v>61</v>
      </c>
      <c r="B12" s="129">
        <v>4.4884336517435836E-3</v>
      </c>
      <c r="C12" s="129">
        <f t="shared" si="1"/>
        <v>0</v>
      </c>
      <c r="D12" s="129">
        <f t="shared" si="1"/>
        <v>0.20689655172413793</v>
      </c>
      <c r="E12" s="129">
        <f t="shared" si="1"/>
        <v>0</v>
      </c>
      <c r="F12" s="129">
        <f t="shared" si="1"/>
        <v>0</v>
      </c>
      <c r="G12" s="129">
        <f t="shared" si="1"/>
        <v>4.7656870532168391E-3</v>
      </c>
      <c r="H12" s="129">
        <f t="shared" si="1"/>
        <v>0</v>
      </c>
      <c r="I12" s="129">
        <f t="shared" si="1"/>
        <v>0</v>
      </c>
      <c r="J12" s="129">
        <f t="shared" si="1"/>
        <v>0</v>
      </c>
      <c r="K12" s="129">
        <f t="shared" si="1"/>
        <v>0</v>
      </c>
      <c r="L12" s="129">
        <f t="shared" si="1"/>
        <v>0</v>
      </c>
      <c r="M12" s="129">
        <f t="shared" si="1"/>
        <v>0</v>
      </c>
      <c r="N12" s="129">
        <f t="shared" si="1"/>
        <v>0</v>
      </c>
      <c r="O12" s="129">
        <f t="shared" si="1"/>
        <v>4.5248868778280547E-3</v>
      </c>
      <c r="P12" s="129">
        <f t="shared" si="1"/>
        <v>0.98714652956298221</v>
      </c>
      <c r="Q12" s="129">
        <f t="shared" si="1"/>
        <v>0</v>
      </c>
      <c r="R12" s="129">
        <f t="shared" si="1"/>
        <v>0</v>
      </c>
      <c r="S12" s="129">
        <f t="shared" si="1"/>
        <v>0</v>
      </c>
      <c r="T12" s="129">
        <f t="shared" si="1"/>
        <v>0</v>
      </c>
      <c r="U12" s="129">
        <f t="shared" si="1"/>
        <v>0</v>
      </c>
      <c r="V12" s="129">
        <f t="shared" si="1"/>
        <v>0</v>
      </c>
    </row>
    <row r="13" spans="1:22" ht="21" customHeight="1">
      <c r="A13" s="128" t="s">
        <v>63</v>
      </c>
      <c r="B13" s="129">
        <v>0</v>
      </c>
      <c r="C13" s="129">
        <f t="shared" si="1"/>
        <v>1.5565716509388068E-3</v>
      </c>
      <c r="D13" s="129">
        <f t="shared" si="1"/>
        <v>0.34845735027223229</v>
      </c>
      <c r="E13" s="129">
        <f t="shared" si="1"/>
        <v>5.0428643469490675E-4</v>
      </c>
      <c r="F13" s="129">
        <f t="shared" si="1"/>
        <v>0</v>
      </c>
      <c r="G13" s="129">
        <f t="shared" si="1"/>
        <v>0</v>
      </c>
      <c r="H13" s="129">
        <f t="shared" si="1"/>
        <v>0</v>
      </c>
      <c r="I13" s="129">
        <f t="shared" si="1"/>
        <v>0</v>
      </c>
      <c r="J13" s="129">
        <f t="shared" si="1"/>
        <v>0</v>
      </c>
      <c r="K13" s="129">
        <f t="shared" si="1"/>
        <v>0</v>
      </c>
      <c r="L13" s="129">
        <f t="shared" si="1"/>
        <v>0</v>
      </c>
      <c r="M13" s="129">
        <f t="shared" si="1"/>
        <v>4.2122999157540009E-4</v>
      </c>
      <c r="N13" s="129">
        <f t="shared" si="1"/>
        <v>1</v>
      </c>
      <c r="O13" s="129">
        <f t="shared" si="1"/>
        <v>3.0165912518853692E-3</v>
      </c>
      <c r="P13" s="129">
        <f t="shared" si="1"/>
        <v>0</v>
      </c>
      <c r="Q13" s="129">
        <f t="shared" si="1"/>
        <v>0</v>
      </c>
      <c r="R13" s="129">
        <f t="shared" si="1"/>
        <v>0</v>
      </c>
      <c r="S13" s="129">
        <f t="shared" si="1"/>
        <v>0</v>
      </c>
      <c r="T13" s="129">
        <f t="shared" si="1"/>
        <v>0</v>
      </c>
      <c r="U13" s="129">
        <f t="shared" si="1"/>
        <v>0</v>
      </c>
      <c r="V13" s="129">
        <f t="shared" si="1"/>
        <v>0</v>
      </c>
    </row>
    <row r="14" spans="1:22" ht="21" customHeight="1">
      <c r="A14" s="128" t="s">
        <v>64</v>
      </c>
      <c r="B14" s="129">
        <v>2.2327080216365518E-2</v>
      </c>
      <c r="C14" s="129">
        <f t="shared" si="1"/>
        <v>0.13347601906800269</v>
      </c>
      <c r="D14" s="129">
        <f t="shared" si="1"/>
        <v>0.44101633393829404</v>
      </c>
      <c r="E14" s="129">
        <f t="shared" si="1"/>
        <v>6.0514372163388806E-3</v>
      </c>
      <c r="F14" s="129">
        <f t="shared" si="1"/>
        <v>0</v>
      </c>
      <c r="G14" s="129">
        <f t="shared" si="1"/>
        <v>0</v>
      </c>
      <c r="H14" s="129">
        <f t="shared" si="1"/>
        <v>0</v>
      </c>
      <c r="I14" s="129">
        <f t="shared" si="1"/>
        <v>0</v>
      </c>
      <c r="J14" s="129">
        <f t="shared" si="1"/>
        <v>1.2195121951219513E-2</v>
      </c>
      <c r="K14" s="129">
        <f t="shared" si="1"/>
        <v>0</v>
      </c>
      <c r="L14" s="129">
        <f t="shared" si="1"/>
        <v>0</v>
      </c>
      <c r="M14" s="129">
        <f t="shared" si="1"/>
        <v>0.98062342038753159</v>
      </c>
      <c r="N14" s="129">
        <f t="shared" si="1"/>
        <v>0</v>
      </c>
      <c r="O14" s="129">
        <f t="shared" si="1"/>
        <v>0.167420814479638</v>
      </c>
      <c r="P14" s="129">
        <f t="shared" si="1"/>
        <v>0</v>
      </c>
      <c r="Q14" s="129">
        <f t="shared" si="1"/>
        <v>0</v>
      </c>
      <c r="R14" s="129">
        <f t="shared" si="1"/>
        <v>5.5609756097560976E-2</v>
      </c>
      <c r="S14" s="129">
        <f t="shared" si="1"/>
        <v>0</v>
      </c>
      <c r="T14" s="129">
        <f t="shared" si="1"/>
        <v>0</v>
      </c>
      <c r="U14" s="129">
        <f t="shared" si="1"/>
        <v>0</v>
      </c>
      <c r="V14" s="129">
        <f t="shared" si="1"/>
        <v>0</v>
      </c>
    </row>
    <row r="15" spans="1:22" ht="21" customHeight="1">
      <c r="A15" s="128" t="s">
        <v>65</v>
      </c>
      <c r="B15" s="129">
        <v>1.4386005294049948E-2</v>
      </c>
      <c r="C15" s="129">
        <f t="shared" si="1"/>
        <v>2.9185718455102628E-4</v>
      </c>
      <c r="D15" s="129">
        <f t="shared" si="1"/>
        <v>3.6297640653357526E-3</v>
      </c>
      <c r="E15" s="129">
        <f t="shared" si="1"/>
        <v>4.5890065557236508E-2</v>
      </c>
      <c r="F15" s="129">
        <f t="shared" si="1"/>
        <v>0</v>
      </c>
      <c r="G15" s="129">
        <f t="shared" si="1"/>
        <v>0</v>
      </c>
      <c r="H15" s="129">
        <f t="shared" si="1"/>
        <v>0</v>
      </c>
      <c r="I15" s="129">
        <f t="shared" si="1"/>
        <v>0</v>
      </c>
      <c r="J15" s="129">
        <f t="shared" si="1"/>
        <v>0.95731707317073178</v>
      </c>
      <c r="K15" s="129">
        <f t="shared" si="1"/>
        <v>0</v>
      </c>
      <c r="L15" s="129">
        <f t="shared" si="1"/>
        <v>0</v>
      </c>
      <c r="M15" s="129">
        <f t="shared" si="1"/>
        <v>0</v>
      </c>
      <c r="N15" s="129">
        <f t="shared" si="1"/>
        <v>0</v>
      </c>
      <c r="O15" s="129">
        <f t="shared" si="1"/>
        <v>9.0497737556561094E-3</v>
      </c>
      <c r="P15" s="129">
        <f t="shared" si="1"/>
        <v>0</v>
      </c>
      <c r="Q15" s="129">
        <f t="shared" si="1"/>
        <v>0</v>
      </c>
      <c r="R15" s="129">
        <f t="shared" si="1"/>
        <v>0</v>
      </c>
      <c r="S15" s="129">
        <f t="shared" si="1"/>
        <v>4.995004995004995E-3</v>
      </c>
      <c r="T15" s="129">
        <f t="shared" si="1"/>
        <v>0</v>
      </c>
      <c r="U15" s="129">
        <f t="shared" si="1"/>
        <v>0</v>
      </c>
      <c r="V15" s="129">
        <f t="shared" si="1"/>
        <v>0</v>
      </c>
    </row>
    <row r="16" spans="1:22" ht="21" customHeight="1">
      <c r="A16" s="128" t="s">
        <v>66</v>
      </c>
      <c r="B16" s="129">
        <v>0</v>
      </c>
      <c r="C16" s="129">
        <f t="shared" si="1"/>
        <v>1.7803288257612605E-2</v>
      </c>
      <c r="D16" s="129">
        <f t="shared" si="1"/>
        <v>0</v>
      </c>
      <c r="E16" s="129">
        <f t="shared" si="1"/>
        <v>2.5214321734745338E-4</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129">
        <f>+R36/R$40</f>
        <v>0</v>
      </c>
      <c r="S16" s="129">
        <f>+S36/S$40</f>
        <v>0</v>
      </c>
      <c r="T16" s="129">
        <f>+T36/T$40</f>
        <v>0</v>
      </c>
      <c r="U16" s="129">
        <f>+U36/U$40</f>
        <v>0</v>
      </c>
      <c r="V16" s="129">
        <f>+V36/V$40</f>
        <v>0</v>
      </c>
    </row>
    <row r="17" spans="1:22" ht="21" customHeight="1">
      <c r="A17" s="128" t="s">
        <v>67</v>
      </c>
      <c r="B17" s="129">
        <v>1.6917942225802739E-2</v>
      </c>
      <c r="C17" s="129">
        <f t="shared" ref="C17:V19" si="2">+C37/C$40</f>
        <v>1.8484288354898334E-3</v>
      </c>
      <c r="D17" s="129">
        <f t="shared" si="2"/>
        <v>0</v>
      </c>
      <c r="E17" s="129">
        <f t="shared" si="2"/>
        <v>0.23600605143721631</v>
      </c>
      <c r="F17" s="129">
        <f t="shared" si="2"/>
        <v>1.630434782608696E-2</v>
      </c>
      <c r="G17" s="129">
        <f t="shared" si="2"/>
        <v>5.5599682287529786E-3</v>
      </c>
      <c r="H17" s="129">
        <f t="shared" si="2"/>
        <v>0</v>
      </c>
      <c r="I17" s="129">
        <f t="shared" si="2"/>
        <v>0</v>
      </c>
      <c r="J17" s="129">
        <f t="shared" si="2"/>
        <v>3.048780487804878E-2</v>
      </c>
      <c r="K17" s="129">
        <f t="shared" si="2"/>
        <v>0</v>
      </c>
      <c r="L17" s="129">
        <f t="shared" si="2"/>
        <v>0</v>
      </c>
      <c r="M17" s="129">
        <f t="shared" si="2"/>
        <v>6.7396798652064032E-3</v>
      </c>
      <c r="N17" s="129">
        <f t="shared" si="2"/>
        <v>0</v>
      </c>
      <c r="O17" s="129">
        <f t="shared" si="2"/>
        <v>0.78733031674208143</v>
      </c>
      <c r="P17" s="129">
        <f t="shared" si="2"/>
        <v>3.8560411311053993E-3</v>
      </c>
      <c r="Q17" s="129">
        <f t="shared" si="2"/>
        <v>0</v>
      </c>
      <c r="R17" s="129">
        <f t="shared" si="2"/>
        <v>0</v>
      </c>
      <c r="S17" s="129">
        <f t="shared" si="2"/>
        <v>0</v>
      </c>
      <c r="T17" s="129">
        <f t="shared" si="2"/>
        <v>0</v>
      </c>
      <c r="U17" s="129">
        <f t="shared" si="2"/>
        <v>0</v>
      </c>
      <c r="V17" s="129">
        <f t="shared" si="2"/>
        <v>0</v>
      </c>
    </row>
    <row r="18" spans="1:22" ht="21" customHeight="1">
      <c r="A18" s="128" t="s">
        <v>62</v>
      </c>
      <c r="B18" s="129">
        <v>1.3695477039935551E-2</v>
      </c>
      <c r="C18" s="129">
        <f t="shared" si="2"/>
        <v>0</v>
      </c>
      <c r="D18" s="129">
        <f t="shared" si="2"/>
        <v>0</v>
      </c>
      <c r="E18" s="129">
        <f t="shared" si="2"/>
        <v>2.5214321734745334E-3</v>
      </c>
      <c r="F18" s="129">
        <f t="shared" si="2"/>
        <v>0</v>
      </c>
      <c r="G18" s="129">
        <f t="shared" si="2"/>
        <v>0</v>
      </c>
      <c r="H18" s="129">
        <f t="shared" si="2"/>
        <v>0</v>
      </c>
      <c r="I18" s="129">
        <f t="shared" si="2"/>
        <v>0</v>
      </c>
      <c r="J18" s="129">
        <f t="shared" si="2"/>
        <v>0</v>
      </c>
      <c r="K18" s="129">
        <f t="shared" si="2"/>
        <v>0</v>
      </c>
      <c r="L18" s="129">
        <f t="shared" si="2"/>
        <v>0</v>
      </c>
      <c r="M18" s="129">
        <f t="shared" si="2"/>
        <v>0</v>
      </c>
      <c r="N18" s="129">
        <f t="shared" si="2"/>
        <v>0</v>
      </c>
      <c r="O18" s="129">
        <f t="shared" si="2"/>
        <v>0</v>
      </c>
      <c r="P18" s="129">
        <f t="shared" si="2"/>
        <v>0</v>
      </c>
      <c r="Q18" s="129">
        <f t="shared" si="2"/>
        <v>0</v>
      </c>
      <c r="R18" s="129">
        <f t="shared" si="2"/>
        <v>0</v>
      </c>
      <c r="S18" s="129">
        <f t="shared" si="2"/>
        <v>0</v>
      </c>
      <c r="T18" s="129">
        <f t="shared" si="2"/>
        <v>0</v>
      </c>
      <c r="U18" s="129">
        <f t="shared" si="2"/>
        <v>0</v>
      </c>
      <c r="V18" s="129">
        <f t="shared" si="2"/>
        <v>0</v>
      </c>
    </row>
    <row r="19" spans="1:22" ht="21" customHeight="1">
      <c r="A19" s="128" t="s">
        <v>57</v>
      </c>
      <c r="B19" s="129">
        <v>5.1789619058579817E-3</v>
      </c>
      <c r="C19" s="129">
        <f t="shared" si="2"/>
        <v>9.1837727405389619E-2</v>
      </c>
      <c r="D19" s="129">
        <f t="shared" si="2"/>
        <v>0</v>
      </c>
      <c r="E19" s="129">
        <f t="shared" si="2"/>
        <v>1.51285930408472E-2</v>
      </c>
      <c r="F19" s="129">
        <f t="shared" si="2"/>
        <v>1.3586956521739132E-2</v>
      </c>
      <c r="G19" s="129">
        <f t="shared" si="2"/>
        <v>3.1771247021445594E-3</v>
      </c>
      <c r="H19" s="129">
        <f t="shared" si="2"/>
        <v>1.9230769230769232E-2</v>
      </c>
      <c r="I19" s="129">
        <f t="shared" si="2"/>
        <v>3.2006920415224904E-2</v>
      </c>
      <c r="J19" s="129">
        <f t="shared" si="2"/>
        <v>0</v>
      </c>
      <c r="K19" s="129">
        <f t="shared" si="2"/>
        <v>0</v>
      </c>
      <c r="L19" s="129">
        <f t="shared" si="2"/>
        <v>0</v>
      </c>
      <c r="M19" s="129">
        <f t="shared" si="2"/>
        <v>1.2215669755686604E-2</v>
      </c>
      <c r="N19" s="129">
        <f t="shared" si="2"/>
        <v>0</v>
      </c>
      <c r="O19" s="129">
        <f t="shared" si="2"/>
        <v>4.5248868778280547E-3</v>
      </c>
      <c r="P19" s="129">
        <f t="shared" si="2"/>
        <v>0</v>
      </c>
      <c r="Q19" s="129">
        <f t="shared" si="2"/>
        <v>0</v>
      </c>
      <c r="R19" s="129">
        <f t="shared" si="2"/>
        <v>2.2439024390243902E-2</v>
      </c>
      <c r="S19" s="129">
        <f t="shared" si="2"/>
        <v>3.9960039960039951E-3</v>
      </c>
      <c r="T19" s="129">
        <f t="shared" si="2"/>
        <v>0</v>
      </c>
      <c r="U19" s="129">
        <f t="shared" si="2"/>
        <v>0</v>
      </c>
      <c r="V19" s="129">
        <f t="shared" si="2"/>
        <v>0</v>
      </c>
    </row>
    <row r="20" spans="1:22" ht="21" customHeight="1" thickBot="1">
      <c r="A20" s="130" t="s">
        <v>17</v>
      </c>
      <c r="B20" s="131">
        <v>1.0000000000000002</v>
      </c>
      <c r="C20" s="132">
        <v>1</v>
      </c>
      <c r="D20" s="132">
        <v>1</v>
      </c>
      <c r="E20" s="132">
        <v>1</v>
      </c>
      <c r="F20" s="132">
        <v>1</v>
      </c>
      <c r="G20" s="132">
        <v>1</v>
      </c>
      <c r="H20" s="132">
        <v>1</v>
      </c>
      <c r="I20" s="132">
        <v>0.99999999999999989</v>
      </c>
      <c r="J20" s="132">
        <v>1</v>
      </c>
      <c r="K20" s="132">
        <v>1</v>
      </c>
      <c r="L20" s="132">
        <v>1</v>
      </c>
      <c r="M20" s="132">
        <v>0.99999999999999989</v>
      </c>
      <c r="N20" s="132">
        <v>1</v>
      </c>
      <c r="O20" s="132">
        <v>1</v>
      </c>
      <c r="P20" s="132">
        <v>1.0000000000000002</v>
      </c>
      <c r="Q20" s="132">
        <v>1</v>
      </c>
      <c r="R20" s="132">
        <v>1</v>
      </c>
      <c r="S20" s="132">
        <v>1</v>
      </c>
      <c r="T20" s="132">
        <v>1</v>
      </c>
      <c r="U20" s="132">
        <v>1</v>
      </c>
      <c r="V20" s="132">
        <v>1</v>
      </c>
    </row>
    <row r="21" spans="1:22" ht="18" customHeight="1">
      <c r="A21" s="13"/>
      <c r="S21" s="28"/>
    </row>
    <row r="22" spans="1:22" s="18" customFormat="1" ht="36" customHeight="1">
      <c r="A22" s="120" t="s">
        <v>78</v>
      </c>
      <c r="B22" s="120" t="s">
        <v>87</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21" customHeight="1">
      <c r="A23" s="128" t="s">
        <v>51</v>
      </c>
      <c r="B23" s="133">
        <v>149</v>
      </c>
      <c r="C23" s="134">
        <v>16.990076855725249</v>
      </c>
      <c r="D23" s="134">
        <v>0</v>
      </c>
      <c r="E23" s="134">
        <v>0</v>
      </c>
      <c r="F23" s="134">
        <v>0</v>
      </c>
      <c r="G23" s="134">
        <v>0</v>
      </c>
      <c r="H23" s="134">
        <v>0</v>
      </c>
      <c r="I23" s="134">
        <v>355.7410611303406</v>
      </c>
      <c r="J23" s="134">
        <v>0</v>
      </c>
      <c r="K23" s="134">
        <v>0</v>
      </c>
      <c r="L23" s="134">
        <v>0.66666666666667895</v>
      </c>
      <c r="M23" s="134">
        <v>0</v>
      </c>
      <c r="N23" s="134">
        <v>0</v>
      </c>
      <c r="O23" s="134">
        <v>0.33333333333333331</v>
      </c>
      <c r="P23" s="134">
        <v>0</v>
      </c>
      <c r="Q23" s="134">
        <v>0</v>
      </c>
      <c r="R23" s="134">
        <v>0.99999999999999512</v>
      </c>
      <c r="S23" s="134">
        <v>0</v>
      </c>
      <c r="T23" s="134">
        <v>0</v>
      </c>
      <c r="U23" s="134">
        <v>0</v>
      </c>
      <c r="V23" s="134">
        <v>0</v>
      </c>
    </row>
    <row r="24" spans="1:22" ht="21" customHeight="1">
      <c r="A24" s="128" t="s">
        <v>52</v>
      </c>
      <c r="B24" s="133">
        <f>5912</f>
        <v>5912</v>
      </c>
      <c r="C24" s="134">
        <v>2089.1131757304515</v>
      </c>
      <c r="D24" s="134">
        <v>0</v>
      </c>
      <c r="E24" s="134">
        <v>11.987897125567262</v>
      </c>
      <c r="F24" s="134">
        <v>0</v>
      </c>
      <c r="G24" s="134">
        <v>38.66666666666606</v>
      </c>
      <c r="H24" s="134">
        <v>2.333333333333333</v>
      </c>
      <c r="I24" s="134">
        <v>0.66493656286044966</v>
      </c>
      <c r="J24" s="134">
        <v>0</v>
      </c>
      <c r="K24" s="134">
        <v>0</v>
      </c>
      <c r="L24" s="134">
        <v>2.6666666666667158</v>
      </c>
      <c r="M24" s="134">
        <v>0</v>
      </c>
      <c r="N24" s="134">
        <v>0</v>
      </c>
      <c r="O24" s="134">
        <v>4.333333333333333</v>
      </c>
      <c r="P24" s="134">
        <v>0.66666666666668395</v>
      </c>
      <c r="Q24" s="134">
        <v>0</v>
      </c>
      <c r="R24" s="134">
        <v>48.999999999999744</v>
      </c>
      <c r="S24" s="134">
        <v>0.66666666666667318</v>
      </c>
      <c r="T24" s="134">
        <v>2</v>
      </c>
      <c r="U24" s="134">
        <v>0</v>
      </c>
      <c r="V24" s="134">
        <v>1.0000000000002272</v>
      </c>
    </row>
    <row r="25" spans="1:22" ht="21" customHeight="1">
      <c r="A25" s="128" t="s">
        <v>53</v>
      </c>
      <c r="B25" s="133">
        <v>831</v>
      </c>
      <c r="C25" s="134">
        <v>77.954470279209957</v>
      </c>
      <c r="D25" s="134">
        <v>0</v>
      </c>
      <c r="E25" s="134">
        <v>3.3299714237686837</v>
      </c>
      <c r="F25" s="134">
        <v>237.33333333332038</v>
      </c>
      <c r="G25" s="134">
        <v>0.99999999999998423</v>
      </c>
      <c r="H25" s="134">
        <v>0</v>
      </c>
      <c r="I25" s="134">
        <v>1.9948096885813491</v>
      </c>
      <c r="J25" s="134">
        <v>0</v>
      </c>
      <c r="K25" s="134">
        <v>0</v>
      </c>
      <c r="L25" s="134">
        <v>4.3333333333334139</v>
      </c>
      <c r="M25" s="134">
        <v>0</v>
      </c>
      <c r="N25" s="134">
        <v>0</v>
      </c>
      <c r="O25" s="134">
        <v>0</v>
      </c>
      <c r="P25" s="134">
        <v>0</v>
      </c>
      <c r="Q25" s="134">
        <v>0</v>
      </c>
      <c r="R25" s="134">
        <v>0</v>
      </c>
      <c r="S25" s="134">
        <v>0</v>
      </c>
      <c r="T25" s="134">
        <v>0</v>
      </c>
      <c r="U25" s="134">
        <v>0</v>
      </c>
      <c r="V25" s="134">
        <v>0</v>
      </c>
    </row>
    <row r="26" spans="1:22" ht="21" customHeight="1">
      <c r="A26" s="128" t="s">
        <v>54</v>
      </c>
      <c r="B26" s="133">
        <v>43</v>
      </c>
      <c r="C26" s="134">
        <v>175.5641275091609</v>
      </c>
      <c r="D26" s="134">
        <v>0</v>
      </c>
      <c r="E26" s="134">
        <v>1.9979828542612101</v>
      </c>
      <c r="F26" s="134">
        <v>0</v>
      </c>
      <c r="G26" s="134">
        <v>0</v>
      </c>
      <c r="H26" s="134">
        <v>0</v>
      </c>
      <c r="I26" s="134">
        <v>0</v>
      </c>
      <c r="J26" s="134">
        <v>0</v>
      </c>
      <c r="K26" s="134">
        <v>0</v>
      </c>
      <c r="L26" s="134">
        <v>0</v>
      </c>
      <c r="M26" s="134">
        <v>0</v>
      </c>
      <c r="N26" s="134">
        <v>0</v>
      </c>
      <c r="O26" s="134">
        <v>0</v>
      </c>
      <c r="P26" s="134">
        <v>0</v>
      </c>
      <c r="Q26" s="134">
        <v>0</v>
      </c>
      <c r="R26" s="134">
        <v>0.33333333333333165</v>
      </c>
      <c r="S26" s="134">
        <v>330.00000000000324</v>
      </c>
      <c r="T26" s="134">
        <v>82.666666666666671</v>
      </c>
      <c r="U26" s="134">
        <v>0</v>
      </c>
      <c r="V26" s="134">
        <v>0</v>
      </c>
    </row>
    <row r="27" spans="1:22" ht="21" customHeight="1">
      <c r="A27" s="128" t="s">
        <v>55</v>
      </c>
      <c r="B27" s="133">
        <v>803</v>
      </c>
      <c r="C27" s="134">
        <v>123.59448065635426</v>
      </c>
      <c r="D27" s="134">
        <v>0</v>
      </c>
      <c r="E27" s="134">
        <v>889.10237014623851</v>
      </c>
      <c r="F27" s="134">
        <v>0</v>
      </c>
      <c r="G27" s="134">
        <v>0.3333333333333281</v>
      </c>
      <c r="H27" s="134">
        <v>0</v>
      </c>
      <c r="I27" s="134">
        <v>1.6623414071511242</v>
      </c>
      <c r="J27" s="134">
        <v>0</v>
      </c>
      <c r="K27" s="134">
        <v>0</v>
      </c>
      <c r="L27" s="134">
        <v>0</v>
      </c>
      <c r="M27" s="134">
        <v>0</v>
      </c>
      <c r="N27" s="134">
        <v>0</v>
      </c>
      <c r="O27" s="134">
        <v>0</v>
      </c>
      <c r="P27" s="134">
        <v>0</v>
      </c>
      <c r="Q27" s="134">
        <v>0</v>
      </c>
      <c r="R27" s="134">
        <v>12.666666666666604</v>
      </c>
      <c r="S27" s="134">
        <v>0</v>
      </c>
      <c r="T27" s="134">
        <v>0</v>
      </c>
      <c r="U27" s="134">
        <v>2.3333333333300001</v>
      </c>
      <c r="V27" s="134">
        <v>13.666666666669775</v>
      </c>
    </row>
    <row r="28" spans="1:22" ht="21" customHeight="1">
      <c r="A28" s="128" t="s">
        <v>56</v>
      </c>
      <c r="B28" s="133">
        <v>214</v>
      </c>
      <c r="C28" s="134">
        <v>23.985990855141527</v>
      </c>
      <c r="D28" s="134">
        <v>0</v>
      </c>
      <c r="E28" s="134">
        <v>4.3289628508992886</v>
      </c>
      <c r="F28" s="134">
        <v>0</v>
      </c>
      <c r="G28" s="134">
        <v>18.999999999999702</v>
      </c>
      <c r="H28" s="134">
        <v>0</v>
      </c>
      <c r="I28" s="134">
        <v>1.9948096885813491</v>
      </c>
      <c r="J28" s="134">
        <v>0</v>
      </c>
      <c r="K28" s="134">
        <v>0</v>
      </c>
      <c r="L28" s="134">
        <v>0</v>
      </c>
      <c r="M28" s="134">
        <v>0</v>
      </c>
      <c r="N28" s="134">
        <v>0</v>
      </c>
      <c r="O28" s="134">
        <v>0</v>
      </c>
      <c r="P28" s="134">
        <v>0</v>
      </c>
      <c r="Q28" s="134">
        <v>0</v>
      </c>
      <c r="R28" s="134">
        <v>566.99999999999716</v>
      </c>
      <c r="S28" s="134">
        <v>0</v>
      </c>
      <c r="T28" s="134">
        <v>0.33333333333333331</v>
      </c>
      <c r="U28" s="134">
        <v>0</v>
      </c>
      <c r="V28" s="134">
        <v>0</v>
      </c>
    </row>
    <row r="29" spans="1:22" ht="21" customHeight="1">
      <c r="A29" s="128" t="s">
        <v>58</v>
      </c>
      <c r="B29" s="136">
        <v>68</v>
      </c>
      <c r="C29" s="134">
        <v>38.644096377728012</v>
      </c>
      <c r="D29" s="134">
        <v>0</v>
      </c>
      <c r="E29" s="134">
        <v>0.99899142713060507</v>
      </c>
      <c r="F29" s="134">
        <v>0</v>
      </c>
      <c r="G29" s="134">
        <v>2.9999999999999529</v>
      </c>
      <c r="H29" s="134">
        <v>48.666666666666664</v>
      </c>
      <c r="I29" s="134">
        <v>0</v>
      </c>
      <c r="J29" s="134">
        <v>0</v>
      </c>
      <c r="K29" s="134">
        <v>0</v>
      </c>
      <c r="L29" s="134">
        <v>0</v>
      </c>
      <c r="M29" s="134">
        <v>0</v>
      </c>
      <c r="N29" s="134">
        <v>0</v>
      </c>
      <c r="O29" s="134">
        <v>0</v>
      </c>
      <c r="P29" s="134">
        <v>0</v>
      </c>
      <c r="Q29" s="134">
        <v>0</v>
      </c>
      <c r="R29" s="134">
        <v>0</v>
      </c>
      <c r="S29" s="134">
        <v>0</v>
      </c>
      <c r="T29" s="134">
        <v>0</v>
      </c>
      <c r="U29" s="134">
        <v>0</v>
      </c>
      <c r="V29" s="134">
        <v>0</v>
      </c>
    </row>
    <row r="30" spans="1:22" ht="21" customHeight="1">
      <c r="A30" s="128" t="s">
        <v>59</v>
      </c>
      <c r="B30" s="137"/>
      <c r="C30" s="134">
        <v>15.32438304634042</v>
      </c>
      <c r="D30" s="134">
        <v>0</v>
      </c>
      <c r="E30" s="134">
        <v>4.3289628508992886</v>
      </c>
      <c r="F30" s="134">
        <v>0.33333333333331516</v>
      </c>
      <c r="G30" s="134">
        <v>0</v>
      </c>
      <c r="H30" s="134">
        <v>0</v>
      </c>
      <c r="I30" s="134">
        <v>0</v>
      </c>
      <c r="J30" s="134">
        <v>0</v>
      </c>
      <c r="K30" s="134">
        <v>0</v>
      </c>
      <c r="L30" s="134">
        <v>540.66666666667663</v>
      </c>
      <c r="M30" s="134">
        <v>0</v>
      </c>
      <c r="N30" s="134">
        <v>0</v>
      </c>
      <c r="O30" s="134">
        <v>0</v>
      </c>
      <c r="P30" s="134">
        <v>0</v>
      </c>
      <c r="Q30" s="134">
        <v>35</v>
      </c>
      <c r="R30" s="134">
        <v>0</v>
      </c>
      <c r="S30" s="134">
        <v>0</v>
      </c>
      <c r="T30" s="134">
        <v>0</v>
      </c>
      <c r="U30" s="134">
        <v>0</v>
      </c>
      <c r="V30" s="134">
        <v>0</v>
      </c>
    </row>
    <row r="31" spans="1:22" ht="21" customHeight="1">
      <c r="A31" s="128" t="s">
        <v>60</v>
      </c>
      <c r="B31" s="137"/>
      <c r="C31" s="134">
        <v>17.989493141356146</v>
      </c>
      <c r="D31" s="134">
        <v>0</v>
      </c>
      <c r="E31" s="134">
        <v>0</v>
      </c>
      <c r="F31" s="134">
        <v>0.33333333333331516</v>
      </c>
      <c r="G31" s="134">
        <v>351.99999999999443</v>
      </c>
      <c r="H31" s="134">
        <v>0</v>
      </c>
      <c r="I31" s="134">
        <v>9.9740484429067457</v>
      </c>
      <c r="J31" s="134">
        <v>0</v>
      </c>
      <c r="K31" s="134">
        <v>0</v>
      </c>
      <c r="L31" s="134">
        <v>3.6666666666667345</v>
      </c>
      <c r="M31" s="134">
        <v>0</v>
      </c>
      <c r="N31" s="134">
        <v>0</v>
      </c>
      <c r="O31" s="134">
        <v>0.66666666666666663</v>
      </c>
      <c r="P31" s="134">
        <v>1.6666666666667098</v>
      </c>
      <c r="Q31" s="134">
        <v>0</v>
      </c>
      <c r="R31" s="134">
        <v>0</v>
      </c>
      <c r="S31" s="134">
        <v>0</v>
      </c>
      <c r="T31" s="134">
        <v>1</v>
      </c>
      <c r="U31" s="134">
        <v>0</v>
      </c>
      <c r="V31" s="134">
        <v>0</v>
      </c>
    </row>
    <row r="32" spans="1:22" ht="21" customHeight="1">
      <c r="A32" s="128" t="s">
        <v>61</v>
      </c>
      <c r="B32" s="136">
        <v>39</v>
      </c>
      <c r="C32" s="134">
        <v>0</v>
      </c>
      <c r="D32" s="134">
        <v>38.000000000000689</v>
      </c>
      <c r="E32" s="134">
        <v>0</v>
      </c>
      <c r="F32" s="134">
        <v>0</v>
      </c>
      <c r="G32" s="134">
        <v>1.9999999999999685</v>
      </c>
      <c r="H32" s="134">
        <v>0</v>
      </c>
      <c r="I32" s="134">
        <v>0</v>
      </c>
      <c r="J32" s="134">
        <v>0</v>
      </c>
      <c r="K32" s="134">
        <v>0</v>
      </c>
      <c r="L32" s="134">
        <v>0</v>
      </c>
      <c r="M32" s="134">
        <v>0</v>
      </c>
      <c r="N32" s="134">
        <v>0</v>
      </c>
      <c r="O32" s="134">
        <v>1</v>
      </c>
      <c r="P32" s="134">
        <v>256.00000000000665</v>
      </c>
      <c r="Q32" s="134">
        <v>0</v>
      </c>
      <c r="R32" s="134">
        <v>0</v>
      </c>
      <c r="S32" s="134">
        <v>0</v>
      </c>
      <c r="T32" s="134">
        <v>0</v>
      </c>
      <c r="U32" s="134">
        <v>0</v>
      </c>
      <c r="V32" s="134">
        <v>0</v>
      </c>
    </row>
    <row r="33" spans="1:22" ht="21" customHeight="1">
      <c r="A33" s="128" t="s">
        <v>63</v>
      </c>
      <c r="B33" s="137"/>
      <c r="C33" s="134">
        <v>5.3302201900314499</v>
      </c>
      <c r="D33" s="134">
        <v>64.000000000001165</v>
      </c>
      <c r="E33" s="134">
        <v>0.66599428475373679</v>
      </c>
      <c r="F33" s="134">
        <v>0</v>
      </c>
      <c r="G33" s="134">
        <v>0</v>
      </c>
      <c r="H33" s="134">
        <v>0</v>
      </c>
      <c r="I33" s="134">
        <v>0</v>
      </c>
      <c r="J33" s="134">
        <v>0</v>
      </c>
      <c r="K33" s="134">
        <v>0</v>
      </c>
      <c r="L33" s="134">
        <v>0</v>
      </c>
      <c r="M33" s="134">
        <v>0.33333333333333187</v>
      </c>
      <c r="N33" s="134">
        <v>243.33333333332999</v>
      </c>
      <c r="O33" s="134">
        <v>0.66666666666666663</v>
      </c>
      <c r="P33" s="134">
        <v>0</v>
      </c>
      <c r="Q33" s="134">
        <v>0</v>
      </c>
      <c r="R33" s="134">
        <v>0</v>
      </c>
      <c r="S33" s="134">
        <v>0</v>
      </c>
      <c r="T33" s="134">
        <v>0</v>
      </c>
      <c r="U33" s="134">
        <v>0</v>
      </c>
      <c r="V33" s="134">
        <v>0</v>
      </c>
    </row>
    <row r="34" spans="1:22" ht="21" customHeight="1">
      <c r="A34" s="128" t="s">
        <v>64</v>
      </c>
      <c r="B34" s="136">
        <v>194</v>
      </c>
      <c r="C34" s="134">
        <v>457.06638129519683</v>
      </c>
      <c r="D34" s="134">
        <v>81.000000000001478</v>
      </c>
      <c r="E34" s="134">
        <v>7.9919314170448406</v>
      </c>
      <c r="F34" s="134">
        <v>0</v>
      </c>
      <c r="G34" s="134">
        <v>0</v>
      </c>
      <c r="H34" s="134">
        <v>0</v>
      </c>
      <c r="I34" s="134">
        <v>0</v>
      </c>
      <c r="J34" s="134">
        <v>1.3333333333332928</v>
      </c>
      <c r="K34" s="134">
        <v>0</v>
      </c>
      <c r="L34" s="134">
        <v>0</v>
      </c>
      <c r="M34" s="134">
        <v>775.9999999999967</v>
      </c>
      <c r="N34" s="134">
        <v>0</v>
      </c>
      <c r="O34" s="134">
        <v>37</v>
      </c>
      <c r="P34" s="134">
        <v>0</v>
      </c>
      <c r="Q34" s="134">
        <v>0</v>
      </c>
      <c r="R34" s="134">
        <v>37.999999999999808</v>
      </c>
      <c r="S34" s="134">
        <v>0</v>
      </c>
      <c r="T34" s="134">
        <v>0</v>
      </c>
      <c r="U34" s="134">
        <v>0</v>
      </c>
      <c r="V34" s="134">
        <v>0</v>
      </c>
    </row>
    <row r="35" spans="1:22" ht="21" customHeight="1">
      <c r="A35" s="128" t="s">
        <v>65</v>
      </c>
      <c r="B35" s="136">
        <v>125</v>
      </c>
      <c r="C35" s="134">
        <v>0.99941628563089679</v>
      </c>
      <c r="D35" s="134">
        <v>0.66666666666667873</v>
      </c>
      <c r="E35" s="134">
        <v>60.605479912590042</v>
      </c>
      <c r="F35" s="134">
        <v>0</v>
      </c>
      <c r="G35" s="134">
        <v>0</v>
      </c>
      <c r="H35" s="134">
        <v>0</v>
      </c>
      <c r="I35" s="134">
        <v>0</v>
      </c>
      <c r="J35" s="134">
        <v>104.66666666666349</v>
      </c>
      <c r="K35" s="134">
        <v>0</v>
      </c>
      <c r="L35" s="134">
        <v>0</v>
      </c>
      <c r="M35" s="134">
        <v>0</v>
      </c>
      <c r="N35" s="134">
        <v>0</v>
      </c>
      <c r="O35" s="134">
        <v>2</v>
      </c>
      <c r="P35" s="134">
        <v>0</v>
      </c>
      <c r="Q35" s="134">
        <v>0</v>
      </c>
      <c r="R35" s="134">
        <v>0</v>
      </c>
      <c r="S35" s="134">
        <v>1.6666666666666832</v>
      </c>
      <c r="T35" s="134">
        <v>0</v>
      </c>
      <c r="U35" s="134">
        <v>0</v>
      </c>
      <c r="V35" s="134">
        <v>0</v>
      </c>
    </row>
    <row r="36" spans="1:22" ht="21" customHeight="1">
      <c r="A36" s="128" t="s">
        <v>66</v>
      </c>
      <c r="B36" s="137"/>
      <c r="C36" s="134">
        <v>60.964393423484715</v>
      </c>
      <c r="D36" s="134">
        <v>0</v>
      </c>
      <c r="E36" s="134">
        <v>0.33299714237686839</v>
      </c>
      <c r="F36" s="134">
        <v>0</v>
      </c>
      <c r="G36" s="134">
        <v>0</v>
      </c>
      <c r="H36" s="134">
        <v>0</v>
      </c>
      <c r="I36" s="134">
        <v>0</v>
      </c>
      <c r="J36" s="134">
        <v>0</v>
      </c>
      <c r="K36" s="134">
        <v>329.66666666666998</v>
      </c>
      <c r="L36" s="134">
        <v>0</v>
      </c>
      <c r="M36" s="134">
        <v>0</v>
      </c>
      <c r="N36" s="134">
        <v>0</v>
      </c>
      <c r="O36" s="134">
        <v>0</v>
      </c>
      <c r="P36" s="134">
        <v>0</v>
      </c>
      <c r="Q36" s="134">
        <v>0</v>
      </c>
      <c r="R36" s="134">
        <v>0</v>
      </c>
      <c r="S36" s="134">
        <v>0</v>
      </c>
      <c r="T36" s="134">
        <v>0</v>
      </c>
      <c r="U36" s="134">
        <v>0</v>
      </c>
      <c r="V36" s="134">
        <v>0</v>
      </c>
    </row>
    <row r="37" spans="1:22" ht="21" customHeight="1">
      <c r="A37" s="128" t="s">
        <v>67</v>
      </c>
      <c r="B37" s="138">
        <f>56+91</f>
        <v>147</v>
      </c>
      <c r="C37" s="134">
        <v>6.3296364756623476</v>
      </c>
      <c r="D37" s="134">
        <v>0</v>
      </c>
      <c r="E37" s="134">
        <v>311.68532526474877</v>
      </c>
      <c r="F37" s="134">
        <v>3.999999999999782</v>
      </c>
      <c r="G37" s="134">
        <v>2.3333333333332966</v>
      </c>
      <c r="H37" s="134">
        <v>0</v>
      </c>
      <c r="I37" s="134">
        <v>0</v>
      </c>
      <c r="J37" s="134">
        <v>3.3333333333332318</v>
      </c>
      <c r="K37" s="134">
        <v>0</v>
      </c>
      <c r="L37" s="134">
        <v>0</v>
      </c>
      <c r="M37" s="134">
        <v>5.3333333333333108</v>
      </c>
      <c r="N37" s="134">
        <v>0</v>
      </c>
      <c r="O37" s="134">
        <v>174</v>
      </c>
      <c r="P37" s="134">
        <v>1.000000000000026</v>
      </c>
      <c r="Q37" s="134">
        <v>0</v>
      </c>
      <c r="R37" s="134">
        <v>0</v>
      </c>
      <c r="S37" s="134">
        <v>0</v>
      </c>
      <c r="T37" s="134">
        <v>0</v>
      </c>
      <c r="U37" s="134">
        <v>0</v>
      </c>
      <c r="V37" s="134">
        <v>0</v>
      </c>
    </row>
    <row r="38" spans="1:22" ht="21" customHeight="1">
      <c r="A38" s="128" t="s">
        <v>62</v>
      </c>
      <c r="B38" s="136">
        <v>119</v>
      </c>
      <c r="C38" s="134">
        <v>0</v>
      </c>
      <c r="D38" s="134">
        <v>0</v>
      </c>
      <c r="E38" s="134">
        <v>3.3299714237686837</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row>
    <row r="39" spans="1:22" ht="21" customHeight="1">
      <c r="A39" s="128" t="s">
        <v>57</v>
      </c>
      <c r="B39" s="136">
        <v>45</v>
      </c>
      <c r="C39" s="134">
        <v>314.48299121185556</v>
      </c>
      <c r="D39" s="134">
        <v>0</v>
      </c>
      <c r="E39" s="134">
        <v>19.979828542612101</v>
      </c>
      <c r="F39" s="134">
        <v>3.3333333333331514</v>
      </c>
      <c r="G39" s="134">
        <v>1.3333333333333124</v>
      </c>
      <c r="H39" s="134">
        <v>1</v>
      </c>
      <c r="I39" s="134">
        <v>12.30132641291832</v>
      </c>
      <c r="J39" s="134">
        <v>0</v>
      </c>
      <c r="K39" s="134">
        <v>0</v>
      </c>
      <c r="L39" s="134">
        <v>0</v>
      </c>
      <c r="M39" s="134">
        <v>9.6666666666666252</v>
      </c>
      <c r="N39" s="134">
        <v>0</v>
      </c>
      <c r="O39" s="134">
        <v>1</v>
      </c>
      <c r="P39" s="134">
        <v>0</v>
      </c>
      <c r="Q39" s="134">
        <v>0</v>
      </c>
      <c r="R39" s="134">
        <v>15.333333333333254</v>
      </c>
      <c r="S39" s="134">
        <v>1.3333333333333464</v>
      </c>
      <c r="T39" s="134">
        <v>0</v>
      </c>
      <c r="U39" s="134">
        <v>0</v>
      </c>
      <c r="V39" s="134">
        <v>0</v>
      </c>
    </row>
    <row r="40" spans="1:22" s="62" customFormat="1" ht="21" customHeight="1">
      <c r="A40" s="139" t="s">
        <v>17</v>
      </c>
      <c r="B40" s="140">
        <f t="shared" ref="B40:V40" si="3">SUM(B23:B39)</f>
        <v>8689</v>
      </c>
      <c r="C40" s="140">
        <f t="shared" si="3"/>
        <v>3424.3333333333303</v>
      </c>
      <c r="D40" s="140">
        <f t="shared" si="3"/>
        <v>183.66666666667001</v>
      </c>
      <c r="E40" s="140">
        <f t="shared" si="3"/>
        <v>1320.6666666666599</v>
      </c>
      <c r="F40" s="140">
        <f t="shared" si="3"/>
        <v>245.33333333331993</v>
      </c>
      <c r="G40" s="140">
        <f t="shared" si="3"/>
        <v>419.66666666666003</v>
      </c>
      <c r="H40" s="140">
        <f t="shared" si="3"/>
        <v>52</v>
      </c>
      <c r="I40" s="140">
        <f t="shared" si="3"/>
        <v>384.33333333334002</v>
      </c>
      <c r="J40" s="140">
        <f t="shared" si="3"/>
        <v>109.33333333333</v>
      </c>
      <c r="K40" s="140">
        <f t="shared" si="3"/>
        <v>329.66666666666998</v>
      </c>
      <c r="L40" s="140">
        <f t="shared" si="3"/>
        <v>552.00000000001023</v>
      </c>
      <c r="M40" s="140">
        <f t="shared" si="3"/>
        <v>791.33333333332996</v>
      </c>
      <c r="N40" s="140">
        <f t="shared" si="3"/>
        <v>243.33333333332999</v>
      </c>
      <c r="O40" s="140">
        <f t="shared" si="3"/>
        <v>221</v>
      </c>
      <c r="P40" s="140">
        <f t="shared" si="3"/>
        <v>259.33333333334002</v>
      </c>
      <c r="Q40" s="140">
        <f t="shared" si="3"/>
        <v>35</v>
      </c>
      <c r="R40" s="140">
        <f t="shared" si="3"/>
        <v>683.33333333332985</v>
      </c>
      <c r="S40" s="140">
        <f t="shared" si="3"/>
        <v>333.66666666666998</v>
      </c>
      <c r="T40" s="140">
        <f t="shared" si="3"/>
        <v>86</v>
      </c>
      <c r="U40" s="140">
        <f t="shared" si="3"/>
        <v>2.3333333333300001</v>
      </c>
      <c r="V40" s="140">
        <f t="shared" si="3"/>
        <v>14.666666666670002</v>
      </c>
    </row>
  </sheetData>
  <printOptions horizontalCentered="1"/>
  <pageMargins left="0.2" right="0.2" top="0.5" bottom="0.5" header="0.05" footer="0.05"/>
  <pageSetup paperSize="5" scale="54" orientation="landscape" r:id="rId1"/>
  <headerFooter>
    <oddFooter xml:space="preserve">&amp;L&amp;9&amp;Z&amp;F, &amp;A
Revised/Printed &amp;D, &amp;T&amp;R&amp;9Page &amp;P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workbookViewId="0">
      <selection activeCell="A2" sqref="A2"/>
    </sheetView>
  </sheetViews>
  <sheetFormatPr defaultColWidth="8.85546875" defaultRowHeight="15"/>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7.75" customHeight="1">
      <c r="A1" s="659" t="s">
        <v>102</v>
      </c>
      <c r="B1" s="660"/>
      <c r="C1" s="660"/>
      <c r="D1" s="660"/>
      <c r="E1" s="660"/>
      <c r="F1" s="660"/>
      <c r="G1" s="660"/>
      <c r="H1" s="660"/>
      <c r="I1" s="660"/>
      <c r="J1" s="660"/>
      <c r="K1" s="660"/>
      <c r="L1" s="660"/>
      <c r="M1" s="660"/>
      <c r="N1" s="660"/>
      <c r="O1" s="660"/>
      <c r="P1" s="660"/>
      <c r="Q1" s="660"/>
      <c r="R1" s="661"/>
    </row>
    <row r="2" spans="1:18" s="5" customFormat="1" ht="63.75">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c r="A3" s="36" t="s">
        <v>0</v>
      </c>
      <c r="B3" s="37">
        <f>+FY12RevToColl!B3-FY12ProjRevToColl!B3</f>
        <v>-104203.13912310544</v>
      </c>
      <c r="C3" s="37">
        <f>+FY12RevToColl!C3-FY12ProjRevToColl!C3</f>
        <v>512.42887617267843</v>
      </c>
      <c r="D3" s="37">
        <f>+FY12RevToColl!D3-FY12ProjRevToColl!D3</f>
        <v>296.51258216042811</v>
      </c>
      <c r="E3" s="37">
        <f>+FY12RevToColl!E3-FY12ProjRevToColl!E3</f>
        <v>-7182.853551879105</v>
      </c>
      <c r="F3" s="37">
        <f>+FY12RevToColl!F3-FY12ProjRevToColl!F3</f>
        <v>948.97742077595478</v>
      </c>
      <c r="G3" s="37">
        <f>+FY12RevToColl!G3-FY12ProjRevToColl!G3</f>
        <v>-356.23373450295867</v>
      </c>
      <c r="H3" s="37">
        <f>+FY12RevToColl!H3-FY12ProjRevToColl!H3</f>
        <v>0</v>
      </c>
      <c r="I3" s="37">
        <f>+FY12RevToColl!I3-FY12ProjRevToColl!I3</f>
        <v>71870.366506579332</v>
      </c>
      <c r="J3" s="37">
        <f>+FY12RevToColl!J3-FY12ProjRevToColl!J3</f>
        <v>63.383746532960856</v>
      </c>
      <c r="K3" s="37">
        <f>+FY12RevToColl!K3-FY12ProjRevToColl!K3</f>
        <v>0</v>
      </c>
      <c r="L3" s="37">
        <f>+FY12RevToColl!L3-FY12ProjRevToColl!L3</f>
        <v>9061.9212727865361</v>
      </c>
      <c r="M3" s="37">
        <f>+FY12RevToColl!M3-FY12ProjRevToColl!M3</f>
        <v>0</v>
      </c>
      <c r="N3" s="37">
        <f>+FY12RevToColl!N3-FY12ProjRevToColl!N3</f>
        <v>0</v>
      </c>
      <c r="O3" s="37">
        <f>+FY12RevToColl!O3-FY12ProjRevToColl!O3</f>
        <v>1668.9362775175775</v>
      </c>
      <c r="P3" s="37">
        <f>+FY12RevToColl!P3-FY12ProjRevToColl!P3</f>
        <v>-311.41373542948082</v>
      </c>
      <c r="Q3" s="37">
        <f>+FY12RevToColl!Q3-FY12ProjRevToColl!Q3</f>
        <v>0</v>
      </c>
      <c r="R3" s="37">
        <f>SUM(B3:Q3)</f>
        <v>-27631.113462391499</v>
      </c>
    </row>
    <row r="4" spans="1:18" s="6" customFormat="1">
      <c r="A4" s="39" t="s">
        <v>1</v>
      </c>
      <c r="B4" s="40">
        <f>+FY12RevToColl!B4-FY12ProjRevToColl!B4</f>
        <v>2819208.5581016541</v>
      </c>
      <c r="C4" s="40">
        <f>+FY12RevToColl!C4-FY12ProjRevToColl!C4</f>
        <v>175763.86122439057</v>
      </c>
      <c r="D4" s="40">
        <f>+FY12RevToColl!D4-FY12ProjRevToColl!D4</f>
        <v>10875.897868385349</v>
      </c>
      <c r="E4" s="40">
        <f>+FY12RevToColl!E4-FY12ProjRevToColl!E4</f>
        <v>-23663.311299107183</v>
      </c>
      <c r="F4" s="40">
        <f>+FY12RevToColl!F4-FY12ProjRevToColl!F4</f>
        <v>-38813.263015774777</v>
      </c>
      <c r="G4" s="40">
        <f>+FY12RevToColl!G4-FY12ProjRevToColl!G4</f>
        <v>-20518.533049471967</v>
      </c>
      <c r="H4" s="40">
        <f>+FY12RevToColl!H4-FY12ProjRevToColl!H4</f>
        <v>1173.2565334247502</v>
      </c>
      <c r="I4" s="40">
        <f>+FY12RevToColl!I4-FY12ProjRevToColl!I4</f>
        <v>10240.82804458879</v>
      </c>
      <c r="J4" s="40">
        <f>+FY12RevToColl!J4-FY12ProjRevToColl!J4</f>
        <v>-648.68631401064704</v>
      </c>
      <c r="K4" s="40">
        <f>+FY12RevToColl!K4-FY12ProjRevToColl!K4</f>
        <v>-1915.3059975079061</v>
      </c>
      <c r="L4" s="40">
        <f>+FY12RevToColl!L4-FY12ProjRevToColl!L4</f>
        <v>26318.611036906721</v>
      </c>
      <c r="M4" s="40">
        <f>+FY12RevToColl!M4-FY12ProjRevToColl!M4</f>
        <v>-14163.359879992808</v>
      </c>
      <c r="N4" s="40">
        <f>+FY12RevToColl!N4-FY12ProjRevToColl!N4</f>
        <v>0</v>
      </c>
      <c r="O4" s="40">
        <f>+FY12RevToColl!O4-FY12ProjRevToColl!O4</f>
        <v>8973.6249241076912</v>
      </c>
      <c r="P4" s="40">
        <f>+FY12RevToColl!P4-FY12ProjRevToColl!P4</f>
        <v>787.19563578093948</v>
      </c>
      <c r="Q4" s="40">
        <f>+FY12RevToColl!Q4-FY12ProjRevToColl!Q4</f>
        <v>-5123.2316969934691</v>
      </c>
      <c r="R4" s="40">
        <f>SUM(B4:Q4)</f>
        <v>2948496.1421163804</v>
      </c>
    </row>
    <row r="5" spans="1:18" s="6" customFormat="1">
      <c r="A5" s="39" t="s">
        <v>6</v>
      </c>
      <c r="B5" s="40">
        <f>+FY12RevToColl!B5-FY12ProjRevToColl!B5</f>
        <v>-18051.131045524031</v>
      </c>
      <c r="C5" s="40">
        <f>+FY12RevToColl!C5-FY12ProjRevToColl!C5</f>
        <v>15220.253428373486</v>
      </c>
      <c r="D5" s="40">
        <f>+FY12RevToColl!D5-FY12ProjRevToColl!D5</f>
        <v>522.09933634876779</v>
      </c>
      <c r="E5" s="40">
        <f>+FY12RevToColl!E5-FY12ProjRevToColl!E5</f>
        <v>-34334.612076407386</v>
      </c>
      <c r="F5" s="40">
        <f>+FY12RevToColl!F5-FY12ProjRevToColl!F5</f>
        <v>639643.43439682806</v>
      </c>
      <c r="G5" s="40">
        <f>+FY12RevToColl!G5-FY12ProjRevToColl!G5</f>
        <v>9129.5133675212364</v>
      </c>
      <c r="H5" s="40">
        <f>+FY12RevToColl!H5-FY12ProjRevToColl!H5</f>
        <v>0</v>
      </c>
      <c r="I5" s="40">
        <f>+FY12RevToColl!I5-FY12ProjRevToColl!I5</f>
        <v>-20330.080603577862</v>
      </c>
      <c r="J5" s="40">
        <f>+FY12RevToColl!J5-FY12ProjRevToColl!J5</f>
        <v>-292.5826219946855</v>
      </c>
      <c r="K5" s="40">
        <f>+FY12RevToColl!K5-FY12ProjRevToColl!K5</f>
        <v>0</v>
      </c>
      <c r="L5" s="40">
        <f>+FY12RevToColl!L5-FY12ProjRevToColl!L5</f>
        <v>55325.338404443042</v>
      </c>
      <c r="M5" s="40">
        <f>+FY12RevToColl!M5-FY12ProjRevToColl!M5</f>
        <v>103.83882107624625</v>
      </c>
      <c r="N5" s="40">
        <f>+FY12RevToColl!N5-FY12ProjRevToColl!N5</f>
        <v>0</v>
      </c>
      <c r="O5" s="40">
        <f>+FY12RevToColl!O5-FY12ProjRevToColl!O5</f>
        <v>86.480498604675915</v>
      </c>
      <c r="P5" s="40">
        <f>+FY12RevToColl!P5-FY12ProjRevToColl!P5</f>
        <v>0</v>
      </c>
      <c r="Q5" s="40">
        <f>+FY12RevToColl!Q5-FY12ProjRevToColl!Q5</f>
        <v>-781.6710247574224</v>
      </c>
      <c r="R5" s="40">
        <f t="shared" ref="R5:R15" si="0">SUM(B5:Q5)</f>
        <v>646240.88088093407</v>
      </c>
    </row>
    <row r="6" spans="1:18" s="6" customFormat="1">
      <c r="A6" s="42" t="s">
        <v>2</v>
      </c>
      <c r="B6" s="40">
        <f>+FY12RevToColl!B6-FY12ProjRevToColl!B6</f>
        <v>567559.03654555115</v>
      </c>
      <c r="C6" s="40">
        <f>+FY12RevToColl!C6-FY12ProjRevToColl!C6</f>
        <v>129439.21044950036</v>
      </c>
      <c r="D6" s="40">
        <f>+FY12RevToColl!D6-FY12ProjRevToColl!D6</f>
        <v>25140.502046751324</v>
      </c>
      <c r="E6" s="40">
        <f>+FY12RevToColl!E6-FY12ProjRevToColl!E6</f>
        <v>-5224.2227267506423</v>
      </c>
      <c r="F6" s="40">
        <f>+FY12RevToColl!F6-FY12ProjRevToColl!F6</f>
        <v>671.3272654038899</v>
      </c>
      <c r="G6" s="40">
        <f>+FY12RevToColl!G6-FY12ProjRevToColl!G6</f>
        <v>-4013.771334138758</v>
      </c>
      <c r="H6" s="40">
        <f>+FY12RevToColl!H6-FY12ProjRevToColl!H6</f>
        <v>-321.13437986915602</v>
      </c>
      <c r="I6" s="40">
        <f>+FY12RevToColl!I6-FY12ProjRevToColl!I6</f>
        <v>203.58900487660151</v>
      </c>
      <c r="J6" s="40">
        <f>+FY12RevToColl!J6-FY12ProjRevToColl!J6</f>
        <v>263.29689509755394</v>
      </c>
      <c r="K6" s="40">
        <f>+FY12RevToColl!K6-FY12ProjRevToColl!K6</f>
        <v>0</v>
      </c>
      <c r="L6" s="40">
        <f>+FY12RevToColl!L6-FY12ProjRevToColl!L6</f>
        <v>699.70555768406894</v>
      </c>
      <c r="M6" s="40">
        <f>+FY12RevToColl!M6-FY12ProjRevToColl!M6</f>
        <v>0</v>
      </c>
      <c r="N6" s="40">
        <f>+FY12RevToColl!N6-FY12ProjRevToColl!N6</f>
        <v>0</v>
      </c>
      <c r="O6" s="40">
        <f>+FY12RevToColl!O6-FY12ProjRevToColl!O6</f>
        <v>88.368755181455086</v>
      </c>
      <c r="P6" s="40">
        <f>+FY12RevToColl!P6-FY12ProjRevToColl!P6</f>
        <v>80.969389184877969</v>
      </c>
      <c r="Q6" s="40">
        <f>+FY12RevToColl!Q6-FY12ProjRevToColl!Q6</f>
        <v>0</v>
      </c>
      <c r="R6" s="40">
        <f t="shared" si="0"/>
        <v>714586.87746847258</v>
      </c>
    </row>
    <row r="7" spans="1:18" s="6" customFormat="1">
      <c r="A7" s="39" t="s">
        <v>3</v>
      </c>
      <c r="B7" s="40">
        <f>+FY12RevToColl!B7-FY12ProjRevToColl!B7</f>
        <v>412647.8635795936</v>
      </c>
      <c r="C7" s="40">
        <f>+FY12RevToColl!C7-FY12ProjRevToColl!C7</f>
        <v>63491.411904254404</v>
      </c>
      <c r="D7" s="40">
        <f>+FY12RevToColl!D7-FY12ProjRevToColl!D7</f>
        <v>4234.4036333408203</v>
      </c>
      <c r="E7" s="40">
        <f>+FY12RevToColl!E7-FY12ProjRevToColl!E7</f>
        <v>-1146293.9511058396</v>
      </c>
      <c r="F7" s="40">
        <f>+FY12RevToColl!F7-FY12ProjRevToColl!F7</f>
        <v>2051.2794579145093</v>
      </c>
      <c r="G7" s="40">
        <f>+FY12RevToColl!G7-FY12ProjRevToColl!G7</f>
        <v>1206.628104941072</v>
      </c>
      <c r="H7" s="40">
        <f>+FY12RevToColl!H7-FY12ProjRevToColl!H7</f>
        <v>-206.95636771706617</v>
      </c>
      <c r="I7" s="40">
        <f>+FY12RevToColl!I7-FY12ProjRevToColl!I7</f>
        <v>-7435.7919475889357</v>
      </c>
      <c r="J7" s="40">
        <f>+FY12RevToColl!J7-FY12ProjRevToColl!J7</f>
        <v>0</v>
      </c>
      <c r="K7" s="40">
        <f>+FY12RevToColl!K7-FY12ProjRevToColl!K7</f>
        <v>396.69568393529613</v>
      </c>
      <c r="L7" s="40">
        <f>+FY12RevToColl!L7-FY12ProjRevToColl!L7</f>
        <v>-1014.5855984245438</v>
      </c>
      <c r="M7" s="40">
        <f>+FY12RevToColl!M7-FY12ProjRevToColl!M7</f>
        <v>-11167.673720644902</v>
      </c>
      <c r="N7" s="40">
        <f>+FY12RevToColl!N7-FY12ProjRevToColl!N7</f>
        <v>0</v>
      </c>
      <c r="O7" s="40">
        <f>+FY12RevToColl!O7-FY12ProjRevToColl!O7</f>
        <v>-394.63736148779668</v>
      </c>
      <c r="P7" s="40">
        <f>+FY12RevToColl!P7-FY12ProjRevToColl!P7</f>
        <v>0</v>
      </c>
      <c r="Q7" s="40">
        <f>+FY12RevToColl!Q7-FY12ProjRevToColl!Q7</f>
        <v>0</v>
      </c>
      <c r="R7" s="40">
        <f t="shared" si="0"/>
        <v>-682485.31373772305</v>
      </c>
    </row>
    <row r="8" spans="1:18" s="6" customFormat="1">
      <c r="A8" s="39" t="s">
        <v>4</v>
      </c>
      <c r="B8" s="40">
        <f>+FY12RevToColl!B8-FY12ProjRevToColl!B8</f>
        <v>634502.19990257919</v>
      </c>
      <c r="C8" s="40">
        <f>+FY12RevToColl!C8-FY12ProjRevToColl!C8</f>
        <v>46490.354091185145</v>
      </c>
      <c r="D8" s="40">
        <f>+FY12RevToColl!D8-FY12ProjRevToColl!D8</f>
        <v>65266.925564708072</v>
      </c>
      <c r="E8" s="40">
        <f>+FY12RevToColl!E8-FY12ProjRevToColl!E8</f>
        <v>340.75835260166787</v>
      </c>
      <c r="F8" s="40">
        <f>+FY12RevToColl!F8-FY12ProjRevToColl!F8</f>
        <v>1578.8628398433561</v>
      </c>
      <c r="G8" s="40">
        <f>+FY12RevToColl!G8-FY12ProjRevToColl!G8</f>
        <v>-14150.891362536175</v>
      </c>
      <c r="H8" s="40">
        <f>+FY12RevToColl!H8-FY12ProjRevToColl!H8</f>
        <v>0</v>
      </c>
      <c r="I8" s="40">
        <f>+FY12RevToColl!I8-FY12ProjRevToColl!I8</f>
        <v>20981.034427559574</v>
      </c>
      <c r="J8" s="40">
        <f>+FY12RevToColl!J8-FY12ProjRevToColl!J8</f>
        <v>472.9719526278576</v>
      </c>
      <c r="K8" s="40">
        <f>+FY12RevToColl!K8-FY12ProjRevToColl!K8</f>
        <v>-55.126340057830042</v>
      </c>
      <c r="L8" s="40">
        <f>+FY12RevToColl!L8-FY12ProjRevToColl!L8</f>
        <v>-858.49550635922958</v>
      </c>
      <c r="M8" s="40">
        <f>+FY12RevToColl!M8-FY12ProjRevToColl!M8</f>
        <v>0</v>
      </c>
      <c r="N8" s="40">
        <f>+FY12RevToColl!N8-FY12ProjRevToColl!N8</f>
        <v>0</v>
      </c>
      <c r="O8" s="40">
        <f>+FY12RevToColl!O8-FY12ProjRevToColl!O8</f>
        <v>-26.245940111325638</v>
      </c>
      <c r="P8" s="40">
        <f>+FY12RevToColl!P8-FY12ProjRevToColl!P8</f>
        <v>48.343361689205736</v>
      </c>
      <c r="Q8" s="40">
        <f>+FY12RevToColl!Q8-FY12ProjRevToColl!Q8</f>
        <v>0</v>
      </c>
      <c r="R8" s="40">
        <f t="shared" si="0"/>
        <v>754590.69134372962</v>
      </c>
    </row>
    <row r="9" spans="1:18" s="6" customFormat="1">
      <c r="A9" s="39" t="s">
        <v>14</v>
      </c>
      <c r="B9" s="40">
        <f>+FY12RevToColl!B9-FY12ProjRevToColl!B9</f>
        <v>289218.52312749391</v>
      </c>
      <c r="C9" s="40">
        <f>+FY12RevToColl!C9-FY12ProjRevToColl!C9</f>
        <v>-2544.5161845071416</v>
      </c>
      <c r="D9" s="40">
        <f>+FY12RevToColl!D9-FY12ProjRevToColl!D9</f>
        <v>172.6922181090859</v>
      </c>
      <c r="E9" s="40">
        <f>+FY12RevToColl!E9-FY12ProjRevToColl!E9</f>
        <v>5792.2363826829123</v>
      </c>
      <c r="F9" s="40">
        <f>+FY12RevToColl!F9-FY12ProjRevToColl!F9</f>
        <v>-352.23866872280576</v>
      </c>
      <c r="G9" s="40">
        <f>+FY12RevToColl!G9-FY12ProjRevToColl!G9</f>
        <v>9951.2084105385984</v>
      </c>
      <c r="H9" s="40">
        <f>+FY12RevToColl!H9-FY12ProjRevToColl!H9</f>
        <v>-220065.12387956918</v>
      </c>
      <c r="I9" s="40">
        <f>+FY12RevToColl!I9-FY12ProjRevToColl!I9</f>
        <v>0</v>
      </c>
      <c r="J9" s="40">
        <f>+FY12RevToColl!J9-FY12ProjRevToColl!J9</f>
        <v>209.6750575303036</v>
      </c>
      <c r="K9" s="40">
        <f>+FY12RevToColl!K9-FY12ProjRevToColl!K9</f>
        <v>-52.356650274871029</v>
      </c>
      <c r="L9" s="40">
        <f>+FY12RevToColl!L9-FY12ProjRevToColl!L9</f>
        <v>112.29241817225557</v>
      </c>
      <c r="M9" s="40">
        <f>+FY12RevToColl!M9-FY12ProjRevToColl!M9</f>
        <v>0</v>
      </c>
      <c r="N9" s="40">
        <f>+FY12RevToColl!N9-FY12ProjRevToColl!N9</f>
        <v>0</v>
      </c>
      <c r="O9" s="40">
        <f>+FY12RevToColl!O9-FY12ProjRevToColl!O9</f>
        <v>0</v>
      </c>
      <c r="P9" s="40">
        <f>+FY12RevToColl!P9-FY12ProjRevToColl!P9</f>
        <v>0</v>
      </c>
      <c r="Q9" s="40">
        <f>+FY12RevToColl!Q9-FY12ProjRevToColl!Q9</f>
        <v>0</v>
      </c>
      <c r="R9" s="40">
        <f t="shared" si="0"/>
        <v>82442.392231453094</v>
      </c>
    </row>
    <row r="10" spans="1:18" s="6" customFormat="1">
      <c r="A10" s="39" t="s">
        <v>9</v>
      </c>
      <c r="B10" s="40">
        <f>+FY12RevToColl!B10-FY12ProjRevToColl!B10</f>
        <v>-5277.2395783691145</v>
      </c>
      <c r="C10" s="40">
        <f>+FY12RevToColl!C10-FY12ProjRevToColl!C10</f>
        <v>-1168.9295168082244</v>
      </c>
      <c r="D10" s="40">
        <f>+FY12RevToColl!D10-FY12ProjRevToColl!D10</f>
        <v>427.9313455857332</v>
      </c>
      <c r="E10" s="40">
        <f>+FY12RevToColl!E10-FY12ProjRevToColl!E10</f>
        <v>-24424.924907500164</v>
      </c>
      <c r="F10" s="40">
        <f>+FY12RevToColl!F10-FY12ProjRevToColl!F10</f>
        <v>-29476.962458391226</v>
      </c>
      <c r="G10" s="40">
        <f>+FY12RevToColl!G10-FY12ProjRevToColl!G10</f>
        <v>-6555.541474725781</v>
      </c>
      <c r="H10" s="40">
        <f>+FY12RevToColl!H10-FY12ProjRevToColl!H10</f>
        <v>0</v>
      </c>
      <c r="I10" s="40">
        <f>+FY12RevToColl!I10-FY12ProjRevToColl!I10</f>
        <v>-203.23735480930293</v>
      </c>
      <c r="J10" s="40">
        <f>+FY12RevToColl!J10-FY12ProjRevToColl!J10</f>
        <v>0</v>
      </c>
      <c r="K10" s="40">
        <f>+FY12RevToColl!K10-FY12ProjRevToColl!K10</f>
        <v>0</v>
      </c>
      <c r="L10" s="40">
        <f>+FY12RevToColl!L10-FY12ProjRevToColl!L10</f>
        <v>28970.150133149698</v>
      </c>
      <c r="M10" s="40">
        <f>+FY12RevToColl!M10-FY12ProjRevToColl!M10</f>
        <v>0</v>
      </c>
      <c r="N10" s="40">
        <f>+FY12RevToColl!N10-FY12ProjRevToColl!N10</f>
        <v>0</v>
      </c>
      <c r="O10" s="40">
        <f>+FY12RevToColl!O10-FY12ProjRevToColl!O10</f>
        <v>-5432.3682977516282</v>
      </c>
      <c r="P10" s="40">
        <f>+FY12RevToColl!P10-FY12ProjRevToColl!P10</f>
        <v>145.03008506761722</v>
      </c>
      <c r="Q10" s="40">
        <f>+FY12RevToColl!Q10-FY12ProjRevToColl!Q10</f>
        <v>-93503.768447025795</v>
      </c>
      <c r="R10" s="40">
        <f t="shared" si="0"/>
        <v>-136499.8604715782</v>
      </c>
    </row>
    <row r="11" spans="1:18" s="6" customFormat="1">
      <c r="A11" s="39" t="s">
        <v>5</v>
      </c>
      <c r="B11" s="40">
        <f>+FY12RevToColl!B11-FY12ProjRevToColl!B11</f>
        <v>3425.6957780487246</v>
      </c>
      <c r="C11" s="40">
        <f>+FY12RevToColl!C11-FY12ProjRevToColl!C11</f>
        <v>2021.9991405140318</v>
      </c>
      <c r="D11" s="40">
        <f>+FY12RevToColl!D11-FY12ProjRevToColl!D11</f>
        <v>-10535.680189068105</v>
      </c>
      <c r="E11" s="40">
        <f>+FY12RevToColl!E11-FY12ProjRevToColl!E11</f>
        <v>-11427.544622239384</v>
      </c>
      <c r="F11" s="40">
        <f>+FY12RevToColl!F11-FY12ProjRevToColl!F11</f>
        <v>3812.6950864307182</v>
      </c>
      <c r="G11" s="40">
        <f>+FY12RevToColl!G11-FY12ProjRevToColl!G11</f>
        <v>281755.21875139885</v>
      </c>
      <c r="H11" s="40">
        <f>+FY12RevToColl!H11-FY12ProjRevToColl!H11</f>
        <v>-17687.00678126296</v>
      </c>
      <c r="I11" s="40">
        <f>+FY12RevToColl!I11-FY12ProjRevToColl!I11</f>
        <v>-2924.3813444867556</v>
      </c>
      <c r="J11" s="40">
        <f>+FY12RevToColl!J11-FY12ProjRevToColl!J11</f>
        <v>1431.9317365045199</v>
      </c>
      <c r="K11" s="40">
        <f>+FY12RevToColl!K11-FY12ProjRevToColl!K11</f>
        <v>0</v>
      </c>
      <c r="L11" s="40">
        <f>+FY12RevToColl!L11-FY12ProjRevToColl!L11</f>
        <v>-12989.881860722824</v>
      </c>
      <c r="M11" s="40">
        <f>+FY12RevToColl!M11-FY12ProjRevToColl!M11</f>
        <v>0</v>
      </c>
      <c r="N11" s="40">
        <f>+FY12RevToColl!N11-FY12ProjRevToColl!N11</f>
        <v>0</v>
      </c>
      <c r="O11" s="40">
        <f>+FY12RevToColl!O11-FY12ProjRevToColl!O11</f>
        <v>-1023.3251923767593</v>
      </c>
      <c r="P11" s="40">
        <f>+FY12RevToColl!P11-FY12ProjRevToColl!P11</f>
        <v>13630.923408455141</v>
      </c>
      <c r="Q11" s="40">
        <f>+FY12RevToColl!Q11-FY12ProjRevToColl!Q11</f>
        <v>466.47679195309331</v>
      </c>
      <c r="R11" s="40">
        <f t="shared" si="0"/>
        <v>249957.12070314825</v>
      </c>
    </row>
    <row r="12" spans="1:18" s="6" customFormat="1">
      <c r="A12" s="39" t="s">
        <v>13</v>
      </c>
      <c r="B12" s="40">
        <f>+FY12RevToColl!B12-FY12ProjRevToColl!B12</f>
        <v>-43827.175287601654</v>
      </c>
      <c r="C12" s="40">
        <f>+FY12RevToColl!C12-FY12ProjRevToColl!C12</f>
        <v>-541.47063951271866</v>
      </c>
      <c r="D12" s="40">
        <f>+FY12RevToColl!D12-FY12ProjRevToColl!D12</f>
        <v>-11113.264601567818</v>
      </c>
      <c r="E12" s="40">
        <f>+FY12RevToColl!E12-FY12ProjRevToColl!E12</f>
        <v>-3613.5593211100477</v>
      </c>
      <c r="F12" s="40">
        <f>+FY12RevToColl!F12-FY12ProjRevToColl!F12</f>
        <v>0</v>
      </c>
      <c r="G12" s="40">
        <f>+FY12RevToColl!G12-FY12ProjRevToColl!G12</f>
        <v>-30029.307138850752</v>
      </c>
      <c r="H12" s="40">
        <f>+FY12RevToColl!H12-FY12ProjRevToColl!H12</f>
        <v>-149.86736164102126</v>
      </c>
      <c r="I12" s="40">
        <f>+FY12RevToColl!I12-FY12ProjRevToColl!I12</f>
        <v>0.11721668909953564</v>
      </c>
      <c r="J12" s="40">
        <f>+FY12RevToColl!J12-FY12ProjRevToColl!J12</f>
        <v>-1495.4528065257957</v>
      </c>
      <c r="K12" s="40">
        <f>+FY12RevToColl!K12-FY12ProjRevToColl!K12</f>
        <v>0</v>
      </c>
      <c r="L12" s="40">
        <f>+FY12RevToColl!L12-FY12ProjRevToColl!L12</f>
        <v>-78.04504603265724</v>
      </c>
      <c r="M12" s="40">
        <f>+FY12RevToColl!M12-FY12ProjRevToColl!M12</f>
        <v>0</v>
      </c>
      <c r="N12" s="40">
        <f>+FY12RevToColl!N12-FY12ProjRevToColl!N12</f>
        <v>0</v>
      </c>
      <c r="O12" s="40">
        <f>+FY12RevToColl!O12-FY12ProjRevToColl!O12</f>
        <v>-17260.824315184462</v>
      </c>
      <c r="P12" s="40">
        <f>+FY12RevToColl!P12-FY12ProjRevToColl!P12</f>
        <v>498720.9548772932</v>
      </c>
      <c r="Q12" s="40">
        <f>+FY12RevToColl!Q12-FY12ProjRevToColl!Q12</f>
        <v>0</v>
      </c>
      <c r="R12" s="40">
        <f t="shared" si="0"/>
        <v>390612.10557595536</v>
      </c>
    </row>
    <row r="13" spans="1:18" s="6" customFormat="1">
      <c r="A13" s="39" t="s">
        <v>8</v>
      </c>
      <c r="B13" s="40">
        <f>+FY12RevToColl!B13-FY12ProjRevToColl!B13</f>
        <v>1378.448907187274</v>
      </c>
      <c r="C13" s="40">
        <f>+FY12RevToColl!C13-FY12ProjRevToColl!C13</f>
        <v>-241234.67296540464</v>
      </c>
      <c r="D13" s="40">
        <f>+FY12RevToColl!D13-FY12ProjRevToColl!D13</f>
        <v>506766.74983634258</v>
      </c>
      <c r="E13" s="40">
        <f>+FY12RevToColl!E13-FY12ProjRevToColl!E13</f>
        <v>4479.6419552876614</v>
      </c>
      <c r="F13" s="40">
        <f>+FY12RevToColl!F13-FY12ProjRevToColl!F13</f>
        <v>0</v>
      </c>
      <c r="G13" s="40">
        <f>+FY12RevToColl!G13-FY12ProjRevToColl!G13</f>
        <v>0</v>
      </c>
      <c r="H13" s="40">
        <f>+FY12RevToColl!H13-FY12ProjRevToColl!H13</f>
        <v>0</v>
      </c>
      <c r="I13" s="40">
        <f>+FY12RevToColl!I13-FY12ProjRevToColl!I13</f>
        <v>0</v>
      </c>
      <c r="J13" s="40">
        <f>+FY12RevToColl!J13-FY12ProjRevToColl!J13</f>
        <v>0</v>
      </c>
      <c r="K13" s="40">
        <f>+FY12RevToColl!K13-FY12ProjRevToColl!K13</f>
        <v>0</v>
      </c>
      <c r="L13" s="40">
        <f>+FY12RevToColl!L13-FY12ProjRevToColl!L13</f>
        <v>0</v>
      </c>
      <c r="M13" s="40">
        <f>+FY12RevToColl!M13-FY12ProjRevToColl!M13</f>
        <v>4143.8862973641508</v>
      </c>
      <c r="N13" s="40">
        <f>+FY12RevToColl!N13-FY12ProjRevToColl!N13</f>
        <v>166984.30648635421</v>
      </c>
      <c r="O13" s="40">
        <f>+FY12RevToColl!O13-FY12ProjRevToColl!O13</f>
        <v>1972.6995184343264</v>
      </c>
      <c r="P13" s="40">
        <f>+FY12RevToColl!P13-FY12ProjRevToColl!P13</f>
        <v>0</v>
      </c>
      <c r="Q13" s="40">
        <f>+FY12RevToColl!Q13-FY12ProjRevToColl!Q13</f>
        <v>0</v>
      </c>
      <c r="R13" s="40">
        <f t="shared" si="0"/>
        <v>444491.06003556558</v>
      </c>
    </row>
    <row r="14" spans="1:18" s="6" customFormat="1">
      <c r="A14" s="39" t="s">
        <v>10</v>
      </c>
      <c r="B14" s="40">
        <f>+FY12RevToColl!B14-FY12ProjRevToColl!B14</f>
        <v>-36133.232443827204</v>
      </c>
      <c r="C14" s="40">
        <f>+FY12RevToColl!C14-FY12ProjRevToColl!C14</f>
        <v>31971.260302369716</v>
      </c>
      <c r="D14" s="40">
        <f>+FY12RevToColl!D14-FY12ProjRevToColl!D14</f>
        <v>131898.04108603008</v>
      </c>
      <c r="E14" s="40">
        <f>+FY12RevToColl!E14-FY12ProjRevToColl!E14</f>
        <v>-45734.954933997695</v>
      </c>
      <c r="F14" s="40">
        <f>+FY12RevToColl!F14-FY12ProjRevToColl!F14</f>
        <v>0</v>
      </c>
      <c r="G14" s="40">
        <f>+FY12RevToColl!G14-FY12ProjRevToColl!G14</f>
        <v>2826.8509356265877</v>
      </c>
      <c r="H14" s="40">
        <f>+FY12RevToColl!H14-FY12ProjRevToColl!H14</f>
        <v>-185.53345595287715</v>
      </c>
      <c r="I14" s="40">
        <f>+FY12RevToColl!I14-FY12ProjRevToColl!I14</f>
        <v>271.56922319123493</v>
      </c>
      <c r="J14" s="40">
        <f>+FY12RevToColl!J14-FY12ProjRevToColl!J14</f>
        <v>4694.4123082573933</v>
      </c>
      <c r="K14" s="40">
        <f>+FY12RevToColl!K14-FY12ProjRevToColl!K14</f>
        <v>-8230.5612920252461</v>
      </c>
      <c r="L14" s="40">
        <f>+FY12RevToColl!L14-FY12ProjRevToColl!L14</f>
        <v>541.5155771444297</v>
      </c>
      <c r="M14" s="40">
        <f>+FY12RevToColl!M14-FY12ProjRevToColl!M14</f>
        <v>290277.24488179944</v>
      </c>
      <c r="N14" s="40">
        <f>+FY12RevToColl!N14-FY12ProjRevToColl!N14</f>
        <v>232.44126589875668</v>
      </c>
      <c r="O14" s="40">
        <f>+FY12RevToColl!O14-FY12ProjRevToColl!O14</f>
        <v>23673.645746766852</v>
      </c>
      <c r="P14" s="40">
        <f>+FY12RevToColl!P14-FY12ProjRevToColl!P14</f>
        <v>4934.2915549592617</v>
      </c>
      <c r="Q14" s="40">
        <f>+FY12RevToColl!Q14-FY12ProjRevToColl!Q14</f>
        <v>0</v>
      </c>
      <c r="R14" s="40">
        <f t="shared" si="0"/>
        <v>401036.99075624067</v>
      </c>
    </row>
    <row r="15" spans="1:18" s="6" customFormat="1">
      <c r="A15" s="39" t="s">
        <v>11</v>
      </c>
      <c r="B15" s="40">
        <f>+FY12RevToColl!B15-FY12ProjRevToColl!B15</f>
        <v>-82409.158141128719</v>
      </c>
      <c r="C15" s="40">
        <f>+FY12RevToColl!C15-FY12ProjRevToColl!C15</f>
        <v>3586.8045962987926</v>
      </c>
      <c r="D15" s="40">
        <f>+FY12RevToColl!D15-FY12ProjRevToColl!D15</f>
        <v>15003.385122190266</v>
      </c>
      <c r="E15" s="40">
        <f>+FY12RevToColl!E15-FY12ProjRevToColl!E15</f>
        <v>-31943.340042769152</v>
      </c>
      <c r="F15" s="40">
        <f>+FY12RevToColl!F15-FY12ProjRevToColl!F15</f>
        <v>0</v>
      </c>
      <c r="G15" s="40">
        <f>+FY12RevToColl!G15-FY12ProjRevToColl!G15</f>
        <v>54.84366978536157</v>
      </c>
      <c r="H15" s="40">
        <f>+FY12RevToColl!H15-FY12ProjRevToColl!H15</f>
        <v>0</v>
      </c>
      <c r="I15" s="40">
        <f>+FY12RevToColl!I15-FY12ProjRevToColl!I15</f>
        <v>0</v>
      </c>
      <c r="J15" s="40">
        <f>+FY12RevToColl!J15-FY12ProjRevToColl!J15</f>
        <v>175613.51909478055</v>
      </c>
      <c r="K15" s="40">
        <f>+FY12RevToColl!K15-FY12ProjRevToColl!K15</f>
        <v>-270.3597763245823</v>
      </c>
      <c r="L15" s="40">
        <f>+FY12RevToColl!L15-FY12ProjRevToColl!L15</f>
        <v>0</v>
      </c>
      <c r="M15" s="40">
        <f>+FY12RevToColl!M15-FY12ProjRevToColl!M15</f>
        <v>0</v>
      </c>
      <c r="N15" s="40">
        <f>+FY12RevToColl!N15-FY12ProjRevToColl!N15</f>
        <v>0</v>
      </c>
      <c r="O15" s="40">
        <f>+FY12RevToColl!O15-FY12ProjRevToColl!O15</f>
        <v>-290.32666938678994</v>
      </c>
      <c r="P15" s="40">
        <f>+FY12RevToColl!P15-FY12ProjRevToColl!P15</f>
        <v>-633.50425350608498</v>
      </c>
      <c r="Q15" s="40">
        <f>+FY12RevToColl!Q15-FY12ProjRevToColl!Q15</f>
        <v>0</v>
      </c>
      <c r="R15" s="40">
        <f t="shared" si="0"/>
        <v>78711.863599939665</v>
      </c>
    </row>
    <row r="16" spans="1:18" s="6" customFormat="1">
      <c r="A16" s="39" t="s">
        <v>12</v>
      </c>
      <c r="B16" s="40">
        <f>+FY12RevToColl!B16-FY12ProjRevToColl!B16</f>
        <v>96.814259301218954</v>
      </c>
      <c r="C16" s="40">
        <f>+FY12RevToColl!C16-FY12ProjRevToColl!C16</f>
        <v>-6093.383112180949</v>
      </c>
      <c r="D16" s="40">
        <f>+FY12RevToColl!D16-FY12ProjRevToColl!D16</f>
        <v>130.52483408719195</v>
      </c>
      <c r="E16" s="40">
        <f>+FY12RevToColl!E16-FY12ProjRevToColl!E16</f>
        <v>6414.3996546297694</v>
      </c>
      <c r="F16" s="40">
        <f>+FY12RevToColl!F16-FY12ProjRevToColl!F16</f>
        <v>0</v>
      </c>
      <c r="G16" s="40">
        <f>+FY12RevToColl!G16-FY12ProjRevToColl!G16</f>
        <v>281.67429307009445</v>
      </c>
      <c r="H16" s="40">
        <f>+FY12RevToColl!H16-FY12ProjRevToColl!H16</f>
        <v>0</v>
      </c>
      <c r="I16" s="40">
        <f>+FY12RevToColl!I16-FY12ProjRevToColl!I16</f>
        <v>0</v>
      </c>
      <c r="J16" s="40">
        <f>+FY12RevToColl!J16-FY12ProjRevToColl!J16</f>
        <v>-3519.3323733067919</v>
      </c>
      <c r="K16" s="40">
        <f>+FY12RevToColl!K16-FY12ProjRevToColl!K16</f>
        <v>221929.75374472234</v>
      </c>
      <c r="L16" s="40">
        <f>+FY12RevToColl!L16-FY12ProjRevToColl!L16</f>
        <v>0</v>
      </c>
      <c r="M16" s="40">
        <f>+FY12RevToColl!M16-FY12ProjRevToColl!M16</f>
        <v>0</v>
      </c>
      <c r="N16" s="40">
        <f>+FY12RevToColl!N16-FY12ProjRevToColl!N16</f>
        <v>0</v>
      </c>
      <c r="O16" s="40">
        <f>+FY12RevToColl!O16-FY12ProjRevToColl!O16</f>
        <v>152.37982682836355</v>
      </c>
      <c r="P16" s="40">
        <f>+FY12RevToColl!P16-FY12ProjRevToColl!P16</f>
        <v>0</v>
      </c>
      <c r="Q16" s="40">
        <f>+FY12RevToColl!Q16-FY12ProjRevToColl!Q16</f>
        <v>0</v>
      </c>
      <c r="R16" s="40">
        <f>SUM(B16:Q16)</f>
        <v>219392.83112715124</v>
      </c>
    </row>
    <row r="17" spans="1:23" s="6" customFormat="1" ht="17.100000000000001" customHeight="1">
      <c r="A17" s="39" t="s">
        <v>7</v>
      </c>
      <c r="B17" s="40">
        <f>+FY12RevToColl!B17-FY12ProjRevToColl!B17</f>
        <v>72108.434711100068</v>
      </c>
      <c r="C17" s="40">
        <f>+FY12RevToColl!C17-FY12ProjRevToColl!C17</f>
        <v>-84298.254778710136</v>
      </c>
      <c r="D17" s="40">
        <f>+FY12RevToColl!D17-FY12ProjRevToColl!D17</f>
        <v>-2267.2397943577112</v>
      </c>
      <c r="E17" s="40">
        <f>+FY12RevToColl!E17-FY12ProjRevToColl!E17</f>
        <v>-120957.35108216782</v>
      </c>
      <c r="F17" s="40">
        <f>+FY12RevToColl!F17-FY12ProjRevToColl!F17</f>
        <v>-10870.692070114397</v>
      </c>
      <c r="G17" s="40">
        <f>+FY12RevToColl!G17-FY12ProjRevToColl!G17</f>
        <v>-36746.493446419219</v>
      </c>
      <c r="H17" s="40">
        <f>+FY12RevToColl!H17-FY12ProjRevToColl!H17</f>
        <v>128.46770505390776</v>
      </c>
      <c r="I17" s="40">
        <f>+FY12RevToColl!I17-FY12ProjRevToColl!I17</f>
        <v>1018.6483245176048</v>
      </c>
      <c r="J17" s="40">
        <f>+FY12RevToColl!J17-FY12ProjRevToColl!J17</f>
        <v>15734.217242392318</v>
      </c>
      <c r="K17" s="40">
        <f>+FY12RevToColl!K17-FY12ProjRevToColl!K17</f>
        <v>-2624.4417157148705</v>
      </c>
      <c r="L17" s="40">
        <f>+FY12RevToColl!L17-FY12ProjRevToColl!L17</f>
        <v>459.27075416312346</v>
      </c>
      <c r="M17" s="40">
        <f>+FY12RevToColl!M17-FY12ProjRevToColl!M17</f>
        <v>-8160.7647611646826</v>
      </c>
      <c r="N17" s="40">
        <f>+FY12RevToColl!N17-FY12ProjRevToColl!N17</f>
        <v>-560.62929278091292</v>
      </c>
      <c r="O17" s="40">
        <f>+FY12RevToColl!O17-FY12ProjRevToColl!O17</f>
        <v>153786.86472103291</v>
      </c>
      <c r="P17" s="40">
        <f>+FY12RevToColl!P17-FY12ProjRevToColl!P17</f>
        <v>-5344.0512943288431</v>
      </c>
      <c r="Q17" s="40">
        <f>+FY12RevToColl!Q17-FY12ProjRevToColl!Q17</f>
        <v>-13.308497401663686</v>
      </c>
      <c r="R17" s="40">
        <f>SUM(B17:Q17)</f>
        <v>-28607.323274900325</v>
      </c>
    </row>
    <row r="18" spans="1:23" s="6" customFormat="1" ht="17.100000000000001" customHeight="1">
      <c r="A18" s="39" t="s">
        <v>16</v>
      </c>
      <c r="B18" s="40">
        <f>+FY12RevToColl!B18-FY12ProjRevToColl!B18</f>
        <v>-149831.79398129787</v>
      </c>
      <c r="C18" s="40">
        <f>+FY12RevToColl!C18-FY12ProjRevToColl!C18</f>
        <v>-239.11681842929084</v>
      </c>
      <c r="D18" s="40">
        <f>+FY12RevToColl!D18-FY12ProjRevToColl!D18</f>
        <v>0</v>
      </c>
      <c r="E18" s="40">
        <f>+FY12RevToColl!E18-FY12ProjRevToColl!E18</f>
        <v>4046.2893115442093</v>
      </c>
      <c r="F18" s="40">
        <f>+FY12RevToColl!F18-FY12ProjRevToColl!F18</f>
        <v>0</v>
      </c>
      <c r="G18" s="40">
        <f>+FY12RevToColl!G18-FY12ProjRevToColl!G18</f>
        <v>0</v>
      </c>
      <c r="H18" s="40">
        <f>+FY12RevToColl!H18-FY12ProjRevToColl!H18</f>
        <v>0</v>
      </c>
      <c r="I18" s="40">
        <f>+FY12RevToColl!I18-FY12ProjRevToColl!I18</f>
        <v>0</v>
      </c>
      <c r="J18" s="40">
        <f>+FY12RevToColl!J18-FY12ProjRevToColl!J18</f>
        <v>0</v>
      </c>
      <c r="K18" s="40">
        <f>+FY12RevToColl!K18-FY12ProjRevToColl!K18</f>
        <v>0</v>
      </c>
      <c r="L18" s="40">
        <f>+FY12RevToColl!L18-FY12ProjRevToColl!L18</f>
        <v>0</v>
      </c>
      <c r="M18" s="40">
        <f>+FY12RevToColl!M18-FY12ProjRevToColl!M18</f>
        <v>0</v>
      </c>
      <c r="N18" s="40">
        <f>+FY12RevToColl!N18-FY12ProjRevToColl!N18</f>
        <v>0</v>
      </c>
      <c r="O18" s="40">
        <f>+FY12RevToColl!O18-FY12ProjRevToColl!O18</f>
        <v>0</v>
      </c>
      <c r="P18" s="40">
        <f>+FY12RevToColl!P18-FY12ProjRevToColl!P18</f>
        <v>0</v>
      </c>
      <c r="Q18" s="40">
        <f>+FY12RevToColl!Q18-FY12ProjRevToColl!Q18</f>
        <v>0</v>
      </c>
      <c r="R18" s="40">
        <f>SUM(B18:Q18)</f>
        <v>-146024.62148818295</v>
      </c>
    </row>
    <row r="19" spans="1:23" s="47" customFormat="1" ht="17.100000000000001" customHeight="1">
      <c r="A19" s="44" t="s">
        <v>96</v>
      </c>
      <c r="B19" s="45">
        <f>+FY12RevToColl!B19-FY12ProjRevToColl!B19</f>
        <v>16102.6528714858</v>
      </c>
      <c r="C19" s="45">
        <f>+FY12RevToColl!C19-FY12ProjRevToColl!C19</f>
        <v>-5249.2397989558522</v>
      </c>
      <c r="D19" s="45">
        <f>+FY12RevToColl!D19-FY12ProjRevToColl!D19</f>
        <v>-12334.977115466751</v>
      </c>
      <c r="E19" s="45">
        <f>+FY12RevToColl!E19-FY12ProjRevToColl!E19</f>
        <v>-154840.48697892012</v>
      </c>
      <c r="F19" s="45">
        <f>+FY12RevToColl!F19-FY12ProjRevToColl!F19</f>
        <v>-51288.110578201435</v>
      </c>
      <c r="G19" s="45">
        <f>+FY12RevToColl!G19-FY12ProjRevToColl!G19</f>
        <v>-37920.538272381382</v>
      </c>
      <c r="H19" s="45">
        <f>+FY12RevToColl!H19-FY12ProjRevToColl!H19</f>
        <v>-2483.035830546145</v>
      </c>
      <c r="I19" s="45">
        <f>+FY12RevToColl!I19-FY12ProjRevToColl!I19</f>
        <v>-470.98970255807217</v>
      </c>
      <c r="J19" s="45">
        <f>+FY12RevToColl!J19-FY12ProjRevToColl!J19</f>
        <v>0</v>
      </c>
      <c r="K19" s="45">
        <f>+FY12RevToColl!K19-FY12ProjRevToColl!K19</f>
        <v>0</v>
      </c>
      <c r="L19" s="45">
        <f>+FY12RevToColl!L19-FY12ProjRevToColl!L19</f>
        <v>-4451.6432907001872</v>
      </c>
      <c r="M19" s="45">
        <f>+FY12RevToColl!M19-FY12ProjRevToColl!M19</f>
        <v>3311.4822742975812</v>
      </c>
      <c r="N19" s="45">
        <f>+FY12RevToColl!N19-FY12ProjRevToColl!N19</f>
        <v>0</v>
      </c>
      <c r="O19" s="45">
        <f>+FY12RevToColl!O19-FY12ProjRevToColl!O19</f>
        <v>-11564.475984436609</v>
      </c>
      <c r="P19" s="45">
        <f>+FY12RevToColl!P19-FY12ProjRevToColl!P19</f>
        <v>580.12034027046889</v>
      </c>
      <c r="Q19" s="45">
        <f>+FY12RevToColl!Q19-FY12ProjRevToColl!Q19</f>
        <v>0</v>
      </c>
      <c r="R19" s="45">
        <f>SUM(B19:Q19)</f>
        <v>-260609.24206611273</v>
      </c>
    </row>
    <row r="20" spans="1:23" s="6" customFormat="1" ht="17.100000000000001" customHeight="1">
      <c r="A20" s="48" t="s">
        <v>34</v>
      </c>
      <c r="B20" s="49">
        <f>SUM(B3:B19)</f>
        <v>4376515.3581831409</v>
      </c>
      <c r="C20" s="49">
        <f t="shared" ref="C20:R20" si="1">SUM(C3:C19)</f>
        <v>127128.00019855023</v>
      </c>
      <c r="D20" s="49">
        <f t="shared" si="1"/>
        <v>724484.50377357937</v>
      </c>
      <c r="E20" s="49">
        <f t="shared" si="1"/>
        <v>-1588567.7869919422</v>
      </c>
      <c r="F20" s="49">
        <f t="shared" si="1"/>
        <v>517905.30967599194</v>
      </c>
      <c r="G20" s="49">
        <f t="shared" si="1"/>
        <v>154914.62771985482</v>
      </c>
      <c r="H20" s="49">
        <f t="shared" si="1"/>
        <v>-239796.93381807973</v>
      </c>
      <c r="I20" s="49">
        <f t="shared" si="1"/>
        <v>73221.671794981317</v>
      </c>
      <c r="J20" s="49">
        <f t="shared" si="1"/>
        <v>192527.35391788551</v>
      </c>
      <c r="K20" s="49">
        <f t="shared" si="1"/>
        <v>209178.29765675234</v>
      </c>
      <c r="L20" s="49">
        <f t="shared" si="1"/>
        <v>102096.15385221042</v>
      </c>
      <c r="M20" s="49">
        <f t="shared" si="1"/>
        <v>264344.65391273506</v>
      </c>
      <c r="N20" s="49">
        <f t="shared" si="1"/>
        <v>166656.11845947205</v>
      </c>
      <c r="O20" s="49">
        <f t="shared" si="1"/>
        <v>154410.79650773847</v>
      </c>
      <c r="P20" s="49">
        <f t="shared" si="1"/>
        <v>512638.85936943634</v>
      </c>
      <c r="Q20" s="49">
        <f t="shared" si="1"/>
        <v>-98955.502874225262</v>
      </c>
      <c r="R20" s="49">
        <f t="shared" si="1"/>
        <v>5648701.4813380828</v>
      </c>
    </row>
    <row r="21" spans="1:23" ht="25.5" customHeight="1">
      <c r="A21" s="658" t="s">
        <v>112</v>
      </c>
      <c r="B21" s="658"/>
      <c r="C21" s="658"/>
      <c r="D21" s="658"/>
      <c r="E21" s="658"/>
      <c r="F21" s="658"/>
      <c r="G21" s="658"/>
      <c r="H21" s="658"/>
      <c r="I21" s="658"/>
      <c r="J21" s="658"/>
      <c r="K21" s="658"/>
      <c r="L21" s="658"/>
      <c r="M21" s="658"/>
      <c r="N21" s="658"/>
      <c r="O21" s="658"/>
      <c r="P21" s="658"/>
      <c r="Q21" s="658"/>
      <c r="R21" s="658"/>
      <c r="S21" s="77"/>
      <c r="T21" s="77"/>
      <c r="U21" s="77"/>
      <c r="V21" s="77"/>
      <c r="W21" s="78"/>
    </row>
    <row r="22" spans="1:23" ht="17.100000000000001" customHeight="1">
      <c r="A22" s="79" t="s">
        <v>0</v>
      </c>
      <c r="B22" s="80">
        <f>+FY12RevToColl!B22-FY12ProjRevToColl!B22</f>
        <v>-65729.60323797795</v>
      </c>
      <c r="C22" s="80">
        <f>+FY12RevToColl!C22-FY12ProjRevToColl!C22</f>
        <v>852.08458283361688</v>
      </c>
      <c r="D22" s="80">
        <f>+FY12RevToColl!D22-FY12ProjRevToColl!D22</f>
        <v>296.51258216042811</v>
      </c>
      <c r="E22" s="80">
        <f>+FY12RevToColl!E22-FY12ProjRevToColl!E22</f>
        <v>-3290.3078277465047</v>
      </c>
      <c r="F22" s="80">
        <f>+FY12RevToColl!F22-FY12ProjRevToColl!F22</f>
        <v>948.9774207759549</v>
      </c>
      <c r="G22" s="80">
        <f>+FY12RevToColl!G22-FY12ProjRevToColl!G22</f>
        <v>-356.23373450295821</v>
      </c>
      <c r="H22" s="80">
        <f>+FY12RevToColl!H22-FY12ProjRevToColl!H22</f>
        <v>0</v>
      </c>
      <c r="I22" s="80">
        <f>+FY12RevToColl!I22-FY12ProjRevToColl!I22</f>
        <v>14687.341961169499</v>
      </c>
      <c r="J22" s="80">
        <f>+FY12RevToColl!J22-FY12ProjRevToColl!J22</f>
        <v>63.383746532960856</v>
      </c>
      <c r="K22" s="80">
        <f>+FY12RevToColl!K22-FY12ProjRevToColl!K22</f>
        <v>0</v>
      </c>
      <c r="L22" s="80">
        <f>+FY12RevToColl!L22-FY12ProjRevToColl!L22</f>
        <v>232.03524962364691</v>
      </c>
      <c r="M22" s="80">
        <f>+FY12RevToColl!M22-FY12ProjRevToColl!M22</f>
        <v>0</v>
      </c>
      <c r="N22" s="80">
        <f>+FY12RevToColl!N22-FY12ProjRevToColl!N22</f>
        <v>0</v>
      </c>
      <c r="O22" s="80">
        <f>+FY12RevToColl!O22-FY12ProjRevToColl!O22</f>
        <v>-67.597932836884524</v>
      </c>
      <c r="P22" s="80">
        <f>+FY12RevToColl!P22-FY12ProjRevToColl!P22</f>
        <v>-311.41373542948088</v>
      </c>
      <c r="Q22" s="80">
        <f>+FY12RevToColl!Q22-FY12ProjRevToColl!Q22</f>
        <v>0</v>
      </c>
      <c r="R22" s="80">
        <f>SUM(B22:Q22)</f>
        <v>-52674.82092539766</v>
      </c>
    </row>
    <row r="23" spans="1:23" ht="17.100000000000001" customHeight="1">
      <c r="A23" s="82" t="s">
        <v>1</v>
      </c>
      <c r="B23" s="83">
        <f>+FY12RevToColl!B23-FY12ProjRevToColl!B23</f>
        <v>861754.99785549939</v>
      </c>
      <c r="C23" s="83">
        <f>+FY12RevToColl!C23-FY12ProjRevToColl!C23</f>
        <v>33676.774366509635</v>
      </c>
      <c r="D23" s="83">
        <f>+FY12RevToColl!D23-FY12ProjRevToColl!D23</f>
        <v>-1869.6343142052101</v>
      </c>
      <c r="E23" s="83">
        <f>+FY12RevToColl!E23-FY12ProjRevToColl!E23</f>
        <v>-28350.084300351693</v>
      </c>
      <c r="F23" s="83">
        <f>+FY12RevToColl!F23-FY12ProjRevToColl!F23</f>
        <v>-2357.9252856122393</v>
      </c>
      <c r="G23" s="83">
        <f>+FY12RevToColl!G23-FY12ProjRevToColl!G23</f>
        <v>-3129.1342892610483</v>
      </c>
      <c r="H23" s="83">
        <f>+FY12RevToColl!H23-FY12ProjRevToColl!H23</f>
        <v>1092.1266516092066</v>
      </c>
      <c r="I23" s="83">
        <f>+FY12RevToColl!I23-FY12ProjRevToColl!I23</f>
        <v>4767.172100328602</v>
      </c>
      <c r="J23" s="83">
        <f>+FY12RevToColl!J23-FY12ProjRevToColl!J23</f>
        <v>-648.68631401064749</v>
      </c>
      <c r="K23" s="83">
        <f>+FY12RevToColl!K23-FY12ProjRevToColl!K23</f>
        <v>-1915.3059975079061</v>
      </c>
      <c r="L23" s="83">
        <f>+FY12RevToColl!L23-FY12ProjRevToColl!L23</f>
        <v>8805.6401070559186</v>
      </c>
      <c r="M23" s="83">
        <f>+FY12RevToColl!M23-FY12ProjRevToColl!M23</f>
        <v>726.87174753372381</v>
      </c>
      <c r="N23" s="83">
        <f>+FY12RevToColl!N23-FY12ProjRevToColl!N23</f>
        <v>0</v>
      </c>
      <c r="O23" s="83">
        <f>+FY12RevToColl!O23-FY12ProjRevToColl!O23</f>
        <v>122.92632945422702</v>
      </c>
      <c r="P23" s="83">
        <f>+FY12RevToColl!P23-FY12ProjRevToColl!P23</f>
        <v>1060.3004442790234</v>
      </c>
      <c r="Q23" s="83">
        <f>+FY12RevToColl!Q23-FY12ProjRevToColl!Q23</f>
        <v>-5123.2316969934691</v>
      </c>
      <c r="R23" s="83">
        <f>SUM(B23:Q23)</f>
        <v>868612.80740432732</v>
      </c>
    </row>
    <row r="24" spans="1:23" ht="17.100000000000001" customHeight="1">
      <c r="A24" s="82" t="s">
        <v>6</v>
      </c>
      <c r="B24" s="83">
        <f>+FY12RevToColl!B24-FY12ProjRevToColl!B24</f>
        <v>17376.822167335078</v>
      </c>
      <c r="C24" s="83">
        <f>+FY12RevToColl!C24-FY12ProjRevToColl!C24</f>
        <v>2058.4663261896567</v>
      </c>
      <c r="D24" s="83">
        <f>+FY12RevToColl!D24-FY12ProjRevToColl!D24</f>
        <v>522.09933634876779</v>
      </c>
      <c r="E24" s="83">
        <f>+FY12RevToColl!E24-FY12ProjRevToColl!E24</f>
        <v>-11133.081319023378</v>
      </c>
      <c r="F24" s="83">
        <f>+FY12RevToColl!F24-FY12ProjRevToColl!F24</f>
        <v>100008.89055192703</v>
      </c>
      <c r="G24" s="83">
        <f>+FY12RevToColl!G24-FY12ProjRevToColl!G24</f>
        <v>2638.5426904155006</v>
      </c>
      <c r="H24" s="83">
        <f>+FY12RevToColl!H24-FY12ProjRevToColl!H24</f>
        <v>0</v>
      </c>
      <c r="I24" s="83">
        <f>+FY12RevToColl!I24-FY12ProjRevToColl!I24</f>
        <v>-2088.3976641195113</v>
      </c>
      <c r="J24" s="83">
        <f>+FY12RevToColl!J24-FY12ProjRevToColl!J24</f>
        <v>-292.5826219946855</v>
      </c>
      <c r="K24" s="83">
        <f>+FY12RevToColl!K24-FY12ProjRevToColl!K24</f>
        <v>0</v>
      </c>
      <c r="L24" s="83">
        <f>+FY12RevToColl!L24-FY12ProjRevToColl!L24</f>
        <v>6834.3658352846405</v>
      </c>
      <c r="M24" s="83">
        <f>+FY12RevToColl!M24-FY12ProjRevToColl!M24</f>
        <v>103.83882107624625</v>
      </c>
      <c r="N24" s="83">
        <f>+FY12RevToColl!N24-FY12ProjRevToColl!N24</f>
        <v>0</v>
      </c>
      <c r="O24" s="83">
        <f>+FY12RevToColl!O24-FY12ProjRevToColl!O24</f>
        <v>86.480498604675915</v>
      </c>
      <c r="P24" s="83">
        <f>+FY12RevToColl!P24-FY12ProjRevToColl!P24</f>
        <v>0</v>
      </c>
      <c r="Q24" s="83">
        <f>+FY12RevToColl!Q24-FY12ProjRevToColl!Q24</f>
        <v>-781.6710247574224</v>
      </c>
      <c r="R24" s="83">
        <f t="shared" ref="R24:R34" si="2">SUM(B24:Q24)</f>
        <v>115333.77359728661</v>
      </c>
    </row>
    <row r="25" spans="1:23" ht="17.100000000000001" customHeight="1">
      <c r="A25" s="85" t="s">
        <v>2</v>
      </c>
      <c r="B25" s="83">
        <f>+FY12RevToColl!B25-FY12ProjRevToColl!B25</f>
        <v>319288.00746063702</v>
      </c>
      <c r="C25" s="83">
        <f>+FY12RevToColl!C25-FY12ProjRevToColl!C25</f>
        <v>27639.392680143472</v>
      </c>
      <c r="D25" s="83">
        <f>+FY12RevToColl!D25-FY12ProjRevToColl!D25</f>
        <v>12933.872979802778</v>
      </c>
      <c r="E25" s="83">
        <f>+FY12RevToColl!E25-FY12ProjRevToColl!E25</f>
        <v>-4148.7051619578242</v>
      </c>
      <c r="F25" s="83">
        <f>+FY12RevToColl!F25-FY12ProjRevToColl!F25</f>
        <v>671.3272654038899</v>
      </c>
      <c r="G25" s="83">
        <f>+FY12RevToColl!G25-FY12ProjRevToColl!G25</f>
        <v>-4013.771334138758</v>
      </c>
      <c r="H25" s="83">
        <f>+FY12RevToColl!H25-FY12ProjRevToColl!H25</f>
        <v>-321.13437986915608</v>
      </c>
      <c r="I25" s="83">
        <f>+FY12RevToColl!I25-FY12ProjRevToColl!I25</f>
        <v>203.58900487660151</v>
      </c>
      <c r="J25" s="83">
        <f>+FY12RevToColl!J25-FY12ProjRevToColl!J25</f>
        <v>263.29689509755389</v>
      </c>
      <c r="K25" s="83">
        <f>+FY12RevToColl!K25-FY12ProjRevToColl!K25</f>
        <v>0</v>
      </c>
      <c r="L25" s="83">
        <f>+FY12RevToColl!L25-FY12ProjRevToColl!L25</f>
        <v>699.70555768406905</v>
      </c>
      <c r="M25" s="83">
        <f>+FY12RevToColl!M25-FY12ProjRevToColl!M25</f>
        <v>0</v>
      </c>
      <c r="N25" s="83">
        <f>+FY12RevToColl!N25-FY12ProjRevToColl!N25</f>
        <v>0</v>
      </c>
      <c r="O25" s="83">
        <f>+FY12RevToColl!O25-FY12ProjRevToColl!O25</f>
        <v>88.368755181455057</v>
      </c>
      <c r="P25" s="83">
        <f>+FY12RevToColl!P25-FY12ProjRevToColl!P25</f>
        <v>80.969389184877969</v>
      </c>
      <c r="Q25" s="83">
        <f>+FY12RevToColl!Q25-FY12ProjRevToColl!Q25</f>
        <v>0</v>
      </c>
      <c r="R25" s="83">
        <f t="shared" si="2"/>
        <v>353384.91911204596</v>
      </c>
    </row>
    <row r="26" spans="1:23" ht="17.100000000000001" customHeight="1">
      <c r="A26" s="82" t="s">
        <v>3</v>
      </c>
      <c r="B26" s="83">
        <f>+FY12RevToColl!B26-FY12ProjRevToColl!B26</f>
        <v>180104.23437184095</v>
      </c>
      <c r="C26" s="83">
        <f>+FY12RevToColl!C26-FY12ProjRevToColl!C26</f>
        <v>10013.903591649025</v>
      </c>
      <c r="D26" s="83">
        <f>+FY12RevToColl!D26-FY12ProjRevToColl!D26</f>
        <v>-4.4696466905665488</v>
      </c>
      <c r="E26" s="83">
        <f>+FY12RevToColl!E26-FY12ProjRevToColl!E26</f>
        <v>-217280.55456564343</v>
      </c>
      <c r="F26" s="83">
        <f>+FY12RevToColl!F26-FY12ProjRevToColl!F26</f>
        <v>2051.2794579145093</v>
      </c>
      <c r="G26" s="83">
        <f>+FY12RevToColl!G26-FY12ProjRevToColl!G26</f>
        <v>-957.02878742750704</v>
      </c>
      <c r="H26" s="83">
        <f>+FY12RevToColl!H26-FY12ProjRevToColl!H26</f>
        <v>-206.95636771706617</v>
      </c>
      <c r="I26" s="83">
        <f>+FY12RevToColl!I26-FY12ProjRevToColl!I26</f>
        <v>-3788.6064221199413</v>
      </c>
      <c r="J26" s="83">
        <f>+FY12RevToColl!J26-FY12ProjRevToColl!J26</f>
        <v>0</v>
      </c>
      <c r="K26" s="83">
        <f>+FY12RevToColl!K26-FY12ProjRevToColl!K26</f>
        <v>396.69568393529613</v>
      </c>
      <c r="L26" s="83">
        <f>+FY12RevToColl!L26-FY12ProjRevToColl!L26</f>
        <v>-1014.5855984245438</v>
      </c>
      <c r="M26" s="83">
        <f>+FY12RevToColl!M26-FY12ProjRevToColl!M26</f>
        <v>0</v>
      </c>
      <c r="N26" s="83">
        <f>+FY12RevToColl!N26-FY12ProjRevToColl!N26</f>
        <v>0</v>
      </c>
      <c r="O26" s="83">
        <f>+FY12RevToColl!O26-FY12ProjRevToColl!O26</f>
        <v>-394.63736148779668</v>
      </c>
      <c r="P26" s="83">
        <f>+FY12RevToColl!P26-FY12ProjRevToColl!P26</f>
        <v>0</v>
      </c>
      <c r="Q26" s="83">
        <f>+FY12RevToColl!Q26-FY12ProjRevToColl!Q26</f>
        <v>0</v>
      </c>
      <c r="R26" s="83">
        <f t="shared" si="2"/>
        <v>-31080.725644171052</v>
      </c>
    </row>
    <row r="27" spans="1:23" ht="17.100000000000001" customHeight="1">
      <c r="A27" s="82" t="s">
        <v>4</v>
      </c>
      <c r="B27" s="83">
        <f>+FY12RevToColl!B27-FY12ProjRevToColl!B27</f>
        <v>741985.96864834148</v>
      </c>
      <c r="C27" s="83">
        <f>+FY12RevToColl!C27-FY12ProjRevToColl!C27</f>
        <v>9190.4879870969453</v>
      </c>
      <c r="D27" s="83">
        <f>+FY12RevToColl!D27-FY12ProjRevToColl!D27</f>
        <v>11494.755783443499</v>
      </c>
      <c r="E27" s="83">
        <f>+FY12RevToColl!E27-FY12ProjRevToColl!E27</f>
        <v>-10952.863624811336</v>
      </c>
      <c r="F27" s="83">
        <f>+FY12RevToColl!F27-FY12ProjRevToColl!F27</f>
        <v>1578.8628398433564</v>
      </c>
      <c r="G27" s="83">
        <f>+FY12RevToColl!G27-FY12ProjRevToColl!G27</f>
        <v>-1347.798870678329</v>
      </c>
      <c r="H27" s="83">
        <f>+FY12RevToColl!H27-FY12ProjRevToColl!H27</f>
        <v>0</v>
      </c>
      <c r="I27" s="83">
        <f>+FY12RevToColl!I27-FY12ProjRevToColl!I27</f>
        <v>4560.0665947790148</v>
      </c>
      <c r="J27" s="83">
        <f>+FY12RevToColl!J27-FY12ProjRevToColl!J27</f>
        <v>472.97195262785755</v>
      </c>
      <c r="K27" s="83">
        <f>+FY12RevToColl!K27-FY12ProjRevToColl!K27</f>
        <v>-55.126340057830056</v>
      </c>
      <c r="L27" s="83">
        <f>+FY12RevToColl!L27-FY12ProjRevToColl!L27</f>
        <v>-858.49550635922958</v>
      </c>
      <c r="M27" s="83">
        <f>+FY12RevToColl!M27-FY12ProjRevToColl!M27</f>
        <v>0</v>
      </c>
      <c r="N27" s="83">
        <f>+FY12RevToColl!N27-FY12ProjRevToColl!N27</f>
        <v>0</v>
      </c>
      <c r="O27" s="83">
        <f>+FY12RevToColl!O27-FY12ProjRevToColl!O27</f>
        <v>-26.245940111325694</v>
      </c>
      <c r="P27" s="83">
        <f>+FY12RevToColl!P27-FY12ProjRevToColl!P27</f>
        <v>48.343361689205736</v>
      </c>
      <c r="Q27" s="83">
        <f>+FY12RevToColl!Q27-FY12ProjRevToColl!Q27</f>
        <v>0</v>
      </c>
      <c r="R27" s="83">
        <f t="shared" si="2"/>
        <v>756090.92688580335</v>
      </c>
    </row>
    <row r="28" spans="1:23" ht="17.100000000000001" customHeight="1">
      <c r="A28" s="82" t="s">
        <v>14</v>
      </c>
      <c r="B28" s="83">
        <f>+FY12RevToColl!B28-FY12ProjRevToColl!B28</f>
        <v>309316.60680015467</v>
      </c>
      <c r="C28" s="83">
        <f>+FY12RevToColl!C28-FY12ProjRevToColl!C28</f>
        <v>1901.5916715491876</v>
      </c>
      <c r="D28" s="83">
        <f>+FY12RevToColl!D28-FY12ProjRevToColl!D28</f>
        <v>172.69221810908596</v>
      </c>
      <c r="E28" s="83">
        <f>+FY12RevToColl!E28-FY12ProjRevToColl!E28</f>
        <v>491.17657888041822</v>
      </c>
      <c r="F28" s="83">
        <f>+FY12RevToColl!F28-FY12ProjRevToColl!F28</f>
        <v>-352.23866872280576</v>
      </c>
      <c r="G28" s="83">
        <f>+FY12RevToColl!G28-FY12ProjRevToColl!G28</f>
        <v>201.97747614044511</v>
      </c>
      <c r="H28" s="83">
        <f>+FY12RevToColl!H28-FY12ProjRevToColl!H28</f>
        <v>-45240.746680323653</v>
      </c>
      <c r="I28" s="83">
        <f>+FY12RevToColl!I28-FY12ProjRevToColl!I28</f>
        <v>0</v>
      </c>
      <c r="J28" s="83">
        <f>+FY12RevToColl!J28-FY12ProjRevToColl!J28</f>
        <v>209.6750575303036</v>
      </c>
      <c r="K28" s="83">
        <f>+FY12RevToColl!K28-FY12ProjRevToColl!K28</f>
        <v>-52.356650274871036</v>
      </c>
      <c r="L28" s="83">
        <f>+FY12RevToColl!L28-FY12ProjRevToColl!L28</f>
        <v>112.29241817225738</v>
      </c>
      <c r="M28" s="83">
        <f>+FY12RevToColl!M28-FY12ProjRevToColl!M28</f>
        <v>0</v>
      </c>
      <c r="N28" s="83">
        <f>+FY12RevToColl!N28-FY12ProjRevToColl!N28</f>
        <v>0</v>
      </c>
      <c r="O28" s="83">
        <f>+FY12RevToColl!O28-FY12ProjRevToColl!O28</f>
        <v>0</v>
      </c>
      <c r="P28" s="83">
        <f>+FY12RevToColl!P28-FY12ProjRevToColl!P28</f>
        <v>0</v>
      </c>
      <c r="Q28" s="83">
        <f>+FY12RevToColl!Q28-FY12ProjRevToColl!Q28</f>
        <v>0</v>
      </c>
      <c r="R28" s="83">
        <f t="shared" si="2"/>
        <v>266760.67022121494</v>
      </c>
    </row>
    <row r="29" spans="1:23" ht="17.100000000000001" customHeight="1">
      <c r="A29" s="82" t="s">
        <v>9</v>
      </c>
      <c r="B29" s="83">
        <f>+FY12RevToColl!B29-FY12ProjRevToColl!B29</f>
        <v>-5277.2395783691145</v>
      </c>
      <c r="C29" s="83">
        <f>+FY12RevToColl!C29-FY12ProjRevToColl!C29</f>
        <v>-2505.5518960653335</v>
      </c>
      <c r="D29" s="83">
        <f>+FY12RevToColl!D29-FY12ProjRevToColl!D29</f>
        <v>427.93134558573308</v>
      </c>
      <c r="E29" s="83">
        <f>+FY12RevToColl!E29-FY12ProjRevToColl!E29</f>
        <v>-4578.1810918523579</v>
      </c>
      <c r="F29" s="83">
        <f>+FY12RevToColl!F29-FY12ProjRevToColl!F29</f>
        <v>-1471.1140393684864</v>
      </c>
      <c r="G29" s="83">
        <f>+FY12RevToColl!G29-FY12ProjRevToColl!G29</f>
        <v>-721.33281657434554</v>
      </c>
      <c r="H29" s="83">
        <f>+FY12RevToColl!H29-FY12ProjRevToColl!H29</f>
        <v>0</v>
      </c>
      <c r="I29" s="83">
        <f>+FY12RevToColl!I29-FY12ProjRevToColl!I29</f>
        <v>-203.2373548093029</v>
      </c>
      <c r="J29" s="83">
        <f>+FY12RevToColl!J29-FY12ProjRevToColl!J29</f>
        <v>0</v>
      </c>
      <c r="K29" s="83">
        <f>+FY12RevToColl!K29-FY12ProjRevToColl!K29</f>
        <v>0</v>
      </c>
      <c r="L29" s="83">
        <f>+FY12RevToColl!L29-FY12ProjRevToColl!L29</f>
        <v>3916.7803404463921</v>
      </c>
      <c r="M29" s="83">
        <f>+FY12RevToColl!M29-FY12ProjRevToColl!M29</f>
        <v>0</v>
      </c>
      <c r="N29" s="83">
        <f>+FY12RevToColl!N29-FY12ProjRevToColl!N29</f>
        <v>0</v>
      </c>
      <c r="O29" s="83">
        <f>+FY12RevToColl!O29-FY12ProjRevToColl!O29</f>
        <v>667.29665333927858</v>
      </c>
      <c r="P29" s="83">
        <f>+FY12RevToColl!P29-FY12ProjRevToColl!P29</f>
        <v>145.03008506761722</v>
      </c>
      <c r="Q29" s="83">
        <f>+FY12RevToColl!Q29-FY12ProjRevToColl!Q29</f>
        <v>-14339.366147645589</v>
      </c>
      <c r="R29" s="83">
        <f t="shared" si="2"/>
        <v>-23938.984500245511</v>
      </c>
    </row>
    <row r="30" spans="1:23" ht="17.100000000000001" customHeight="1">
      <c r="A30" s="82" t="s">
        <v>5</v>
      </c>
      <c r="B30" s="83">
        <f>+FY12RevToColl!B30-FY12ProjRevToColl!B30</f>
        <v>3425.6957780487246</v>
      </c>
      <c r="C30" s="83">
        <f>+FY12RevToColl!C30-FY12ProjRevToColl!C30</f>
        <v>1161.0555671799048</v>
      </c>
      <c r="D30" s="83">
        <f>+FY12RevToColl!D30-FY12ProjRevToColl!D30</f>
        <v>-4220.7387827656185</v>
      </c>
      <c r="E30" s="83">
        <f>+FY12RevToColl!E30-FY12ProjRevToColl!E30</f>
        <v>-3642.453173974181</v>
      </c>
      <c r="F30" s="83">
        <f>+FY12RevToColl!F30-FY12ProjRevToColl!F30</f>
        <v>3464.3919375492578</v>
      </c>
      <c r="G30" s="83">
        <f>+FY12RevToColl!G30-FY12ProjRevToColl!G30</f>
        <v>42796.043201950088</v>
      </c>
      <c r="H30" s="83">
        <f>+FY12RevToColl!H30-FY12ProjRevToColl!H30</f>
        <v>-3461.1692451140802</v>
      </c>
      <c r="I30" s="83">
        <f>+FY12RevToColl!I30-FY12ProjRevToColl!I30</f>
        <v>-1261.147808812153</v>
      </c>
      <c r="J30" s="83">
        <f>+FY12RevToColl!J30-FY12ProjRevToColl!J30</f>
        <v>1431.9317365045199</v>
      </c>
      <c r="K30" s="83">
        <f>+FY12RevToColl!K30-FY12ProjRevToColl!K30</f>
        <v>0</v>
      </c>
      <c r="L30" s="83">
        <f>+FY12RevToColl!L30-FY12ProjRevToColl!L30</f>
        <v>768.75108168390625</v>
      </c>
      <c r="M30" s="83">
        <f>+FY12RevToColl!M30-FY12ProjRevToColl!M30</f>
        <v>0</v>
      </c>
      <c r="N30" s="83">
        <f>+FY12RevToColl!N30-FY12ProjRevToColl!N30</f>
        <v>0</v>
      </c>
      <c r="O30" s="83">
        <f>+FY12RevToColl!O30-FY12ProjRevToColl!O30</f>
        <v>-1446.5611375402289</v>
      </c>
      <c r="P30" s="83">
        <f>+FY12RevToColl!P30-FY12ProjRevToColl!P30</f>
        <v>1005.7251719348019</v>
      </c>
      <c r="Q30" s="83">
        <f>+FY12RevToColl!Q30-FY12ProjRevToColl!Q30</f>
        <v>466.47679195309354</v>
      </c>
      <c r="R30" s="83">
        <f t="shared" si="2"/>
        <v>40488.001118598033</v>
      </c>
    </row>
    <row r="31" spans="1:23" ht="17.100000000000001" customHeight="1">
      <c r="A31" s="82" t="s">
        <v>13</v>
      </c>
      <c r="B31" s="83">
        <f>+FY12RevToColl!B31-FY12ProjRevToColl!B31</f>
        <v>18925.396723223792</v>
      </c>
      <c r="C31" s="83">
        <f>+FY12RevToColl!C31-FY12ProjRevToColl!C31</f>
        <v>-541.47063951271866</v>
      </c>
      <c r="D31" s="83">
        <f>+FY12RevToColl!D31-FY12ProjRevToColl!D31</f>
        <v>-131.38531125736336</v>
      </c>
      <c r="E31" s="83">
        <f>+FY12RevToColl!E31-FY12ProjRevToColl!E31</f>
        <v>278.98640302255433</v>
      </c>
      <c r="F31" s="83">
        <f>+FY12RevToColl!F31-FY12ProjRevToColl!F31</f>
        <v>0</v>
      </c>
      <c r="G31" s="83">
        <f>+FY12RevToColl!G31-FY12ProjRevToColl!G31</f>
        <v>-2171.7878860021801</v>
      </c>
      <c r="H31" s="83">
        <f>+FY12RevToColl!H31-FY12ProjRevToColl!H31</f>
        <v>-149.86736164102126</v>
      </c>
      <c r="I31" s="83">
        <f>+FY12RevToColl!I31-FY12ProjRevToColl!I31</f>
        <v>0.11721668909953564</v>
      </c>
      <c r="J31" s="83">
        <f>+FY12RevToColl!J31-FY12ProjRevToColl!J31</f>
        <v>-1495.4528065257957</v>
      </c>
      <c r="K31" s="83">
        <f>+FY12RevToColl!K31-FY12ProjRevToColl!K31</f>
        <v>0</v>
      </c>
      <c r="L31" s="83">
        <f>+FY12RevToColl!L31-FY12ProjRevToColl!L31</f>
        <v>-78.04504603265724</v>
      </c>
      <c r="M31" s="83">
        <f>+FY12RevToColl!M31-FY12ProjRevToColl!M31</f>
        <v>0</v>
      </c>
      <c r="N31" s="83">
        <f>+FY12RevToColl!N31-FY12ProjRevToColl!N31</f>
        <v>0</v>
      </c>
      <c r="O31" s="83">
        <f>+FY12RevToColl!O31-FY12ProjRevToColl!O31</f>
        <v>-1121.5996174296781</v>
      </c>
      <c r="P31" s="83">
        <f>+FY12RevToColl!P31-FY12ProjRevToColl!P31</f>
        <v>92567.527442359948</v>
      </c>
      <c r="Q31" s="83">
        <f>+FY12RevToColl!Q31-FY12ProjRevToColl!Q31</f>
        <v>0</v>
      </c>
      <c r="R31" s="83">
        <f t="shared" si="2"/>
        <v>106082.41911689397</v>
      </c>
    </row>
    <row r="32" spans="1:23" ht="17.100000000000001" customHeight="1">
      <c r="A32" s="82" t="s">
        <v>8</v>
      </c>
      <c r="B32" s="83">
        <f>+FY12RevToColl!B32-FY12ProjRevToColl!B32</f>
        <v>1378.448907187274</v>
      </c>
      <c r="C32" s="83">
        <f>+FY12RevToColl!C32-FY12ProjRevToColl!C32</f>
        <v>-56007.019750544459</v>
      </c>
      <c r="D32" s="83">
        <f>+FY12RevToColl!D32-FY12ProjRevToColl!D32</f>
        <v>101939.8954220969</v>
      </c>
      <c r="E32" s="83">
        <f>+FY12RevToColl!E32-FY12ProjRevToColl!E32</f>
        <v>945.60208608599805</v>
      </c>
      <c r="F32" s="83">
        <f>+FY12RevToColl!F32-FY12ProjRevToColl!F32</f>
        <v>0</v>
      </c>
      <c r="G32" s="83">
        <f>+FY12RevToColl!G32-FY12ProjRevToColl!G32</f>
        <v>0</v>
      </c>
      <c r="H32" s="83">
        <f>+FY12RevToColl!H32-FY12ProjRevToColl!H32</f>
        <v>0</v>
      </c>
      <c r="I32" s="83">
        <f>+FY12RevToColl!I32-FY12ProjRevToColl!I32</f>
        <v>0</v>
      </c>
      <c r="J32" s="83">
        <f>+FY12RevToColl!J32-FY12ProjRevToColl!J32</f>
        <v>0</v>
      </c>
      <c r="K32" s="83">
        <f>+FY12RevToColl!K32-FY12ProjRevToColl!K32</f>
        <v>0</v>
      </c>
      <c r="L32" s="83">
        <f>+FY12RevToColl!L32-FY12ProjRevToColl!L32</f>
        <v>0</v>
      </c>
      <c r="M32" s="83">
        <f>+FY12RevToColl!M32-FY12ProjRevToColl!M32</f>
        <v>415.35528430498499</v>
      </c>
      <c r="N32" s="83">
        <f>+FY12RevToColl!N32-FY12ProjRevToColl!N32</f>
        <v>33659.411718776682</v>
      </c>
      <c r="O32" s="83">
        <f>+FY12RevToColl!O32-FY12ProjRevToColl!O32</f>
        <v>24.547335498128859</v>
      </c>
      <c r="P32" s="83">
        <f>+FY12RevToColl!P32-FY12ProjRevToColl!P32</f>
        <v>0</v>
      </c>
      <c r="Q32" s="83">
        <f>+FY12RevToColl!Q32-FY12ProjRevToColl!Q32</f>
        <v>0</v>
      </c>
      <c r="R32" s="83">
        <f t="shared" si="2"/>
        <v>82356.241003405506</v>
      </c>
    </row>
    <row r="33" spans="1:18">
      <c r="A33" s="82" t="s">
        <v>10</v>
      </c>
      <c r="B33" s="83">
        <f>+FY12RevToColl!B33-FY12ProjRevToColl!B33</f>
        <v>151624.12871000264</v>
      </c>
      <c r="C33" s="83">
        <f>+FY12RevToColl!C33-FY12ProjRevToColl!C33</f>
        <v>9690.2874634077307</v>
      </c>
      <c r="D33" s="83">
        <f>+FY12RevToColl!D33-FY12ProjRevToColl!D33</f>
        <v>23049.431006853963</v>
      </c>
      <c r="E33" s="83">
        <f>+FY12RevToColl!E33-FY12ProjRevToColl!E33</f>
        <v>-561.15457143409003</v>
      </c>
      <c r="F33" s="83">
        <f>+FY12RevToColl!F33-FY12ProjRevToColl!F33</f>
        <v>0</v>
      </c>
      <c r="G33" s="83">
        <f>+FY12RevToColl!G33-FY12ProjRevToColl!G33</f>
        <v>2826.8509356265877</v>
      </c>
      <c r="H33" s="83">
        <f>+FY12RevToColl!H33-FY12ProjRevToColl!H33</f>
        <v>-185.53345595287709</v>
      </c>
      <c r="I33" s="83">
        <f>+FY12RevToColl!I33-FY12ProjRevToColl!I33</f>
        <v>271.56922319123493</v>
      </c>
      <c r="J33" s="83">
        <f>+FY12RevToColl!J33-FY12ProjRevToColl!J33</f>
        <v>2104.4048672320259</v>
      </c>
      <c r="K33" s="83">
        <f>+FY12RevToColl!K33-FY12ProjRevToColl!K33</f>
        <v>-8230.5612920252752</v>
      </c>
      <c r="L33" s="83">
        <f>+FY12RevToColl!L33-FY12ProjRevToColl!L33</f>
        <v>541.51557714443004</v>
      </c>
      <c r="M33" s="83">
        <f>+FY12RevToColl!M33-FY12ProjRevToColl!M33</f>
        <v>53018.379287606105</v>
      </c>
      <c r="N33" s="83">
        <f>+FY12RevToColl!N33-FY12ProjRevToColl!N33</f>
        <v>232.44126589875668</v>
      </c>
      <c r="O33" s="83">
        <f>+FY12RevToColl!O33-FY12ProjRevToColl!O33</f>
        <v>1708.9670279669226</v>
      </c>
      <c r="P33" s="83">
        <f>+FY12RevToColl!P33-FY12ProjRevToColl!P33</f>
        <v>4934.2915549592617</v>
      </c>
      <c r="Q33" s="83">
        <f>+FY12RevToColl!Q33-FY12ProjRevToColl!Q33</f>
        <v>0</v>
      </c>
      <c r="R33" s="83">
        <f t="shared" si="2"/>
        <v>241025.01760047741</v>
      </c>
    </row>
    <row r="34" spans="1:18">
      <c r="A34" s="82" t="s">
        <v>11</v>
      </c>
      <c r="B34" s="83">
        <f>+FY12RevToColl!B34-FY12ProjRevToColl!B34</f>
        <v>36868.010601355229</v>
      </c>
      <c r="C34" s="83">
        <f>+FY12RevToColl!C34-FY12ProjRevToColl!C34</f>
        <v>295.6869594873715</v>
      </c>
      <c r="D34" s="83">
        <f>+FY12RevToColl!D34-FY12ProjRevToColl!D34</f>
        <v>167.32864208040598</v>
      </c>
      <c r="E34" s="83">
        <f>+FY12RevToColl!E34-FY12ProjRevToColl!E34</f>
        <v>-7104.3986923188349</v>
      </c>
      <c r="F34" s="83">
        <f>+FY12RevToColl!F34-FY12ProjRevToColl!F34</f>
        <v>0</v>
      </c>
      <c r="G34" s="83">
        <f>+FY12RevToColl!G34-FY12ProjRevToColl!G34</f>
        <v>54.843669785361584</v>
      </c>
      <c r="H34" s="83">
        <f>+FY12RevToColl!H34-FY12ProjRevToColl!H34</f>
        <v>0</v>
      </c>
      <c r="I34" s="83">
        <f>+FY12RevToColl!I34-FY12ProjRevToColl!I34</f>
        <v>0</v>
      </c>
      <c r="J34" s="83">
        <f>+FY12RevToColl!J34-FY12ProjRevToColl!J34</f>
        <v>20930.207499098964</v>
      </c>
      <c r="K34" s="83">
        <f>+FY12RevToColl!K34-FY12ProjRevToColl!K34</f>
        <v>-270.3597763245823</v>
      </c>
      <c r="L34" s="83">
        <f>+FY12RevToColl!L34-FY12ProjRevToColl!L34</f>
        <v>0</v>
      </c>
      <c r="M34" s="83">
        <f>+FY12RevToColl!M34-FY12ProjRevToColl!M34</f>
        <v>0</v>
      </c>
      <c r="N34" s="83">
        <f>+FY12RevToColl!N34-FY12ProjRevToColl!N34</f>
        <v>0</v>
      </c>
      <c r="O34" s="83">
        <f>+FY12RevToColl!O34-FY12ProjRevToColl!O34</f>
        <v>-35.118267104474398</v>
      </c>
      <c r="P34" s="83">
        <f>+FY12RevToColl!P34-FY12ProjRevToColl!P34</f>
        <v>-633.50425350608498</v>
      </c>
      <c r="Q34" s="83">
        <f>+FY12RevToColl!Q34-FY12ProjRevToColl!Q34</f>
        <v>0</v>
      </c>
      <c r="R34" s="83">
        <f t="shared" si="2"/>
        <v>50272.696382553353</v>
      </c>
    </row>
    <row r="35" spans="1:18">
      <c r="A35" s="82" t="s">
        <v>12</v>
      </c>
      <c r="B35" s="83">
        <f>+FY12RevToColl!B35-FY12ProjRevToColl!B35</f>
        <v>96.814259301218954</v>
      </c>
      <c r="C35" s="83">
        <f>+FY12RevToColl!C35-FY12ProjRevToColl!C35</f>
        <v>109.75836714292382</v>
      </c>
      <c r="D35" s="83">
        <f>+FY12RevToColl!D35-FY12ProjRevToColl!D35</f>
        <v>130.52483408719195</v>
      </c>
      <c r="E35" s="83">
        <f>+FY12RevToColl!E35-FY12ProjRevToColl!E35</f>
        <v>4647.3797200289373</v>
      </c>
      <c r="F35" s="83">
        <f>+FY12RevToColl!F35-FY12ProjRevToColl!F35</f>
        <v>0</v>
      </c>
      <c r="G35" s="83">
        <f>+FY12RevToColl!G35-FY12ProjRevToColl!G35</f>
        <v>281.67429307009439</v>
      </c>
      <c r="H35" s="83">
        <f>+FY12RevToColl!H35-FY12ProjRevToColl!H35</f>
        <v>0</v>
      </c>
      <c r="I35" s="83">
        <f>+FY12RevToColl!I35-FY12ProjRevToColl!I35</f>
        <v>0</v>
      </c>
      <c r="J35" s="83">
        <f>+FY12RevToColl!J35-FY12ProjRevToColl!J35</f>
        <v>-3519.3323733067919</v>
      </c>
      <c r="K35" s="83">
        <f>+FY12RevToColl!K35-FY12ProjRevToColl!K35</f>
        <v>54587.115619320422</v>
      </c>
      <c r="L35" s="83">
        <f>+FY12RevToColl!L35-FY12ProjRevToColl!L35</f>
        <v>0</v>
      </c>
      <c r="M35" s="83">
        <f>+FY12RevToColl!M35-FY12ProjRevToColl!M35</f>
        <v>0</v>
      </c>
      <c r="N35" s="83">
        <f>+FY12RevToColl!N35-FY12ProjRevToColl!N35</f>
        <v>0</v>
      </c>
      <c r="O35" s="83">
        <f>+FY12RevToColl!O35-FY12ProjRevToColl!O35</f>
        <v>152.37982682836366</v>
      </c>
      <c r="P35" s="83">
        <f>+FY12RevToColl!P35-FY12ProjRevToColl!P35</f>
        <v>0</v>
      </c>
      <c r="Q35" s="83">
        <f>+FY12RevToColl!Q35-FY12ProjRevToColl!Q35</f>
        <v>0</v>
      </c>
      <c r="R35" s="83">
        <f>SUM(B35:Q35)</f>
        <v>56486.314546472364</v>
      </c>
    </row>
    <row r="36" spans="1:18">
      <c r="A36" s="82" t="s">
        <v>7</v>
      </c>
      <c r="B36" s="83">
        <f>+FY12RevToColl!B36-FY12ProjRevToColl!B36</f>
        <v>84093.715961431968</v>
      </c>
      <c r="C36" s="83">
        <f>+FY12RevToColl!C36-FY12ProjRevToColl!C36</f>
        <v>-16294.96964715347</v>
      </c>
      <c r="D36" s="83">
        <f>+FY12RevToColl!D36-FY12ProjRevToColl!D36</f>
        <v>-162.25932559021521</v>
      </c>
      <c r="E36" s="83">
        <f>+FY12RevToColl!E36-FY12ProjRevToColl!E36</f>
        <v>-23242.434008874989</v>
      </c>
      <c r="F36" s="83">
        <f>+FY12RevToColl!F36-FY12ProjRevToColl!F36</f>
        <v>1152.0424678247473</v>
      </c>
      <c r="G36" s="83">
        <f>+FY12RevToColl!G36-FY12ProjRevToColl!G36</f>
        <v>-5218.4224277877875</v>
      </c>
      <c r="H36" s="83">
        <f>+FY12RevToColl!H36-FY12ProjRevToColl!H36</f>
        <v>128.46770505390774</v>
      </c>
      <c r="I36" s="83">
        <f>+FY12RevToColl!I36-FY12ProjRevToColl!I36</f>
        <v>1018.6483245176048</v>
      </c>
      <c r="J36" s="83">
        <f>+FY12RevToColl!J36-FY12ProjRevToColl!J36</f>
        <v>18985.653144790813</v>
      </c>
      <c r="K36" s="83">
        <f>+FY12RevToColl!K36-FY12ProjRevToColl!K36</f>
        <v>-2624.4417157148705</v>
      </c>
      <c r="L36" s="83">
        <f>+FY12RevToColl!L36-FY12ProjRevToColl!L36</f>
        <v>459.27075416312346</v>
      </c>
      <c r="M36" s="83">
        <f>+FY12RevToColl!M36-FY12ProjRevToColl!M36</f>
        <v>-811.21864624193222</v>
      </c>
      <c r="N36" s="83">
        <f>+FY12RevToColl!N36-FY12ProjRevToColl!N36</f>
        <v>-560.62929278091269</v>
      </c>
      <c r="O36" s="83">
        <f>+FY12RevToColl!O36-FY12ProjRevToColl!O36</f>
        <v>31122.953131185059</v>
      </c>
      <c r="P36" s="83">
        <f>+FY12RevToColl!P36-FY12ProjRevToColl!P36</f>
        <v>3050.3820730776074</v>
      </c>
      <c r="Q36" s="83">
        <f>+FY12RevToColl!Q36-FY12ProjRevToColl!Q36</f>
        <v>-13.308497401663686</v>
      </c>
      <c r="R36" s="83">
        <f>SUM(B36:Q36)</f>
        <v>91083.450000498982</v>
      </c>
    </row>
    <row r="37" spans="1:18">
      <c r="A37" s="82" t="s">
        <v>16</v>
      </c>
      <c r="B37" s="83">
        <f>+FY12RevToColl!B37-FY12ProjRevToColl!B37</f>
        <v>-68571.259645683225</v>
      </c>
      <c r="C37" s="83">
        <f>+FY12RevToColl!C37-FY12ProjRevToColl!C37</f>
        <v>-239.11681842929084</v>
      </c>
      <c r="D37" s="83">
        <f>+FY12RevToColl!D37-FY12ProjRevToColl!D37</f>
        <v>0</v>
      </c>
      <c r="E37" s="83">
        <f>+FY12RevToColl!E37-FY12ProjRevToColl!E37</f>
        <v>0</v>
      </c>
      <c r="F37" s="83">
        <f>+FY12RevToColl!F37-FY12ProjRevToColl!F37</f>
        <v>0</v>
      </c>
      <c r="G37" s="83">
        <f>+FY12RevToColl!G37-FY12ProjRevToColl!G37</f>
        <v>0</v>
      </c>
      <c r="H37" s="83">
        <f>+FY12RevToColl!H37-FY12ProjRevToColl!H37</f>
        <v>0</v>
      </c>
      <c r="I37" s="83">
        <f>+FY12RevToColl!I37-FY12ProjRevToColl!I37</f>
        <v>0</v>
      </c>
      <c r="J37" s="83">
        <f>+FY12RevToColl!J37-FY12ProjRevToColl!J37</f>
        <v>0</v>
      </c>
      <c r="K37" s="83">
        <f>+FY12RevToColl!K37-FY12ProjRevToColl!K37</f>
        <v>0</v>
      </c>
      <c r="L37" s="83">
        <f>+FY12RevToColl!L37-FY12ProjRevToColl!L37</f>
        <v>0</v>
      </c>
      <c r="M37" s="83">
        <f>+FY12RevToColl!M37-FY12ProjRevToColl!M37</f>
        <v>0</v>
      </c>
      <c r="N37" s="83">
        <f>+FY12RevToColl!N37-FY12ProjRevToColl!N37</f>
        <v>0</v>
      </c>
      <c r="O37" s="83">
        <f>+FY12RevToColl!O37-FY12ProjRevToColl!O37</f>
        <v>0</v>
      </c>
      <c r="P37" s="83">
        <f>+FY12RevToColl!P37-FY12ProjRevToColl!P37</f>
        <v>0</v>
      </c>
      <c r="Q37" s="83">
        <f>+FY12RevToColl!Q37-FY12ProjRevToColl!Q37</f>
        <v>0</v>
      </c>
      <c r="R37" s="83">
        <f>SUM(B37:Q37)</f>
        <v>-68810.376464112516</v>
      </c>
    </row>
    <row r="38" spans="1:18">
      <c r="A38" s="87" t="s">
        <v>96</v>
      </c>
      <c r="B38" s="88">
        <f>+FY12RevToColl!B38-FY12ProjRevToColl!B38</f>
        <v>39248.46912756894</v>
      </c>
      <c r="C38" s="88">
        <f>+FY12RevToColl!C38-FY12ProjRevToColl!C38</f>
        <v>4424.2392282267683</v>
      </c>
      <c r="D38" s="88">
        <f>+FY12RevToColl!D38-FY12ProjRevToColl!D38</f>
        <v>150.34398465625281</v>
      </c>
      <c r="E38" s="88">
        <f>+FY12RevToColl!E38-FY12ProjRevToColl!E38</f>
        <v>-9792.483848417156</v>
      </c>
      <c r="F38" s="88">
        <f>+FY12RevToColl!F38-FY12ProjRevToColl!F38</f>
        <v>-2113.4320123368343</v>
      </c>
      <c r="G38" s="88">
        <f>+FY12RevToColl!G38-FY12ProjRevToColl!G38</f>
        <v>98.503423355793529</v>
      </c>
      <c r="H38" s="88">
        <f>+FY12RevToColl!H38-FY12ProjRevToColl!H38</f>
        <v>385.42637033879873</v>
      </c>
      <c r="I38" s="88">
        <f>+FY12RevToColl!I38-FY12ProjRevToColl!I38</f>
        <v>-3522.7808166945838</v>
      </c>
      <c r="J38" s="88">
        <f>+FY12RevToColl!J38-FY12ProjRevToColl!J38</f>
        <v>0</v>
      </c>
      <c r="K38" s="88">
        <f>+FY12RevToColl!K38-FY12ProjRevToColl!K38</f>
        <v>0</v>
      </c>
      <c r="L38" s="88">
        <f>+FY12RevToColl!L38-FY12ProjRevToColl!L38</f>
        <v>0</v>
      </c>
      <c r="M38" s="88">
        <f>+FY12RevToColl!M38-FY12ProjRevToColl!M38</f>
        <v>-584.29571173247666</v>
      </c>
      <c r="N38" s="88">
        <f>+FY12RevToColl!N38-FY12ProjRevToColl!N38</f>
        <v>0</v>
      </c>
      <c r="O38" s="88">
        <f>+FY12RevToColl!O38-FY12ProjRevToColl!O38</f>
        <v>0</v>
      </c>
      <c r="P38" s="88">
        <f>+FY12RevToColl!P38-FY12ProjRevToColl!P38</f>
        <v>580.12034027046889</v>
      </c>
      <c r="Q38" s="88">
        <f>+FY12RevToColl!Q38-FY12ProjRevToColl!Q38</f>
        <v>0</v>
      </c>
      <c r="R38" s="88">
        <f>SUM(B38:Q38)</f>
        <v>28874.110085235974</v>
      </c>
    </row>
    <row r="39" spans="1:18">
      <c r="A39" s="90" t="s">
        <v>34</v>
      </c>
      <c r="B39" s="91">
        <f>SUM(B22:B38)</f>
        <v>2625909.2149098981</v>
      </c>
      <c r="C39" s="91">
        <f t="shared" ref="C39:R39" si="3">SUM(C22:C38)</f>
        <v>25425.600039710975</v>
      </c>
      <c r="D39" s="91">
        <f t="shared" si="3"/>
        <v>144896.90075471601</v>
      </c>
      <c r="E39" s="91">
        <f t="shared" si="3"/>
        <v>-317713.55739838787</v>
      </c>
      <c r="F39" s="91">
        <f t="shared" si="3"/>
        <v>103581.06193519838</v>
      </c>
      <c r="G39" s="91">
        <f t="shared" si="3"/>
        <v>30982.925543970956</v>
      </c>
      <c r="H39" s="91">
        <f t="shared" si="3"/>
        <v>-47959.386763615941</v>
      </c>
      <c r="I39" s="91">
        <f t="shared" si="3"/>
        <v>14644.334358996166</v>
      </c>
      <c r="J39" s="91">
        <f t="shared" si="3"/>
        <v>38505.470783577082</v>
      </c>
      <c r="K39" s="91">
        <f t="shared" si="3"/>
        <v>41835.659531350386</v>
      </c>
      <c r="L39" s="91">
        <f t="shared" si="3"/>
        <v>20419.230770441951</v>
      </c>
      <c r="M39" s="91">
        <f t="shared" si="3"/>
        <v>52868.930782546646</v>
      </c>
      <c r="N39" s="91">
        <f t="shared" si="3"/>
        <v>33331.223691894527</v>
      </c>
      <c r="O39" s="91">
        <f t="shared" si="3"/>
        <v>30882.159301547723</v>
      </c>
      <c r="P39" s="91">
        <f t="shared" si="3"/>
        <v>102527.77187388725</v>
      </c>
      <c r="Q39" s="91">
        <f t="shared" si="3"/>
        <v>-19791.100574845052</v>
      </c>
      <c r="R39" s="91">
        <f t="shared" si="3"/>
        <v>2880346.4395408863</v>
      </c>
    </row>
    <row r="40" spans="1:18" ht="24" customHeight="1">
      <c r="A40" s="658" t="s">
        <v>113</v>
      </c>
      <c r="B40" s="658"/>
      <c r="C40" s="658"/>
      <c r="D40" s="658"/>
      <c r="E40" s="658"/>
      <c r="F40" s="658"/>
      <c r="G40" s="658"/>
      <c r="H40" s="658"/>
      <c r="I40" s="658"/>
      <c r="J40" s="658"/>
      <c r="K40" s="658"/>
      <c r="L40" s="658"/>
      <c r="M40" s="658"/>
      <c r="N40" s="658"/>
      <c r="O40" s="658"/>
      <c r="P40" s="658"/>
      <c r="Q40" s="658"/>
      <c r="R40" s="658"/>
    </row>
    <row r="41" spans="1:18">
      <c r="A41" s="93" t="s">
        <v>0</v>
      </c>
      <c r="B41" s="94">
        <f>+FY12RevToColl!B41-FY12ProjRevToColl!B41</f>
        <v>-38473.535885127028</v>
      </c>
      <c r="C41" s="94">
        <f>+FY12RevToColl!C41-FY12ProjRevToColl!C41</f>
        <v>-339.65570666094573</v>
      </c>
      <c r="D41" s="94">
        <f>+FY12RevToColl!D41-FY12ProjRevToColl!D41</f>
        <v>0</v>
      </c>
      <c r="E41" s="94">
        <f>+FY12RevToColl!E41-FY12ProjRevToColl!E41</f>
        <v>-3892.5457241326021</v>
      </c>
      <c r="F41" s="94">
        <f>+FY12RevToColl!F41-FY12ProjRevToColl!F41</f>
        <v>0</v>
      </c>
      <c r="G41" s="94">
        <f>+FY12RevToColl!G41-FY12ProjRevToColl!G41</f>
        <v>0</v>
      </c>
      <c r="H41" s="94">
        <f>+FY12RevToColl!H41-FY12ProjRevToColl!H41</f>
        <v>0</v>
      </c>
      <c r="I41" s="94">
        <f>+FY12RevToColl!I41-FY12ProjRevToColl!I41</f>
        <v>57183.024545409717</v>
      </c>
      <c r="J41" s="94">
        <f>+FY12RevToColl!J41-FY12ProjRevToColl!J41</f>
        <v>0</v>
      </c>
      <c r="K41" s="94">
        <f>+FY12RevToColl!K41-FY12ProjRevToColl!K41</f>
        <v>0</v>
      </c>
      <c r="L41" s="94">
        <f>+FY12RevToColl!L41-FY12ProjRevToColl!L41</f>
        <v>8829.8860231628878</v>
      </c>
      <c r="M41" s="94">
        <f>+FY12RevToColl!M41-FY12ProjRevToColl!M41</f>
        <v>0</v>
      </c>
      <c r="N41" s="94">
        <f>+FY12RevToColl!N41-FY12ProjRevToColl!N41</f>
        <v>0</v>
      </c>
      <c r="O41" s="94">
        <f>+FY12RevToColl!O41-FY12ProjRevToColl!O41</f>
        <v>1736.5342103544619</v>
      </c>
      <c r="P41" s="94">
        <f>+FY12RevToColl!P41-FY12ProjRevToColl!P41</f>
        <v>0</v>
      </c>
      <c r="Q41" s="94">
        <f>+FY12RevToColl!Q41-FY12ProjRevToColl!Q41</f>
        <v>0</v>
      </c>
      <c r="R41" s="94">
        <f>SUM(B41:Q41)</f>
        <v>25043.707463006489</v>
      </c>
    </row>
    <row r="42" spans="1:18">
      <c r="A42" s="96" t="s">
        <v>1</v>
      </c>
      <c r="B42" s="97">
        <f>+FY12RevToColl!B42-FY12ProjRevToColl!B42</f>
        <v>1957453.5602461845</v>
      </c>
      <c r="C42" s="97">
        <f>+FY12RevToColl!C42-FY12ProjRevToColl!C42</f>
        <v>142087.0868578814</v>
      </c>
      <c r="D42" s="97">
        <f>+FY12RevToColl!D42-FY12ProjRevToColl!D42</f>
        <v>12745.532182590559</v>
      </c>
      <c r="E42" s="97">
        <f>+FY12RevToColl!E42-FY12ProjRevToColl!E42</f>
        <v>4686.7730012444808</v>
      </c>
      <c r="F42" s="97">
        <f>+FY12RevToColl!F42-FY12ProjRevToColl!F42</f>
        <v>-36455.337730162544</v>
      </c>
      <c r="G42" s="97">
        <f>+FY12RevToColl!G42-FY12ProjRevToColl!G42</f>
        <v>-17389.398760210926</v>
      </c>
      <c r="H42" s="97">
        <f>+FY12RevToColl!H42-FY12ProjRevToColl!H42</f>
        <v>81.129881815542831</v>
      </c>
      <c r="I42" s="97">
        <f>+FY12RevToColl!I42-FY12ProjRevToColl!I42</f>
        <v>5473.6559442601856</v>
      </c>
      <c r="J42" s="97">
        <f>+FY12RevToColl!J42-FY12ProjRevToColl!J42</f>
        <v>0</v>
      </c>
      <c r="K42" s="97">
        <f>+FY12RevToColl!K42-FY12ProjRevToColl!K42</f>
        <v>0</v>
      </c>
      <c r="L42" s="97">
        <f>+FY12RevToColl!L42-FY12ProjRevToColl!L42</f>
        <v>17512.970929850806</v>
      </c>
      <c r="M42" s="97">
        <f>+FY12RevToColl!M42-FY12ProjRevToColl!M42</f>
        <v>-14890.231627526533</v>
      </c>
      <c r="N42" s="97">
        <f>+FY12RevToColl!N42-FY12ProjRevToColl!N42</f>
        <v>0</v>
      </c>
      <c r="O42" s="97">
        <f>+FY12RevToColl!O42-FY12ProjRevToColl!O42</f>
        <v>8850.6985946534642</v>
      </c>
      <c r="P42" s="97">
        <f>+FY12RevToColl!P42-FY12ProjRevToColl!P42</f>
        <v>-273.10480849808391</v>
      </c>
      <c r="Q42" s="97">
        <f>+FY12RevToColl!Q42-FY12ProjRevToColl!Q42</f>
        <v>0</v>
      </c>
      <c r="R42" s="97">
        <f>SUM(B42:Q42)</f>
        <v>2079883.3347120825</v>
      </c>
    </row>
    <row r="43" spans="1:18">
      <c r="A43" s="96" t="s">
        <v>6</v>
      </c>
      <c r="B43" s="97">
        <f>+FY12RevToColl!B43-FY12ProjRevToColl!B43</f>
        <v>-35427.95321286004</v>
      </c>
      <c r="C43" s="97">
        <f>+FY12RevToColl!C43-FY12ProjRevToColl!C43</f>
        <v>13161.787102183793</v>
      </c>
      <c r="D43" s="97">
        <f>+FY12RevToColl!D43-FY12ProjRevToColl!D43</f>
        <v>0</v>
      </c>
      <c r="E43" s="97">
        <f>+FY12RevToColl!E43-FY12ProjRevToColl!E43</f>
        <v>-23201.530757384007</v>
      </c>
      <c r="F43" s="97">
        <f>+FY12RevToColl!F43-FY12ProjRevToColl!F43</f>
        <v>539634.54384490103</v>
      </c>
      <c r="G43" s="97">
        <f>+FY12RevToColl!G43-FY12ProjRevToColl!G43</f>
        <v>6490.9706771057363</v>
      </c>
      <c r="H43" s="97">
        <f>+FY12RevToColl!H43-FY12ProjRevToColl!H43</f>
        <v>0</v>
      </c>
      <c r="I43" s="97">
        <f>+FY12RevToColl!I43-FY12ProjRevToColl!I43</f>
        <v>-18241.682939458358</v>
      </c>
      <c r="J43" s="97">
        <f>+FY12RevToColl!J43-FY12ProjRevToColl!J43</f>
        <v>0</v>
      </c>
      <c r="K43" s="97">
        <f>+FY12RevToColl!K43-FY12ProjRevToColl!K43</f>
        <v>0</v>
      </c>
      <c r="L43" s="97">
        <f>+FY12RevToColl!L43-FY12ProjRevToColl!L43</f>
        <v>48490.972569158403</v>
      </c>
      <c r="M43" s="97">
        <f>+FY12RevToColl!M43-FY12ProjRevToColl!M43</f>
        <v>0</v>
      </c>
      <c r="N43" s="97">
        <f>+FY12RevToColl!N43-FY12ProjRevToColl!N43</f>
        <v>0</v>
      </c>
      <c r="O43" s="97">
        <f>+FY12RevToColl!O43-FY12ProjRevToColl!O43</f>
        <v>0</v>
      </c>
      <c r="P43" s="97">
        <f>+FY12RevToColl!P43-FY12ProjRevToColl!P43</f>
        <v>0</v>
      </c>
      <c r="Q43" s="97">
        <f>+FY12RevToColl!Q43-FY12ProjRevToColl!Q43</f>
        <v>0</v>
      </c>
      <c r="R43" s="97">
        <f t="shared" ref="R43:R53" si="4">SUM(B43:Q43)</f>
        <v>530907.10728364647</v>
      </c>
    </row>
    <row r="44" spans="1:18">
      <c r="A44" s="99" t="s">
        <v>2</v>
      </c>
      <c r="B44" s="97">
        <f>+FY12RevToColl!B44-FY12ProjRevToColl!B44</f>
        <v>248271.02908491425</v>
      </c>
      <c r="C44" s="97">
        <f>+FY12RevToColl!C44-FY12ProjRevToColl!C44</f>
        <v>101799.81776935677</v>
      </c>
      <c r="D44" s="97">
        <f>+FY12RevToColl!D44-FY12ProjRevToColl!D44</f>
        <v>12206.629066948546</v>
      </c>
      <c r="E44" s="97">
        <f>+FY12RevToColl!E44-FY12ProjRevToColl!E44</f>
        <v>-1075.5175647928208</v>
      </c>
      <c r="F44" s="97">
        <f>+FY12RevToColl!F44-FY12ProjRevToColl!F44</f>
        <v>0</v>
      </c>
      <c r="G44" s="97">
        <f>+FY12RevToColl!G44-FY12ProjRevToColl!G44</f>
        <v>0</v>
      </c>
      <c r="H44" s="97">
        <f>+FY12RevToColl!H44-FY12ProjRevToColl!H44</f>
        <v>0</v>
      </c>
      <c r="I44" s="97">
        <f>+FY12RevToColl!I44-FY12ProjRevToColl!I44</f>
        <v>0</v>
      </c>
      <c r="J44" s="97">
        <f>+FY12RevToColl!J44-FY12ProjRevToColl!J44</f>
        <v>0</v>
      </c>
      <c r="K44" s="97">
        <f>+FY12RevToColl!K44-FY12ProjRevToColl!K44</f>
        <v>0</v>
      </c>
      <c r="L44" s="97">
        <f>+FY12RevToColl!L44-FY12ProjRevToColl!L44</f>
        <v>0</v>
      </c>
      <c r="M44" s="97">
        <f>+FY12RevToColl!M44-FY12ProjRevToColl!M44</f>
        <v>0</v>
      </c>
      <c r="N44" s="97">
        <f>+FY12RevToColl!N44-FY12ProjRevToColl!N44</f>
        <v>0</v>
      </c>
      <c r="O44" s="97">
        <f>+FY12RevToColl!O44-FY12ProjRevToColl!O44</f>
        <v>0</v>
      </c>
      <c r="P44" s="97">
        <f>+FY12RevToColl!P44-FY12ProjRevToColl!P44</f>
        <v>0</v>
      </c>
      <c r="Q44" s="97">
        <f>+FY12RevToColl!Q44-FY12ProjRevToColl!Q44</f>
        <v>0</v>
      </c>
      <c r="R44" s="97">
        <f t="shared" si="4"/>
        <v>361201.95835642674</v>
      </c>
    </row>
    <row r="45" spans="1:18">
      <c r="A45" s="96" t="s">
        <v>3</v>
      </c>
      <c r="B45" s="97">
        <f>+FY12RevToColl!B45-FY12ProjRevToColl!B45</f>
        <v>232543.62920774706</v>
      </c>
      <c r="C45" s="97">
        <f>+FY12RevToColl!C45-FY12ProjRevToColl!C45</f>
        <v>53477.508312605321</v>
      </c>
      <c r="D45" s="97">
        <f>+FY12RevToColl!D45-FY12ProjRevToColl!D45</f>
        <v>4238.8732800313883</v>
      </c>
      <c r="E45" s="97">
        <f>+FY12RevToColl!E45-FY12ProjRevToColl!E45</f>
        <v>-929013.39654019568</v>
      </c>
      <c r="F45" s="97">
        <f>+FY12RevToColl!F45-FY12ProjRevToColl!F45</f>
        <v>0</v>
      </c>
      <c r="G45" s="97">
        <f>+FY12RevToColl!G45-FY12ProjRevToColl!G45</f>
        <v>2163.6568923685786</v>
      </c>
      <c r="H45" s="97">
        <f>+FY12RevToColl!H45-FY12ProjRevToColl!H45</f>
        <v>0</v>
      </c>
      <c r="I45" s="97">
        <f>+FY12RevToColl!I45-FY12ProjRevToColl!I45</f>
        <v>-3647.1855254689926</v>
      </c>
      <c r="J45" s="97">
        <f>+FY12RevToColl!J45-FY12ProjRevToColl!J45</f>
        <v>0</v>
      </c>
      <c r="K45" s="97">
        <f>+FY12RevToColl!K45-FY12ProjRevToColl!K45</f>
        <v>0</v>
      </c>
      <c r="L45" s="97">
        <f>+FY12RevToColl!L45-FY12ProjRevToColl!L45</f>
        <v>0</v>
      </c>
      <c r="M45" s="97">
        <f>+FY12RevToColl!M45-FY12ProjRevToColl!M45</f>
        <v>-11167.673720644902</v>
      </c>
      <c r="N45" s="97">
        <f>+FY12RevToColl!N45-FY12ProjRevToColl!N45</f>
        <v>0</v>
      </c>
      <c r="O45" s="97">
        <f>+FY12RevToColl!O45-FY12ProjRevToColl!O45</f>
        <v>0</v>
      </c>
      <c r="P45" s="97">
        <f>+FY12RevToColl!P45-FY12ProjRevToColl!P45</f>
        <v>0</v>
      </c>
      <c r="Q45" s="97">
        <f>+FY12RevToColl!Q45-FY12ProjRevToColl!Q45</f>
        <v>0</v>
      </c>
      <c r="R45" s="97">
        <f t="shared" si="4"/>
        <v>-651404.58809355728</v>
      </c>
    </row>
    <row r="46" spans="1:18">
      <c r="A46" s="96" t="s">
        <v>4</v>
      </c>
      <c r="B46" s="97">
        <f>+FY12RevToColl!B46-FY12ProjRevToColl!B46</f>
        <v>-107483.76874576416</v>
      </c>
      <c r="C46" s="97">
        <f>+FY12RevToColl!C46-FY12ProjRevToColl!C46</f>
        <v>37299.866104087792</v>
      </c>
      <c r="D46" s="97">
        <f>+FY12RevToColl!D46-FY12ProjRevToColl!D46</f>
        <v>53772.1697812645</v>
      </c>
      <c r="E46" s="97">
        <f>+FY12RevToColl!E46-FY12ProjRevToColl!E46</f>
        <v>11293.621977412997</v>
      </c>
      <c r="F46" s="97">
        <f>+FY12RevToColl!F46-FY12ProjRevToColl!F46</f>
        <v>0</v>
      </c>
      <c r="G46" s="97">
        <f>+FY12RevToColl!G46-FY12ProjRevToColl!G46</f>
        <v>-12803.092491857853</v>
      </c>
      <c r="H46" s="97">
        <f>+FY12RevToColl!H46-FY12ProjRevToColl!H46</f>
        <v>0</v>
      </c>
      <c r="I46" s="97">
        <f>+FY12RevToColl!I46-FY12ProjRevToColl!I46</f>
        <v>16420.967832780556</v>
      </c>
      <c r="J46" s="97">
        <f>+FY12RevToColl!J46-FY12ProjRevToColl!J46</f>
        <v>0</v>
      </c>
      <c r="K46" s="97">
        <f>+FY12RevToColl!K46-FY12ProjRevToColl!K46</f>
        <v>0</v>
      </c>
      <c r="L46" s="97">
        <f>+FY12RevToColl!L46-FY12ProjRevToColl!L46</f>
        <v>0</v>
      </c>
      <c r="M46" s="97">
        <f>+FY12RevToColl!M46-FY12ProjRevToColl!M46</f>
        <v>0</v>
      </c>
      <c r="N46" s="97">
        <f>+FY12RevToColl!N46-FY12ProjRevToColl!N46</f>
        <v>0</v>
      </c>
      <c r="O46" s="97">
        <f>+FY12RevToColl!O46-FY12ProjRevToColl!O46</f>
        <v>0</v>
      </c>
      <c r="P46" s="97">
        <f>+FY12RevToColl!P46-FY12ProjRevToColl!P46</f>
        <v>0</v>
      </c>
      <c r="Q46" s="97">
        <f>+FY12RevToColl!Q46-FY12ProjRevToColl!Q46</f>
        <v>0</v>
      </c>
      <c r="R46" s="97">
        <f t="shared" si="4"/>
        <v>-1500.2355420761669</v>
      </c>
    </row>
    <row r="47" spans="1:18">
      <c r="A47" s="96" t="s">
        <v>14</v>
      </c>
      <c r="B47" s="97">
        <f>+FY12RevToColl!B47-FY12ProjRevToColl!B47</f>
        <v>-20098.083672660985</v>
      </c>
      <c r="C47" s="97">
        <f>+FY12RevToColl!C47-FY12ProjRevToColl!C47</f>
        <v>-4446.1078560563474</v>
      </c>
      <c r="D47" s="97">
        <f>+FY12RevToColl!D47-FY12ProjRevToColl!D47</f>
        <v>0</v>
      </c>
      <c r="E47" s="97">
        <f>+FY12RevToColl!E47-FY12ProjRevToColl!E47</f>
        <v>5301.0598038024937</v>
      </c>
      <c r="F47" s="97">
        <f>+FY12RevToColl!F47-FY12ProjRevToColl!F47</f>
        <v>0</v>
      </c>
      <c r="G47" s="97">
        <f>+FY12RevToColl!G47-FY12ProjRevToColl!G47</f>
        <v>9749.2309343981506</v>
      </c>
      <c r="H47" s="97">
        <f>+FY12RevToColl!H47-FY12ProjRevToColl!H47</f>
        <v>-174824.37719924559</v>
      </c>
      <c r="I47" s="97">
        <f>+FY12RevToColl!I47-FY12ProjRevToColl!I47</f>
        <v>0</v>
      </c>
      <c r="J47" s="97">
        <f>+FY12RevToColl!J47-FY12ProjRevToColl!J47</f>
        <v>0</v>
      </c>
      <c r="K47" s="97">
        <f>+FY12RevToColl!K47-FY12ProjRevToColl!K47</f>
        <v>0</v>
      </c>
      <c r="L47" s="97">
        <f>+FY12RevToColl!L47-FY12ProjRevToColl!L47</f>
        <v>0</v>
      </c>
      <c r="M47" s="97">
        <f>+FY12RevToColl!M47-FY12ProjRevToColl!M47</f>
        <v>0</v>
      </c>
      <c r="N47" s="97">
        <f>+FY12RevToColl!N47-FY12ProjRevToColl!N47</f>
        <v>0</v>
      </c>
      <c r="O47" s="97">
        <f>+FY12RevToColl!O47-FY12ProjRevToColl!O47</f>
        <v>0</v>
      </c>
      <c r="P47" s="97">
        <f>+FY12RevToColl!P47-FY12ProjRevToColl!P47</f>
        <v>0</v>
      </c>
      <c r="Q47" s="97">
        <f>+FY12RevToColl!Q47-FY12ProjRevToColl!Q47</f>
        <v>0</v>
      </c>
      <c r="R47" s="97">
        <f t="shared" si="4"/>
        <v>-184318.27798976228</v>
      </c>
    </row>
    <row r="48" spans="1:18">
      <c r="A48" s="96" t="s">
        <v>9</v>
      </c>
      <c r="B48" s="97">
        <f>+FY12RevToColl!B48-FY12ProjRevToColl!B48</f>
        <v>0</v>
      </c>
      <c r="C48" s="97">
        <f>+FY12RevToColl!C48-FY12ProjRevToColl!C48</f>
        <v>1336.6223792571036</v>
      </c>
      <c r="D48" s="97">
        <f>+FY12RevToColl!D48-FY12ProjRevToColl!D48</f>
        <v>0</v>
      </c>
      <c r="E48" s="97">
        <f>+FY12RevToColl!E48-FY12ProjRevToColl!E48</f>
        <v>-19846.74381564782</v>
      </c>
      <c r="F48" s="97">
        <f>+FY12RevToColl!F48-FY12ProjRevToColl!F48</f>
        <v>-28005.848419022739</v>
      </c>
      <c r="G48" s="97">
        <f>+FY12RevToColl!G48-FY12ProjRevToColl!G48</f>
        <v>-5834.2086581514359</v>
      </c>
      <c r="H48" s="97">
        <f>+FY12RevToColl!H48-FY12ProjRevToColl!H48</f>
        <v>0</v>
      </c>
      <c r="I48" s="97">
        <f>+FY12RevToColl!I48-FY12ProjRevToColl!I48</f>
        <v>0</v>
      </c>
      <c r="J48" s="97">
        <f>+FY12RevToColl!J48-FY12ProjRevToColl!J48</f>
        <v>0</v>
      </c>
      <c r="K48" s="97">
        <f>+FY12RevToColl!K48-FY12ProjRevToColl!K48</f>
        <v>0</v>
      </c>
      <c r="L48" s="97">
        <f>+FY12RevToColl!L48-FY12ProjRevToColl!L48</f>
        <v>25053.36979270447</v>
      </c>
      <c r="M48" s="97">
        <f>+FY12RevToColl!M48-FY12ProjRevToColl!M48</f>
        <v>0</v>
      </c>
      <c r="N48" s="97">
        <f>+FY12RevToColl!N48-FY12ProjRevToColl!N48</f>
        <v>0</v>
      </c>
      <c r="O48" s="97">
        <f>+FY12RevToColl!O48-FY12ProjRevToColl!O48</f>
        <v>-6099.6649510909065</v>
      </c>
      <c r="P48" s="97">
        <f>+FY12RevToColl!P48-FY12ProjRevToColl!P48</f>
        <v>0</v>
      </c>
      <c r="Q48" s="97">
        <f>+FY12RevToColl!Q48-FY12ProjRevToColl!Q48</f>
        <v>-79164.402299380163</v>
      </c>
      <c r="R48" s="97">
        <f t="shared" si="4"/>
        <v>-112560.87597133149</v>
      </c>
    </row>
    <row r="49" spans="1:18">
      <c r="A49" s="96" t="s">
        <v>5</v>
      </c>
      <c r="B49" s="97">
        <f>+FY12RevToColl!B49-FY12ProjRevToColl!B49</f>
        <v>0</v>
      </c>
      <c r="C49" s="97">
        <f>+FY12RevToColl!C49-FY12ProjRevToColl!C49</f>
        <v>860.94357333412336</v>
      </c>
      <c r="D49" s="97">
        <f>+FY12RevToColl!D49-FY12ProjRevToColl!D49</f>
        <v>-6314.9414063024888</v>
      </c>
      <c r="E49" s="97">
        <f>+FY12RevToColl!E49-FY12ProjRevToColl!E49</f>
        <v>-7785.0914482652042</v>
      </c>
      <c r="F49" s="97">
        <f>+FY12RevToColl!F49-FY12ProjRevToColl!F49</f>
        <v>348.30314888146086</v>
      </c>
      <c r="G49" s="97">
        <f>+FY12RevToColl!G49-FY12ProjRevToColl!G49</f>
        <v>238959.17554944847</v>
      </c>
      <c r="H49" s="97">
        <f>+FY12RevToColl!H49-FY12ProjRevToColl!H49</f>
        <v>-14225.837536148878</v>
      </c>
      <c r="I49" s="97">
        <f>+FY12RevToColl!I49-FY12ProjRevToColl!I49</f>
        <v>-1663.2335356745898</v>
      </c>
      <c r="J49" s="97">
        <f>+FY12RevToColl!J49-FY12ProjRevToColl!J49</f>
        <v>0</v>
      </c>
      <c r="K49" s="97">
        <f>+FY12RevToColl!K49-FY12ProjRevToColl!K49</f>
        <v>0</v>
      </c>
      <c r="L49" s="97">
        <f>+FY12RevToColl!L49-FY12ProjRevToColl!L49</f>
        <v>-13758.632942406715</v>
      </c>
      <c r="M49" s="97">
        <f>+FY12RevToColl!M49-FY12ProjRevToColl!M49</f>
        <v>0</v>
      </c>
      <c r="N49" s="97">
        <f>+FY12RevToColl!N49-FY12ProjRevToColl!N49</f>
        <v>0</v>
      </c>
      <c r="O49" s="97">
        <f>+FY12RevToColl!O49-FY12ProjRevToColl!O49</f>
        <v>423.23594516347066</v>
      </c>
      <c r="P49" s="97">
        <f>+FY12RevToColl!P49-FY12ProjRevToColl!P49</f>
        <v>12625.198236520338</v>
      </c>
      <c r="Q49" s="97">
        <f>+FY12RevToColl!Q49-FY12ProjRevToColl!Q49</f>
        <v>0</v>
      </c>
      <c r="R49" s="97">
        <f t="shared" si="4"/>
        <v>209469.11958455</v>
      </c>
    </row>
    <row r="50" spans="1:18">
      <c r="A50" s="96" t="s">
        <v>13</v>
      </c>
      <c r="B50" s="97">
        <f>+FY12RevToColl!B50-FY12ProjRevToColl!B50</f>
        <v>-62752.572010825446</v>
      </c>
      <c r="C50" s="97">
        <f>+FY12RevToColl!C50-FY12ProjRevToColl!C50</f>
        <v>0</v>
      </c>
      <c r="D50" s="97">
        <f>+FY12RevToColl!D50-FY12ProjRevToColl!D50</f>
        <v>-10981.879290310491</v>
      </c>
      <c r="E50" s="97">
        <f>+FY12RevToColl!E50-FY12ProjRevToColl!E50</f>
        <v>-3892.5457241326021</v>
      </c>
      <c r="F50" s="97">
        <f>+FY12RevToColl!F50-FY12ProjRevToColl!F50</f>
        <v>0</v>
      </c>
      <c r="G50" s="97">
        <f>+FY12RevToColl!G50-FY12ProjRevToColl!G50</f>
        <v>-27857.519252848579</v>
      </c>
      <c r="H50" s="97">
        <f>+FY12RevToColl!H50-FY12ProjRevToColl!H50</f>
        <v>0</v>
      </c>
      <c r="I50" s="97">
        <f>+FY12RevToColl!I50-FY12ProjRevToColl!I50</f>
        <v>0</v>
      </c>
      <c r="J50" s="97">
        <f>+FY12RevToColl!J50-FY12ProjRevToColl!J50</f>
        <v>0</v>
      </c>
      <c r="K50" s="97">
        <f>+FY12RevToColl!K50-FY12ProjRevToColl!K50</f>
        <v>0</v>
      </c>
      <c r="L50" s="97">
        <f>+FY12RevToColl!L50-FY12ProjRevToColl!L50</f>
        <v>0</v>
      </c>
      <c r="M50" s="97">
        <f>+FY12RevToColl!M50-FY12ProjRevToColl!M50</f>
        <v>0</v>
      </c>
      <c r="N50" s="97">
        <f>+FY12RevToColl!N50-FY12ProjRevToColl!N50</f>
        <v>0</v>
      </c>
      <c r="O50" s="97">
        <f>+FY12RevToColl!O50-FY12ProjRevToColl!O50</f>
        <v>-16139.224697754784</v>
      </c>
      <c r="P50" s="97">
        <f>+FY12RevToColl!P50-FY12ProjRevToColl!P50</f>
        <v>406153.42743493314</v>
      </c>
      <c r="Q50" s="97">
        <f>+FY12RevToColl!Q50-FY12ProjRevToColl!Q50</f>
        <v>0</v>
      </c>
      <c r="R50" s="97">
        <f t="shared" si="4"/>
        <v>284529.68645906122</v>
      </c>
    </row>
    <row r="51" spans="1:18">
      <c r="A51" s="96" t="s">
        <v>8</v>
      </c>
      <c r="B51" s="97">
        <f>+FY12RevToColl!B51-FY12ProjRevToColl!B51</f>
        <v>0</v>
      </c>
      <c r="C51" s="97">
        <f>+FY12RevToColl!C51-FY12ProjRevToColl!C51</f>
        <v>-185227.65321486024</v>
      </c>
      <c r="D51" s="97">
        <f>+FY12RevToColl!D51-FY12ProjRevToColl!D51</f>
        <v>404826.85441424564</v>
      </c>
      <c r="E51" s="97">
        <f>+FY12RevToColl!E51-FY12ProjRevToColl!E51</f>
        <v>3534.0398692016624</v>
      </c>
      <c r="F51" s="97">
        <f>+FY12RevToColl!F51-FY12ProjRevToColl!F51</f>
        <v>0</v>
      </c>
      <c r="G51" s="97">
        <f>+FY12RevToColl!G51-FY12ProjRevToColl!G51</f>
        <v>0</v>
      </c>
      <c r="H51" s="97">
        <f>+FY12RevToColl!H51-FY12ProjRevToColl!H51</f>
        <v>0</v>
      </c>
      <c r="I51" s="97">
        <f>+FY12RevToColl!I51-FY12ProjRevToColl!I51</f>
        <v>0</v>
      </c>
      <c r="J51" s="97">
        <f>+FY12RevToColl!J51-FY12ProjRevToColl!J51</f>
        <v>0</v>
      </c>
      <c r="K51" s="97">
        <f>+FY12RevToColl!K51-FY12ProjRevToColl!K51</f>
        <v>0</v>
      </c>
      <c r="L51" s="97">
        <f>+FY12RevToColl!L51-FY12ProjRevToColl!L51</f>
        <v>0</v>
      </c>
      <c r="M51" s="97">
        <f>+FY12RevToColl!M51-FY12ProjRevToColl!M51</f>
        <v>3728.5310130591652</v>
      </c>
      <c r="N51" s="97">
        <f>+FY12RevToColl!N51-FY12ProjRevToColl!N51</f>
        <v>133324.89476757823</v>
      </c>
      <c r="O51" s="97">
        <f>+FY12RevToColl!O51-FY12ProjRevToColl!O51</f>
        <v>1948.1521829361973</v>
      </c>
      <c r="P51" s="97">
        <f>+FY12RevToColl!P51-FY12ProjRevToColl!P51</f>
        <v>0</v>
      </c>
      <c r="Q51" s="97">
        <f>+FY12RevToColl!Q51-FY12ProjRevToColl!Q51</f>
        <v>0</v>
      </c>
      <c r="R51" s="97">
        <f t="shared" si="4"/>
        <v>362134.81903216068</v>
      </c>
    </row>
    <row r="52" spans="1:18">
      <c r="A52" s="96" t="s">
        <v>10</v>
      </c>
      <c r="B52" s="97">
        <f>+FY12RevToColl!B52-FY12ProjRevToColl!B52</f>
        <v>-187757.36115383031</v>
      </c>
      <c r="C52" s="97">
        <f>+FY12RevToColl!C52-FY12ProjRevToColl!C52</f>
        <v>22280.972838961985</v>
      </c>
      <c r="D52" s="97">
        <f>+FY12RevToColl!D52-FY12ProjRevToColl!D52</f>
        <v>108848.61007917603</v>
      </c>
      <c r="E52" s="97">
        <f>+FY12RevToColl!E52-FY12ProjRevToColl!E52</f>
        <v>-45173.800362563612</v>
      </c>
      <c r="F52" s="97">
        <f>+FY12RevToColl!F52-FY12ProjRevToColl!F52</f>
        <v>0</v>
      </c>
      <c r="G52" s="97">
        <f>+FY12RevToColl!G52-FY12ProjRevToColl!G52</f>
        <v>0</v>
      </c>
      <c r="H52" s="97">
        <f>+FY12RevToColl!H52-FY12ProjRevToColl!H52</f>
        <v>0</v>
      </c>
      <c r="I52" s="97">
        <f>+FY12RevToColl!I52-FY12ProjRevToColl!I52</f>
        <v>0</v>
      </c>
      <c r="J52" s="97">
        <f>+FY12RevToColl!J52-FY12ProjRevToColl!J52</f>
        <v>2590.0074410253656</v>
      </c>
      <c r="K52" s="97">
        <f>+FY12RevToColl!K52-FY12ProjRevToColl!K52</f>
        <v>0</v>
      </c>
      <c r="L52" s="97">
        <f>+FY12RevToColl!L52-FY12ProjRevToColl!L52</f>
        <v>0</v>
      </c>
      <c r="M52" s="97">
        <f>+FY12RevToColl!M52-FY12ProjRevToColl!M52</f>
        <v>237258.86559419148</v>
      </c>
      <c r="N52" s="97">
        <f>+FY12RevToColl!N52-FY12ProjRevToColl!N52</f>
        <v>0</v>
      </c>
      <c r="O52" s="97">
        <f>+FY12RevToColl!O52-FY12ProjRevToColl!O52</f>
        <v>21964.678718799929</v>
      </c>
      <c r="P52" s="97">
        <f>+FY12RevToColl!P52-FY12ProjRevToColl!P52</f>
        <v>0</v>
      </c>
      <c r="Q52" s="97">
        <f>+FY12RevToColl!Q52-FY12ProjRevToColl!Q52</f>
        <v>0</v>
      </c>
      <c r="R52" s="97">
        <f t="shared" si="4"/>
        <v>160011.97315576088</v>
      </c>
    </row>
    <row r="53" spans="1:18">
      <c r="A53" s="96" t="s">
        <v>11</v>
      </c>
      <c r="B53" s="97">
        <f>+FY12RevToColl!B53-FY12ProjRevToColl!B53</f>
        <v>-119277.16874248395</v>
      </c>
      <c r="C53" s="97">
        <f>+FY12RevToColl!C53-FY12ProjRevToColl!C53</f>
        <v>3291.1176368114211</v>
      </c>
      <c r="D53" s="97">
        <f>+FY12RevToColl!D53-FY12ProjRevToColl!D53</f>
        <v>14836.056480109859</v>
      </c>
      <c r="E53" s="97">
        <f>+FY12RevToColl!E53-FY12ProjRevToColl!E53</f>
        <v>-24838.941350450332</v>
      </c>
      <c r="F53" s="97">
        <f>+FY12RevToColl!F53-FY12ProjRevToColl!F53</f>
        <v>0</v>
      </c>
      <c r="G53" s="97">
        <f>+FY12RevToColl!G53-FY12ProjRevToColl!G53</f>
        <v>0</v>
      </c>
      <c r="H53" s="97">
        <f>+FY12RevToColl!H53-FY12ProjRevToColl!H53</f>
        <v>0</v>
      </c>
      <c r="I53" s="97">
        <f>+FY12RevToColl!I53-FY12ProjRevToColl!I53</f>
        <v>0</v>
      </c>
      <c r="J53" s="97">
        <f>+FY12RevToColl!J53-FY12ProjRevToColl!J53</f>
        <v>154683.31159568147</v>
      </c>
      <c r="K53" s="97">
        <f>+FY12RevToColl!K53-FY12ProjRevToColl!K53</f>
        <v>0</v>
      </c>
      <c r="L53" s="97">
        <f>+FY12RevToColl!L53-FY12ProjRevToColl!L53</f>
        <v>0</v>
      </c>
      <c r="M53" s="97">
        <f>+FY12RevToColl!M53-FY12ProjRevToColl!M53</f>
        <v>0</v>
      </c>
      <c r="N53" s="97">
        <f>+FY12RevToColl!N53-FY12ProjRevToColl!N53</f>
        <v>0</v>
      </c>
      <c r="O53" s="97">
        <f>+FY12RevToColl!O53-FY12ProjRevToColl!O53</f>
        <v>-255.20840228231464</v>
      </c>
      <c r="P53" s="97">
        <f>+FY12RevToColl!P53-FY12ProjRevToColl!P53</f>
        <v>0</v>
      </c>
      <c r="Q53" s="97">
        <f>+FY12RevToColl!Q53-FY12ProjRevToColl!Q53</f>
        <v>0</v>
      </c>
      <c r="R53" s="97">
        <f t="shared" si="4"/>
        <v>28439.16721738617</v>
      </c>
    </row>
    <row r="54" spans="1:18">
      <c r="A54" s="96" t="s">
        <v>12</v>
      </c>
      <c r="B54" s="97">
        <f>+FY12RevToColl!B54-FY12ProjRevToColl!B54</f>
        <v>0</v>
      </c>
      <c r="C54" s="97">
        <f>+FY12RevToColl!C54-FY12ProjRevToColl!C54</f>
        <v>-6203.14147932388</v>
      </c>
      <c r="D54" s="97">
        <f>+FY12RevToColl!D54-FY12ProjRevToColl!D54</f>
        <v>0</v>
      </c>
      <c r="E54" s="97">
        <f>+FY12RevToColl!E54-FY12ProjRevToColl!E54</f>
        <v>1767.0199346008312</v>
      </c>
      <c r="F54" s="97">
        <f>+FY12RevToColl!F54-FY12ProjRevToColl!F54</f>
        <v>0</v>
      </c>
      <c r="G54" s="97">
        <f>+FY12RevToColl!G54-FY12ProjRevToColl!G54</f>
        <v>0</v>
      </c>
      <c r="H54" s="97">
        <f>+FY12RevToColl!H54-FY12ProjRevToColl!H54</f>
        <v>0</v>
      </c>
      <c r="I54" s="97">
        <f>+FY12RevToColl!I54-FY12ProjRevToColl!I54</f>
        <v>0</v>
      </c>
      <c r="J54" s="97">
        <f>+FY12RevToColl!J54-FY12ProjRevToColl!J54</f>
        <v>0</v>
      </c>
      <c r="K54" s="97">
        <f>+FY12RevToColl!K54-FY12ProjRevToColl!K54</f>
        <v>167342.63812540146</v>
      </c>
      <c r="L54" s="97">
        <f>+FY12RevToColl!L54-FY12ProjRevToColl!L54</f>
        <v>0</v>
      </c>
      <c r="M54" s="97">
        <f>+FY12RevToColl!M54-FY12ProjRevToColl!M54</f>
        <v>0</v>
      </c>
      <c r="N54" s="97">
        <f>+FY12RevToColl!N54-FY12ProjRevToColl!N54</f>
        <v>0</v>
      </c>
      <c r="O54" s="97">
        <f>+FY12RevToColl!O54-FY12ProjRevToColl!O54</f>
        <v>0</v>
      </c>
      <c r="P54" s="97">
        <f>+FY12RevToColl!P54-FY12ProjRevToColl!P54</f>
        <v>0</v>
      </c>
      <c r="Q54" s="97">
        <f>+FY12RevToColl!Q54-FY12ProjRevToColl!Q54</f>
        <v>0</v>
      </c>
      <c r="R54" s="97">
        <f>SUM(B54:Q54)</f>
        <v>162906.51658067841</v>
      </c>
    </row>
    <row r="55" spans="1:18">
      <c r="A55" s="96" t="s">
        <v>7</v>
      </c>
      <c r="B55" s="97">
        <f>+FY12RevToColl!B55-FY12ProjRevToColl!B55</f>
        <v>-11985.2812503319</v>
      </c>
      <c r="C55" s="97">
        <f>+FY12RevToColl!C55-FY12ProjRevToColl!C55</f>
        <v>-68003.28513155668</v>
      </c>
      <c r="D55" s="97">
        <f>+FY12RevToColl!D55-FY12ProjRevToColl!D55</f>
        <v>-2104.9804687674964</v>
      </c>
      <c r="E55" s="97">
        <f>+FY12RevToColl!E55-FY12ProjRevToColl!E55</f>
        <v>-97714.917073292891</v>
      </c>
      <c r="F55" s="97">
        <f>+FY12RevToColl!F55-FY12ProjRevToColl!F55</f>
        <v>-12022.734537939155</v>
      </c>
      <c r="G55" s="97">
        <f>+FY12RevToColl!G55-FY12ProjRevToColl!G55</f>
        <v>-31528.071018631439</v>
      </c>
      <c r="H55" s="97">
        <f>+FY12RevToColl!H55-FY12ProjRevToColl!H55</f>
        <v>0</v>
      </c>
      <c r="I55" s="97">
        <f>+FY12RevToColl!I55-FY12ProjRevToColl!I55</f>
        <v>0</v>
      </c>
      <c r="J55" s="97">
        <f>+FY12RevToColl!J55-FY12ProjRevToColl!J55</f>
        <v>-3251.4359023984907</v>
      </c>
      <c r="K55" s="97">
        <f>+FY12RevToColl!K55-FY12ProjRevToColl!K55</f>
        <v>0</v>
      </c>
      <c r="L55" s="97">
        <f>+FY12RevToColl!L55-FY12ProjRevToColl!L55</f>
        <v>0</v>
      </c>
      <c r="M55" s="97">
        <f>+FY12RevToColl!M55-FY12ProjRevToColl!M55</f>
        <v>-7349.5461149227558</v>
      </c>
      <c r="N55" s="97">
        <f>+FY12RevToColl!N55-FY12ProjRevToColl!N55</f>
        <v>0</v>
      </c>
      <c r="O55" s="97">
        <f>+FY12RevToColl!O55-FY12ProjRevToColl!O55</f>
        <v>122663.91158984788</v>
      </c>
      <c r="P55" s="97">
        <f>+FY12RevToColl!P55-FY12ProjRevToColl!P55</f>
        <v>-8394.433367406451</v>
      </c>
      <c r="Q55" s="97">
        <f>+FY12RevToColl!Q55-FY12ProjRevToColl!Q55</f>
        <v>0</v>
      </c>
      <c r="R55" s="97">
        <f>SUM(B55:Q55)</f>
        <v>-119690.77327539941</v>
      </c>
    </row>
    <row r="56" spans="1:18">
      <c r="A56" s="96" t="s">
        <v>16</v>
      </c>
      <c r="B56" s="97">
        <f>+FY12RevToColl!B56-FY12ProjRevToColl!B56</f>
        <v>-81260.534335614182</v>
      </c>
      <c r="C56" s="97">
        <f>+FY12RevToColl!C56-FY12ProjRevToColl!C56</f>
        <v>0</v>
      </c>
      <c r="D56" s="97">
        <f>+FY12RevToColl!D56-FY12ProjRevToColl!D56</f>
        <v>0</v>
      </c>
      <c r="E56" s="97">
        <f>+FY12RevToColl!E56-FY12ProjRevToColl!E56</f>
        <v>4046.2893115442039</v>
      </c>
      <c r="F56" s="97">
        <f>+FY12RevToColl!F56-FY12ProjRevToColl!F56</f>
        <v>0</v>
      </c>
      <c r="G56" s="97">
        <f>+FY12RevToColl!G56-FY12ProjRevToColl!G56</f>
        <v>0</v>
      </c>
      <c r="H56" s="97">
        <f>+FY12RevToColl!H56-FY12ProjRevToColl!H56</f>
        <v>0</v>
      </c>
      <c r="I56" s="97">
        <f>+FY12RevToColl!I56-FY12ProjRevToColl!I56</f>
        <v>0</v>
      </c>
      <c r="J56" s="97">
        <f>+FY12RevToColl!J56-FY12ProjRevToColl!J56</f>
        <v>0</v>
      </c>
      <c r="K56" s="97">
        <f>+FY12RevToColl!K56-FY12ProjRevToColl!K56</f>
        <v>0</v>
      </c>
      <c r="L56" s="97">
        <f>+FY12RevToColl!L56-FY12ProjRevToColl!L56</f>
        <v>0</v>
      </c>
      <c r="M56" s="97">
        <f>+FY12RevToColl!M56-FY12ProjRevToColl!M56</f>
        <v>0</v>
      </c>
      <c r="N56" s="97">
        <f>+FY12RevToColl!N56-FY12ProjRevToColl!N56</f>
        <v>0</v>
      </c>
      <c r="O56" s="97">
        <f>+FY12RevToColl!O56-FY12ProjRevToColl!O56</f>
        <v>0</v>
      </c>
      <c r="P56" s="97">
        <f>+FY12RevToColl!P56-FY12ProjRevToColl!P56</f>
        <v>0</v>
      </c>
      <c r="Q56" s="97">
        <f>+FY12RevToColl!Q56-FY12ProjRevToColl!Q56</f>
        <v>0</v>
      </c>
      <c r="R56" s="97">
        <f>SUM(B56:Q56)</f>
        <v>-77214.245024069984</v>
      </c>
    </row>
    <row r="57" spans="1:18">
      <c r="A57" s="101" t="s">
        <v>96</v>
      </c>
      <c r="B57" s="102">
        <f>+FY12RevToColl!B57-FY12ProjRevToColl!B57</f>
        <v>-23145.816256083199</v>
      </c>
      <c r="C57" s="102">
        <f>+FY12RevToColl!C57-FY12ProjRevToColl!C57</f>
        <v>-9673.4790271825623</v>
      </c>
      <c r="D57" s="102">
        <f>+FY12RevToColl!D57-FY12ProjRevToColl!D57</f>
        <v>-12485.321100123001</v>
      </c>
      <c r="E57" s="102">
        <f>+FY12RevToColl!E57-FY12ProjRevToColl!E57</f>
        <v>-145048.00313050297</v>
      </c>
      <c r="F57" s="102">
        <f>+FY12RevToColl!F57-FY12ProjRevToColl!F57</f>
        <v>-49174.678565864611</v>
      </c>
      <c r="G57" s="102">
        <f>+FY12RevToColl!G57-FY12ProjRevToColl!G57</f>
        <v>-38019.041695737171</v>
      </c>
      <c r="H57" s="102">
        <f>+FY12RevToColl!H57-FY12ProjRevToColl!H57</f>
        <v>-2868.4622008849447</v>
      </c>
      <c r="I57" s="102">
        <f>+FY12RevToColl!I57-FY12ProjRevToColl!I57</f>
        <v>3051.791114136533</v>
      </c>
      <c r="J57" s="102">
        <f>+FY12RevToColl!J57-FY12ProjRevToColl!J57</f>
        <v>0</v>
      </c>
      <c r="K57" s="102">
        <f>+FY12RevToColl!K57-FY12ProjRevToColl!K57</f>
        <v>0</v>
      </c>
      <c r="L57" s="102">
        <f>+FY12RevToColl!L57-FY12ProjRevToColl!L57</f>
        <v>-4451.6432907001863</v>
      </c>
      <c r="M57" s="102">
        <f>+FY12RevToColl!M57-FY12ProjRevToColl!M57</f>
        <v>3895.7779860300507</v>
      </c>
      <c r="N57" s="102">
        <f>+FY12RevToColl!N57-FY12ProjRevToColl!N57</f>
        <v>0</v>
      </c>
      <c r="O57" s="102">
        <f>+FY12RevToColl!O57-FY12ProjRevToColl!O57</f>
        <v>-11564.475984436609</v>
      </c>
      <c r="P57" s="102">
        <f>+FY12RevToColl!P57-FY12ProjRevToColl!P57</f>
        <v>0</v>
      </c>
      <c r="Q57" s="102">
        <f>+FY12RevToColl!Q57-FY12ProjRevToColl!Q57</f>
        <v>0</v>
      </c>
      <c r="R57" s="102">
        <f>SUM(B57:Q57)</f>
        <v>-289483.35215134866</v>
      </c>
    </row>
    <row r="58" spans="1:18">
      <c r="A58" s="104" t="s">
        <v>34</v>
      </c>
      <c r="B58" s="105">
        <f>SUM(B41:B57)</f>
        <v>1750606.1432732646</v>
      </c>
      <c r="C58" s="105">
        <f>SUM(C41:C57)</f>
        <v>101702.40015883907</v>
      </c>
      <c r="D58" s="105">
        <f t="shared" ref="D58:R58" si="5">SUM(D41:D57)</f>
        <v>579587.60301886301</v>
      </c>
      <c r="E58" s="105">
        <f t="shared" si="5"/>
        <v>-1270854.2295935538</v>
      </c>
      <c r="F58" s="105">
        <f t="shared" si="5"/>
        <v>414324.24774079345</v>
      </c>
      <c r="G58" s="105">
        <f t="shared" si="5"/>
        <v>123931.70217588352</v>
      </c>
      <c r="H58" s="105">
        <f t="shared" si="5"/>
        <v>-191837.54705446385</v>
      </c>
      <c r="I58" s="105">
        <f t="shared" si="5"/>
        <v>58577.337435985042</v>
      </c>
      <c r="J58" s="105">
        <f t="shared" si="5"/>
        <v>154021.88313430836</v>
      </c>
      <c r="K58" s="105">
        <f t="shared" si="5"/>
        <v>167342.63812540146</v>
      </c>
      <c r="L58" s="105">
        <f t="shared" si="5"/>
        <v>81676.923081769666</v>
      </c>
      <c r="M58" s="105">
        <f t="shared" si="5"/>
        <v>211475.7231301865</v>
      </c>
      <c r="N58" s="105">
        <f t="shared" si="5"/>
        <v>133324.89476757823</v>
      </c>
      <c r="O58" s="105">
        <f t="shared" si="5"/>
        <v>123528.63720619079</v>
      </c>
      <c r="P58" s="105">
        <f t="shared" si="5"/>
        <v>410111.08749554894</v>
      </c>
      <c r="Q58" s="105">
        <f t="shared" si="5"/>
        <v>-79164.402299380163</v>
      </c>
      <c r="R58" s="105">
        <f t="shared" si="5"/>
        <v>2768355.0417972128</v>
      </c>
    </row>
  </sheetData>
  <mergeCells count="3">
    <mergeCell ref="A1:R1"/>
    <mergeCell ref="A21:R21"/>
    <mergeCell ref="A40:R40"/>
  </mergeCells>
  <printOptions horizontalCentered="1"/>
  <pageMargins left="0.5" right="0.5" top="0.6" bottom="0.5" header="0.3" footer="0.3"/>
  <pageSetup scale="52" orientation="landscape"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showGridLines="0" workbookViewId="0">
      <selection sqref="A1:R1"/>
    </sheetView>
  </sheetViews>
  <sheetFormatPr defaultColWidth="8.85546875" defaultRowHeight="15.95" customHeight="1"/>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8.5" customHeight="1">
      <c r="A1" s="659" t="s">
        <v>340</v>
      </c>
      <c r="B1" s="660"/>
      <c r="C1" s="660"/>
      <c r="D1" s="660"/>
      <c r="E1" s="660"/>
      <c r="F1" s="660"/>
      <c r="G1" s="660"/>
      <c r="H1" s="660"/>
      <c r="I1" s="660"/>
      <c r="J1" s="660"/>
      <c r="K1" s="660"/>
      <c r="L1" s="660"/>
      <c r="M1" s="660"/>
      <c r="N1" s="660"/>
      <c r="O1" s="660"/>
      <c r="P1" s="660"/>
      <c r="Q1" s="660"/>
      <c r="R1" s="661"/>
    </row>
    <row r="2" spans="1:18" s="5" customFormat="1" ht="54" customHeight="1">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7.100000000000001" customHeight="1">
      <c r="A3" s="36" t="s">
        <v>0</v>
      </c>
      <c r="B3" s="37">
        <f>+(UGpcntSCH*FY12SCH!B3+UGpcntDeg*FY12Majors!B3)*FY12Revenue!D$3</f>
        <v>3530354.5632949611</v>
      </c>
      <c r="C3" s="37">
        <f>+FY12Revenue!D$4*(GPpcntSCH*FY12SCH!C3+GPpcntMjr*FY12Majors!C3)</f>
        <v>84322.70631294066</v>
      </c>
      <c r="D3" s="37">
        <f>+FY12Revenue!D$5*(GPpcntSCH*FY12SCH!D3+GPpcntMjr*FY12Majors!D3)</f>
        <v>1087.7069507265996</v>
      </c>
      <c r="E3" s="37">
        <f>+FY12Revenue!D$6*(GPpcntSCH*FY12SCH!E3+GPpcntMjr*FY12Majors!E3)</f>
        <v>10573.550598961616</v>
      </c>
      <c r="F3" s="37">
        <f>+FY12Revenue!D$7*(GPpcntSCH*FY12SCH!F3+GPpcntMjr*FY12Majors!F3)</f>
        <v>1864.7979594552496</v>
      </c>
      <c r="G3" s="37">
        <f>+FY12Revenue!D$8*(GPpcntSCH*FY12SCH!G3+GPpcntMjr*FY12Majors!G3)</f>
        <v>2923.77820948931</v>
      </c>
      <c r="H3" s="37">
        <f>FY12Revenue!D$9*(GPpcntSCH*FY12SCH!H3+GPpcntMjr*FY12Majors!H3)</f>
        <v>0</v>
      </c>
      <c r="I3" s="37">
        <f>+FY12Revenue!D$10*(GPpcntSCH*FY12SCH!I3+GPpcntMjr*FY12Majors!I3)</f>
        <v>3665805.3058422506</v>
      </c>
      <c r="J3" s="37">
        <f>+FY12Revenue!D$11*(GPpcntSCH*FY12SCH!J3+GPpcntMjr*FY12Majors!J3)</f>
        <v>209.6750575303036</v>
      </c>
      <c r="K3" s="37">
        <f>+FY12Revenue!D$12*(GPpcntSCH*FY12SCH!K3+GPpcntMjr*FY12Majors!K3)</f>
        <v>0</v>
      </c>
      <c r="L3" s="37">
        <f>+FY12Revenue!D$13*(GPpcntSCH*FY12SCH!L3+GPpcntMjr*FY12Majors!L3)</f>
        <v>9374.1014569171657</v>
      </c>
      <c r="M3" s="37">
        <f>+FY12Revenue!D$14*(GPpcntSCH*FY12SCH!M3+GPpcntMjr*FY12Majors!M3)</f>
        <v>0</v>
      </c>
      <c r="N3" s="37">
        <f>+FY12Revenue!D$15*(GPpcntSCH*FY12SCH!N3+GPpcntMjr*FY12Majors!N3)</f>
        <v>0</v>
      </c>
      <c r="O3" s="37">
        <f>FY12Revenue!D$16*(GPpcntSCH*FY12SCH!O3+GPpcntMjr*FY12Majors!O3)</f>
        <v>1984.6461667078149</v>
      </c>
      <c r="P3" s="37">
        <f>FY12Revenue!D$17*(GPpcntSCH*FY12SCH!P3+GPpcntMjr*FY12Majors!P3)</f>
        <v>0</v>
      </c>
      <c r="Q3" s="37">
        <f>FY12Revenue!D$18*(GPpcntSCH*FY12SCH!Q3+GPpcntMjr*FY12Majors!Q3)</f>
        <v>0</v>
      </c>
      <c r="R3" s="37">
        <f>SUM(B3:Q3)</f>
        <v>7308500.8318499401</v>
      </c>
    </row>
    <row r="4" spans="1:18" s="6" customFormat="1" ht="17.100000000000001" customHeight="1">
      <c r="A4" s="39" t="s">
        <v>1</v>
      </c>
      <c r="B4" s="40">
        <f>+(UGpcntSCH*FY12SCH!B4+UGpcntDeg*FY12Majors!B4)*FY12Revenue!D$3</f>
        <v>146678141.08628577</v>
      </c>
      <c r="C4" s="40">
        <f>+FY12Revenue!D$4*(GPpcntSCH*FY12SCH!C4+GPpcntMjr*FY12Majors!C4)</f>
        <v>8945404.1317153238</v>
      </c>
      <c r="D4" s="40">
        <f>+FY12Revenue!D$5*(GPpcntSCH*FY12SCH!D4+GPpcntMjr*FY12Majors!D4)</f>
        <v>49195.127139661963</v>
      </c>
      <c r="E4" s="40">
        <f>+FY12Revenue!D$6*(GPpcntSCH*FY12SCH!E4+GPpcntMjr*FY12Majors!E4)</f>
        <v>160637.17979977425</v>
      </c>
      <c r="F4" s="40">
        <f>+FY12Revenue!D$7*(GPpcntSCH*FY12SCH!F4+GPpcntMjr*FY12Majors!F4)</f>
        <v>671.3272654038899</v>
      </c>
      <c r="G4" s="40">
        <f>+FY12Revenue!D$8*(GPpcntSCH*FY12SCH!G4+GPpcntMjr*FY12Majors!G4)</f>
        <v>292662.37124610273</v>
      </c>
      <c r="H4" s="40">
        <f>FY12Revenue!D$9*(GPpcntSCH*FY12SCH!H4+GPpcntMjr*FY12Majors!H4)</f>
        <v>15315.107265742779</v>
      </c>
      <c r="I4" s="40">
        <f>+FY12Revenue!D$10*(GPpcntSCH*FY12SCH!I4+GPpcntMjr*FY12Majors!I4)</f>
        <v>19928.475290498896</v>
      </c>
      <c r="J4" s="40">
        <f>+FY12Revenue!D$11*(GPpcntSCH*FY12SCH!J4+GPpcntMjr*FY12Majors!J4)</f>
        <v>2935.4508054242506</v>
      </c>
      <c r="K4" s="40">
        <f>+FY12Revenue!D$12*(GPpcntSCH*FY12SCH!K4+GPpcntMjr*FY12Majors!K4)</f>
        <v>545.45656541103222</v>
      </c>
      <c r="L4" s="40">
        <f>+FY12Revenue!D$13*(GPpcntSCH*FY12SCH!L4+GPpcntMjr*FY12Majors!L4)</f>
        <v>59031.787991944999</v>
      </c>
      <c r="M4" s="40">
        <f>+FY12Revenue!D$14*(GPpcntSCH*FY12SCH!M4+GPpcntMjr*FY12Majors!M4)</f>
        <v>726.87174753372381</v>
      </c>
      <c r="N4" s="40">
        <f>+FY12Revenue!D$15*(GPpcntSCH*FY12SCH!N4+GPpcntMjr*FY12Majors!N4)</f>
        <v>0</v>
      </c>
      <c r="O4" s="40">
        <f>FY12Revenue!D$16*(GPpcntSCH*FY12SCH!O4+GPpcntMjr*FY12Majors!O4)</f>
        <v>26131.216109006062</v>
      </c>
      <c r="P4" s="40">
        <f>FY12Revenue!D$17*(GPpcntSCH*FY12SCH!P4+GPpcntMjr*FY12Majors!P4)</f>
        <v>11092.999505758851</v>
      </c>
      <c r="Q4" s="40">
        <f>FY12Revenue!D$18*(GPpcntSCH*FY12SCH!Q4+GPpcntMjr*FY12Majors!Q4)</f>
        <v>350.91002017372011</v>
      </c>
      <c r="R4" s="40">
        <f>SUM(B4:Q4)</f>
        <v>156262769.49875352</v>
      </c>
    </row>
    <row r="5" spans="1:18" s="6" customFormat="1" ht="17.100000000000001" customHeight="1">
      <c r="A5" s="39" t="s">
        <v>6</v>
      </c>
      <c r="B5" s="40">
        <f>+(UGpcntSCH*FY12SCH!B5+UGpcntDeg*FY12Majors!B5)*FY12Revenue!D$3</f>
        <v>16350388.996743063</v>
      </c>
      <c r="C5" s="40">
        <f>+FY12Revenue!D$4*(GPpcntSCH*FY12SCH!C5+GPpcntMjr*FY12Majors!C5)</f>
        <v>315223.77968217415</v>
      </c>
      <c r="D5" s="40">
        <f>+FY12Revenue!D$5*(GPpcntSCH*FY12SCH!D5+GPpcntMjr*FY12Majors!D5)</f>
        <v>522.09933634876779</v>
      </c>
      <c r="E5" s="40">
        <f>+FY12Revenue!D$6*(GPpcntSCH*FY12SCH!E5+GPpcntMjr*FY12Majors!E5)</f>
        <v>25965.708555762754</v>
      </c>
      <c r="F5" s="40">
        <f>+FY12Revenue!D$7*(GPpcntSCH*FY12SCH!F5+GPpcntMjr*FY12Majors!F5)</f>
        <v>3920226.9172701156</v>
      </c>
      <c r="G5" s="40">
        <f>+FY12Revenue!D$8*(GPpcntSCH*FY12SCH!G5+GPpcntMjr*FY12Majors!G5)</f>
        <v>11765.237251086452</v>
      </c>
      <c r="H5" s="40">
        <f>FY12Revenue!D$9*(GPpcntSCH*FY12SCH!H5+GPpcntMjr*FY12Majors!H5)</f>
        <v>0</v>
      </c>
      <c r="I5" s="40">
        <f>+FY12Revenue!D$10*(GPpcntSCH*FY12SCH!I5+GPpcntMjr*FY12Majors!I5)</f>
        <v>23207.267995333943</v>
      </c>
      <c r="J5" s="40">
        <f>+FY12Revenue!D$11*(GPpcntSCH*FY12SCH!J5+GPpcntMjr*FY12Majors!J5)</f>
        <v>0</v>
      </c>
      <c r="K5" s="40">
        <f>+FY12Revenue!D$12*(GPpcntSCH*FY12SCH!K5+GPpcntMjr*FY12Majors!K5)</f>
        <v>0</v>
      </c>
      <c r="L5" s="40">
        <f>+FY12Revenue!D$13*(GPpcntSCH*FY12SCH!L5+GPpcntMjr*FY12Majors!L5)</f>
        <v>66101.706090627194</v>
      </c>
      <c r="M5" s="40">
        <f>+FY12Revenue!D$14*(GPpcntSCH*FY12SCH!M5+GPpcntMjr*FY12Majors!M5)</f>
        <v>103.83882107624625</v>
      </c>
      <c r="N5" s="40">
        <f>+FY12Revenue!D$15*(GPpcntSCH*FY12SCH!N5+GPpcntMjr*FY12Majors!N5)</f>
        <v>0</v>
      </c>
      <c r="O5" s="40">
        <f>FY12Revenue!D$16*(GPpcntSCH*FY12SCH!O5+GPpcntMjr*FY12Majors!O5)</f>
        <v>165.40797090223526</v>
      </c>
      <c r="P5" s="40">
        <f>FY12Revenue!D$17*(GPpcntSCH*FY12SCH!P5+GPpcntMjr*FY12Majors!P5)</f>
        <v>0</v>
      </c>
      <c r="Q5" s="40">
        <f>FY12Revenue!D$18*(GPpcntSCH*FY12SCH!Q5+GPpcntMjr*FY12Majors!Q5)</f>
        <v>350.91002017372011</v>
      </c>
      <c r="R5" s="40">
        <f t="shared" ref="R5:R15" si="0">SUM(B5:Q5)</f>
        <v>20714021.869736664</v>
      </c>
    </row>
    <row r="6" spans="1:18" s="6" customFormat="1" ht="17.100000000000001" customHeight="1">
      <c r="A6" s="42" t="s">
        <v>2</v>
      </c>
      <c r="B6" s="40">
        <f>+(UGpcntSCH*FY12SCH!B6+UGpcntDeg*FY12Majors!B6)*FY12Revenue!D$3</f>
        <v>1815572.8446264653</v>
      </c>
      <c r="C6" s="40">
        <f>+FY12Revenue!D$4*(GPpcntSCH*FY12SCH!C6+GPpcntMjr*FY12Majors!C6)</f>
        <v>1037362.2686174785</v>
      </c>
      <c r="D6" s="40">
        <f>+FY12Revenue!D$5*(GPpcntSCH*FY12SCH!D6+GPpcntMjr*FY12Majors!D6)</f>
        <v>2619166.8864575205</v>
      </c>
      <c r="E6" s="40">
        <f>+FY12Revenue!D$6*(GPpcntSCH*FY12SCH!E6+GPpcntMjr*FY12Majors!E6)</f>
        <v>15759.949168074068</v>
      </c>
      <c r="F6" s="40">
        <f>+FY12Revenue!D$7*(GPpcntSCH*FY12SCH!F6+GPpcntMjr*FY12Majors!F6)</f>
        <v>671.3272654038899</v>
      </c>
      <c r="G6" s="40">
        <f>+FY12Revenue!D$8*(GPpcntSCH*FY12SCH!G6+GPpcntMjr*FY12Majors!G6)</f>
        <v>4127.6868839849085</v>
      </c>
      <c r="H6" s="40">
        <f>FY12Revenue!D$9*(GPpcntSCH*FY12SCH!H6+GPpcntMjr*FY12Majors!H6)</f>
        <v>128.46770505390776</v>
      </c>
      <c r="I6" s="40">
        <f>+FY12Revenue!D$10*(GPpcntSCH*FY12SCH!I6+GPpcntMjr*FY12Majors!I6)</f>
        <v>203.58900487660151</v>
      </c>
      <c r="J6" s="40">
        <f>+FY12Revenue!D$11*(GPpcntSCH*FY12SCH!J6+GPpcntMjr*FY12Majors!J6)</f>
        <v>629.02517259091076</v>
      </c>
      <c r="K6" s="40">
        <f>+FY12Revenue!D$12*(GPpcntSCH*FY12SCH!K6+GPpcntMjr*FY12Majors!K6)</f>
        <v>0</v>
      </c>
      <c r="L6" s="40">
        <f>+FY12Revenue!D$13*(GPpcntSCH*FY12SCH!L6+GPpcntMjr*FY12Majors!L6)</f>
        <v>699.70555768406894</v>
      </c>
      <c r="M6" s="40">
        <f>+FY12Revenue!D$14*(GPpcntSCH*FY12SCH!M6+GPpcntMjr*FY12Majors!M6)</f>
        <v>0</v>
      </c>
      <c r="N6" s="40">
        <f>+FY12Revenue!D$15*(GPpcntSCH*FY12SCH!N6+GPpcntMjr*FY12Majors!N6)</f>
        <v>0</v>
      </c>
      <c r="O6" s="40">
        <f>FY12Revenue!D$16*(GPpcntSCH*FY12SCH!O6+GPpcntMjr*FY12Majors!O6)</f>
        <v>206.75996362779409</v>
      </c>
      <c r="P6" s="40">
        <f>FY12Revenue!D$17*(GPpcntSCH*FY12SCH!P6+GPpcntMjr*FY12Majors!P6)</f>
        <v>1015.2105954733204</v>
      </c>
      <c r="Q6" s="40">
        <f>FY12Revenue!D$18*(GPpcntSCH*FY12SCH!Q6+GPpcntMjr*FY12Majors!Q6)</f>
        <v>0</v>
      </c>
      <c r="R6" s="40">
        <f t="shared" si="0"/>
        <v>5495543.7210182361</v>
      </c>
    </row>
    <row r="7" spans="1:18" s="6" customFormat="1" ht="17.100000000000001" customHeight="1">
      <c r="A7" s="39" t="s">
        <v>3</v>
      </c>
      <c r="B7" s="40">
        <f>+(UGpcntSCH*FY12SCH!B7+UGpcntDeg*FY12Majors!B7)*FY12Revenue!D$3</f>
        <v>17954818.997299183</v>
      </c>
      <c r="C7" s="40">
        <f>+FY12Revenue!D$4*(GPpcntSCH*FY12SCH!C7+GPpcntMjr*FY12Majors!C7)</f>
        <v>561348.30359928531</v>
      </c>
      <c r="D7" s="40">
        <f>+FY12Revenue!D$5*(GPpcntSCH*FY12SCH!D7+GPpcntMjr*FY12Majors!D7)</f>
        <v>4673.956060322027</v>
      </c>
      <c r="E7" s="40">
        <f>+FY12Revenue!D$6*(GPpcntSCH*FY12SCH!E7+GPpcntMjr*FY12Majors!E7)</f>
        <v>5955363.1613578834</v>
      </c>
      <c r="F7" s="40">
        <f>+FY12Revenue!D$7*(GPpcntSCH*FY12SCH!F7+GPpcntMjr*FY12Majors!F7)</f>
        <v>2685.3090616155596</v>
      </c>
      <c r="G7" s="40">
        <f>+FY12Revenue!D$8*(GPpcntSCH*FY12SCH!G7+GPpcntMjr*FY12Majors!G7)</f>
        <v>3080.9206443652251</v>
      </c>
      <c r="H7" s="40">
        <f>FY12Revenue!D$9*(GPpcntSCH*FY12SCH!H7+GPpcntMjr*FY12Majors!H7)</f>
        <v>42.822568351302579</v>
      </c>
      <c r="I7" s="40">
        <f>+FY12Revenue!D$10*(GPpcntSCH*FY12SCH!I7+GPpcntMjr*FY12Majors!I7)</f>
        <v>16670.111932173953</v>
      </c>
      <c r="J7" s="40">
        <f>+FY12Revenue!D$11*(GPpcntSCH*FY12SCH!J7+GPpcntMjr*FY12Majors!J7)</f>
        <v>0</v>
      </c>
      <c r="K7" s="40">
        <f>+FY12Revenue!D$12*(GPpcntSCH*FY12SCH!K7+GPpcntMjr*FY12Majors!K7)</f>
        <v>396.69568393529613</v>
      </c>
      <c r="L7" s="40">
        <f>+FY12Revenue!D$13*(GPpcntSCH*FY12SCH!L7+GPpcntMjr*FY12Majors!L7)</f>
        <v>0</v>
      </c>
      <c r="M7" s="40">
        <f>+FY12Revenue!D$14*(GPpcntSCH*FY12SCH!M7+GPpcntMjr*FY12Majors!M7)</f>
        <v>0</v>
      </c>
      <c r="N7" s="40">
        <f>+FY12Revenue!D$15*(GPpcntSCH*FY12SCH!N7+GPpcntMjr*FY12Majors!N7)</f>
        <v>0</v>
      </c>
      <c r="O7" s="40">
        <f>FY12Revenue!D$16*(GPpcntSCH*FY12SCH!O7+GPpcntMjr*FY12Majors!O7)</f>
        <v>0</v>
      </c>
      <c r="P7" s="40">
        <f>FY12Revenue!D$17*(GPpcntSCH*FY12SCH!P7+GPpcntMjr*FY12Majors!P7)</f>
        <v>0</v>
      </c>
      <c r="Q7" s="40">
        <f>FY12Revenue!D$18*(GPpcntSCH*FY12SCH!Q7+GPpcntMjr*FY12Majors!Q7)</f>
        <v>0</v>
      </c>
      <c r="R7" s="40">
        <f t="shared" si="0"/>
        <v>24499080.278207116</v>
      </c>
    </row>
    <row r="8" spans="1:18" s="6" customFormat="1" ht="17.100000000000001" customHeight="1">
      <c r="A8" s="39" t="s">
        <v>4</v>
      </c>
      <c r="B8" s="40">
        <f>+(UGpcntSCH*FY12SCH!B8+UGpcntDeg*FY12Majors!B8)*FY12Revenue!D$3</f>
        <v>9552880.3003750108</v>
      </c>
      <c r="C8" s="40">
        <f>+FY12Revenue!D$4*(GPpcntSCH*FY12SCH!C8+GPpcntMjr*FY12Majors!C8)</f>
        <v>2123629.8638610425</v>
      </c>
      <c r="D8" s="40">
        <f>+FY12Revenue!D$5*(GPpcntSCH*FY12SCH!D8+GPpcntMjr*FY12Majors!D8)</f>
        <v>577377.36625066912</v>
      </c>
      <c r="E8" s="40">
        <f>+FY12Revenue!D$6*(GPpcntSCH*FY12SCH!E8+GPpcntMjr*FY12Majors!E8)</f>
        <v>39218.422265288413</v>
      </c>
      <c r="F8" s="40">
        <f>+FY12Revenue!D$7*(GPpcntSCH*FY12SCH!F8+GPpcntMjr*FY12Majors!F8)</f>
        <v>1790.2060410770396</v>
      </c>
      <c r="G8" s="40">
        <f>+FY12Revenue!D$8*(GPpcntSCH*FY12SCH!G8+GPpcntMjr*FY12Majors!G8)</f>
        <v>153082.18582040019</v>
      </c>
      <c r="H8" s="40">
        <f>FY12Revenue!D$9*(GPpcntSCH*FY12SCH!H8+GPpcntMjr*FY12Majors!H8)</f>
        <v>0</v>
      </c>
      <c r="I8" s="40">
        <f>+FY12Revenue!D$10*(GPpcntSCH*FY12SCH!I8+GPpcntMjr*FY12Majors!I8)</f>
        <v>28636.30812537665</v>
      </c>
      <c r="J8" s="40">
        <f>+FY12Revenue!D$11*(GPpcntSCH*FY12SCH!J8+GPpcntMjr*FY12Majors!J8)</f>
        <v>838.70023012121442</v>
      </c>
      <c r="K8" s="40">
        <f>+FY12Revenue!D$12*(GPpcntSCH*FY12SCH!K8+GPpcntMjr*FY12Majors!K8)</f>
        <v>49.586960491912016</v>
      </c>
      <c r="L8" s="40">
        <f>+FY12Revenue!D$13*(GPpcntSCH*FY12SCH!L8+GPpcntMjr*FY12Majors!L8)</f>
        <v>0</v>
      </c>
      <c r="M8" s="40">
        <f>+FY12Revenue!D$14*(GPpcntSCH*FY12SCH!M8+GPpcntMjr*FY12Majors!M8)</f>
        <v>0</v>
      </c>
      <c r="N8" s="40">
        <f>+FY12Revenue!D$15*(GPpcntSCH*FY12SCH!N8+GPpcntMjr*FY12Majors!N8)</f>
        <v>0</v>
      </c>
      <c r="O8" s="40">
        <f>FY12Revenue!D$16*(GPpcntSCH*FY12SCH!O8+GPpcntMjr*FY12Majors!O8)</f>
        <v>289.46394907891175</v>
      </c>
      <c r="P8" s="40">
        <f>FY12Revenue!D$17*(GPpcntSCH*FY12SCH!P8+GPpcntMjr*FY12Majors!P8)</f>
        <v>48.343361689205736</v>
      </c>
      <c r="Q8" s="40">
        <f>FY12Revenue!D$18*(GPpcntSCH*FY12SCH!Q8+GPpcntMjr*FY12Majors!Q8)</f>
        <v>0</v>
      </c>
      <c r="R8" s="40">
        <f t="shared" si="0"/>
        <v>12477840.747240247</v>
      </c>
    </row>
    <row r="9" spans="1:18" s="6" customFormat="1" ht="17.100000000000001" customHeight="1">
      <c r="A9" s="39" t="s">
        <v>14</v>
      </c>
      <c r="B9" s="40">
        <f>+(UGpcntSCH*FY12SCH!B9+UGpcntDeg*FY12Majors!B9)*FY12Revenue!D$3</f>
        <v>1683172.8113725483</v>
      </c>
      <c r="C9" s="40">
        <f>+FY12Revenue!D$4*(GPpcntSCH*FY12SCH!C9+GPpcntMjr*FY12Majors!C9)</f>
        <v>158170.98093101144</v>
      </c>
      <c r="D9" s="40">
        <f>+FY12Revenue!D$5*(GPpcntSCH*FY12SCH!D9+GPpcntMjr*FY12Majors!D9)</f>
        <v>304.55794620344784</v>
      </c>
      <c r="E9" s="40">
        <f>+FY12Revenue!D$6*(GPpcntSCH*FY12SCH!E9+GPpcntMjr*FY12Majors!E9)</f>
        <v>8094.8841490565792</v>
      </c>
      <c r="F9" s="40">
        <f>+FY12Revenue!D$7*(GPpcntSCH*FY12SCH!F9+GPpcntMjr*FY12Majors!F9)</f>
        <v>0</v>
      </c>
      <c r="G9" s="40">
        <f>+FY12Revenue!D$8*(GPpcntSCH*FY12SCH!G9+GPpcntMjr*FY12Majors!G9)</f>
        <v>20963.465628311762</v>
      </c>
      <c r="H9" s="40">
        <f>FY12Revenue!D$9*(GPpcntSCH*FY12SCH!H9+GPpcntMjr*FY12Majors!H9)</f>
        <v>319478.32019217947</v>
      </c>
      <c r="I9" s="40">
        <f>+FY12Revenue!D$10*(GPpcntSCH*FY12SCH!I9+GPpcntMjr*FY12Majors!I9)</f>
        <v>0</v>
      </c>
      <c r="J9" s="40">
        <f>+FY12Revenue!D$11*(GPpcntSCH*FY12SCH!J9+GPpcntMjr*FY12Majors!J9)</f>
        <v>209.6750575303036</v>
      </c>
      <c r="K9" s="40">
        <f>+FY12Revenue!D$12*(GPpcntSCH*FY12SCH!K9+GPpcntMjr*FY12Majors!K9)</f>
        <v>0</v>
      </c>
      <c r="L9" s="40">
        <f>+FY12Revenue!D$13*(GPpcntSCH*FY12SCH!L9+GPpcntMjr*FY12Majors!L9)</f>
        <v>11350.779046874897</v>
      </c>
      <c r="M9" s="40">
        <f>+FY12Revenue!D$14*(GPpcntSCH*FY12SCH!M9+GPpcntMjr*FY12Majors!M9)</f>
        <v>0</v>
      </c>
      <c r="N9" s="40">
        <f>+FY12Revenue!D$15*(GPpcntSCH*FY12SCH!N9+GPpcntMjr*FY12Majors!N9)</f>
        <v>0</v>
      </c>
      <c r="O9" s="40">
        <f>FY12Revenue!D$16*(GPpcntSCH*FY12SCH!O9+GPpcntMjr*FY12Majors!O9)</f>
        <v>0</v>
      </c>
      <c r="P9" s="40">
        <f>FY12Revenue!D$17*(GPpcntSCH*FY12SCH!P9+GPpcntMjr*FY12Majors!P9)</f>
        <v>0</v>
      </c>
      <c r="Q9" s="40">
        <f>FY12Revenue!D$18*(GPpcntSCH*FY12SCH!Q9+GPpcntMjr*FY12Majors!Q9)</f>
        <v>0</v>
      </c>
      <c r="R9" s="40">
        <f t="shared" si="0"/>
        <v>2201745.4743237165</v>
      </c>
    </row>
    <row r="10" spans="1:18" s="6" customFormat="1" ht="17.100000000000001" customHeight="1">
      <c r="A10" s="39" t="s">
        <v>9</v>
      </c>
      <c r="B10" s="40">
        <f>+(UGpcntSCH*FY12SCH!B10+UGpcntDeg*FY12Majors!B10)*FY12Revenue!D$3</f>
        <v>3979.6293662807793</v>
      </c>
      <c r="C10" s="40">
        <f>+FY12Revenue!D$4*(GPpcntSCH*FY12SCH!C10+GPpcntMjr*FY12Majors!C10)</f>
        <v>59834.387183697901</v>
      </c>
      <c r="D10" s="40">
        <f>+FY12Revenue!D$5*(GPpcntSCH*FY12SCH!D10+GPpcntMjr*FY12Majors!D10)</f>
        <v>1131.2152287556635</v>
      </c>
      <c r="E10" s="40">
        <f>+FY12Revenue!D$6*(GPpcntSCH*FY12SCH!E10+GPpcntMjr*FY12Majors!E10)</f>
        <v>29762.401404428434</v>
      </c>
      <c r="F10" s="40">
        <f>+FY12Revenue!D$7*(GPpcntSCH*FY12SCH!F10+GPpcntMjr*FY12Majors!F10)</f>
        <v>4548.0800667670519</v>
      </c>
      <c r="G10" s="40">
        <f>+FY12Revenue!D$8*(GPpcntSCH*FY12SCH!G10+GPpcntMjr*FY12Majors!G10)</f>
        <v>3554.3970389870037</v>
      </c>
      <c r="H10" s="40">
        <f>FY12Revenue!D$9*(GPpcntSCH*FY12SCH!H10+GPpcntMjr*FY12Majors!H10)</f>
        <v>0</v>
      </c>
      <c r="I10" s="40">
        <f>+FY12Revenue!D$10*(GPpcntSCH*FY12SCH!I10+GPpcntMjr*FY12Majors!I10)</f>
        <v>0</v>
      </c>
      <c r="J10" s="40">
        <f>+FY12Revenue!D$11*(GPpcntSCH*FY12SCH!J10+GPpcntMjr*FY12Majors!J10)</f>
        <v>0</v>
      </c>
      <c r="K10" s="40">
        <f>+FY12Revenue!D$12*(GPpcntSCH*FY12SCH!K10+GPpcntMjr*FY12Majors!K10)</f>
        <v>0</v>
      </c>
      <c r="L10" s="40">
        <f>+FY12Revenue!D$13*(GPpcntSCH*FY12SCH!L10+GPpcntMjr*FY12Majors!L10)</f>
        <v>8937201.2504351307</v>
      </c>
      <c r="M10" s="40">
        <f>+FY12Revenue!D$14*(GPpcntSCH*FY12SCH!M10+GPpcntMjr*FY12Majors!M10)</f>
        <v>0</v>
      </c>
      <c r="N10" s="40">
        <f>+FY12Revenue!D$15*(GPpcntSCH*FY12SCH!N10+GPpcntMjr*FY12Majors!N10)</f>
        <v>0</v>
      </c>
      <c r="O10" s="40">
        <f>FY12Revenue!D$16*(GPpcntSCH*FY12SCH!O10+GPpcntMjr*FY12Majors!O10)</f>
        <v>785.68786178561743</v>
      </c>
      <c r="P10" s="40">
        <f>FY12Revenue!D$17*(GPpcntSCH*FY12SCH!P10+GPpcntMjr*FY12Majors!P10)</f>
        <v>145.03008506761722</v>
      </c>
      <c r="Q10" s="40">
        <f>FY12Revenue!D$18*(GPpcntSCH*FY12SCH!Q10+GPpcntMjr*FY12Majors!Q10)</f>
        <v>618040.27303096454</v>
      </c>
      <c r="R10" s="40">
        <f t="shared" si="0"/>
        <v>9658982.351701865</v>
      </c>
    </row>
    <row r="11" spans="1:18" s="6" customFormat="1" ht="17.100000000000001" customHeight="1">
      <c r="A11" s="39" t="s">
        <v>5</v>
      </c>
      <c r="B11" s="40">
        <f>+(UGpcntSCH*FY12SCH!B11+UGpcntDeg*FY12Majors!B11)*FY12Revenue!D$3</f>
        <v>18018.877408437969</v>
      </c>
      <c r="C11" s="40">
        <f>+FY12Revenue!D$4*(GPpcntSCH*FY12SCH!C11+GPpcntMjr*FY12Majors!C11)</f>
        <v>81838.600331841968</v>
      </c>
      <c r="D11" s="40">
        <f>+FY12Revenue!D$5*(GPpcntSCH*FY12SCH!D11+GPpcntMjr*FY12Majors!D11)</f>
        <v>8658.1473277837322</v>
      </c>
      <c r="E11" s="40">
        <f>+FY12Revenue!D$6*(GPpcntSCH*FY12SCH!E11+GPpcntMjr*FY12Majors!E11)</f>
        <v>2449.9690412228133</v>
      </c>
      <c r="F11" s="40">
        <f>+FY12Revenue!D$7*(GPpcntSCH*FY12SCH!F11+GPpcntMjr*FY12Majors!F11)</f>
        <v>12231.047659722681</v>
      </c>
      <c r="G11" s="40">
        <f>+FY12Revenue!D$8*(GPpcntSCH*FY12SCH!G11+GPpcntMjr*FY12Majors!G11)</f>
        <v>2850486.7684006509</v>
      </c>
      <c r="H11" s="40">
        <f>FY12Revenue!D$9*(GPpcntSCH*FY12SCH!H11+GPpcntMjr*FY12Majors!H11)</f>
        <v>685.16109362084126</v>
      </c>
      <c r="I11" s="40">
        <f>+FY12Revenue!D$10*(GPpcntSCH*FY12SCH!I11+GPpcntMjr*FY12Majors!I11)</f>
        <v>97170.425524771301</v>
      </c>
      <c r="J11" s="40">
        <f>+FY12Revenue!D$11*(GPpcntSCH*FY12SCH!J11+GPpcntMjr*FY12Majors!J11)</f>
        <v>2236.533946989905</v>
      </c>
      <c r="K11" s="40">
        <f>+FY12Revenue!D$12*(GPpcntSCH*FY12SCH!K11+GPpcntMjr*FY12Majors!K11)</f>
        <v>0</v>
      </c>
      <c r="L11" s="40">
        <f>+FY12Revenue!D$13*(GPpcntSCH*FY12SCH!L11+GPpcntMjr*FY12Majors!L11)</f>
        <v>51596.430544026851</v>
      </c>
      <c r="M11" s="40">
        <f>+FY12Revenue!D$14*(GPpcntSCH*FY12SCH!M11+GPpcntMjr*FY12Majors!M11)</f>
        <v>0</v>
      </c>
      <c r="N11" s="40">
        <f>+FY12Revenue!D$15*(GPpcntSCH*FY12SCH!N11+GPpcntMjr*FY12Majors!N11)</f>
        <v>0</v>
      </c>
      <c r="O11" s="40">
        <f>FY12Revenue!D$16*(GPpcntSCH*FY12SCH!O11+GPpcntMjr*FY12Majors!O11)</f>
        <v>5499.3160642613057</v>
      </c>
      <c r="P11" s="40">
        <f>FY12Revenue!D$17*(GPpcntSCH*FY12SCH!P11+GPpcntMjr*FY12Majors!P11)</f>
        <v>16589.353895035209</v>
      </c>
      <c r="Q11" s="40">
        <f>FY12Revenue!D$18*(GPpcntSCH*FY12SCH!Q11+GPpcntMjr*FY12Majors!Q11)</f>
        <v>1315.9125756514502</v>
      </c>
      <c r="R11" s="40">
        <f t="shared" si="0"/>
        <v>3148776.543814017</v>
      </c>
    </row>
    <row r="12" spans="1:18" s="6" customFormat="1" ht="17.100000000000001" customHeight="1">
      <c r="A12" s="39" t="s">
        <v>13</v>
      </c>
      <c r="B12" s="40">
        <f>+(UGpcntSCH*FY12SCH!B12+UGpcntDeg*FY12Majors!B12)*FY12Revenue!D$3</f>
        <v>792820.47458431823</v>
      </c>
      <c r="C12" s="40">
        <f>+FY12Revenue!D$4*(GPpcntSCH*FY12SCH!C12+GPpcntMjr*FY12Majors!C12)</f>
        <v>2859.3018892594177</v>
      </c>
      <c r="D12" s="40">
        <f>+FY12Revenue!D$5*(GPpcntSCH*FY12SCH!D12+GPpcntMjr*FY12Majors!D12)</f>
        <v>280077.09473948169</v>
      </c>
      <c r="E12" s="40">
        <f>+FY12Revenue!D$6*(GPpcntSCH*FY12SCH!E12+GPpcntMjr*FY12Majors!E12)</f>
        <v>902.6201730820892</v>
      </c>
      <c r="F12" s="40">
        <f>+FY12Revenue!D$7*(GPpcntSCH*FY12SCH!F12+GPpcntMjr*FY12Majors!F12)</f>
        <v>0</v>
      </c>
      <c r="G12" s="40">
        <f>+FY12Revenue!D$8*(GPpcntSCH*FY12SCH!G12+GPpcntMjr*FY12Majors!G12)</f>
        <v>18600.181835190931</v>
      </c>
      <c r="H12" s="40">
        <f>FY12Revenue!D$9*(GPpcntSCH*FY12SCH!H12+GPpcntMjr*FY12Majors!H12)</f>
        <v>0</v>
      </c>
      <c r="I12" s="40">
        <f>+FY12Revenue!D$10*(GPpcntSCH*FY12SCH!I12+GPpcntMjr*FY12Majors!I12)</f>
        <v>67.86300162553384</v>
      </c>
      <c r="J12" s="40">
        <f>+FY12Revenue!D$11*(GPpcntSCH*FY12SCH!J12+GPpcntMjr*FY12Majors!J12)</f>
        <v>698.91685843434539</v>
      </c>
      <c r="K12" s="40">
        <f>+FY12Revenue!D$12*(GPpcntSCH*FY12SCH!K12+GPpcntMjr*FY12Majors!K12)</f>
        <v>0</v>
      </c>
      <c r="L12" s="40">
        <f>+FY12Revenue!D$13*(GPpcntSCH*FY12SCH!L12+GPpcntMjr*FY12Majors!L12)</f>
        <v>0</v>
      </c>
      <c r="M12" s="40">
        <f>+FY12Revenue!D$14*(GPpcntSCH*FY12SCH!M12+GPpcntMjr*FY12Majors!M12)</f>
        <v>0</v>
      </c>
      <c r="N12" s="40">
        <f>+FY12Revenue!D$15*(GPpcntSCH*FY12SCH!N12+GPpcntMjr*FY12Majors!N12)</f>
        <v>0</v>
      </c>
      <c r="O12" s="40">
        <f>FY12Revenue!D$16*(GPpcntSCH*FY12SCH!O12+GPpcntMjr*FY12Majors!O12)</f>
        <v>6574.2183910068279</v>
      </c>
      <c r="P12" s="40">
        <f>FY12Revenue!D$17*(GPpcntSCH*FY12SCH!P12+GPpcntMjr*FY12Majors!P12)</f>
        <v>2404196.9018563046</v>
      </c>
      <c r="Q12" s="40">
        <f>FY12Revenue!D$18*(GPpcntSCH*FY12SCH!Q12+GPpcntMjr*FY12Majors!Q12)</f>
        <v>0</v>
      </c>
      <c r="R12" s="40">
        <f t="shared" si="0"/>
        <v>3506797.5733287036</v>
      </c>
    </row>
    <row r="13" spans="1:18" s="6" customFormat="1" ht="17.100000000000001" customHeight="1">
      <c r="A13" s="39" t="s">
        <v>8</v>
      </c>
      <c r="B13" s="40">
        <f>+(UGpcntSCH*FY12SCH!B13+UGpcntDeg*FY12Majors!B13)*FY12Revenue!D$3</f>
        <v>12159.978619191268</v>
      </c>
      <c r="C13" s="40">
        <f>+FY12Revenue!D$4*(GPpcntSCH*FY12SCH!C13+GPpcntMjr*FY12Majors!C13)</f>
        <v>21431.086394629954</v>
      </c>
      <c r="D13" s="40">
        <f>+FY12Revenue!D$5*(GPpcntSCH*FY12SCH!D13+GPpcntMjr*FY12Majors!D13)</f>
        <v>508871.7303051101</v>
      </c>
      <c r="E13" s="40">
        <f>+FY12Revenue!D$6*(GPpcntSCH*FY12SCH!E13+GPpcntMjr*FY12Majors!E13)</f>
        <v>4479.6419552876614</v>
      </c>
      <c r="F13" s="40">
        <f>+FY12Revenue!D$7*(GPpcntSCH*FY12SCH!F13+GPpcntMjr*FY12Majors!F13)</f>
        <v>0</v>
      </c>
      <c r="G13" s="40">
        <f>+FY12Revenue!D$8*(GPpcntSCH*FY12SCH!G13+GPpcntMjr*FY12Majors!G13)</f>
        <v>0</v>
      </c>
      <c r="H13" s="40">
        <f>FY12Revenue!D$9*(GPpcntSCH*FY12SCH!H13+GPpcntMjr*FY12Majors!H13)</f>
        <v>0</v>
      </c>
      <c r="I13" s="40">
        <f>+FY12Revenue!D$10*(GPpcntSCH*FY12SCH!I13+GPpcntMjr*FY12Majors!I13)</f>
        <v>0</v>
      </c>
      <c r="J13" s="40">
        <f>+FY12Revenue!D$11*(GPpcntSCH*FY12SCH!J13+GPpcntMjr*FY12Majors!J13)</f>
        <v>0</v>
      </c>
      <c r="K13" s="40">
        <f>+FY12Revenue!D$12*(GPpcntSCH*FY12SCH!K13+GPpcntMjr*FY12Majors!K13)</f>
        <v>0</v>
      </c>
      <c r="L13" s="40">
        <f>+FY12Revenue!D$13*(GPpcntSCH*FY12SCH!L13+GPpcntMjr*FY12Majors!L13)</f>
        <v>0</v>
      </c>
      <c r="M13" s="40">
        <f>+FY12Revenue!D$14*(GPpcntSCH*FY12SCH!M13+GPpcntMjr*FY12Majors!M13)</f>
        <v>4143.8862973641508</v>
      </c>
      <c r="N13" s="40">
        <f>+FY12Revenue!D$15*(GPpcntSCH*FY12SCH!N13+GPpcntMjr*FY12Majors!N13)</f>
        <v>3768871.5142924055</v>
      </c>
      <c r="O13" s="40">
        <f>FY12Revenue!D$16*(GPpcntSCH*FY12SCH!O13+GPpcntMjr*FY12Majors!O13)</f>
        <v>4010.6443261411887</v>
      </c>
      <c r="P13" s="40">
        <f>FY12Revenue!D$17*(GPpcntSCH*FY12SCH!P13+GPpcntMjr*FY12Majors!P13)</f>
        <v>0</v>
      </c>
      <c r="Q13" s="40">
        <f>FY12Revenue!D$18*(GPpcntSCH*FY12SCH!Q13+GPpcntMjr*FY12Majors!Q13)</f>
        <v>0</v>
      </c>
      <c r="R13" s="40">
        <f t="shared" si="0"/>
        <v>4323968.4821901293</v>
      </c>
    </row>
    <row r="14" spans="1:18" s="6" customFormat="1" ht="17.100000000000001" customHeight="1">
      <c r="A14" s="39" t="s">
        <v>10</v>
      </c>
      <c r="B14" s="40">
        <f>+(UGpcntSCH*FY12SCH!B14+UGpcntDeg*FY12Majors!B14)*FY12Revenue!D$3</f>
        <v>5482997.3419917589</v>
      </c>
      <c r="C14" s="40">
        <f>+FY12Revenue!D$4*(GPpcntSCH*FY12SCH!C14+GPpcntMjr*FY12Majors!C14)</f>
        <v>1973146.4576824929</v>
      </c>
      <c r="D14" s="40">
        <f>+FY12Revenue!D$5*(GPpcntSCH*FY12SCH!D14+GPpcntMjr*FY12Majors!D14)</f>
        <v>667292.52514213056</v>
      </c>
      <c r="E14" s="40">
        <f>+FY12Revenue!D$6*(GPpcntSCH*FY12SCH!E14+GPpcntMjr*FY12Majors!E14)</f>
        <v>75547.533356433793</v>
      </c>
      <c r="F14" s="40">
        <f>+FY12Revenue!D$7*(GPpcntSCH*FY12SCH!F14+GPpcntMjr*FY12Majors!F14)</f>
        <v>0</v>
      </c>
      <c r="G14" s="40">
        <f>+FY12Revenue!D$8*(GPpcntSCH*FY12SCH!G14+GPpcntMjr*FY12Majors!G14)</f>
        <v>7395.4390004729603</v>
      </c>
      <c r="H14" s="40">
        <f>FY12Revenue!D$9*(GPpcntSCH*FY12SCH!H14+GPpcntMjr*FY12Majors!H14)</f>
        <v>214.11284175651292</v>
      </c>
      <c r="I14" s="40">
        <f>+FY12Revenue!D$10*(GPpcntSCH*FY12SCH!I14+GPpcntMjr*FY12Majors!I14)</f>
        <v>339.31500812766922</v>
      </c>
      <c r="J14" s="40">
        <f>+FY12Revenue!D$11*(GPpcntSCH*FY12SCH!J14+GPpcntMjr*FY12Majors!J14)</f>
        <v>23856.930326313814</v>
      </c>
      <c r="K14" s="40">
        <f>+FY12Revenue!D$12*(GPpcntSCH*FY12SCH!K14+GPpcntMjr*FY12Majors!K14)</f>
        <v>105173.94320334539</v>
      </c>
      <c r="L14" s="40">
        <f>+FY12Revenue!D$13*(GPpcntSCH*FY12SCH!L14+GPpcntMjr*FY12Majors!L14)</f>
        <v>1243.9209914383448</v>
      </c>
      <c r="M14" s="40">
        <f>+FY12Revenue!D$14*(GPpcntSCH*FY12SCH!M14+GPpcntMjr*FY12Majors!M14)</f>
        <v>10886828.783619391</v>
      </c>
      <c r="N14" s="40">
        <f>+FY12Revenue!D$15*(GPpcntSCH*FY12SCH!N14+GPpcntMjr*FY12Majors!N14)</f>
        <v>98116.739869508354</v>
      </c>
      <c r="O14" s="40">
        <f>FY12Revenue!D$16*(GPpcntSCH*FY12SCH!O14+GPpcntMjr*FY12Majors!O14)</f>
        <v>230613.0466895944</v>
      </c>
      <c r="P14" s="40">
        <f>FY12Revenue!D$17*(GPpcntSCH*FY12SCH!P14+GPpcntMjr*FY12Majors!P14)</f>
        <v>8411.7449339217983</v>
      </c>
      <c r="Q14" s="40">
        <f>FY12Revenue!D$18*(GPpcntSCH*FY12SCH!Q14+GPpcntMjr*FY12Majors!Q14)</f>
        <v>0</v>
      </c>
      <c r="R14" s="40">
        <f t="shared" si="0"/>
        <v>19561177.834656689</v>
      </c>
    </row>
    <row r="15" spans="1:18" s="6" customFormat="1" ht="17.100000000000001" customHeight="1">
      <c r="A15" s="39" t="s">
        <v>11</v>
      </c>
      <c r="B15" s="40">
        <f>+(UGpcntSCH*FY12SCH!B15+UGpcntDeg*FY12Majors!B15)*FY12Revenue!D$3</f>
        <v>2319184.4101154152</v>
      </c>
      <c r="C15" s="40">
        <f>+FY12Revenue!D$4*(GPpcntSCH*FY12SCH!C15+GPpcntMjr*FY12Majors!C15)</f>
        <v>5074.6425776366023</v>
      </c>
      <c r="D15" s="40">
        <f>+FY12Revenue!D$5*(GPpcntSCH*FY12SCH!D15+GPpcntMjr*FY12Majors!D15)</f>
        <v>15662.713762662075</v>
      </c>
      <c r="E15" s="40">
        <f>+FY12Revenue!D$6*(GPpcntSCH*FY12SCH!E15+GPpcntMjr*FY12Majors!E15)</f>
        <v>378247.78943650343</v>
      </c>
      <c r="F15" s="40">
        <f>+FY12Revenue!D$7*(GPpcntSCH*FY12SCH!F15+GPpcntMjr*FY12Majors!F15)</f>
        <v>0</v>
      </c>
      <c r="G15" s="40">
        <f>+FY12Revenue!D$8*(GPpcntSCH*FY12SCH!G15+GPpcntMjr*FY12Majors!G15)</f>
        <v>171.98695349937114</v>
      </c>
      <c r="H15" s="40">
        <f>FY12Revenue!D$9*(GPpcntSCH*FY12SCH!H15+GPpcntMjr*FY12Majors!H15)</f>
        <v>0</v>
      </c>
      <c r="I15" s="40">
        <f>+FY12Revenue!D$10*(GPpcntSCH*FY12SCH!I15+GPpcntMjr*FY12Majors!I15)</f>
        <v>0</v>
      </c>
      <c r="J15" s="40">
        <f>+FY12Revenue!D$11*(GPpcntSCH*FY12SCH!J15+GPpcntMjr*FY12Majors!J15)</f>
        <v>1025646.8523502861</v>
      </c>
      <c r="K15" s="40">
        <f>+FY12Revenue!D$12*(GPpcntSCH*FY12SCH!K15+GPpcntMjr*FY12Majors!K15)</f>
        <v>1090.9131308220644</v>
      </c>
      <c r="L15" s="40">
        <f>+FY12Revenue!D$13*(GPpcntSCH*FY12SCH!L15+GPpcntMjr*FY12Majors!L15)</f>
        <v>0</v>
      </c>
      <c r="M15" s="40">
        <f>+FY12Revenue!D$14*(GPpcntSCH*FY12SCH!M15+GPpcntMjr*FY12Majors!M15)</f>
        <v>0</v>
      </c>
      <c r="N15" s="40">
        <f>+FY12Revenue!D$15*(GPpcntSCH*FY12SCH!N15+GPpcntMjr*FY12Majors!N15)</f>
        <v>0</v>
      </c>
      <c r="O15" s="40">
        <f>FY12Revenue!D$16*(GPpcntSCH*FY12SCH!O15+GPpcntMjr*FY12Majors!O15)</f>
        <v>13107.084789288094</v>
      </c>
      <c r="P15" s="40">
        <f>FY12Revenue!D$17*(GPpcntSCH*FY12SCH!P15+GPpcntMjr*FY12Majors!P15)</f>
        <v>145.03008506761722</v>
      </c>
      <c r="Q15" s="40">
        <f>FY12Revenue!D$18*(GPpcntSCH*FY12SCH!Q15+GPpcntMjr*FY12Majors!Q15)</f>
        <v>0</v>
      </c>
      <c r="R15" s="40">
        <f t="shared" si="0"/>
        <v>3758331.4232011805</v>
      </c>
    </row>
    <row r="16" spans="1:18" s="6" customFormat="1" ht="17.100000000000001" customHeight="1">
      <c r="A16" s="39" t="s">
        <v>12</v>
      </c>
      <c r="B16" s="40">
        <f>+(UGpcntSCH*FY12SCH!B16+UGpcntDeg*FY12Majors!B16)*FY12Revenue!D$3</f>
        <v>6522.1703502934979</v>
      </c>
      <c r="C16" s="40">
        <f>+FY12Revenue!D$4*(GPpcntSCH*FY12SCH!C16+GPpcntMjr*FY12Majors!C16)</f>
        <v>246167.28703729971</v>
      </c>
      <c r="D16" s="40">
        <f>+FY12Revenue!D$5*(GPpcntSCH*FY12SCH!D16+GPpcntMjr*FY12Majors!D16)</f>
        <v>130.52483408719195</v>
      </c>
      <c r="E16" s="40">
        <f>+FY12Revenue!D$6*(GPpcntSCH*FY12SCH!E16+GPpcntMjr*FY12Majors!E16)</f>
        <v>8429.216450206728</v>
      </c>
      <c r="F16" s="40">
        <f>+FY12Revenue!D$7*(GPpcntSCH*FY12SCH!F16+GPpcntMjr*FY12Majors!F16)</f>
        <v>0</v>
      </c>
      <c r="G16" s="40">
        <f>+FY12Revenue!D$8*(GPpcntSCH*FY12SCH!G16+GPpcntMjr*FY12Majors!G16)</f>
        <v>515.96086049811356</v>
      </c>
      <c r="H16" s="40">
        <f>FY12Revenue!D$9*(GPpcntSCH*FY12SCH!H16+GPpcntMjr*FY12Majors!H16)</f>
        <v>0</v>
      </c>
      <c r="I16" s="40">
        <f>+FY12Revenue!D$10*(GPpcntSCH*FY12SCH!I16+GPpcntMjr*FY12Majors!I16)</f>
        <v>0</v>
      </c>
      <c r="J16" s="40">
        <f>+FY12Revenue!D$11*(GPpcntSCH*FY12SCH!J16+GPpcntMjr*FY12Majors!J16)</f>
        <v>4892.418009040417</v>
      </c>
      <c r="K16" s="40">
        <f>+FY12Revenue!D$12*(GPpcntSCH*FY12SCH!K16+GPpcntMjr*FY12Majors!K16)</f>
        <v>4355173.1530441409</v>
      </c>
      <c r="L16" s="40">
        <f>+FY12Revenue!D$13*(GPpcntSCH*FY12SCH!L16+GPpcntMjr*FY12Majors!L16)</f>
        <v>0</v>
      </c>
      <c r="M16" s="40">
        <f>+FY12Revenue!D$14*(GPpcntSCH*FY12SCH!M16+GPpcntMjr*FY12Majors!M16)</f>
        <v>0</v>
      </c>
      <c r="N16" s="40">
        <f>+FY12Revenue!D$15*(GPpcntSCH*FY12SCH!N16+GPpcntMjr*FY12Majors!N16)</f>
        <v>0</v>
      </c>
      <c r="O16" s="40">
        <f>FY12Revenue!D$16*(GPpcntSCH*FY12SCH!O16+GPpcntMjr*FY12Majors!O16)</f>
        <v>744.3358690600586</v>
      </c>
      <c r="P16" s="40">
        <f>FY12Revenue!D$17*(GPpcntSCH*FY12SCH!P16+GPpcntMjr*FY12Majors!P16)</f>
        <v>0</v>
      </c>
      <c r="Q16" s="40">
        <f>FY12Revenue!D$18*(GPpcntSCH*FY12SCH!Q16+GPpcntMjr*FY12Majors!Q16)</f>
        <v>0</v>
      </c>
      <c r="R16" s="40">
        <f>SUM(B16:Q16)</f>
        <v>4622575.0664546266</v>
      </c>
    </row>
    <row r="17" spans="1:23" s="6" customFormat="1" ht="17.100000000000001" customHeight="1">
      <c r="A17" s="39" t="s">
        <v>7</v>
      </c>
      <c r="B17" s="40">
        <f>+(UGpcntSCH*FY12SCH!B17+UGpcntDeg*FY12Majors!B17)*FY12Revenue!D$3</f>
        <v>1630590.3988055415</v>
      </c>
      <c r="C17" s="40">
        <f>+FY12Revenue!D$4*(GPpcntSCH*FY12SCH!C17+GPpcntMjr*FY12Majors!C17)</f>
        <v>42302.664162432447</v>
      </c>
      <c r="D17" s="40">
        <f>+FY12Revenue!D$5*(GPpcntSCH*FY12SCH!D17+GPpcntMjr*FY12Majors!D17)</f>
        <v>2958.562905976351</v>
      </c>
      <c r="E17" s="40">
        <f>+FY12Revenue!D$6*(GPpcntSCH*FY12SCH!E17+GPpcntMjr*FY12Majors!E17)</f>
        <v>2028926.3587889823</v>
      </c>
      <c r="F17" s="40">
        <f>+FY12Revenue!D$7*(GPpcntSCH*FY12SCH!F17+GPpcntMjr*FY12Majors!F17)</f>
        <v>58306.556720115128</v>
      </c>
      <c r="G17" s="40">
        <f>+FY12Revenue!D$8*(GPpcntSCH*FY12SCH!G17+GPpcntMjr*FY12Majors!G17)</f>
        <v>26210.092255039595</v>
      </c>
      <c r="H17" s="40">
        <f>FY12Revenue!D$9*(GPpcntSCH*FY12SCH!H17+GPpcntMjr*FY12Majors!H17)</f>
        <v>128.46770505390776</v>
      </c>
      <c r="I17" s="40">
        <f>+FY12Revenue!D$10*(GPpcntSCH*FY12SCH!I17+GPpcntMjr*FY12Majors!I17)</f>
        <v>1425.1230341362107</v>
      </c>
      <c r="J17" s="40">
        <f>+FY12Revenue!D$11*(GPpcntSCH*FY12SCH!J17+GPpcntMjr*FY12Majors!J17)</f>
        <v>57860.087826776944</v>
      </c>
      <c r="K17" s="40">
        <f>+FY12Revenue!D$12*(GPpcntSCH*FY12SCH!K17+GPpcntMjr*FY12Majors!K17)</f>
        <v>3867.782918369137</v>
      </c>
      <c r="L17" s="40">
        <f>+FY12Revenue!D$13*(GPpcntSCH*FY12SCH!L17+GPpcntMjr*FY12Majors!L17)</f>
        <v>2332.3518589468968</v>
      </c>
      <c r="M17" s="40">
        <f>+FY12Revenue!D$14*(GPpcntSCH*FY12SCH!M17+GPpcntMjr*FY12Majors!M17)</f>
        <v>64485.00138899211</v>
      </c>
      <c r="N17" s="40">
        <f>+FY12Revenue!D$15*(GPpcntSCH*FY12SCH!N17+GPpcntMjr*FY12Majors!N17)</f>
        <v>194.86939398114868</v>
      </c>
      <c r="O17" s="40">
        <f>FY12Revenue!D$16*(GPpcntSCH*FY12SCH!O17+GPpcntMjr*FY12Majors!O17)</f>
        <v>1143831.2960497369</v>
      </c>
      <c r="P17" s="40">
        <f>FY12Revenue!D$17*(GPpcntSCH*FY12SCH!P17+GPpcntMjr*FY12Majors!P17)</f>
        <v>13376.32234461689</v>
      </c>
      <c r="Q17" s="40">
        <f>FY12Revenue!D$18*(GPpcntSCH*FY12SCH!Q17+GPpcntMjr*FY12Majors!Q17)</f>
        <v>175.45501008686006</v>
      </c>
      <c r="R17" s="40">
        <f>SUM(B17:Q17)</f>
        <v>5076971.3911687844</v>
      </c>
    </row>
    <row r="18" spans="1:23" s="6" customFormat="1" ht="17.100000000000001" customHeight="1">
      <c r="A18" s="39" t="s">
        <v>16</v>
      </c>
      <c r="B18" s="40">
        <f>+(UGpcntSCH*FY12SCH!B18+UGpcntDeg*FY12Majors!B18)*FY12Revenue!D$3</f>
        <v>2919132.1027202616</v>
      </c>
      <c r="C18" s="40">
        <f>+FY12Revenue!D$4*(GPpcntSCH*FY12SCH!C18+GPpcntMjr*FY12Majors!C18)</f>
        <v>0</v>
      </c>
      <c r="D18" s="40">
        <f>+FY12Revenue!D$5*(GPpcntSCH*FY12SCH!D18+GPpcntMjr*FY12Majors!D18)</f>
        <v>0</v>
      </c>
      <c r="E18" s="40">
        <f>+FY12Revenue!D$6*(GPpcntSCH*FY12SCH!E18+GPpcntMjr*FY12Majors!E18)</f>
        <v>17670.199346008318</v>
      </c>
      <c r="F18" s="40">
        <f>+FY12Revenue!D$7*(GPpcntSCH*FY12SCH!F18+GPpcntMjr*FY12Majors!F18)</f>
        <v>0</v>
      </c>
      <c r="G18" s="40">
        <f>+FY12Revenue!D$8*(GPpcntSCH*FY12SCH!G18+GPpcntMjr*FY12Majors!G18)</f>
        <v>0</v>
      </c>
      <c r="H18" s="40">
        <f>FY12Revenue!D$9*(GPpcntSCH*FY12SCH!H18+GPpcntMjr*FY12Majors!H18)</f>
        <v>0</v>
      </c>
      <c r="I18" s="40">
        <f>+FY12Revenue!D$10*(GPpcntSCH*FY12SCH!I18+GPpcntMjr*FY12Majors!I18)</f>
        <v>0</v>
      </c>
      <c r="J18" s="40">
        <f>+FY12Revenue!D$11*(GPpcntSCH*FY12SCH!J18+GPpcntMjr*FY12Majors!J18)</f>
        <v>0</v>
      </c>
      <c r="K18" s="40">
        <f>+FY12Revenue!D$12*(GPpcntSCH*FY12SCH!K18+GPpcntMjr*FY12Majors!K18)</f>
        <v>0</v>
      </c>
      <c r="L18" s="40">
        <f>+FY12Revenue!D$13*(GPpcntSCH*FY12SCH!L18+GPpcntMjr*FY12Majors!L18)</f>
        <v>0</v>
      </c>
      <c r="M18" s="40">
        <f>+FY12Revenue!D$14*(GPpcntSCH*FY12SCH!M18+GPpcntMjr*FY12Majors!M18)</f>
        <v>0</v>
      </c>
      <c r="N18" s="40">
        <f>+FY12Revenue!D$15*(GPpcntSCH*FY12SCH!N18+GPpcntMjr*FY12Majors!N18)</f>
        <v>0</v>
      </c>
      <c r="O18" s="40">
        <f>FY12Revenue!D$16*(GPpcntSCH*FY12SCH!O18+GPpcntMjr*FY12Majors!O18)</f>
        <v>0</v>
      </c>
      <c r="P18" s="40">
        <f>FY12Revenue!D$17*(GPpcntSCH*FY12SCH!P18+GPpcntMjr*FY12Majors!P18)</f>
        <v>0</v>
      </c>
      <c r="Q18" s="40">
        <f>FY12Revenue!D$18*(GPpcntSCH*FY12SCH!Q18+GPpcntMjr*FY12Majors!Q18)</f>
        <v>0</v>
      </c>
      <c r="R18" s="40">
        <f>SUM(B18:Q18)</f>
        <v>2936802.3020662698</v>
      </c>
    </row>
    <row r="19" spans="1:23" s="47" customFormat="1" ht="17.100000000000001" customHeight="1">
      <c r="A19" s="44" t="s">
        <v>96</v>
      </c>
      <c r="B19" s="45">
        <f>+(UGpcntSCH*FY12SCH!B19+UGpcntDeg*FY12Majors!B19)*FY12Revenue!D$3</f>
        <v>661916.3208997309</v>
      </c>
      <c r="C19" s="45">
        <f>+FY12Revenue!D$4*(GPpcntSCH*FY12SCH!C19+GPpcntMjr*FY12Majors!C19)</f>
        <v>1263713.387293509</v>
      </c>
      <c r="D19" s="45">
        <f>+FY12Revenue!D$5*(GPpcntSCH*FY12SCH!D19+GPpcntMjr*FY12Majors!D19)</f>
        <v>23674.338247813586</v>
      </c>
      <c r="E19" s="45">
        <f>+FY12Revenue!D$6*(GPpcntSCH*FY12SCH!E19+GPpcntMjr*FY12Majors!E19)</f>
        <v>110620.26076746818</v>
      </c>
      <c r="F19" s="45">
        <f>+FY12Revenue!D$7*(GPpcntSCH*FY12SCH!F19+GPpcntMjr*FY12Majors!F19)</f>
        <v>43988.96230010633</v>
      </c>
      <c r="G19" s="45">
        <f>+FY12Revenue!D$8*(GPpcntSCH*FY12SCH!G19+GPpcntMjr*FY12Majors!G19)</f>
        <v>9514.5623369711702</v>
      </c>
      <c r="H19" s="45">
        <f>FY12Revenue!D$9*(GPpcntSCH*FY12SCH!H19+GPpcntMjr*FY12Majors!H19)</f>
        <v>5945.7489133923973</v>
      </c>
      <c r="I19" s="45">
        <f>+FY12Revenue!D$10*(GPpcntSCH*FY12SCH!I19+GPpcntMjr*FY12Majors!I19)</f>
        <v>101262.63496881344</v>
      </c>
      <c r="J19" s="45">
        <f>+FY12Revenue!D$11*(GPpcntSCH*FY12SCH!J19+GPpcntMjr*FY12Majors!J19)</f>
        <v>0</v>
      </c>
      <c r="K19" s="45">
        <f>+FY12Revenue!D$12*(GPpcntSCH*FY12SCH!K19+GPpcntMjr*FY12Majors!K19)</f>
        <v>0</v>
      </c>
      <c r="L19" s="45">
        <f>+FY12Revenue!D$13*(GPpcntSCH*FY12SCH!L19+GPpcntMjr*FY12Majors!L19)</f>
        <v>0</v>
      </c>
      <c r="M19" s="45">
        <f>+FY12Revenue!D$14*(GPpcntSCH*FY12SCH!M19+GPpcntMjr*FY12Majors!M19)</f>
        <v>108127.39937871581</v>
      </c>
      <c r="N19" s="45">
        <f>+FY12Revenue!D$15*(GPpcntSCH*FY12SCH!N19+GPpcntMjr*FY12Majors!N19)</f>
        <v>0</v>
      </c>
      <c r="O19" s="45">
        <f>FY12Revenue!D$16*(GPpcntSCH*FY12SCH!O19+GPpcntMjr*FY12Majors!O19)</f>
        <v>5209.6026310633861</v>
      </c>
      <c r="P19" s="45">
        <f>FY12Revenue!D$17*(GPpcntSCH*FY12SCH!P19+GPpcntMjr*FY12Majors!P19)</f>
        <v>580.12034027046889</v>
      </c>
      <c r="Q19" s="45">
        <f>FY12Revenue!D$18*(GPpcntSCH*FY12SCH!Q19+GPpcntMjr*FY12Majors!Q19)</f>
        <v>0</v>
      </c>
      <c r="R19" s="45">
        <f>SUM(B19:Q19)</f>
        <v>2334553.3380778544</v>
      </c>
    </row>
    <row r="20" spans="1:23" s="6" customFormat="1" ht="17.100000000000001" customHeight="1">
      <c r="A20" s="48" t="s">
        <v>34</v>
      </c>
      <c r="B20" s="49">
        <f>SUM(B3:B19)</f>
        <v>211412651.30485818</v>
      </c>
      <c r="C20" s="49">
        <f t="shared" ref="C20:R20" si="1">SUM(C3:C19)</f>
        <v>16921829.849272057</v>
      </c>
      <c r="D20" s="49">
        <f t="shared" si="1"/>
        <v>4760784.5526352534</v>
      </c>
      <c r="E20" s="49">
        <f t="shared" si="1"/>
        <v>8872648.8466144241</v>
      </c>
      <c r="F20" s="49">
        <f t="shared" si="1"/>
        <v>4046984.5316097825</v>
      </c>
      <c r="G20" s="49">
        <f t="shared" si="1"/>
        <v>3405055.0343650505</v>
      </c>
      <c r="H20" s="49">
        <f t="shared" si="1"/>
        <v>341938.20828515111</v>
      </c>
      <c r="I20" s="49">
        <f t="shared" si="1"/>
        <v>3954716.4197279844</v>
      </c>
      <c r="J20" s="49">
        <f t="shared" si="1"/>
        <v>1120014.2656410385</v>
      </c>
      <c r="K20" s="49">
        <f t="shared" si="1"/>
        <v>4466297.531506516</v>
      </c>
      <c r="L20" s="49">
        <f t="shared" si="1"/>
        <v>9138932.0339735895</v>
      </c>
      <c r="M20" s="49">
        <f t="shared" si="1"/>
        <v>11064415.781253072</v>
      </c>
      <c r="N20" s="49">
        <f t="shared" si="1"/>
        <v>3867183.1235558949</v>
      </c>
      <c r="O20" s="49">
        <f t="shared" si="1"/>
        <v>1439152.7268312606</v>
      </c>
      <c r="P20" s="49">
        <f t="shared" si="1"/>
        <v>2455601.0570032056</v>
      </c>
      <c r="Q20" s="49">
        <f t="shared" si="1"/>
        <v>620233.46065705025</v>
      </c>
      <c r="R20" s="49">
        <f t="shared" si="1"/>
        <v>287888438.72778958</v>
      </c>
    </row>
    <row r="21" spans="1:23" ht="25.5" customHeight="1">
      <c r="A21" s="658" t="s">
        <v>112</v>
      </c>
      <c r="B21" s="658"/>
      <c r="C21" s="658"/>
      <c r="D21" s="658"/>
      <c r="E21" s="658"/>
      <c r="F21" s="658"/>
      <c r="G21" s="658"/>
      <c r="H21" s="658"/>
      <c r="I21" s="658"/>
      <c r="J21" s="658"/>
      <c r="K21" s="658"/>
      <c r="L21" s="658"/>
      <c r="M21" s="658"/>
      <c r="N21" s="658"/>
      <c r="O21" s="658"/>
      <c r="P21" s="658"/>
      <c r="Q21" s="658"/>
      <c r="R21" s="658"/>
      <c r="S21" s="77"/>
      <c r="T21" s="77"/>
      <c r="U21" s="77"/>
      <c r="V21" s="77"/>
      <c r="W21" s="78"/>
    </row>
    <row r="22" spans="1:23" ht="17.100000000000001" customHeight="1">
      <c r="A22" s="79" t="s">
        <v>0</v>
      </c>
      <c r="B22" s="80">
        <f>+UGpcntSCH*FY12SCH!B3*FY12Revenue!D$3</f>
        <v>2064874.9147988518</v>
      </c>
      <c r="C22" s="80">
        <f>+FY12Revenue!$D$4*GPpcntSCH*FY12SCH!C3</f>
        <v>25082.588850335087</v>
      </c>
      <c r="D22" s="80">
        <f>+FY12Revenue!$D$5*GPpcntSCH*FY12SCH!D3</f>
        <v>1087.7069507265996</v>
      </c>
      <c r="E22" s="80">
        <f>+FY12Revenue!$D$6*GPpcntSCH*FY12SCH!E3</f>
        <v>10573.550598961614</v>
      </c>
      <c r="F22" s="80">
        <f>+FY12Revenue!$D$7*GPpcntSCH*FY12SCH!F3</f>
        <v>1864.7979594552498</v>
      </c>
      <c r="G22" s="80">
        <f>+FY12Revenue!$D$8*GPpcntSCH*FY12SCH!G3</f>
        <v>2923.77820948931</v>
      </c>
      <c r="H22" s="80">
        <f>+FY12Revenue!$D$9*GPpcntSCH*FY12SCH!H3</f>
        <v>0</v>
      </c>
      <c r="I22" s="80">
        <f>+FY12Revenue!$D$10*GPpcntSCH*FY12SCH!I3</f>
        <v>737399.37566305068</v>
      </c>
      <c r="J22" s="80">
        <f>+FY12Revenue!$D$11*GPpcntSCH*FY12SCH!J3</f>
        <v>209.6750575303036</v>
      </c>
      <c r="K22" s="80">
        <f>+FY12Revenue!$D$12*GPpcntSCH*FY12SCH!K3</f>
        <v>0</v>
      </c>
      <c r="L22" s="80">
        <f>+FY12Revenue!$D$13*GPpcntSCH*FY12SCH!L3</f>
        <v>544.21543375427586</v>
      </c>
      <c r="M22" s="80">
        <f>+FY12Revenue!$D$14*GPpcntSCH*FY12SCH!M3</f>
        <v>0</v>
      </c>
      <c r="N22" s="80">
        <f>+FY12Revenue!$D$15*GPpcntSCH*FY12SCH!N3</f>
        <v>0</v>
      </c>
      <c r="O22" s="80">
        <f>+FY12Revenue!$D$16*GPpcntSCH*FY12SCH!O3</f>
        <v>248.11195635335287</v>
      </c>
      <c r="P22" s="80">
        <f>+FY12Revenue!$D$17*GPpcntSCH*FY12SCH!P3</f>
        <v>0</v>
      </c>
      <c r="Q22" s="80">
        <f>+FY12Revenue!$D$18*GPpcntSCH*FY12SCH!Q3</f>
        <v>0</v>
      </c>
      <c r="R22" s="80">
        <f>SUM(B22:Q22)</f>
        <v>2844808.7154785083</v>
      </c>
    </row>
    <row r="23" spans="1:23" ht="17.100000000000001" customHeight="1">
      <c r="A23" s="82" t="s">
        <v>1</v>
      </c>
      <c r="B23" s="83">
        <f>+UGpcntSCH*FY12SCH!B4*FY12Revenue!D$3</f>
        <v>88531055.972802565</v>
      </c>
      <c r="C23" s="83">
        <f>+FY12Revenue!$D$4*GPpcntSCH*FY12SCH!C4</f>
        <v>1904606.4673634241</v>
      </c>
      <c r="D23" s="83">
        <f>+FY12Revenue!$D$5*GPpcntSCH*FY12SCH!D4</f>
        <v>32239.634019536414</v>
      </c>
      <c r="E23" s="83">
        <f>+FY12Revenue!$D$6*GPpcntSCH*FY12SCH!E4</f>
        <v>91723.402350341814</v>
      </c>
      <c r="F23" s="83">
        <f>+FY12Revenue!$D$7*GPpcntSCH*FY12SCH!F4</f>
        <v>671.3272654038899</v>
      </c>
      <c r="G23" s="83">
        <f>+FY12Revenue!$D$8*GPpcntSCH*FY12SCH!G4</f>
        <v>41678.171731347618</v>
      </c>
      <c r="H23" s="83">
        <f>+FY12Revenue!$D$9*GPpcntSCH*FY12SCH!H4</f>
        <v>3040.402352942483</v>
      </c>
      <c r="I23" s="83">
        <f>+FY12Revenue!$D$10*GPpcntSCH*FY12SCH!I4</f>
        <v>14454.819346238708</v>
      </c>
      <c r="J23" s="83">
        <f>+FY12Revenue!$D$11*GPpcntSCH*FY12SCH!J4</f>
        <v>2935.4508054242501</v>
      </c>
      <c r="K23" s="83">
        <f>+FY12Revenue!$D$12*GPpcntSCH*FY12SCH!K4</f>
        <v>545.45656541103222</v>
      </c>
      <c r="L23" s="83">
        <f>+FY12Revenue!$D$13*GPpcntSCH*FY12SCH!L4</f>
        <v>23712.243899293448</v>
      </c>
      <c r="M23" s="83">
        <f>+FY12Revenue!$D$14*GPpcntSCH*FY12SCH!M4</f>
        <v>726.87174753372381</v>
      </c>
      <c r="N23" s="83">
        <f>+FY12Revenue!$D$15*GPpcntSCH*FY12SCH!N4</f>
        <v>0</v>
      </c>
      <c r="O23" s="83">
        <f>+FY12Revenue!$D$16*GPpcntSCH*FY12SCH!O4</f>
        <v>3556.271374398058</v>
      </c>
      <c r="P23" s="83">
        <f>+FY12Revenue!$D$17*GPpcntSCH*FY12SCH!P4</f>
        <v>6042.9202111507175</v>
      </c>
      <c r="Q23" s="83">
        <f>+FY12Revenue!$D$18*GPpcntSCH*FY12SCH!Q4</f>
        <v>350.91002017372011</v>
      </c>
      <c r="R23" s="83">
        <f>SUM(B23:Q23)</f>
        <v>90657340.321855187</v>
      </c>
    </row>
    <row r="24" spans="1:23" ht="17.100000000000001" customHeight="1">
      <c r="A24" s="82" t="s">
        <v>6</v>
      </c>
      <c r="B24" s="83">
        <f>+UGpcntSCH*FY12SCH!B5*FY12Revenue!D$3</f>
        <v>8177143.44036543</v>
      </c>
      <c r="C24" s="83">
        <f>+FY12Revenue!$D$4*GPpcntSCH*FY12SCH!C5</f>
        <v>58516.604010883326</v>
      </c>
      <c r="D24" s="83">
        <f>+FY12Revenue!$D$5*GPpcntSCH*FY12SCH!D5</f>
        <v>522.09933634876779</v>
      </c>
      <c r="E24" s="83">
        <f>+FY12Revenue!$D$6*GPpcntSCH*FY12SCH!E5</f>
        <v>8295.5092097544366</v>
      </c>
      <c r="F24" s="83">
        <f>+FY12Revenue!$D$7*GPpcntSCH*FY12SCH!F5</f>
        <v>788212.8015025449</v>
      </c>
      <c r="G24" s="83">
        <f>+FY12Revenue!$D$8*GPpcntSCH*FY12SCH!G5</f>
        <v>5274.2665739807162</v>
      </c>
      <c r="H24" s="83">
        <f>+FY12Revenue!$D$9*GPpcntSCH*FY12SCH!H5</f>
        <v>0</v>
      </c>
      <c r="I24" s="83">
        <f>+FY12Revenue!$D$10*GPpcntSCH*FY12SCH!I5</f>
        <v>6786.3001625533834</v>
      </c>
      <c r="J24" s="83">
        <f>+FY12Revenue!$D$11*GPpcntSCH*FY12SCH!J5</f>
        <v>0</v>
      </c>
      <c r="K24" s="83">
        <f>+FY12Revenue!$D$12*GPpcntSCH*FY12SCH!K5</f>
        <v>0</v>
      </c>
      <c r="L24" s="83">
        <f>+FY12Revenue!$D$13*GPpcntSCH*FY12SCH!L5</f>
        <v>8707.4469400684138</v>
      </c>
      <c r="M24" s="83">
        <f>+FY12Revenue!$D$14*GPpcntSCH*FY12SCH!M5</f>
        <v>103.83882107624625</v>
      </c>
      <c r="N24" s="83">
        <f>+FY12Revenue!$D$15*GPpcntSCH*FY12SCH!N5</f>
        <v>0</v>
      </c>
      <c r="O24" s="83">
        <f>+FY12Revenue!$D$16*GPpcntSCH*FY12SCH!O5</f>
        <v>165.40797090223526</v>
      </c>
      <c r="P24" s="83">
        <f>+FY12Revenue!$D$17*GPpcntSCH*FY12SCH!P5</f>
        <v>0</v>
      </c>
      <c r="Q24" s="83">
        <f>+FY12Revenue!$D$18*GPpcntSCH*FY12SCH!Q5</f>
        <v>350.91002017372011</v>
      </c>
      <c r="R24" s="83">
        <f t="shared" ref="R24:R34" si="2">SUM(B24:Q24)</f>
        <v>9054078.6249137167</v>
      </c>
    </row>
    <row r="25" spans="1:23" ht="17.100000000000001" customHeight="1">
      <c r="A25" s="85" t="s">
        <v>2</v>
      </c>
      <c r="B25" s="83">
        <f>+UGpcntSCH*FY12SCH!B6*FY12Revenue!D$3</f>
        <v>1392649.1876779236</v>
      </c>
      <c r="C25" s="83">
        <f>+FY12Revenue!$D$4*GPpcntSCH*FY12SCH!C6</f>
        <v>187156.87910786149</v>
      </c>
      <c r="D25" s="83">
        <f>+FY12Revenue!$D$5*GPpcntSCH*FY12SCH!D6</f>
        <v>520924.61284198309</v>
      </c>
      <c r="E25" s="83">
        <f>+FY12Revenue!$D$6*GPpcntSCH*FY12SCH!E6</f>
        <v>5157.8295604690802</v>
      </c>
      <c r="F25" s="83">
        <f>+FY12Revenue!$D$7*GPpcntSCH*FY12SCH!F6</f>
        <v>671.3272654038899</v>
      </c>
      <c r="G25" s="83">
        <f>+FY12Revenue!$D$8*GPpcntSCH*FY12SCH!G6</f>
        <v>4127.6868839849085</v>
      </c>
      <c r="H25" s="83">
        <f>+FY12Revenue!$D$9*GPpcntSCH*FY12SCH!H6</f>
        <v>128.46770505390774</v>
      </c>
      <c r="I25" s="83">
        <f>+FY12Revenue!$D$10*GPpcntSCH*FY12SCH!I6</f>
        <v>203.58900487660151</v>
      </c>
      <c r="J25" s="83">
        <f>+FY12Revenue!$D$11*GPpcntSCH*FY12SCH!J6</f>
        <v>629.02517259091076</v>
      </c>
      <c r="K25" s="83">
        <f>+FY12Revenue!$D$12*GPpcntSCH*FY12SCH!K6</f>
        <v>0</v>
      </c>
      <c r="L25" s="83">
        <f>+FY12Revenue!$D$13*GPpcntSCH*FY12SCH!L6</f>
        <v>699.70555768406905</v>
      </c>
      <c r="M25" s="83">
        <f>+FY12Revenue!$D$14*GPpcntSCH*FY12SCH!M6</f>
        <v>0</v>
      </c>
      <c r="N25" s="83">
        <f>+FY12Revenue!$D$15*GPpcntSCH*FY12SCH!N6</f>
        <v>0</v>
      </c>
      <c r="O25" s="83">
        <f>+FY12Revenue!$D$16*GPpcntSCH*FY12SCH!O6</f>
        <v>206.75996362779406</v>
      </c>
      <c r="P25" s="83">
        <f>+FY12Revenue!$D$17*GPpcntSCH*FY12SCH!P6</f>
        <v>1015.2105954733204</v>
      </c>
      <c r="Q25" s="83">
        <f>+FY12Revenue!$D$18*GPpcntSCH*FY12SCH!Q6</f>
        <v>0</v>
      </c>
      <c r="R25" s="83">
        <f t="shared" si="2"/>
        <v>2113570.281336932</v>
      </c>
    </row>
    <row r="26" spans="1:23" ht="17.100000000000001" customHeight="1">
      <c r="A26" s="82" t="s">
        <v>3</v>
      </c>
      <c r="B26" s="83">
        <f>+UGpcntSCH*FY12SCH!B7*FY12Revenue!D$3</f>
        <v>10056965.589632226</v>
      </c>
      <c r="C26" s="83">
        <f>+FY12Revenue!$D$4*GPpcntSCH*FY12SCH!C7</f>
        <v>114853.34420520253</v>
      </c>
      <c r="D26" s="83">
        <f>+FY12Revenue!$D$5*GPpcntSCH*FY12SCH!D7</f>
        <v>435.08278029063985</v>
      </c>
      <c r="E26" s="83">
        <f>+FY12Revenue!$D$6*GPpcntSCH*FY12SCH!E7</f>
        <v>1152602.979112824</v>
      </c>
      <c r="F26" s="83">
        <f>+FY12Revenue!$D$7*GPpcntSCH*FY12SCH!F7</f>
        <v>2685.3090616155596</v>
      </c>
      <c r="G26" s="83">
        <f>+FY12Revenue!$D$8*GPpcntSCH*FY12SCH!G7</f>
        <v>917.26375199664631</v>
      </c>
      <c r="H26" s="83">
        <f>+FY12Revenue!$D$9*GPpcntSCH*FY12SCH!H7</f>
        <v>42.822568351302579</v>
      </c>
      <c r="I26" s="83">
        <f>+FY12Revenue!$D$10*GPpcntSCH*FY12SCH!I7</f>
        <v>2985.9720715234889</v>
      </c>
      <c r="J26" s="83">
        <f>+FY12Revenue!$D$11*GPpcntSCH*FY12SCH!J7</f>
        <v>0</v>
      </c>
      <c r="K26" s="83">
        <f>+FY12Revenue!$D$12*GPpcntSCH*FY12SCH!K7</f>
        <v>396.69568393529613</v>
      </c>
      <c r="L26" s="83">
        <f>+FY12Revenue!$D$13*GPpcntSCH*FY12SCH!L7</f>
        <v>0</v>
      </c>
      <c r="M26" s="83">
        <f>+FY12Revenue!$D$14*GPpcntSCH*FY12SCH!M7</f>
        <v>0</v>
      </c>
      <c r="N26" s="83">
        <f>+FY12Revenue!$D$15*GPpcntSCH*FY12SCH!N7</f>
        <v>0</v>
      </c>
      <c r="O26" s="83">
        <f>+FY12Revenue!$D$16*GPpcntSCH*FY12SCH!O7</f>
        <v>0</v>
      </c>
      <c r="P26" s="83">
        <f>+FY12Revenue!$D$17*GPpcntSCH*FY12SCH!P7</f>
        <v>0</v>
      </c>
      <c r="Q26" s="83">
        <f>+FY12Revenue!$D$18*GPpcntSCH*FY12SCH!Q7</f>
        <v>0</v>
      </c>
      <c r="R26" s="83">
        <f t="shared" si="2"/>
        <v>11331885.058867965</v>
      </c>
    </row>
    <row r="27" spans="1:23" ht="17.100000000000001" customHeight="1">
      <c r="A27" s="82" t="s">
        <v>4</v>
      </c>
      <c r="B27" s="83">
        <f>+UGpcntSCH*FY12SCH!B8*FY12Revenue!D$3</f>
        <v>7448097.4495148258</v>
      </c>
      <c r="C27" s="83">
        <f>+FY12Revenue!$D$4*GPpcntSCH*FY12SCH!C8</f>
        <v>425413.16326634918</v>
      </c>
      <c r="D27" s="83">
        <f>+FY12Revenue!$D$5*GPpcntSCH*FY12SCH!D8</f>
        <v>100504.1222471378</v>
      </c>
      <c r="E27" s="83">
        <f>+FY12Revenue!$D$6*GPpcntSCH*FY12SCH!E8</f>
        <v>16247.163115477604</v>
      </c>
      <c r="F27" s="83">
        <f>+FY12Revenue!$D$7*GPpcntSCH*FY12SCH!F8</f>
        <v>1790.2060410770398</v>
      </c>
      <c r="G27" s="83">
        <f>+FY12Revenue!$D$8*GPpcntSCH*FY12SCH!G8</f>
        <v>29753.742955391215</v>
      </c>
      <c r="H27" s="83">
        <f>+FY12Revenue!$D$9*GPpcntSCH*FY12SCH!H8</f>
        <v>0</v>
      </c>
      <c r="I27" s="83">
        <f>+FY12Revenue!$D$10*GPpcntSCH*FY12SCH!I8</f>
        <v>12215.340292596091</v>
      </c>
      <c r="J27" s="83">
        <f>+FY12Revenue!$D$11*GPpcntSCH*FY12SCH!J8</f>
        <v>838.70023012121442</v>
      </c>
      <c r="K27" s="83">
        <f>+FY12Revenue!$D$12*GPpcntSCH*FY12SCH!K8</f>
        <v>49.586960491912016</v>
      </c>
      <c r="L27" s="83">
        <f>+FY12Revenue!$D$13*GPpcntSCH*FY12SCH!L8</f>
        <v>0</v>
      </c>
      <c r="M27" s="83">
        <f>+FY12Revenue!$D$14*GPpcntSCH*FY12SCH!M8</f>
        <v>0</v>
      </c>
      <c r="N27" s="83">
        <f>+FY12Revenue!$D$15*GPpcntSCH*FY12SCH!N8</f>
        <v>0</v>
      </c>
      <c r="O27" s="83">
        <f>+FY12Revenue!$D$16*GPpcntSCH*FY12SCH!O8</f>
        <v>289.4639490789117</v>
      </c>
      <c r="P27" s="83">
        <f>+FY12Revenue!$D$17*GPpcntSCH*FY12SCH!P8</f>
        <v>48.343361689205736</v>
      </c>
      <c r="Q27" s="83">
        <f>+FY12Revenue!$D$18*GPpcntSCH*FY12SCH!Q8</f>
        <v>0</v>
      </c>
      <c r="R27" s="83">
        <f t="shared" si="2"/>
        <v>8035247.2819342362</v>
      </c>
    </row>
    <row r="28" spans="1:23" ht="17.100000000000001" customHeight="1">
      <c r="A28" s="82" t="s">
        <v>14</v>
      </c>
      <c r="B28" s="83">
        <f>+UGpcntSCH*FY12SCH!B9*FY12Revenue!D$3</f>
        <v>1014363.3073609007</v>
      </c>
      <c r="C28" s="83">
        <f>+FY12Revenue!$D$4*GPpcntSCH*FY12SCH!C9</f>
        <v>30914.432307636471</v>
      </c>
      <c r="D28" s="83">
        <f>+FY12Revenue!$D$5*GPpcntSCH*FY12SCH!D9</f>
        <v>304.5579462034479</v>
      </c>
      <c r="E28" s="83">
        <f>+FY12Revenue!$D$6*GPpcntSCH*FY12SCH!E9</f>
        <v>2793.8243452540851</v>
      </c>
      <c r="F28" s="83">
        <f>+FY12Revenue!$D$7*GPpcntSCH*FY12SCH!F9</f>
        <v>0</v>
      </c>
      <c r="G28" s="83">
        <f>+FY12Revenue!$D$8*GPpcntSCH*FY12SCH!G9</f>
        <v>1490.5535969945504</v>
      </c>
      <c r="H28" s="83">
        <f>+FY12Revenue!$D$9*GPpcntSCH*FY12SCH!H9</f>
        <v>63463.046296630426</v>
      </c>
      <c r="I28" s="83">
        <f>+FY12Revenue!$D$10*GPpcntSCH*FY12SCH!I9</f>
        <v>0</v>
      </c>
      <c r="J28" s="83">
        <f>+FY12Revenue!$D$11*GPpcntSCH*FY12SCH!J9</f>
        <v>209.6750575303036</v>
      </c>
      <c r="K28" s="83">
        <f>+FY12Revenue!$D$12*GPpcntSCH*FY12SCH!K9</f>
        <v>0</v>
      </c>
      <c r="L28" s="83">
        <f>+FY12Revenue!$D$13*GPpcntSCH*FY12SCH!L9</f>
        <v>11350.779046874897</v>
      </c>
      <c r="M28" s="83">
        <f>+FY12Revenue!$D$14*GPpcntSCH*FY12SCH!M9</f>
        <v>0</v>
      </c>
      <c r="N28" s="83">
        <f>+FY12Revenue!$D$15*GPpcntSCH*FY12SCH!N9</f>
        <v>0</v>
      </c>
      <c r="O28" s="83">
        <f>+FY12Revenue!$D$16*GPpcntSCH*FY12SCH!O9</f>
        <v>0</v>
      </c>
      <c r="P28" s="83">
        <f>+FY12Revenue!$D$17*GPpcntSCH*FY12SCH!P9</f>
        <v>0</v>
      </c>
      <c r="Q28" s="83">
        <f>+FY12Revenue!$D$18*GPpcntSCH*FY12SCH!Q9</f>
        <v>0</v>
      </c>
      <c r="R28" s="83">
        <f t="shared" si="2"/>
        <v>1124890.175958025</v>
      </c>
    </row>
    <row r="29" spans="1:23" ht="17.100000000000001" customHeight="1">
      <c r="A29" s="82" t="s">
        <v>9</v>
      </c>
      <c r="B29" s="83">
        <f>+UGpcntSCH*FY12SCH!B10*FY12Revenue!D$3</f>
        <v>3979.6293662807793</v>
      </c>
      <c r="C29" s="83">
        <f>+FY12Revenue!$D$4*GPpcntSCH*FY12SCH!C10</f>
        <v>9370.5834192561106</v>
      </c>
      <c r="D29" s="83">
        <f>+FY12Revenue!$D$5*GPpcntSCH*FY12SCH!D10</f>
        <v>1131.2152287556635</v>
      </c>
      <c r="E29" s="83">
        <f>+FY12Revenue!$D$6*GPpcntSCH*FY12SCH!E10</f>
        <v>6791.1422546176227</v>
      </c>
      <c r="F29" s="83">
        <f>+FY12Revenue!$D$7*GPpcntSCH*FY12SCH!F10</f>
        <v>149.18383675641996</v>
      </c>
      <c r="G29" s="83">
        <f>+FY12Revenue!$D$8*GPpcntSCH*FY12SCH!G10</f>
        <v>3554.3970389870042</v>
      </c>
      <c r="H29" s="83">
        <f>+FY12Revenue!$D$9*GPpcntSCH*FY12SCH!H10</f>
        <v>0</v>
      </c>
      <c r="I29" s="83">
        <f>+FY12Revenue!$D$10*GPpcntSCH*FY12SCH!I10</f>
        <v>0</v>
      </c>
      <c r="J29" s="83">
        <f>+FY12Revenue!$D$11*GPpcntSCH*FY12SCH!J10</f>
        <v>0</v>
      </c>
      <c r="K29" s="83">
        <f>+FY12Revenue!$D$12*GPpcntSCH*FY12SCH!K10</f>
        <v>0</v>
      </c>
      <c r="L29" s="83">
        <f>+FY12Revenue!$D$13*GPpcntSCH*FY12SCH!L10</f>
        <v>1776163.6856500267</v>
      </c>
      <c r="M29" s="83">
        <f>+FY12Revenue!$D$14*GPpcntSCH*FY12SCH!M10</f>
        <v>0</v>
      </c>
      <c r="N29" s="83">
        <f>+FY12Revenue!$D$15*GPpcntSCH*FY12SCH!N10</f>
        <v>0</v>
      </c>
      <c r="O29" s="83">
        <f>+FY12Revenue!$D$16*GPpcntSCH*FY12SCH!O10</f>
        <v>785.68786178561754</v>
      </c>
      <c r="P29" s="83">
        <f>+FY12Revenue!$D$17*GPpcntSCH*FY12SCH!P10</f>
        <v>145.03008506761722</v>
      </c>
      <c r="Q29" s="83">
        <f>+FY12Revenue!$D$18*GPpcntSCH*FY12SCH!Q10</f>
        <v>121853.50450532431</v>
      </c>
      <c r="R29" s="83">
        <f t="shared" si="2"/>
        <v>1923924.0592468579</v>
      </c>
    </row>
    <row r="30" spans="1:23" ht="17.100000000000001" customHeight="1">
      <c r="A30" s="82" t="s">
        <v>5</v>
      </c>
      <c r="B30" s="83">
        <f>+UGpcntSCH*FY12SCH!B11*FY12Revenue!D$3</f>
        <v>18018.877408437969</v>
      </c>
      <c r="C30" s="83">
        <f>+FY12Revenue!$D$4*GPpcntSCH*FY12SCH!C11</f>
        <v>19307.365232424974</v>
      </c>
      <c r="D30" s="83">
        <f>+FY12Revenue!$D$5*GPpcntSCH*FY12SCH!D11</f>
        <v>8658.1473277837322</v>
      </c>
      <c r="E30" s="83">
        <f>+FY12Revenue!$D$6*GPpcntSCH*FY12SCH!E11</f>
        <v>2449.9690412228133</v>
      </c>
      <c r="F30" s="83">
        <f>+FY12Revenue!$D$7*GPpcntSCH*FY12SCH!F11</f>
        <v>7832.1514297120493</v>
      </c>
      <c r="G30" s="83">
        <f>+FY12Revenue!$D$8*GPpcntSCH*FY12SCH!G11</f>
        <v>565665.09005943185</v>
      </c>
      <c r="H30" s="83">
        <f>+FY12Revenue!$D$9*GPpcntSCH*FY12SCH!H11</f>
        <v>685.16109362084126</v>
      </c>
      <c r="I30" s="83">
        <f>+FY12Revenue!$D$10*GPpcntSCH*FY12SCH!I11</f>
        <v>15065.586360868514</v>
      </c>
      <c r="J30" s="83">
        <f>+FY12Revenue!$D$11*GPpcntSCH*FY12SCH!J11</f>
        <v>2236.533946989905</v>
      </c>
      <c r="K30" s="83">
        <f>+FY12Revenue!$D$12*GPpcntSCH*FY12SCH!K11</f>
        <v>0</v>
      </c>
      <c r="L30" s="83">
        <f>+FY12Revenue!$D$13*GPpcntSCH*FY12SCH!L11</f>
        <v>3032.0574166309657</v>
      </c>
      <c r="M30" s="83">
        <f>+FY12Revenue!$D$14*GPpcntSCH*FY12SCH!M11</f>
        <v>0</v>
      </c>
      <c r="N30" s="83">
        <f>+FY12Revenue!$D$15*GPpcntSCH*FY12SCH!N11</f>
        <v>0</v>
      </c>
      <c r="O30" s="83">
        <f>+FY12Revenue!$D$16*GPpcntSCH*FY12SCH!O11</f>
        <v>2026.247643552382</v>
      </c>
      <c r="P30" s="83">
        <f>+FY12Revenue!$D$17*GPpcntSCH*FY12SCH!P11</f>
        <v>3964.1556585148701</v>
      </c>
      <c r="Q30" s="83">
        <f>+FY12Revenue!$D$18*GPpcntSCH*FY12SCH!Q11</f>
        <v>1315.9125756514504</v>
      </c>
      <c r="R30" s="83">
        <f t="shared" si="2"/>
        <v>650257.25519484223</v>
      </c>
    </row>
    <row r="31" spans="1:23" ht="17.100000000000001" customHeight="1">
      <c r="A31" s="82" t="s">
        <v>13</v>
      </c>
      <c r="B31" s="83">
        <f>+UGpcntSCH*FY12SCH!B12*FY12Revenue!D$3</f>
        <v>409238.55316587345</v>
      </c>
      <c r="C31" s="83">
        <f>+FY12Revenue!$D$4*GPpcntSCH*FY12SCH!C12</f>
        <v>2859.3018892594177</v>
      </c>
      <c r="D31" s="83">
        <f>+FY12Revenue!$D$5*GPpcntSCH*FY12SCH!D12</f>
        <v>38461.317777692566</v>
      </c>
      <c r="E31" s="83">
        <f>+FY12Revenue!$D$6*GPpcntSCH*FY12SCH!E12</f>
        <v>902.62017308208908</v>
      </c>
      <c r="F31" s="83">
        <f>+FY12Revenue!$D$7*GPpcntSCH*FY12SCH!F12</f>
        <v>0</v>
      </c>
      <c r="G31" s="83">
        <f>+FY12Revenue!$D$8*GPpcntSCH*FY12SCH!G12</f>
        <v>5618.240480979458</v>
      </c>
      <c r="H31" s="83">
        <f>+FY12Revenue!$D$9*GPpcntSCH*FY12SCH!H12</f>
        <v>0</v>
      </c>
      <c r="I31" s="83">
        <f>+FY12Revenue!$D$10*GPpcntSCH*FY12SCH!I12</f>
        <v>67.86300162553384</v>
      </c>
      <c r="J31" s="83">
        <f>+FY12Revenue!$D$11*GPpcntSCH*FY12SCH!J12</f>
        <v>698.91685843434539</v>
      </c>
      <c r="K31" s="83">
        <f>+FY12Revenue!$D$12*GPpcntSCH*FY12SCH!K12</f>
        <v>0</v>
      </c>
      <c r="L31" s="83">
        <f>+FY12Revenue!$D$13*GPpcntSCH*FY12SCH!L12</f>
        <v>0</v>
      </c>
      <c r="M31" s="83">
        <f>+FY12Revenue!$D$14*GPpcntSCH*FY12SCH!M12</f>
        <v>0</v>
      </c>
      <c r="N31" s="83">
        <f>+FY12Revenue!$D$15*GPpcntSCH*FY12SCH!N12</f>
        <v>0</v>
      </c>
      <c r="O31" s="83">
        <f>+FY12Revenue!$D$16*GPpcntSCH*FY12SCH!O12</f>
        <v>1364.6157599434407</v>
      </c>
      <c r="P31" s="83">
        <f>+FY12Revenue!$D$17*GPpcntSCH*FY12SCH!P12</f>
        <v>464966.45272678079</v>
      </c>
      <c r="Q31" s="83">
        <f>+FY12Revenue!$D$18*GPpcntSCH*FY12SCH!Q12</f>
        <v>0</v>
      </c>
      <c r="R31" s="83">
        <f t="shared" si="2"/>
        <v>924177.88183367113</v>
      </c>
    </row>
    <row r="32" spans="1:23" ht="17.100000000000001" customHeight="1">
      <c r="A32" s="82" t="s">
        <v>8</v>
      </c>
      <c r="B32" s="83">
        <f>+UGpcntSCH*FY12SCH!B13*FY12Revenue!D$3</f>
        <v>12159.978619191268</v>
      </c>
      <c r="C32" s="83">
        <f>+FY12Revenue!$D$4*GPpcntSCH*FY12SCH!C13</f>
        <v>3878.4589983023779</v>
      </c>
      <c r="D32" s="83">
        <f>+FY12Revenue!$D$5*GPpcntSCH*FY12SCH!D13</f>
        <v>101939.8954220969</v>
      </c>
      <c r="E32" s="83">
        <f>+FY12Revenue!$D$6*GPpcntSCH*FY12SCH!E13</f>
        <v>945.60208608599805</v>
      </c>
      <c r="F32" s="83">
        <f>+FY12Revenue!$D$7*GPpcntSCH*FY12SCH!F13</f>
        <v>0</v>
      </c>
      <c r="G32" s="83">
        <f>+FY12Revenue!$D$8*GPpcntSCH*FY12SCH!G13</f>
        <v>0</v>
      </c>
      <c r="H32" s="83">
        <f>+FY12Revenue!$D$9*GPpcntSCH*FY12SCH!H13</f>
        <v>0</v>
      </c>
      <c r="I32" s="83">
        <f>+FY12Revenue!$D$10*GPpcntSCH*FY12SCH!I13</f>
        <v>0</v>
      </c>
      <c r="J32" s="83">
        <f>+FY12Revenue!$D$11*GPpcntSCH*FY12SCH!J13</f>
        <v>0</v>
      </c>
      <c r="K32" s="83">
        <f>+FY12Revenue!$D$12*GPpcntSCH*FY12SCH!K13</f>
        <v>0</v>
      </c>
      <c r="L32" s="83">
        <f>+FY12Revenue!$D$13*GPpcntSCH*FY12SCH!L13</f>
        <v>0</v>
      </c>
      <c r="M32" s="83">
        <f>+FY12Revenue!$D$14*GPpcntSCH*FY12SCH!M13</f>
        <v>415.35528430498499</v>
      </c>
      <c r="N32" s="83">
        <f>+FY12Revenue!$D$15*GPpcntSCH*FY12SCH!N13</f>
        <v>675125.01544768957</v>
      </c>
      <c r="O32" s="83">
        <f>+FY12Revenue!$D$16*GPpcntSCH*FY12SCH!O13</f>
        <v>537.57590543226456</v>
      </c>
      <c r="P32" s="83">
        <f>+FY12Revenue!$D$17*GPpcntSCH*FY12SCH!P13</f>
        <v>0</v>
      </c>
      <c r="Q32" s="83">
        <f>+FY12Revenue!$D$18*GPpcntSCH*FY12SCH!Q13</f>
        <v>0</v>
      </c>
      <c r="R32" s="83">
        <f t="shared" si="2"/>
        <v>795001.8817631033</v>
      </c>
    </row>
    <row r="33" spans="1:18" ht="17.100000000000001" customHeight="1">
      <c r="A33" s="82" t="s">
        <v>10</v>
      </c>
      <c r="B33" s="83">
        <f>+UGpcntSCH*FY12SCH!B14*FY12Revenue!D$3</f>
        <v>3574923.1687820586</v>
      </c>
      <c r="C33" s="83">
        <f>+FY12Revenue!$D$4*GPpcntSCH*FY12SCH!C14</f>
        <v>349528.42352219205</v>
      </c>
      <c r="D33" s="83">
        <f>+FY12Revenue!$D$5*GPpcntSCH*FY12SCH!D14</f>
        <v>139552.80177822273</v>
      </c>
      <c r="E33" s="83">
        <f>+FY12Revenue!$D$6*GPpcntSCH*FY12SCH!E14</f>
        <v>33139.054926013843</v>
      </c>
      <c r="F33" s="83">
        <f>+FY12Revenue!$D$7*GPpcntSCH*FY12SCH!F14</f>
        <v>0</v>
      </c>
      <c r="G33" s="83">
        <f>+FY12Revenue!$D$8*GPpcntSCH*FY12SCH!G14</f>
        <v>7395.4390004729612</v>
      </c>
      <c r="H33" s="83">
        <f>+FY12Revenue!$D$9*GPpcntSCH*FY12SCH!H14</f>
        <v>214.11284175651292</v>
      </c>
      <c r="I33" s="83">
        <f>+FY12Revenue!$D$10*GPpcntSCH*FY12SCH!I14</f>
        <v>339.31500812766922</v>
      </c>
      <c r="J33" s="83">
        <f>+FY12Revenue!$D$11*GPpcntSCH*FY12SCH!J14</f>
        <v>12929.96188103539</v>
      </c>
      <c r="K33" s="83">
        <f>+FY12Revenue!$D$12*GPpcntSCH*FY12SCH!K14</f>
        <v>105173.94320334538</v>
      </c>
      <c r="L33" s="83">
        <f>+FY12Revenue!$D$13*GPpcntSCH*FY12SCH!L14</f>
        <v>1243.920991438345</v>
      </c>
      <c r="M33" s="83">
        <f>+FY12Revenue!$D$14*GPpcntSCH*FY12SCH!M14</f>
        <v>2206808.5852176542</v>
      </c>
      <c r="N33" s="83">
        <f>+FY12Revenue!$D$15*GPpcntSCH*FY12SCH!N14</f>
        <v>98116.739869508354</v>
      </c>
      <c r="O33" s="83">
        <f>+FY12Revenue!$D$16*GPpcntSCH*FY12SCH!O14</f>
        <v>37857.749340249095</v>
      </c>
      <c r="P33" s="83">
        <f>+FY12Revenue!$D$17*GPpcntSCH*FY12SCH!P14</f>
        <v>8411.7449339217983</v>
      </c>
      <c r="Q33" s="83">
        <f>+FY12Revenue!$D$18*GPpcntSCH*FY12SCH!Q14</f>
        <v>0</v>
      </c>
      <c r="R33" s="83">
        <f t="shared" si="2"/>
        <v>6575634.9612959968</v>
      </c>
    </row>
    <row r="34" spans="1:18" ht="17.100000000000001" customHeight="1">
      <c r="A34" s="82" t="s">
        <v>11</v>
      </c>
      <c r="B34" s="83">
        <f>+UGpcntSCH*FY12SCH!B15*FY12Revenue!D$3</f>
        <v>1089755.1747998868</v>
      </c>
      <c r="C34" s="83">
        <f>+FY12Revenue!$D$4*GPpcntSCH*FY12SCH!C15</f>
        <v>1783.5249408251811</v>
      </c>
      <c r="D34" s="83">
        <f>+FY12Revenue!$D$5*GPpcntSCH*FY12SCH!D15</f>
        <v>826.65728255221575</v>
      </c>
      <c r="E34" s="83">
        <f>+FY12Revenue!$D$6*GPpcntSCH*FY12SCH!E15</f>
        <v>56650.161339152066</v>
      </c>
      <c r="F34" s="83">
        <f>+FY12Revenue!$D$7*GPpcntSCH*FY12SCH!F15</f>
        <v>0</v>
      </c>
      <c r="G34" s="83">
        <f>+FY12Revenue!$D$8*GPpcntSCH*FY12SCH!G15</f>
        <v>171.98695349937117</v>
      </c>
      <c r="H34" s="83">
        <f>+FY12Revenue!$D$9*GPpcntSCH*FY12SCH!H15</f>
        <v>0</v>
      </c>
      <c r="I34" s="83">
        <f>+FY12Revenue!$D$10*GPpcntSCH*FY12SCH!I15</f>
        <v>0</v>
      </c>
      <c r="J34" s="83">
        <f>+FY12Revenue!$D$11*GPpcntSCH*FY12SCH!J15</f>
        <v>167879.82939592976</v>
      </c>
      <c r="K34" s="83">
        <f>+FY12Revenue!$D$12*GPpcntSCH*FY12SCH!K15</f>
        <v>1090.9131308220644</v>
      </c>
      <c r="L34" s="83">
        <f>+FY12Revenue!$D$13*GPpcntSCH*FY12SCH!L15</f>
        <v>0</v>
      </c>
      <c r="M34" s="83">
        <f>+FY12Revenue!$D$14*GPpcntSCH*FY12SCH!M15</f>
        <v>0</v>
      </c>
      <c r="N34" s="83">
        <f>+FY12Revenue!$D$15*GPpcntSCH*FY12SCH!N15</f>
        <v>0</v>
      </c>
      <c r="O34" s="83">
        <f>+FY12Revenue!$D$16*GPpcntSCH*FY12SCH!O15</f>
        <v>2687.8795271613226</v>
      </c>
      <c r="P34" s="83">
        <f>+FY12Revenue!$D$17*GPpcntSCH*FY12SCH!P15</f>
        <v>145.03008506761722</v>
      </c>
      <c r="Q34" s="83">
        <f>+FY12Revenue!$D$18*GPpcntSCH*FY12SCH!Q15</f>
        <v>0</v>
      </c>
      <c r="R34" s="83">
        <f t="shared" si="2"/>
        <v>1320991.1574548965</v>
      </c>
    </row>
    <row r="35" spans="1:18" ht="17.100000000000001" customHeight="1">
      <c r="A35" s="82" t="s">
        <v>12</v>
      </c>
      <c r="B35" s="83">
        <f>+UGpcntSCH*FY12SCH!B16*FY12Revenue!D$3</f>
        <v>6522.1703502934979</v>
      </c>
      <c r="C35" s="83">
        <f>+FY12Revenue!$D$4*GPpcntSCH*FY12SCH!C16</f>
        <v>45409.111191803022</v>
      </c>
      <c r="D35" s="83">
        <f>+FY12Revenue!$D$5*GPpcntSCH*FY12SCH!D16</f>
        <v>130.52483408719195</v>
      </c>
      <c r="E35" s="83">
        <f>+FY12Revenue!$D$6*GPpcntSCH*FY12SCH!E16</f>
        <v>6662.1965156058959</v>
      </c>
      <c r="F35" s="83">
        <f>+FY12Revenue!$D$7*GPpcntSCH*FY12SCH!F16</f>
        <v>0</v>
      </c>
      <c r="G35" s="83">
        <f>+FY12Revenue!$D$8*GPpcntSCH*FY12SCH!G16</f>
        <v>515.96086049811356</v>
      </c>
      <c r="H35" s="83">
        <f>+FY12Revenue!$D$9*GPpcntSCH*FY12SCH!H16</f>
        <v>0</v>
      </c>
      <c r="I35" s="83">
        <f>+FY12Revenue!$D$10*GPpcntSCH*FY12SCH!I16</f>
        <v>0</v>
      </c>
      <c r="J35" s="83">
        <f>+FY12Revenue!$D$11*GPpcntSCH*FY12SCH!J16</f>
        <v>4892.418009040417</v>
      </c>
      <c r="K35" s="83">
        <f>+FY12Revenue!$D$12*GPpcntSCH*FY12SCH!K16</f>
        <v>782135.12783892825</v>
      </c>
      <c r="L35" s="83">
        <f>+FY12Revenue!$D$13*GPpcntSCH*FY12SCH!L16</f>
        <v>0</v>
      </c>
      <c r="M35" s="83">
        <f>+FY12Revenue!$D$14*GPpcntSCH*FY12SCH!M16</f>
        <v>0</v>
      </c>
      <c r="N35" s="83">
        <f>+FY12Revenue!$D$15*GPpcntSCH*FY12SCH!N16</f>
        <v>0</v>
      </c>
      <c r="O35" s="83">
        <f>+FY12Revenue!$D$16*GPpcntSCH*FY12SCH!O16</f>
        <v>744.3358690600586</v>
      </c>
      <c r="P35" s="83">
        <f>+FY12Revenue!$D$17*GPpcntSCH*FY12SCH!P16</f>
        <v>0</v>
      </c>
      <c r="Q35" s="83">
        <f>+FY12Revenue!$D$18*GPpcntSCH*FY12SCH!Q16</f>
        <v>0</v>
      </c>
      <c r="R35" s="83">
        <f>SUM(B35:Q35)</f>
        <v>847011.84546931635</v>
      </c>
    </row>
    <row r="36" spans="1:18" ht="17.100000000000001" customHeight="1">
      <c r="A36" s="82" t="s">
        <v>7</v>
      </c>
      <c r="B36" s="83">
        <f>+UGpcntSCH*FY12SCH!B17*FY12Revenue!D$3</f>
        <v>1079806.1013841848</v>
      </c>
      <c r="C36" s="83">
        <f>+FY12Revenue!$D$4*GPpcntSCH*FY12SCH!C17</f>
        <v>21458.919129293448</v>
      </c>
      <c r="D36" s="83">
        <f>+FY12Revenue!$D$5*GPpcntSCH*FY12SCH!D17</f>
        <v>2958.562905976351</v>
      </c>
      <c r="E36" s="83">
        <f>+FY12Revenue!$D$6*GPpcntSCH*FY12SCH!E17</f>
        <v>374995.70000260411</v>
      </c>
      <c r="F36" s="83">
        <f>+FY12Revenue!$D$7*GPpcntSCH*FY12SCH!F17</f>
        <v>5519.8019599875388</v>
      </c>
      <c r="G36" s="83">
        <f>+FY12Revenue!$D$8*GPpcntSCH*FY12SCH!G17</f>
        <v>11064.494008459546</v>
      </c>
      <c r="H36" s="83">
        <f>+FY12Revenue!$D$9*GPpcntSCH*FY12SCH!H17</f>
        <v>128.46770505390774</v>
      </c>
      <c r="I36" s="83">
        <f>+FY12Revenue!$D$10*GPpcntSCH*FY12SCH!I17</f>
        <v>1425.1230341362107</v>
      </c>
      <c r="J36" s="83">
        <f>+FY12Revenue!$D$11*GPpcntSCH*FY12SCH!J17</f>
        <v>30542.666713580889</v>
      </c>
      <c r="K36" s="83">
        <f>+FY12Revenue!$D$12*GPpcntSCH*FY12SCH!K17</f>
        <v>3867.782918369137</v>
      </c>
      <c r="L36" s="83">
        <f>+FY12Revenue!$D$13*GPpcntSCH*FY12SCH!L17</f>
        <v>2332.3518589468968</v>
      </c>
      <c r="M36" s="83">
        <f>+FY12Revenue!$D$14*GPpcntSCH*FY12SCH!M17</f>
        <v>4828.5051800454512</v>
      </c>
      <c r="N36" s="83">
        <f>+FY12Revenue!$D$15*GPpcntSCH*FY12SCH!N17</f>
        <v>194.86939398114868</v>
      </c>
      <c r="O36" s="83">
        <f>+FY12Revenue!$D$16*GPpcntSCH*FY12SCH!O17</f>
        <v>237360.43824470759</v>
      </c>
      <c r="P36" s="83">
        <f>+FY12Revenue!$D$17*GPpcntSCH*FY12SCH!P17</f>
        <v>5801.2034027046884</v>
      </c>
      <c r="Q36" s="83">
        <f>+FY12Revenue!$D$18*GPpcntSCH*FY12SCH!Q17</f>
        <v>175.45501008686006</v>
      </c>
      <c r="R36" s="83">
        <f>SUM(B36:Q36)</f>
        <v>1782460.4428521188</v>
      </c>
    </row>
    <row r="37" spans="1:18" ht="17.100000000000001" customHeight="1">
      <c r="A37" s="82" t="s">
        <v>16</v>
      </c>
      <c r="B37" s="83">
        <f>+UGpcntSCH*FY12SCH!B18*FY12Revenue!D$3</f>
        <v>1748715.4706998789</v>
      </c>
      <c r="C37" s="83">
        <f>+FY12Revenue!$D$4*GPpcntSCH*FY12SCH!C18</f>
        <v>0</v>
      </c>
      <c r="D37" s="83">
        <f>+FY12Revenue!$D$5*GPpcntSCH*FY12SCH!D18</f>
        <v>0</v>
      </c>
      <c r="E37" s="83">
        <f>+FY12Revenue!$D$6*GPpcntSCH*FY12SCH!E18</f>
        <v>0</v>
      </c>
      <c r="F37" s="83">
        <f>+FY12Revenue!$D$7*GPpcntSCH*FY12SCH!F18</f>
        <v>0</v>
      </c>
      <c r="G37" s="83">
        <f>+FY12Revenue!$D$8*GPpcntSCH*FY12SCH!G18</f>
        <v>0</v>
      </c>
      <c r="H37" s="83">
        <f>+FY12Revenue!$D$9*GPpcntSCH*FY12SCH!H18</f>
        <v>0</v>
      </c>
      <c r="I37" s="83">
        <f>+FY12Revenue!$D$10*GPpcntSCH*FY12SCH!I18</f>
        <v>0</v>
      </c>
      <c r="J37" s="83">
        <f>+FY12Revenue!$D$11*GPpcntSCH*FY12SCH!J18</f>
        <v>0</v>
      </c>
      <c r="K37" s="83">
        <f>+FY12Revenue!$D$12*GPpcntSCH*FY12SCH!K18</f>
        <v>0</v>
      </c>
      <c r="L37" s="83">
        <f>+FY12Revenue!$D$13*GPpcntSCH*FY12SCH!L18</f>
        <v>0</v>
      </c>
      <c r="M37" s="83">
        <f>+FY12Revenue!$D$14*GPpcntSCH*FY12SCH!M18</f>
        <v>0</v>
      </c>
      <c r="N37" s="83">
        <f>+FY12Revenue!$D$15*GPpcntSCH*FY12SCH!N18</f>
        <v>0</v>
      </c>
      <c r="O37" s="83">
        <f>+FY12Revenue!$D$16*GPpcntSCH*FY12SCH!O18</f>
        <v>0</v>
      </c>
      <c r="P37" s="83">
        <f>+FY12Revenue!$D$17*GPpcntSCH*FY12SCH!P18</f>
        <v>0</v>
      </c>
      <c r="Q37" s="83">
        <f>+FY12Revenue!$D$18*GPpcntSCH*FY12SCH!Q18</f>
        <v>0</v>
      </c>
      <c r="R37" s="83">
        <f>SUM(B37:Q37)</f>
        <v>1748715.4706998789</v>
      </c>
    </row>
    <row r="38" spans="1:18" ht="17.100000000000001" customHeight="1">
      <c r="A38" s="87" t="s">
        <v>96</v>
      </c>
      <c r="B38" s="88">
        <f>+UGpcntSCH*FY12SCH!B19*FY12Revenue!D$3</f>
        <v>219321.79618614071</v>
      </c>
      <c r="C38" s="88">
        <f>+FY12Revenue!$D$4*GPpcntSCH*FY12SCH!C19</f>
        <v>184226.80241936297</v>
      </c>
      <c r="D38" s="88">
        <f>+FY12Revenue!$D$5*GPpcntSCH*FY12SCH!D19</f>
        <v>2479.9718476566472</v>
      </c>
      <c r="E38" s="88">
        <f>+FY12Revenue!$D$6*GPpcntSCH*FY12SCH!E19</f>
        <v>4599.0646914182635</v>
      </c>
      <c r="F38" s="88">
        <f>+FY12Revenue!$D$7*GPpcntSCH*FY12SCH!F19</f>
        <v>0</v>
      </c>
      <c r="G38" s="88">
        <f>+FY12Revenue!$D$8*GPpcntSCH*FY12SCH!G19</f>
        <v>859.93476749685578</v>
      </c>
      <c r="H38" s="88">
        <f>+FY12Revenue!$D$9*GPpcntSCH*FY12SCH!H19</f>
        <v>685.16109362084126</v>
      </c>
      <c r="I38" s="88">
        <f>+FY12Revenue!$D$10*GPpcntSCH*FY12SCH!I19</f>
        <v>0</v>
      </c>
      <c r="J38" s="88">
        <f>+FY12Revenue!$D$11*GPpcntSCH*FY12SCH!J19</f>
        <v>0</v>
      </c>
      <c r="K38" s="88">
        <f>+FY12Revenue!$D$12*GPpcntSCH*FY12SCH!K19</f>
        <v>0</v>
      </c>
      <c r="L38" s="88">
        <f>+FY12Revenue!$D$13*GPpcntSCH*FY12SCH!L19</f>
        <v>0</v>
      </c>
      <c r="M38" s="88">
        <f>+FY12Revenue!$D$14*GPpcntSCH*FY12SCH!M19</f>
        <v>0</v>
      </c>
      <c r="N38" s="88">
        <f>+FY12Revenue!$D$15*GPpcntSCH*FY12SCH!N19</f>
        <v>0</v>
      </c>
      <c r="O38" s="88">
        <f>+FY12Revenue!$D$16*GPpcntSCH*FY12SCH!O19</f>
        <v>0</v>
      </c>
      <c r="P38" s="88">
        <f>+FY12Revenue!$D$17*GPpcntSCH*FY12SCH!P19</f>
        <v>580.12034027046889</v>
      </c>
      <c r="Q38" s="88">
        <f>+FY12Revenue!$D$18*GPpcntSCH*FY12SCH!Q19</f>
        <v>0</v>
      </c>
      <c r="R38" s="88">
        <f>SUM(B38:Q38)</f>
        <v>412752.85134596669</v>
      </c>
    </row>
    <row r="39" spans="1:18" ht="17.100000000000001" customHeight="1">
      <c r="A39" s="90" t="s">
        <v>34</v>
      </c>
      <c r="B39" s="91">
        <f>SUM(B22:B38)</f>
        <v>126847590.78291494</v>
      </c>
      <c r="C39" s="91">
        <f t="shared" ref="C39:R39" si="3">SUM(C22:C38)</f>
        <v>3384365.9698544112</v>
      </c>
      <c r="D39" s="91">
        <f t="shared" si="3"/>
        <v>952156.91052705084</v>
      </c>
      <c r="E39" s="91">
        <f t="shared" si="3"/>
        <v>1774529.7693228852</v>
      </c>
      <c r="F39" s="91">
        <f t="shared" si="3"/>
        <v>809396.90632195654</v>
      </c>
      <c r="G39" s="91">
        <f t="shared" si="3"/>
        <v>681011.00687301019</v>
      </c>
      <c r="H39" s="91">
        <f t="shared" si="3"/>
        <v>68387.641657030239</v>
      </c>
      <c r="I39" s="91">
        <f t="shared" si="3"/>
        <v>790943.28394559713</v>
      </c>
      <c r="J39" s="91">
        <f t="shared" si="3"/>
        <v>224002.8531282077</v>
      </c>
      <c r="K39" s="91">
        <f t="shared" si="3"/>
        <v>893259.50630130316</v>
      </c>
      <c r="L39" s="91">
        <f t="shared" si="3"/>
        <v>1827786.406794718</v>
      </c>
      <c r="M39" s="91">
        <f t="shared" si="3"/>
        <v>2212883.1562506147</v>
      </c>
      <c r="N39" s="91">
        <f t="shared" si="3"/>
        <v>773436.62471117906</v>
      </c>
      <c r="O39" s="91">
        <f t="shared" si="3"/>
        <v>287830.54536625213</v>
      </c>
      <c r="P39" s="91">
        <f t="shared" si="3"/>
        <v>491120.21140064107</v>
      </c>
      <c r="Q39" s="91">
        <f t="shared" si="3"/>
        <v>124046.69213141008</v>
      </c>
      <c r="R39" s="91">
        <f t="shared" si="3"/>
        <v>142142748.26750121</v>
      </c>
    </row>
    <row r="40" spans="1:18" ht="26.25" customHeight="1">
      <c r="A40" s="658" t="s">
        <v>113</v>
      </c>
      <c r="B40" s="658"/>
      <c r="C40" s="658"/>
      <c r="D40" s="658"/>
      <c r="E40" s="658"/>
      <c r="F40" s="658"/>
      <c r="G40" s="658"/>
      <c r="H40" s="658"/>
      <c r="I40" s="658"/>
      <c r="J40" s="658"/>
      <c r="K40" s="658"/>
      <c r="L40" s="658"/>
      <c r="M40" s="658"/>
      <c r="N40" s="658"/>
      <c r="O40" s="658"/>
      <c r="P40" s="658"/>
      <c r="Q40" s="658"/>
      <c r="R40" s="658"/>
    </row>
    <row r="41" spans="1:18" ht="17.100000000000001" customHeight="1">
      <c r="A41" s="93" t="s">
        <v>0</v>
      </c>
      <c r="B41" s="94">
        <f>+UGpcntDeg*FY12Majors!B3*FY12Revenue!D$3</f>
        <v>1465479.6484961098</v>
      </c>
      <c r="C41" s="94">
        <f>+FY12Revenue!$D$4*GPpcntMjr*FY12Majors!C3</f>
        <v>59240.117462605573</v>
      </c>
      <c r="D41" s="94">
        <f>+FY12Revenue!$D$5*GPpcntMjr*FY12Majors!D3</f>
        <v>0</v>
      </c>
      <c r="E41" s="94">
        <f>+FY12Revenue!$D$6*GPpcntMjr*FY12Majors!E3</f>
        <v>0</v>
      </c>
      <c r="F41" s="94">
        <f>+FY12Revenue!$D$7*GPpcntMjr*FY12Majors!F3</f>
        <v>0</v>
      </c>
      <c r="G41" s="94">
        <f>+FY12Revenue!$D$8*GPpcntMjr*FY12Majors!G3</f>
        <v>0</v>
      </c>
      <c r="H41" s="94">
        <f>+FY12Revenue!$D$9*GPpcntMjr*FY12Majors!H3</f>
        <v>0</v>
      </c>
      <c r="I41" s="94">
        <f>+FY12Revenue!$D$10*GPpcntMjr*FY12Majors!I3</f>
        <v>2928405.9301791997</v>
      </c>
      <c r="J41" s="94">
        <f>+FY12Revenue!$D$11*GPpcntMjr*FY12Majors!J3</f>
        <v>0</v>
      </c>
      <c r="K41" s="94">
        <f>+FY12Revenue!$D$12*GPpcntMjr*FY12Majors!K3</f>
        <v>0</v>
      </c>
      <c r="L41" s="94">
        <f>+FY12Revenue!$D$13*GPpcntMjr*FY12Majors!L3</f>
        <v>8829.8860231628878</v>
      </c>
      <c r="M41" s="94">
        <f>+FY12Revenue!$D$14*GPpcntMjr*FY12Majors!M3</f>
        <v>0</v>
      </c>
      <c r="N41" s="94">
        <f>+FY12Revenue!$D$15*GPpcntMjr*FY12Majors!N3</f>
        <v>0</v>
      </c>
      <c r="O41" s="94">
        <f>+FY12Revenue!$D$16*GPpcntMjr*FY12Majors!O3</f>
        <v>1736.5342103544619</v>
      </c>
      <c r="P41" s="94">
        <f>+FY12Revenue!$D$17*GPpcntMjr*FY12Majors!P3</f>
        <v>0</v>
      </c>
      <c r="Q41" s="94">
        <f>+FY12Revenue!$D$18*GPpcntMjr*FY12Majors!Q3</f>
        <v>0</v>
      </c>
      <c r="R41" s="94">
        <f>SUM(B41:Q41)</f>
        <v>4463692.1163714314</v>
      </c>
    </row>
    <row r="42" spans="1:18" ht="17.100000000000001" customHeight="1">
      <c r="A42" s="96" t="s">
        <v>1</v>
      </c>
      <c r="B42" s="97">
        <f>+UGpcntDeg*FY12Majors!B4*FY12Revenue!D$3</f>
        <v>58147085.113483228</v>
      </c>
      <c r="C42" s="97">
        <f>+FY12Revenue!$D$4*GPpcntMjr*FY12Majors!C4</f>
        <v>7040797.6643519001</v>
      </c>
      <c r="D42" s="97">
        <f>+FY12Revenue!$D$5*GPpcntMjr*FY12Majors!D4</f>
        <v>16955.493120125553</v>
      </c>
      <c r="E42" s="97">
        <f>+FY12Revenue!$D$6*GPpcntMjr*FY12Majors!E4</f>
        <v>68913.777449432426</v>
      </c>
      <c r="F42" s="97">
        <f>+FY12Revenue!$D$7*GPpcntMjr*FY12Majors!F4</f>
        <v>0</v>
      </c>
      <c r="G42" s="97">
        <f>+FY12Revenue!$D$8*GPpcntMjr*FY12Majors!G4</f>
        <v>250984.19951475514</v>
      </c>
      <c r="H42" s="97">
        <f>+FY12Revenue!$D$9*GPpcntMjr*FY12Majors!H4</f>
        <v>12274.704912800295</v>
      </c>
      <c r="I42" s="97">
        <f>+FY12Revenue!$D$10*GPpcntMjr*FY12Majors!I4</f>
        <v>5473.6559442601856</v>
      </c>
      <c r="J42" s="97">
        <f>+FY12Revenue!$D$11*GPpcntMjr*FY12Majors!J4</f>
        <v>0</v>
      </c>
      <c r="K42" s="97">
        <f>+FY12Revenue!$D$12*GPpcntMjr*FY12Majors!K4</f>
        <v>0</v>
      </c>
      <c r="L42" s="97">
        <f>+FY12Revenue!$D$13*GPpcntMjr*FY12Majors!L4</f>
        <v>35319.544092651551</v>
      </c>
      <c r="M42" s="97">
        <f>+FY12Revenue!$D$14*GPpcntMjr*FY12Majors!M4</f>
        <v>0</v>
      </c>
      <c r="N42" s="97">
        <f>+FY12Revenue!$D$15*GPpcntMjr*FY12Majors!N4</f>
        <v>0</v>
      </c>
      <c r="O42" s="97">
        <f>+FY12Revenue!$D$16*GPpcntMjr*FY12Majors!O4</f>
        <v>22574.944734608005</v>
      </c>
      <c r="P42" s="97">
        <f>+FY12Revenue!$D$17*GPpcntMjr*FY12Majors!P4</f>
        <v>5050.0792946081347</v>
      </c>
      <c r="Q42" s="97">
        <f>+FY12Revenue!$D$18*GPpcntMjr*FY12Majors!Q4</f>
        <v>0</v>
      </c>
      <c r="R42" s="97">
        <f>SUM(B42:Q42)</f>
        <v>65605429.176898368</v>
      </c>
    </row>
    <row r="43" spans="1:18" ht="17.100000000000001" customHeight="1">
      <c r="A43" s="96" t="s">
        <v>6</v>
      </c>
      <c r="B43" s="97">
        <f>+UGpcntDeg*FY12Majors!B5*FY12Revenue!D$3</f>
        <v>8173245.5563776325</v>
      </c>
      <c r="C43" s="97">
        <f>+FY12Revenue!$D$4*GPpcntMjr*FY12Majors!C5</f>
        <v>256707.17567129084</v>
      </c>
      <c r="D43" s="97">
        <f>+FY12Revenue!$D$5*GPpcntMjr*FY12Majors!D5</f>
        <v>0</v>
      </c>
      <c r="E43" s="97">
        <f>+FY12Revenue!$D$6*GPpcntMjr*FY12Majors!E5</f>
        <v>17670.199346008314</v>
      </c>
      <c r="F43" s="97">
        <f>+FY12Revenue!$D$7*GPpcntMjr*FY12Majors!F5</f>
        <v>3132014.1157675707</v>
      </c>
      <c r="G43" s="97">
        <f>+FY12Revenue!$D$8*GPpcntMjr*FY12Majors!G5</f>
        <v>6490.9706771057363</v>
      </c>
      <c r="H43" s="97">
        <f>+FY12Revenue!$D$9*GPpcntMjr*FY12Majors!H5</f>
        <v>0</v>
      </c>
      <c r="I43" s="97">
        <f>+FY12Revenue!$D$10*GPpcntMjr*FY12Majors!I5</f>
        <v>16420.967832780556</v>
      </c>
      <c r="J43" s="97">
        <f>+FY12Revenue!$D$11*GPpcntMjr*FY12Majors!J5</f>
        <v>0</v>
      </c>
      <c r="K43" s="97">
        <f>+FY12Revenue!$D$12*GPpcntMjr*FY12Majors!K5</f>
        <v>0</v>
      </c>
      <c r="L43" s="97">
        <f>+FY12Revenue!$D$13*GPpcntMjr*FY12Majors!L5</f>
        <v>57394.259150558777</v>
      </c>
      <c r="M43" s="97">
        <f>+FY12Revenue!$D$14*GPpcntMjr*FY12Majors!M5</f>
        <v>0</v>
      </c>
      <c r="N43" s="97">
        <f>+FY12Revenue!$D$15*GPpcntMjr*FY12Majors!N5</f>
        <v>0</v>
      </c>
      <c r="O43" s="97">
        <f>+FY12Revenue!$D$16*GPpcntMjr*FY12Majors!O5</f>
        <v>0</v>
      </c>
      <c r="P43" s="97">
        <f>+FY12Revenue!$D$17*GPpcntMjr*FY12Majors!P5</f>
        <v>0</v>
      </c>
      <c r="Q43" s="97">
        <f>+FY12Revenue!$D$18*GPpcntMjr*FY12Majors!Q5</f>
        <v>0</v>
      </c>
      <c r="R43" s="97">
        <f t="shared" ref="R43:R53" si="4">SUM(B43:Q43)</f>
        <v>11659943.244822947</v>
      </c>
    </row>
    <row r="44" spans="1:18" ht="17.100000000000001" customHeight="1">
      <c r="A44" s="99" t="s">
        <v>2</v>
      </c>
      <c r="B44" s="97">
        <f>+UGpcntDeg*FY12Majors!B6*FY12Revenue!D$3</f>
        <v>422923.65694854176</v>
      </c>
      <c r="C44" s="97">
        <f>+FY12Revenue!$D$4*GPpcntMjr*FY12Majors!C6</f>
        <v>850205.389509617</v>
      </c>
      <c r="D44" s="97">
        <f>+FY12Revenue!$D$5*GPpcntMjr*FY12Majors!D6</f>
        <v>2098242.2736155372</v>
      </c>
      <c r="E44" s="97">
        <f>+FY12Revenue!$D$6*GPpcntMjr*FY12Majors!E6</f>
        <v>10602.119607604987</v>
      </c>
      <c r="F44" s="97">
        <f>+FY12Revenue!$D$7*GPpcntMjr*FY12Majors!F6</f>
        <v>0</v>
      </c>
      <c r="G44" s="97">
        <f>+FY12Revenue!$D$8*GPpcntMjr*FY12Majors!G6</f>
        <v>0</v>
      </c>
      <c r="H44" s="97">
        <f>+FY12Revenue!$D$9*GPpcntMjr*FY12Majors!H6</f>
        <v>0</v>
      </c>
      <c r="I44" s="97">
        <f>+FY12Revenue!$D$10*GPpcntMjr*FY12Majors!I6</f>
        <v>0</v>
      </c>
      <c r="J44" s="97">
        <f>+FY12Revenue!$D$11*GPpcntMjr*FY12Majors!J6</f>
        <v>0</v>
      </c>
      <c r="K44" s="97">
        <f>+FY12Revenue!$D$12*GPpcntMjr*FY12Majors!K6</f>
        <v>0</v>
      </c>
      <c r="L44" s="97">
        <f>+FY12Revenue!$D$13*GPpcntMjr*FY12Majors!L6</f>
        <v>0</v>
      </c>
      <c r="M44" s="97">
        <f>+FY12Revenue!$D$14*GPpcntMjr*FY12Majors!M6</f>
        <v>0</v>
      </c>
      <c r="N44" s="97">
        <f>+FY12Revenue!$D$15*GPpcntMjr*FY12Majors!N6</f>
        <v>0</v>
      </c>
      <c r="O44" s="97">
        <f>+FY12Revenue!$D$16*GPpcntMjr*FY12Majors!O6</f>
        <v>0</v>
      </c>
      <c r="P44" s="97">
        <f>+FY12Revenue!$D$17*GPpcntMjr*FY12Majors!P6</f>
        <v>0</v>
      </c>
      <c r="Q44" s="97">
        <f>+FY12Revenue!$D$18*GPpcntMjr*FY12Majors!Q6</f>
        <v>0</v>
      </c>
      <c r="R44" s="97">
        <f t="shared" si="4"/>
        <v>3381973.4396813009</v>
      </c>
    </row>
    <row r="45" spans="1:18" ht="17.100000000000001" customHeight="1">
      <c r="A45" s="96" t="s">
        <v>3</v>
      </c>
      <c r="B45" s="97">
        <f>+UGpcntDeg*FY12Majors!B7*FY12Revenue!D$3</f>
        <v>7897853.4076669542</v>
      </c>
      <c r="C45" s="97">
        <f>+FY12Revenue!$D$4*GPpcntMjr*FY12Majors!C7</f>
        <v>446494.95939408278</v>
      </c>
      <c r="D45" s="97">
        <f>+FY12Revenue!$D$5*GPpcntMjr*FY12Majors!D7</f>
        <v>4238.8732800313883</v>
      </c>
      <c r="E45" s="97">
        <f>+FY12Revenue!$D$6*GPpcntMjr*FY12Majors!E7</f>
        <v>4802760.1822450599</v>
      </c>
      <c r="F45" s="97">
        <f>+FY12Revenue!$D$7*GPpcntMjr*FY12Majors!F7</f>
        <v>0</v>
      </c>
      <c r="G45" s="97">
        <f>+FY12Revenue!$D$8*GPpcntMjr*FY12Majors!G7</f>
        <v>2163.6568923685786</v>
      </c>
      <c r="H45" s="97">
        <f>+FY12Revenue!$D$9*GPpcntMjr*FY12Majors!H7</f>
        <v>0</v>
      </c>
      <c r="I45" s="97">
        <f>+FY12Revenue!$D$10*GPpcntMjr*FY12Majors!I7</f>
        <v>13684.139860650464</v>
      </c>
      <c r="J45" s="97">
        <f>+FY12Revenue!$D$11*GPpcntMjr*FY12Majors!J7</f>
        <v>0</v>
      </c>
      <c r="K45" s="97">
        <f>+FY12Revenue!$D$12*GPpcntMjr*FY12Majors!K7</f>
        <v>0</v>
      </c>
      <c r="L45" s="97">
        <f>+FY12Revenue!$D$13*GPpcntMjr*FY12Majors!L7</f>
        <v>0</v>
      </c>
      <c r="M45" s="97">
        <f>+FY12Revenue!$D$14*GPpcntMjr*FY12Majors!M7</f>
        <v>0</v>
      </c>
      <c r="N45" s="97">
        <f>+FY12Revenue!$D$15*GPpcntMjr*FY12Majors!N7</f>
        <v>0</v>
      </c>
      <c r="O45" s="97">
        <f>+FY12Revenue!$D$16*GPpcntMjr*FY12Majors!O7</f>
        <v>0</v>
      </c>
      <c r="P45" s="97">
        <f>+FY12Revenue!$D$17*GPpcntMjr*FY12Majors!P7</f>
        <v>0</v>
      </c>
      <c r="Q45" s="97">
        <f>+FY12Revenue!$D$18*GPpcntMjr*FY12Majors!Q7</f>
        <v>0</v>
      </c>
      <c r="R45" s="97">
        <f t="shared" si="4"/>
        <v>13167195.219339147</v>
      </c>
    </row>
    <row r="46" spans="1:18" ht="17.100000000000001" customHeight="1">
      <c r="A46" s="96" t="s">
        <v>4</v>
      </c>
      <c r="B46" s="97">
        <f>+UGpcntDeg*FY12Majors!B8*FY12Revenue!D$3</f>
        <v>2104782.8508601845</v>
      </c>
      <c r="C46" s="97">
        <f>+FY12Revenue!$D$4*GPpcntMjr*FY12Majors!C8</f>
        <v>1698216.700594693</v>
      </c>
      <c r="D46" s="97">
        <f>+FY12Revenue!$D$5*GPpcntMjr*FY12Majors!D8</f>
        <v>476873.24400353123</v>
      </c>
      <c r="E46" s="97">
        <f>+FY12Revenue!$D$6*GPpcntMjr*FY12Majors!E8</f>
        <v>22971.259149810805</v>
      </c>
      <c r="F46" s="97">
        <f>+FY12Revenue!$D$7*GPpcntMjr*FY12Majors!F8</f>
        <v>0</v>
      </c>
      <c r="G46" s="97">
        <f>+FY12Revenue!$D$8*GPpcntMjr*FY12Majors!G8</f>
        <v>123328.44286500898</v>
      </c>
      <c r="H46" s="97">
        <f>+FY12Revenue!$D$9*GPpcntMjr*FY12Majors!H8</f>
        <v>0</v>
      </c>
      <c r="I46" s="97">
        <f>+FY12Revenue!$D$10*GPpcntMjr*FY12Majors!I8</f>
        <v>16420.967832780556</v>
      </c>
      <c r="J46" s="97">
        <f>+FY12Revenue!$D$11*GPpcntMjr*FY12Majors!J8</f>
        <v>0</v>
      </c>
      <c r="K46" s="97">
        <f>+FY12Revenue!$D$12*GPpcntMjr*FY12Majors!K8</f>
        <v>0</v>
      </c>
      <c r="L46" s="97">
        <f>+FY12Revenue!$D$13*GPpcntMjr*FY12Majors!L8</f>
        <v>0</v>
      </c>
      <c r="M46" s="97">
        <f>+FY12Revenue!$D$14*GPpcntMjr*FY12Majors!M8</f>
        <v>0</v>
      </c>
      <c r="N46" s="97">
        <f>+FY12Revenue!$D$15*GPpcntMjr*FY12Majors!N8</f>
        <v>0</v>
      </c>
      <c r="O46" s="97">
        <f>+FY12Revenue!$D$16*GPpcntMjr*FY12Majors!O8</f>
        <v>0</v>
      </c>
      <c r="P46" s="97">
        <f>+FY12Revenue!$D$17*GPpcntMjr*FY12Majors!P8</f>
        <v>0</v>
      </c>
      <c r="Q46" s="97">
        <f>+FY12Revenue!$D$18*GPpcntMjr*FY12Majors!Q8</f>
        <v>0</v>
      </c>
      <c r="R46" s="97">
        <f t="shared" si="4"/>
        <v>4442593.4653060101</v>
      </c>
    </row>
    <row r="47" spans="1:18" ht="17.100000000000001" customHeight="1">
      <c r="A47" s="96" t="s">
        <v>14</v>
      </c>
      <c r="B47" s="97">
        <f>+UGpcntDeg*FY12Majors!B9*FY12Revenue!D$3</f>
        <v>668809.50401164743</v>
      </c>
      <c r="C47" s="97">
        <f>+FY12Revenue!$D$4*GPpcntMjr*FY12Majors!C9</f>
        <v>127256.54862337494</v>
      </c>
      <c r="D47" s="97">
        <f>+FY12Revenue!$D$5*GPpcntMjr*FY12Majors!D9</f>
        <v>0</v>
      </c>
      <c r="E47" s="97">
        <f>+FY12Revenue!$D$6*GPpcntMjr*FY12Majors!E9</f>
        <v>5301.0598038024937</v>
      </c>
      <c r="F47" s="97">
        <f>+FY12Revenue!$D$7*GPpcntMjr*FY12Majors!F9</f>
        <v>0</v>
      </c>
      <c r="G47" s="97">
        <f>+FY12Revenue!$D$8*GPpcntMjr*FY12Majors!G9</f>
        <v>19472.91203131721</v>
      </c>
      <c r="H47" s="97">
        <f>+FY12Revenue!$D$9*GPpcntMjr*FY12Majors!H9</f>
        <v>256015.27389554903</v>
      </c>
      <c r="I47" s="97">
        <f>+FY12Revenue!$D$10*GPpcntMjr*FY12Majors!I9</f>
        <v>0</v>
      </c>
      <c r="J47" s="97">
        <f>+FY12Revenue!$D$11*GPpcntMjr*FY12Majors!J9</f>
        <v>0</v>
      </c>
      <c r="K47" s="97">
        <f>+FY12Revenue!$D$12*GPpcntMjr*FY12Majors!K9</f>
        <v>0</v>
      </c>
      <c r="L47" s="97">
        <f>+FY12Revenue!$D$13*GPpcntMjr*FY12Majors!L9</f>
        <v>0</v>
      </c>
      <c r="M47" s="97">
        <f>+FY12Revenue!$D$14*GPpcntMjr*FY12Majors!M9</f>
        <v>0</v>
      </c>
      <c r="N47" s="97">
        <f>+FY12Revenue!$D$15*GPpcntMjr*FY12Majors!N9</f>
        <v>0</v>
      </c>
      <c r="O47" s="97">
        <f>+FY12Revenue!$D$16*GPpcntMjr*FY12Majors!O9</f>
        <v>0</v>
      </c>
      <c r="P47" s="97">
        <f>+FY12Revenue!$D$17*GPpcntMjr*FY12Majors!P9</f>
        <v>0</v>
      </c>
      <c r="Q47" s="97">
        <f>+FY12Revenue!$D$18*GPpcntMjr*FY12Majors!Q9</f>
        <v>0</v>
      </c>
      <c r="R47" s="97">
        <f t="shared" si="4"/>
        <v>1076855.2983656912</v>
      </c>
    </row>
    <row r="48" spans="1:18" ht="17.100000000000001" customHeight="1">
      <c r="A48" s="96" t="s">
        <v>9</v>
      </c>
      <c r="B48" s="97">
        <f>+UGpcntDeg*FY12Majors!B10*FY12Revenue!D$3</f>
        <v>0</v>
      </c>
      <c r="C48" s="97">
        <f>+FY12Revenue!$D$4*GPpcntMjr*FY12Majors!C10</f>
        <v>50463.803764441785</v>
      </c>
      <c r="D48" s="97">
        <f>+FY12Revenue!$D$5*GPpcntMjr*FY12Majors!D10</f>
        <v>0</v>
      </c>
      <c r="E48" s="97">
        <f>+FY12Revenue!$D$6*GPpcntMjr*FY12Majors!E10</f>
        <v>22971.259149810805</v>
      </c>
      <c r="F48" s="97">
        <f>+FY12Revenue!$D$7*GPpcntMjr*FY12Majors!F10</f>
        <v>4398.8962300106323</v>
      </c>
      <c r="G48" s="97">
        <f>+FY12Revenue!$D$8*GPpcntMjr*FY12Majors!G10</f>
        <v>0</v>
      </c>
      <c r="H48" s="97">
        <f>+FY12Revenue!$D$9*GPpcntMjr*FY12Majors!H10</f>
        <v>0</v>
      </c>
      <c r="I48" s="97">
        <f>+FY12Revenue!$D$10*GPpcntMjr*FY12Majors!I10</f>
        <v>0</v>
      </c>
      <c r="J48" s="97">
        <f>+FY12Revenue!$D$11*GPpcntMjr*FY12Majors!J10</f>
        <v>0</v>
      </c>
      <c r="K48" s="97">
        <f>+FY12Revenue!$D$12*GPpcntMjr*FY12Majors!K10</f>
        <v>0</v>
      </c>
      <c r="L48" s="97">
        <f>+FY12Revenue!$D$13*GPpcntMjr*FY12Majors!L10</f>
        <v>7161037.5647851042</v>
      </c>
      <c r="M48" s="97">
        <f>+FY12Revenue!$D$14*GPpcntMjr*FY12Majors!M10</f>
        <v>0</v>
      </c>
      <c r="N48" s="97">
        <f>+FY12Revenue!$D$15*GPpcntMjr*FY12Majors!N10</f>
        <v>0</v>
      </c>
      <c r="O48" s="97">
        <f>+FY12Revenue!$D$16*GPpcntMjr*FY12Majors!O10</f>
        <v>0</v>
      </c>
      <c r="P48" s="97">
        <f>+FY12Revenue!$D$17*GPpcntMjr*FY12Majors!P10</f>
        <v>0</v>
      </c>
      <c r="Q48" s="97">
        <f>+FY12Revenue!$D$18*GPpcntMjr*FY12Majors!Q10</f>
        <v>496186.76852564025</v>
      </c>
      <c r="R48" s="97">
        <f t="shared" si="4"/>
        <v>7735058.2924550083</v>
      </c>
    </row>
    <row r="49" spans="1:18" ht="17.100000000000001" customHeight="1">
      <c r="A49" s="96" t="s">
        <v>5</v>
      </c>
      <c r="B49" s="97">
        <f>+UGpcntDeg*FY12Majors!B11*FY12Revenue!D$3</f>
        <v>0</v>
      </c>
      <c r="C49" s="97">
        <f>+FY12Revenue!$D$4*GPpcntMjr*FY12Majors!C11</f>
        <v>62531.235099417005</v>
      </c>
      <c r="D49" s="97">
        <f>+FY12Revenue!$D$5*GPpcntMjr*FY12Majors!D11</f>
        <v>0</v>
      </c>
      <c r="E49" s="97">
        <f>+FY12Revenue!$D$6*GPpcntMjr*FY12Majors!E11</f>
        <v>0</v>
      </c>
      <c r="F49" s="97">
        <f>+FY12Revenue!$D$7*GPpcntMjr*FY12Majors!F11</f>
        <v>4398.8962300106323</v>
      </c>
      <c r="G49" s="97">
        <f>+FY12Revenue!$D$8*GPpcntMjr*FY12Majors!G11</f>
        <v>2284821.6783412187</v>
      </c>
      <c r="H49" s="97">
        <f>+FY12Revenue!$D$9*GPpcntMjr*FY12Majors!H11</f>
        <v>0</v>
      </c>
      <c r="I49" s="97">
        <f>+FY12Revenue!$D$10*GPpcntMjr*FY12Majors!I11</f>
        <v>82104.839163902783</v>
      </c>
      <c r="J49" s="97">
        <f>+FY12Revenue!$D$11*GPpcntMjr*FY12Majors!J11</f>
        <v>0</v>
      </c>
      <c r="K49" s="97">
        <f>+FY12Revenue!$D$12*GPpcntMjr*FY12Majors!K11</f>
        <v>0</v>
      </c>
      <c r="L49" s="97">
        <f>+FY12Revenue!$D$13*GPpcntMjr*FY12Majors!L11</f>
        <v>48564.373127395891</v>
      </c>
      <c r="M49" s="97">
        <f>+FY12Revenue!$D$14*GPpcntMjr*FY12Majors!M11</f>
        <v>0</v>
      </c>
      <c r="N49" s="97">
        <f>+FY12Revenue!$D$15*GPpcntMjr*FY12Majors!N11</f>
        <v>0</v>
      </c>
      <c r="O49" s="97">
        <f>+FY12Revenue!$D$16*GPpcntMjr*FY12Majors!O11</f>
        <v>3473.0684207089239</v>
      </c>
      <c r="P49" s="97">
        <f>+FY12Revenue!$D$17*GPpcntMjr*FY12Majors!P11</f>
        <v>12625.198236520338</v>
      </c>
      <c r="Q49" s="97">
        <f>+FY12Revenue!$D$18*GPpcntMjr*FY12Majors!Q11</f>
        <v>0</v>
      </c>
      <c r="R49" s="97">
        <f t="shared" si="4"/>
        <v>2498519.2886191742</v>
      </c>
    </row>
    <row r="50" spans="1:18" ht="17.100000000000001" customHeight="1">
      <c r="A50" s="96" t="s">
        <v>13</v>
      </c>
      <c r="B50" s="97">
        <f>+UGpcntDeg*FY12Majors!B12*FY12Revenue!D$3</f>
        <v>383581.92141844484</v>
      </c>
      <c r="C50" s="97">
        <f>+FY12Revenue!$D$4*GPpcntMjr*FY12Majors!C12</f>
        <v>0</v>
      </c>
      <c r="D50" s="97">
        <f>+FY12Revenue!$D$5*GPpcntMjr*FY12Majors!D12</f>
        <v>241615.77696178909</v>
      </c>
      <c r="E50" s="97">
        <f>+FY12Revenue!$D$6*GPpcntMjr*FY12Majors!E12</f>
        <v>0</v>
      </c>
      <c r="F50" s="97">
        <f>+FY12Revenue!$D$7*GPpcntMjr*FY12Majors!F12</f>
        <v>0</v>
      </c>
      <c r="G50" s="97">
        <f>+FY12Revenue!$D$8*GPpcntMjr*FY12Majors!G12</f>
        <v>12981.941354211473</v>
      </c>
      <c r="H50" s="97">
        <f>+FY12Revenue!$D$9*GPpcntMjr*FY12Majors!H12</f>
        <v>0</v>
      </c>
      <c r="I50" s="97">
        <f>+FY12Revenue!$D$10*GPpcntMjr*FY12Majors!I12</f>
        <v>0</v>
      </c>
      <c r="J50" s="97">
        <f>+FY12Revenue!$D$11*GPpcntMjr*FY12Majors!J12</f>
        <v>0</v>
      </c>
      <c r="K50" s="97">
        <f>+FY12Revenue!$D$12*GPpcntMjr*FY12Majors!K12</f>
        <v>0</v>
      </c>
      <c r="L50" s="97">
        <f>+FY12Revenue!$D$13*GPpcntMjr*FY12Majors!L12</f>
        <v>0</v>
      </c>
      <c r="M50" s="97">
        <f>+FY12Revenue!$D$14*GPpcntMjr*FY12Majors!M12</f>
        <v>0</v>
      </c>
      <c r="N50" s="97">
        <f>+FY12Revenue!$D$15*GPpcntMjr*FY12Majors!N12</f>
        <v>0</v>
      </c>
      <c r="O50" s="97">
        <f>+FY12Revenue!$D$16*GPpcntMjr*FY12Majors!O12</f>
        <v>5209.6026310633861</v>
      </c>
      <c r="P50" s="97">
        <f>+FY12Revenue!$D$17*GPpcntMjr*FY12Majors!P12</f>
        <v>1939230.4491295237</v>
      </c>
      <c r="Q50" s="97">
        <f>+FY12Revenue!$D$18*GPpcntMjr*FY12Majors!Q12</f>
        <v>0</v>
      </c>
      <c r="R50" s="97">
        <f t="shared" si="4"/>
        <v>2582619.6914950325</v>
      </c>
    </row>
    <row r="51" spans="1:18" ht="17.100000000000001" customHeight="1">
      <c r="A51" s="96" t="s">
        <v>8</v>
      </c>
      <c r="B51" s="97">
        <f>+UGpcntDeg*FY12Majors!B13*FY12Revenue!D$3</f>
        <v>0</v>
      </c>
      <c r="C51" s="97">
        <f>+FY12Revenue!$D$4*GPpcntMjr*FY12Majors!C13</f>
        <v>17552.627396327578</v>
      </c>
      <c r="D51" s="97">
        <f>+FY12Revenue!$D$5*GPpcntMjr*FY12Majors!D13</f>
        <v>406931.83488301316</v>
      </c>
      <c r="E51" s="97">
        <f>+FY12Revenue!$D$6*GPpcntMjr*FY12Majors!E13</f>
        <v>3534.0398692016624</v>
      </c>
      <c r="F51" s="97">
        <f>+FY12Revenue!$D$7*GPpcntMjr*FY12Majors!F13</f>
        <v>0</v>
      </c>
      <c r="G51" s="97">
        <f>+FY12Revenue!$D$8*GPpcntMjr*FY12Majors!G13</f>
        <v>0</v>
      </c>
      <c r="H51" s="97">
        <f>+FY12Revenue!$D$9*GPpcntMjr*FY12Majors!H13</f>
        <v>0</v>
      </c>
      <c r="I51" s="97">
        <f>+FY12Revenue!$D$10*GPpcntMjr*FY12Majors!I13</f>
        <v>0</v>
      </c>
      <c r="J51" s="97">
        <f>+FY12Revenue!$D$11*GPpcntMjr*FY12Majors!J13</f>
        <v>0</v>
      </c>
      <c r="K51" s="97">
        <f>+FY12Revenue!$D$12*GPpcntMjr*FY12Majors!K13</f>
        <v>0</v>
      </c>
      <c r="L51" s="97">
        <f>+FY12Revenue!$D$13*GPpcntMjr*FY12Majors!L13</f>
        <v>0</v>
      </c>
      <c r="M51" s="97">
        <f>+FY12Revenue!$D$14*GPpcntMjr*FY12Majors!M13</f>
        <v>3728.5310130591652</v>
      </c>
      <c r="N51" s="97">
        <f>+FY12Revenue!$D$15*GPpcntMjr*FY12Majors!N13</f>
        <v>3093746.4988447162</v>
      </c>
      <c r="O51" s="97">
        <f>+FY12Revenue!$D$16*GPpcntMjr*FY12Majors!O13</f>
        <v>3473.0684207089239</v>
      </c>
      <c r="P51" s="97">
        <f>+FY12Revenue!$D$17*GPpcntMjr*FY12Majors!P13</f>
        <v>0</v>
      </c>
      <c r="Q51" s="97">
        <f>+FY12Revenue!$D$18*GPpcntMjr*FY12Majors!Q13</f>
        <v>0</v>
      </c>
      <c r="R51" s="97">
        <f t="shared" si="4"/>
        <v>3528966.6004270269</v>
      </c>
    </row>
    <row r="52" spans="1:18" ht="17.100000000000001" customHeight="1">
      <c r="A52" s="96" t="s">
        <v>10</v>
      </c>
      <c r="B52" s="97">
        <f>+UGpcntDeg*FY12Majors!B14*FY12Revenue!D$3</f>
        <v>1908074.1732096998</v>
      </c>
      <c r="C52" s="97">
        <f>+FY12Revenue!$D$4*GPpcntMjr*FY12Majors!C14</f>
        <v>1623618.0341603011</v>
      </c>
      <c r="D52" s="97">
        <f>+FY12Revenue!$D$5*GPpcntMjr*FY12Majors!D14</f>
        <v>527739.72336390777</v>
      </c>
      <c r="E52" s="97">
        <f>+FY12Revenue!$D$6*GPpcntMjr*FY12Majors!E14</f>
        <v>42408.478430419949</v>
      </c>
      <c r="F52" s="97">
        <f>+FY12Revenue!$D$7*GPpcntMjr*FY12Majors!F14</f>
        <v>0</v>
      </c>
      <c r="G52" s="97">
        <f>+FY12Revenue!$D$8*GPpcntMjr*FY12Majors!G14</f>
        <v>0</v>
      </c>
      <c r="H52" s="97">
        <f>+FY12Revenue!$D$9*GPpcntMjr*FY12Majors!H14</f>
        <v>0</v>
      </c>
      <c r="I52" s="97">
        <f>+FY12Revenue!$D$10*GPpcntMjr*FY12Majors!I14</f>
        <v>0</v>
      </c>
      <c r="J52" s="97">
        <f>+FY12Revenue!$D$11*GPpcntMjr*FY12Majors!J14</f>
        <v>10926.968445278424</v>
      </c>
      <c r="K52" s="97">
        <f>+FY12Revenue!$D$12*GPpcntMjr*FY12Majors!K14</f>
        <v>0</v>
      </c>
      <c r="L52" s="97">
        <f>+FY12Revenue!$D$13*GPpcntMjr*FY12Majors!L14</f>
        <v>0</v>
      </c>
      <c r="M52" s="97">
        <f>+FY12Revenue!$D$14*GPpcntMjr*FY12Majors!M14</f>
        <v>8680020.1984017361</v>
      </c>
      <c r="N52" s="97">
        <f>+FY12Revenue!$D$15*GPpcntMjr*FY12Majors!N14</f>
        <v>0</v>
      </c>
      <c r="O52" s="97">
        <f>+FY12Revenue!$D$16*GPpcntMjr*FY12Majors!O14</f>
        <v>192755.29734934532</v>
      </c>
      <c r="P52" s="97">
        <f>+FY12Revenue!$D$17*GPpcntMjr*FY12Majors!P14</f>
        <v>0</v>
      </c>
      <c r="Q52" s="97">
        <f>+FY12Revenue!$D$18*GPpcntMjr*FY12Majors!Q14</f>
        <v>0</v>
      </c>
      <c r="R52" s="97">
        <f t="shared" si="4"/>
        <v>12985542.873360688</v>
      </c>
    </row>
    <row r="53" spans="1:18" ht="17.100000000000001" customHeight="1">
      <c r="A53" s="96" t="s">
        <v>11</v>
      </c>
      <c r="B53" s="97">
        <f>+UGpcntDeg*FY12Majors!B15*FY12Revenue!D$3</f>
        <v>1229429.2353155282</v>
      </c>
      <c r="C53" s="97">
        <f>+FY12Revenue!$D$4*GPpcntMjr*FY12Majors!C15</f>
        <v>3291.1176368114211</v>
      </c>
      <c r="D53" s="97">
        <f>+FY12Revenue!$D$5*GPpcntMjr*FY12Majors!D15</f>
        <v>14836.056480109859</v>
      </c>
      <c r="E53" s="97">
        <f>+FY12Revenue!$D$6*GPpcntMjr*FY12Majors!E15</f>
        <v>321597.62809735135</v>
      </c>
      <c r="F53" s="97">
        <f>+FY12Revenue!$D$7*GPpcntMjr*FY12Majors!F15</f>
        <v>0</v>
      </c>
      <c r="G53" s="97">
        <f>+FY12Revenue!$D$8*GPpcntMjr*FY12Majors!G15</f>
        <v>0</v>
      </c>
      <c r="H53" s="97">
        <f>+FY12Revenue!$D$9*GPpcntMjr*FY12Majors!H15</f>
        <v>0</v>
      </c>
      <c r="I53" s="97">
        <f>+FY12Revenue!$D$10*GPpcntMjr*FY12Majors!I15</f>
        <v>0</v>
      </c>
      <c r="J53" s="97">
        <f>+FY12Revenue!$D$11*GPpcntMjr*FY12Majors!J15</f>
        <v>857767.02295435627</v>
      </c>
      <c r="K53" s="97">
        <f>+FY12Revenue!$D$12*GPpcntMjr*FY12Majors!K15</f>
        <v>0</v>
      </c>
      <c r="L53" s="97">
        <f>+FY12Revenue!$D$13*GPpcntMjr*FY12Majors!L15</f>
        <v>0</v>
      </c>
      <c r="M53" s="97">
        <f>+FY12Revenue!$D$14*GPpcntMjr*FY12Majors!M15</f>
        <v>0</v>
      </c>
      <c r="N53" s="97">
        <f>+FY12Revenue!$D$15*GPpcntMjr*FY12Majors!N15</f>
        <v>0</v>
      </c>
      <c r="O53" s="97">
        <f>+FY12Revenue!$D$16*GPpcntMjr*FY12Majors!O15</f>
        <v>10419.205262126772</v>
      </c>
      <c r="P53" s="97">
        <f>+FY12Revenue!$D$17*GPpcntMjr*FY12Majors!P15</f>
        <v>0</v>
      </c>
      <c r="Q53" s="97">
        <f>+FY12Revenue!$D$18*GPpcntMjr*FY12Majors!Q15</f>
        <v>0</v>
      </c>
      <c r="R53" s="97">
        <f t="shared" si="4"/>
        <v>2437340.2657462843</v>
      </c>
    </row>
    <row r="54" spans="1:18" ht="17.100000000000001" customHeight="1">
      <c r="A54" s="96" t="s">
        <v>12</v>
      </c>
      <c r="B54" s="97">
        <f>+UGpcntDeg*FY12Majors!B16*FY12Revenue!D$3</f>
        <v>0</v>
      </c>
      <c r="C54" s="97">
        <f>+FY12Revenue!$D$4*GPpcntMjr*FY12Majors!C16</f>
        <v>200758.17584549668</v>
      </c>
      <c r="D54" s="97">
        <f>+FY12Revenue!$D$5*GPpcntMjr*FY12Majors!D16</f>
        <v>0</v>
      </c>
      <c r="E54" s="97">
        <f>+FY12Revenue!$D$6*GPpcntMjr*FY12Majors!E16</f>
        <v>1767.0199346008312</v>
      </c>
      <c r="F54" s="97">
        <f>+FY12Revenue!$D$7*GPpcntMjr*FY12Majors!F16</f>
        <v>0</v>
      </c>
      <c r="G54" s="97">
        <f>+FY12Revenue!$D$8*GPpcntMjr*FY12Majors!G16</f>
        <v>0</v>
      </c>
      <c r="H54" s="97">
        <f>+FY12Revenue!$D$9*GPpcntMjr*FY12Majors!H16</f>
        <v>0</v>
      </c>
      <c r="I54" s="97">
        <f>+FY12Revenue!$D$10*GPpcntMjr*FY12Majors!I16</f>
        <v>0</v>
      </c>
      <c r="J54" s="97">
        <f>+FY12Revenue!$D$11*GPpcntMjr*FY12Majors!J16</f>
        <v>0</v>
      </c>
      <c r="K54" s="97">
        <f>+FY12Revenue!$D$12*GPpcntMjr*FY12Majors!K16</f>
        <v>3573038.0252052122</v>
      </c>
      <c r="L54" s="97">
        <f>+FY12Revenue!$D$13*GPpcntMjr*FY12Majors!L16</f>
        <v>0</v>
      </c>
      <c r="M54" s="97">
        <f>+FY12Revenue!$D$14*GPpcntMjr*FY12Majors!M16</f>
        <v>0</v>
      </c>
      <c r="N54" s="97">
        <f>+FY12Revenue!$D$15*GPpcntMjr*FY12Majors!N16</f>
        <v>0</v>
      </c>
      <c r="O54" s="97">
        <f>+FY12Revenue!$D$16*GPpcntMjr*FY12Majors!O16</f>
        <v>0</v>
      </c>
      <c r="P54" s="97">
        <f>+FY12Revenue!$D$17*GPpcntMjr*FY12Majors!P16</f>
        <v>0</v>
      </c>
      <c r="Q54" s="97">
        <f>+FY12Revenue!$D$18*GPpcntMjr*FY12Majors!Q16</f>
        <v>0</v>
      </c>
      <c r="R54" s="97">
        <f>SUM(B54:Q54)</f>
        <v>3775563.2209853097</v>
      </c>
    </row>
    <row r="55" spans="1:18" ht="17.100000000000001" customHeight="1">
      <c r="A55" s="96" t="s">
        <v>7</v>
      </c>
      <c r="B55" s="97">
        <f>+UGpcntDeg*FY12Majors!B17*FY12Revenue!D$3</f>
        <v>550784.29742135678</v>
      </c>
      <c r="C55" s="97">
        <f>+FY12Revenue!$D$4*GPpcntMjr*FY12Majors!C17</f>
        <v>20843.745033138999</v>
      </c>
      <c r="D55" s="97">
        <f>+FY12Revenue!$D$5*GPpcntMjr*FY12Majors!D17</f>
        <v>0</v>
      </c>
      <c r="E55" s="97">
        <f>+FY12Revenue!$D$6*GPpcntMjr*FY12Majors!E17</f>
        <v>1653930.6587863781</v>
      </c>
      <c r="F55" s="97">
        <f>+FY12Revenue!$D$7*GPpcntMjr*FY12Majors!F17</f>
        <v>52786.754760127587</v>
      </c>
      <c r="G55" s="97">
        <f>+FY12Revenue!$D$8*GPpcntMjr*FY12Majors!G17</f>
        <v>15145.59824658005</v>
      </c>
      <c r="H55" s="97">
        <f>+FY12Revenue!$D$9*GPpcntMjr*FY12Majors!H17</f>
        <v>0</v>
      </c>
      <c r="I55" s="97">
        <f>+FY12Revenue!$D$10*GPpcntMjr*FY12Majors!I17</f>
        <v>0</v>
      </c>
      <c r="J55" s="97">
        <f>+FY12Revenue!$D$11*GPpcntMjr*FY12Majors!J17</f>
        <v>27317.421113196058</v>
      </c>
      <c r="K55" s="97">
        <f>+FY12Revenue!$D$12*GPpcntMjr*FY12Majors!K17</f>
        <v>0</v>
      </c>
      <c r="L55" s="97">
        <f>+FY12Revenue!$D$13*GPpcntMjr*FY12Majors!L17</f>
        <v>0</v>
      </c>
      <c r="M55" s="97">
        <f>+FY12Revenue!$D$14*GPpcntMjr*FY12Majors!M17</f>
        <v>59656.49620894665</v>
      </c>
      <c r="N55" s="97">
        <f>+FY12Revenue!$D$15*GPpcntMjr*FY12Majors!N17</f>
        <v>0</v>
      </c>
      <c r="O55" s="97">
        <f>+FY12Revenue!$D$16*GPpcntMjr*FY12Majors!O17</f>
        <v>906470.85780502937</v>
      </c>
      <c r="P55" s="97">
        <f>+FY12Revenue!$D$17*GPpcntMjr*FY12Majors!P17</f>
        <v>7575.118941912202</v>
      </c>
      <c r="Q55" s="97">
        <f>+FY12Revenue!$D$18*GPpcntMjr*FY12Majors!Q17</f>
        <v>0</v>
      </c>
      <c r="R55" s="97">
        <f>SUM(B55:Q55)</f>
        <v>3294510.9483166658</v>
      </c>
    </row>
    <row r="56" spans="1:18" ht="17.100000000000001" customHeight="1">
      <c r="A56" s="96" t="s">
        <v>16</v>
      </c>
      <c r="B56" s="97">
        <f>+UGpcntDeg*FY12Majors!B18*FY12Revenue!D$3</f>
        <v>1170416.6320203829</v>
      </c>
      <c r="C56" s="97">
        <f>+FY12Revenue!$D$4*GPpcntMjr*FY12Majors!C18</f>
        <v>0</v>
      </c>
      <c r="D56" s="97">
        <f>+FY12Revenue!$D$5*GPpcntMjr*FY12Majors!D18</f>
        <v>0</v>
      </c>
      <c r="E56" s="97">
        <f>+FY12Revenue!$D$6*GPpcntMjr*FY12Majors!E18</f>
        <v>17670.199346008314</v>
      </c>
      <c r="F56" s="97">
        <f>+FY12Revenue!$D$7*GPpcntMjr*FY12Majors!F18</f>
        <v>0</v>
      </c>
      <c r="G56" s="97">
        <f>+FY12Revenue!$D$8*GPpcntMjr*FY12Majors!G18</f>
        <v>0</v>
      </c>
      <c r="H56" s="97">
        <f>+FY12Revenue!$D$9*GPpcntMjr*FY12Majors!H18</f>
        <v>0</v>
      </c>
      <c r="I56" s="97">
        <f>+FY12Revenue!$D$10*GPpcntMjr*FY12Majors!I18</f>
        <v>0</v>
      </c>
      <c r="J56" s="97">
        <f>+FY12Revenue!$D$11*GPpcntMjr*FY12Majors!J18</f>
        <v>0</v>
      </c>
      <c r="K56" s="97">
        <f>+FY12Revenue!$D$12*GPpcntMjr*FY12Majors!K18</f>
        <v>0</v>
      </c>
      <c r="L56" s="97">
        <f>+FY12Revenue!$D$13*GPpcntMjr*FY12Majors!L18</f>
        <v>0</v>
      </c>
      <c r="M56" s="97">
        <f>+FY12Revenue!$D$14*GPpcntMjr*FY12Majors!M18</f>
        <v>0</v>
      </c>
      <c r="N56" s="97">
        <f>+FY12Revenue!$D$15*GPpcntMjr*FY12Majors!N18</f>
        <v>0</v>
      </c>
      <c r="O56" s="97">
        <f>+FY12Revenue!$D$16*GPpcntMjr*FY12Majors!O18</f>
        <v>0</v>
      </c>
      <c r="P56" s="97">
        <f>+FY12Revenue!$D$17*GPpcntMjr*FY12Majors!P18</f>
        <v>0</v>
      </c>
      <c r="Q56" s="97">
        <f>+FY12Revenue!$D$18*GPpcntMjr*FY12Majors!Q18</f>
        <v>0</v>
      </c>
      <c r="R56" s="97">
        <f>SUM(B56:Q56)</f>
        <v>1188086.8313663912</v>
      </c>
    </row>
    <row r="57" spans="1:18" ht="17.100000000000001" customHeight="1">
      <c r="A57" s="101" t="s">
        <v>96</v>
      </c>
      <c r="B57" s="102">
        <f>+UGpcntDeg*FY12Majors!B19*FY12Revenue!D$3</f>
        <v>442594.52471359016</v>
      </c>
      <c r="C57" s="102">
        <f>+FY12Revenue!$D$4*GPpcntMjr*FY12Majors!C19</f>
        <v>1079486.5848741459</v>
      </c>
      <c r="D57" s="102">
        <f>+FY12Revenue!$D$5*GPpcntMjr*FY12Majors!D19</f>
        <v>21194.366400156941</v>
      </c>
      <c r="E57" s="102">
        <f>+FY12Revenue!$D$6*GPpcntMjr*FY12Majors!E19</f>
        <v>106021.19607604991</v>
      </c>
      <c r="F57" s="102">
        <f>+FY12Revenue!$D$7*GPpcntMjr*FY12Majors!F19</f>
        <v>43988.96230010633</v>
      </c>
      <c r="G57" s="102">
        <f>+FY12Revenue!$D$8*GPpcntMjr*FY12Majors!G19</f>
        <v>8654.6275694743144</v>
      </c>
      <c r="H57" s="102">
        <f>+FY12Revenue!$D$9*GPpcntMjr*FY12Majors!H19</f>
        <v>5260.5878197715556</v>
      </c>
      <c r="I57" s="102">
        <f>+FY12Revenue!$D$10*GPpcntMjr*FY12Majors!I19</f>
        <v>101262.63496881344</v>
      </c>
      <c r="J57" s="102">
        <f>+FY12Revenue!$D$11*GPpcntMjr*FY12Majors!J19</f>
        <v>0</v>
      </c>
      <c r="K57" s="102">
        <f>+FY12Revenue!$D$12*GPpcntMjr*FY12Majors!K19</f>
        <v>0</v>
      </c>
      <c r="L57" s="102">
        <f>+FY12Revenue!$D$13*GPpcntMjr*FY12Majors!L19</f>
        <v>0</v>
      </c>
      <c r="M57" s="102">
        <f>+FY12Revenue!$D$14*GPpcntMjr*FY12Majors!M19</f>
        <v>108127.3993787158</v>
      </c>
      <c r="N57" s="102">
        <f>+FY12Revenue!$D$15*GPpcntMjr*FY12Majors!N19</f>
        <v>0</v>
      </c>
      <c r="O57" s="102">
        <f>+FY12Revenue!$D$16*GPpcntMjr*FY12Majors!O19</f>
        <v>5209.6026310633861</v>
      </c>
      <c r="P57" s="102">
        <f>+FY12Revenue!$D$17*GPpcntMjr*FY12Majors!P19</f>
        <v>0</v>
      </c>
      <c r="Q57" s="102">
        <f>+FY12Revenue!$D$18*GPpcntMjr*FY12Majors!Q19</f>
        <v>0</v>
      </c>
      <c r="R57" s="102">
        <f>SUM(B57:Q57)</f>
        <v>1921800.4867318878</v>
      </c>
    </row>
    <row r="58" spans="1:18" ht="17.100000000000001" customHeight="1">
      <c r="A58" s="104" t="s">
        <v>34</v>
      </c>
      <c r="B58" s="105">
        <f>SUM(B41:B57)</f>
        <v>84565060.521943271</v>
      </c>
      <c r="C58" s="105">
        <f>SUM(C41:C57)</f>
        <v>13537463.879417645</v>
      </c>
      <c r="D58" s="105">
        <f t="shared" ref="D58:R58" si="5">SUM(D41:D57)</f>
        <v>3808627.642108202</v>
      </c>
      <c r="E58" s="105">
        <f t="shared" si="5"/>
        <v>7098119.0772915408</v>
      </c>
      <c r="F58" s="105">
        <f t="shared" si="5"/>
        <v>3237587.6252878262</v>
      </c>
      <c r="G58" s="105">
        <f t="shared" si="5"/>
        <v>2724044.0274920398</v>
      </c>
      <c r="H58" s="105">
        <f t="shared" si="5"/>
        <v>273550.5666281209</v>
      </c>
      <c r="I58" s="105">
        <f t="shared" si="5"/>
        <v>3163773.1357823876</v>
      </c>
      <c r="J58" s="105">
        <f t="shared" si="5"/>
        <v>896011.41251283081</v>
      </c>
      <c r="K58" s="105">
        <f t="shared" si="5"/>
        <v>3573038.0252052122</v>
      </c>
      <c r="L58" s="105">
        <f t="shared" si="5"/>
        <v>7311145.6271788739</v>
      </c>
      <c r="M58" s="105">
        <f t="shared" si="5"/>
        <v>8851532.6250024568</v>
      </c>
      <c r="N58" s="105">
        <f t="shared" si="5"/>
        <v>3093746.4988447162</v>
      </c>
      <c r="O58" s="105">
        <f t="shared" si="5"/>
        <v>1151322.1814650085</v>
      </c>
      <c r="P58" s="105">
        <f t="shared" si="5"/>
        <v>1964480.8456025643</v>
      </c>
      <c r="Q58" s="105">
        <f t="shared" si="5"/>
        <v>496186.76852564025</v>
      </c>
      <c r="R58" s="105">
        <f t="shared" si="5"/>
        <v>145745690.46028841</v>
      </c>
    </row>
  </sheetData>
  <mergeCells count="3">
    <mergeCell ref="A1:R1"/>
    <mergeCell ref="A21:R21"/>
    <mergeCell ref="A40:R40"/>
  </mergeCells>
  <printOptions horizontalCentered="1"/>
  <pageMargins left="0.25" right="0.25" top="0.3" bottom="0.5" header="0.1" footer="0.2"/>
  <pageSetup scale="52" orientation="landscape" r:id="rId1"/>
  <headerFooter>
    <oddFooter xml:space="preserve">&amp;L&amp;9&amp;Z&amp;F, &amp;A
Revised/Printed &amp;D, &amp;T&amp;R&amp;9Page &amp;P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workbookViewId="0">
      <selection sqref="A1:D1"/>
    </sheetView>
  </sheetViews>
  <sheetFormatPr defaultColWidth="8.85546875" defaultRowHeight="15"/>
  <cols>
    <col min="1" max="1" width="36.85546875" style="32" customWidth="1"/>
    <col min="2" max="2" width="18.140625" style="32" hidden="1" customWidth="1"/>
    <col min="3" max="3" width="18.140625" style="32" customWidth="1"/>
    <col min="4" max="4" width="18.7109375" style="32" customWidth="1"/>
    <col min="5" max="5" width="19.85546875" style="32" customWidth="1"/>
    <col min="6" max="6" width="13.85546875" style="32" customWidth="1"/>
    <col min="7" max="7" width="8.85546875" style="32"/>
    <col min="8" max="8" width="10.85546875" style="32" bestFit="1" customWidth="1"/>
    <col min="9" max="16384" width="8.85546875" style="32"/>
  </cols>
  <sheetData>
    <row r="1" spans="1:13" ht="42" customHeight="1">
      <c r="A1" s="662" t="s">
        <v>342</v>
      </c>
      <c r="B1" s="663"/>
      <c r="C1" s="663"/>
      <c r="D1" s="664"/>
    </row>
    <row r="2" spans="1:13" s="68" customFormat="1" ht="17.100000000000001" customHeight="1">
      <c r="A2" s="63" t="s">
        <v>103</v>
      </c>
      <c r="B2" s="63" t="s">
        <v>104</v>
      </c>
      <c r="C2" s="64" t="s">
        <v>17</v>
      </c>
      <c r="D2" s="63" t="s">
        <v>97</v>
      </c>
      <c r="G2" s="69"/>
      <c r="H2" s="69"/>
      <c r="I2" s="69"/>
      <c r="J2" s="69"/>
      <c r="K2" s="69"/>
      <c r="M2" s="12"/>
    </row>
    <row r="3" spans="1:13" ht="17.100000000000001" customHeight="1">
      <c r="A3" s="29" t="s">
        <v>21</v>
      </c>
      <c r="B3" s="14">
        <v>307288573.29265463</v>
      </c>
      <c r="C3" s="14">
        <f>B3-5270500</f>
        <v>302018073.29265463</v>
      </c>
      <c r="D3" s="51">
        <f>0.7*C3</f>
        <v>211412651.30485824</v>
      </c>
      <c r="M3" s="28"/>
    </row>
    <row r="4" spans="1:13" ht="17.100000000000001" customHeight="1">
      <c r="A4" s="29" t="s">
        <v>35</v>
      </c>
      <c r="B4" s="14">
        <v>24174042.641817227</v>
      </c>
      <c r="C4" s="14">
        <f>+B4</f>
        <v>24174042.641817227</v>
      </c>
      <c r="D4" s="51">
        <f t="shared" ref="D4:D18" si="0">0.7*C4</f>
        <v>16921829.849272057</v>
      </c>
      <c r="M4" s="28"/>
    </row>
    <row r="5" spans="1:13" ht="17.100000000000001" customHeight="1">
      <c r="A5" s="29" t="s">
        <v>36</v>
      </c>
      <c r="B5" s="14">
        <v>6801120.7894789334</v>
      </c>
      <c r="C5" s="14">
        <f t="shared" ref="C5:C18" si="1">+B5</f>
        <v>6801120.7894789334</v>
      </c>
      <c r="D5" s="51">
        <f t="shared" si="0"/>
        <v>4760784.5526352534</v>
      </c>
      <c r="M5" s="28"/>
    </row>
    <row r="6" spans="1:13" ht="17.100000000000001" customHeight="1">
      <c r="A6" s="29" t="s">
        <v>37</v>
      </c>
      <c r="B6" s="14">
        <v>12675212.638020609</v>
      </c>
      <c r="C6" s="14">
        <f t="shared" si="1"/>
        <v>12675212.638020609</v>
      </c>
      <c r="D6" s="51">
        <f t="shared" si="0"/>
        <v>8872648.846614426</v>
      </c>
      <c r="M6" s="28"/>
    </row>
    <row r="7" spans="1:13" ht="17.100000000000001" customHeight="1">
      <c r="A7" s="29" t="s">
        <v>38</v>
      </c>
      <c r="B7" s="14">
        <v>5781406.473728261</v>
      </c>
      <c r="C7" s="14">
        <f t="shared" si="1"/>
        <v>5781406.473728261</v>
      </c>
      <c r="D7" s="51">
        <f t="shared" si="0"/>
        <v>4046984.5316097825</v>
      </c>
      <c r="M7" s="28"/>
    </row>
    <row r="8" spans="1:13" ht="17.100000000000001" customHeight="1">
      <c r="A8" s="29" t="s">
        <v>39</v>
      </c>
      <c r="B8" s="14">
        <v>4864364.3348072143</v>
      </c>
      <c r="C8" s="14">
        <f t="shared" si="1"/>
        <v>4864364.3348072143</v>
      </c>
      <c r="D8" s="51">
        <f t="shared" si="0"/>
        <v>3405055.03436505</v>
      </c>
      <c r="M8" s="28"/>
    </row>
    <row r="9" spans="1:13" ht="17.100000000000001" customHeight="1">
      <c r="A9" s="29" t="s">
        <v>40</v>
      </c>
      <c r="B9" s="14">
        <v>488483.15469307301</v>
      </c>
      <c r="C9" s="14">
        <f t="shared" si="1"/>
        <v>488483.15469307301</v>
      </c>
      <c r="D9" s="51">
        <f t="shared" si="0"/>
        <v>341938.20828515111</v>
      </c>
      <c r="M9" s="28"/>
    </row>
    <row r="10" spans="1:13" ht="17.100000000000001" customHeight="1">
      <c r="A10" s="29" t="s">
        <v>41</v>
      </c>
      <c r="B10" s="14">
        <v>5649594.8853256926</v>
      </c>
      <c r="C10" s="14">
        <f t="shared" si="1"/>
        <v>5649594.8853256926</v>
      </c>
      <c r="D10" s="51">
        <f t="shared" si="0"/>
        <v>3954716.4197279844</v>
      </c>
      <c r="M10" s="28"/>
    </row>
    <row r="11" spans="1:13" ht="17.100000000000001" customHeight="1">
      <c r="A11" s="29" t="s">
        <v>19</v>
      </c>
      <c r="B11" s="14">
        <v>1600020.3794871978</v>
      </c>
      <c r="C11" s="14">
        <f t="shared" si="1"/>
        <v>1600020.3794871978</v>
      </c>
      <c r="D11" s="51">
        <f t="shared" si="0"/>
        <v>1120014.2656410383</v>
      </c>
      <c r="M11" s="28"/>
    </row>
    <row r="12" spans="1:13" ht="17.100000000000001" customHeight="1">
      <c r="A12" s="29" t="s">
        <v>42</v>
      </c>
      <c r="B12" s="14">
        <v>6380425.0450093076</v>
      </c>
      <c r="C12" s="14">
        <f t="shared" si="1"/>
        <v>6380425.0450093076</v>
      </c>
      <c r="D12" s="51">
        <f t="shared" si="0"/>
        <v>4466297.5315065151</v>
      </c>
      <c r="M12" s="28"/>
    </row>
    <row r="13" spans="1:13" ht="17.100000000000001" customHeight="1">
      <c r="A13" s="29" t="s">
        <v>98</v>
      </c>
      <c r="B13" s="14">
        <v>13055617.191390842</v>
      </c>
      <c r="C13" s="14">
        <f t="shared" si="1"/>
        <v>13055617.191390842</v>
      </c>
      <c r="D13" s="51">
        <f t="shared" si="0"/>
        <v>9138932.0339735895</v>
      </c>
      <c r="M13" s="28"/>
    </row>
    <row r="14" spans="1:13" ht="17.100000000000001" customHeight="1">
      <c r="A14" s="29" t="s">
        <v>20</v>
      </c>
      <c r="B14" s="14">
        <v>15806308.258932963</v>
      </c>
      <c r="C14" s="14">
        <f t="shared" si="1"/>
        <v>15806308.258932963</v>
      </c>
      <c r="D14" s="51">
        <f t="shared" si="0"/>
        <v>11064415.781253073</v>
      </c>
      <c r="M14" s="28"/>
    </row>
    <row r="15" spans="1:13" ht="17.100000000000001" customHeight="1">
      <c r="A15" s="29" t="s">
        <v>18</v>
      </c>
      <c r="B15" s="14">
        <v>5524547.3193655647</v>
      </c>
      <c r="C15" s="14">
        <f t="shared" si="1"/>
        <v>5524547.3193655647</v>
      </c>
      <c r="D15" s="51">
        <f t="shared" si="0"/>
        <v>3867183.1235558949</v>
      </c>
      <c r="M15" s="28"/>
    </row>
    <row r="16" spans="1:13" ht="17.100000000000001" customHeight="1">
      <c r="A16" s="29" t="s">
        <v>49</v>
      </c>
      <c r="B16" s="14">
        <v>2055932.4669018011</v>
      </c>
      <c r="C16" s="14">
        <f t="shared" si="1"/>
        <v>2055932.4669018011</v>
      </c>
      <c r="D16" s="51">
        <f t="shared" si="0"/>
        <v>1439152.7268312606</v>
      </c>
      <c r="M16" s="28"/>
    </row>
    <row r="17" spans="1:13" ht="17.100000000000001" customHeight="1">
      <c r="A17" s="29" t="s">
        <v>68</v>
      </c>
      <c r="B17" s="14">
        <v>3508001.5100045791</v>
      </c>
      <c r="C17" s="14">
        <f t="shared" si="1"/>
        <v>3508001.5100045791</v>
      </c>
      <c r="D17" s="51">
        <f t="shared" si="0"/>
        <v>2455601.0570032052</v>
      </c>
      <c r="M17" s="28"/>
    </row>
    <row r="18" spans="1:13" ht="17.100000000000001" customHeight="1">
      <c r="A18" s="29" t="s">
        <v>69</v>
      </c>
      <c r="B18" s="14">
        <v>886047.80093864328</v>
      </c>
      <c r="C18" s="14">
        <f t="shared" si="1"/>
        <v>886047.80093864328</v>
      </c>
      <c r="D18" s="51">
        <f t="shared" si="0"/>
        <v>620233.46065705025</v>
      </c>
      <c r="E18" s="601" t="s">
        <v>335</v>
      </c>
      <c r="M18" s="28"/>
    </row>
    <row r="19" spans="1:13" ht="17.100000000000001" customHeight="1">
      <c r="A19" s="65" t="s">
        <v>106</v>
      </c>
      <c r="B19" s="14">
        <f>SUM(B3:B18)</f>
        <v>416539698.18255657</v>
      </c>
      <c r="C19" s="67">
        <f>SUM(C3:C18)</f>
        <v>411269198.18255657</v>
      </c>
      <c r="D19" s="14">
        <f>SUM(D3:D18)</f>
        <v>287888438.72778958</v>
      </c>
      <c r="E19" s="606">
        <f>+C19-D19</f>
        <v>123380759.45476699</v>
      </c>
      <c r="M19" s="28"/>
    </row>
    <row r="20" spans="1:13" ht="17.100000000000001" customHeight="1">
      <c r="A20" s="65" t="s">
        <v>107</v>
      </c>
      <c r="B20" s="27">
        <v>32792715.865006775</v>
      </c>
      <c r="C20" s="70">
        <f>B20-770000</f>
        <v>32022715.865006775</v>
      </c>
      <c r="D20" s="52"/>
      <c r="M20" s="28"/>
    </row>
    <row r="21" spans="1:13" ht="17.100000000000001" customHeight="1">
      <c r="A21" s="65" t="s">
        <v>108</v>
      </c>
      <c r="B21" s="27">
        <v>30932082.71785352</v>
      </c>
      <c r="C21" s="70">
        <f>B21-619500</f>
        <v>30312582.71785352</v>
      </c>
      <c r="D21" s="52"/>
    </row>
    <row r="22" spans="1:13" ht="17.100000000000001" customHeight="1">
      <c r="A22" s="71" t="s">
        <v>109</v>
      </c>
      <c r="B22" s="30">
        <f>SUM(B19:B21)</f>
        <v>480264496.76541686</v>
      </c>
      <c r="C22" s="73">
        <f>SUM(C19:C21)</f>
        <v>473604496.76541686</v>
      </c>
      <c r="D22" s="53"/>
    </row>
    <row r="23" spans="1:13">
      <c r="B23" s="7"/>
      <c r="C23" s="7"/>
      <c r="D23" s="10"/>
    </row>
  </sheetData>
  <mergeCells count="1">
    <mergeCell ref="A1:D1"/>
  </mergeCells>
  <printOptions horizontalCentered="1"/>
  <pageMargins left="0.5" right="0.5" top="1" bottom="0.5" header="0.05" footer="0.05"/>
  <pageSetup orientation="portrait" r:id="rId1"/>
  <headerFooter>
    <oddFooter xml:space="preserve">&amp;L&amp;9&amp;Z&amp;F, &amp;A
Revised/Printed &amp;D, &amp;T&amp;R&amp;9Page &amp;P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workbookViewId="0"/>
  </sheetViews>
  <sheetFormatPr defaultColWidth="8.85546875" defaultRowHeight="18" customHeight="1"/>
  <cols>
    <col min="1" max="1" width="53.7109375" style="32" customWidth="1"/>
    <col min="2" max="17" width="12.7109375" style="32" customWidth="1"/>
    <col min="18" max="16384" width="8.85546875" style="32"/>
  </cols>
  <sheetData>
    <row r="1" spans="1:25" ht="27" customHeight="1">
      <c r="A1" s="13" t="s">
        <v>337</v>
      </c>
      <c r="B1" s="13"/>
      <c r="C1" s="6"/>
      <c r="D1" s="6"/>
      <c r="E1" s="6"/>
      <c r="F1" s="6"/>
      <c r="G1" s="6"/>
      <c r="H1" s="6"/>
      <c r="I1" s="6"/>
      <c r="J1" s="6"/>
      <c r="K1" s="6"/>
      <c r="L1" s="6"/>
      <c r="M1" s="6"/>
      <c r="N1" s="6"/>
      <c r="O1" s="6"/>
      <c r="P1" s="6"/>
    </row>
    <row r="2" spans="1:25" s="18" customFormat="1" ht="47.25" customHeight="1">
      <c r="A2" s="120" t="s">
        <v>78</v>
      </c>
      <c r="B2" s="120" t="s">
        <v>99</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c r="A3" s="143" t="s">
        <v>51</v>
      </c>
      <c r="B3" s="129">
        <f>+B23/$B$40</f>
        <v>1.7329611537566875E-2</v>
      </c>
      <c r="C3" s="144">
        <f t="shared" ref="C3:Q3" si="0">+C23/C$40</f>
        <v>4.3760129659643427E-3</v>
      </c>
      <c r="D3" s="145">
        <f t="shared" si="0"/>
        <v>0</v>
      </c>
      <c r="E3" s="145">
        <f t="shared" si="0"/>
        <v>0</v>
      </c>
      <c r="F3" s="145">
        <f t="shared" si="0"/>
        <v>0</v>
      </c>
      <c r="G3" s="145">
        <f t="shared" si="0"/>
        <v>0</v>
      </c>
      <c r="H3" s="145">
        <f t="shared" si="0"/>
        <v>0</v>
      </c>
      <c r="I3" s="145">
        <f t="shared" si="0"/>
        <v>0.9256055363321799</v>
      </c>
      <c r="J3" s="145">
        <f t="shared" si="0"/>
        <v>0</v>
      </c>
      <c r="K3" s="145">
        <f t="shared" si="0"/>
        <v>0</v>
      </c>
      <c r="L3" s="145">
        <f t="shared" si="0"/>
        <v>1.2077294685990338E-3</v>
      </c>
      <c r="M3" s="145">
        <f t="shared" si="0"/>
        <v>0</v>
      </c>
      <c r="N3" s="145">
        <f t="shared" si="0"/>
        <v>0</v>
      </c>
      <c r="O3" s="145">
        <f t="shared" si="0"/>
        <v>1.5082956259426844E-3</v>
      </c>
      <c r="P3" s="145">
        <f t="shared" si="0"/>
        <v>0</v>
      </c>
      <c r="Q3" s="145">
        <f t="shared" si="0"/>
        <v>0</v>
      </c>
      <c r="R3" s="54"/>
      <c r="S3" s="55"/>
      <c r="T3" s="54"/>
      <c r="U3" s="54"/>
      <c r="V3" s="54"/>
      <c r="W3" s="54"/>
      <c r="X3" s="54"/>
      <c r="Y3" s="54"/>
    </row>
    <row r="4" spans="1:25" ht="21" customHeight="1">
      <c r="A4" s="143" t="s">
        <v>52</v>
      </c>
      <c r="B4" s="129">
        <f t="shared" ref="B4:B19" si="1">+B24/$B$40</f>
        <v>0.6876017678529891</v>
      </c>
      <c r="C4" s="144">
        <f t="shared" ref="C4:Q4" si="2">+C24/C$40</f>
        <v>0.5200972447325769</v>
      </c>
      <c r="D4" s="145">
        <f t="shared" si="2"/>
        <v>4.451864218141346E-3</v>
      </c>
      <c r="E4" s="145">
        <f t="shared" si="2"/>
        <v>9.7087378640776691E-3</v>
      </c>
      <c r="F4" s="145">
        <f t="shared" si="2"/>
        <v>0</v>
      </c>
      <c r="G4" s="145">
        <f t="shared" si="2"/>
        <v>9.2136616362192225E-2</v>
      </c>
      <c r="H4" s="145">
        <f t="shared" si="2"/>
        <v>4.4871794871794865E-2</v>
      </c>
      <c r="I4" s="145">
        <f t="shared" si="2"/>
        <v>1.7301038062283735E-3</v>
      </c>
      <c r="J4" s="145">
        <f t="shared" si="2"/>
        <v>0</v>
      </c>
      <c r="K4" s="145">
        <f t="shared" si="2"/>
        <v>0</v>
      </c>
      <c r="L4" s="145">
        <f t="shared" si="2"/>
        <v>4.830917874396135E-3</v>
      </c>
      <c r="M4" s="145">
        <f t="shared" si="2"/>
        <v>0</v>
      </c>
      <c r="N4" s="145">
        <f t="shared" si="2"/>
        <v>0</v>
      </c>
      <c r="O4" s="145">
        <f t="shared" si="2"/>
        <v>1.9607843137254898E-2</v>
      </c>
      <c r="P4" s="145">
        <f t="shared" si="2"/>
        <v>2.5706940874035992E-3</v>
      </c>
      <c r="Q4" s="145">
        <f t="shared" si="2"/>
        <v>0</v>
      </c>
      <c r="R4" s="54"/>
      <c r="S4" s="55"/>
      <c r="T4" s="54"/>
      <c r="U4" s="54"/>
      <c r="V4" s="54"/>
      <c r="W4" s="54"/>
      <c r="X4" s="54"/>
      <c r="Y4" s="54"/>
    </row>
    <row r="5" spans="1:25" ht="21" customHeight="1">
      <c r="A5" s="143" t="s">
        <v>53</v>
      </c>
      <c r="B5" s="129">
        <f t="shared" si="1"/>
        <v>9.6650383810188423E-2</v>
      </c>
      <c r="C5" s="144">
        <f t="shared" ref="C5:Q5" si="3">+C25/C$40</f>
        <v>1.8962722852512152E-2</v>
      </c>
      <c r="D5" s="145">
        <f t="shared" si="3"/>
        <v>0</v>
      </c>
      <c r="E5" s="145">
        <f t="shared" si="3"/>
        <v>2.4894199651481204E-3</v>
      </c>
      <c r="F5" s="145">
        <f t="shared" si="3"/>
        <v>0.96739130434782594</v>
      </c>
      <c r="G5" s="145">
        <f t="shared" si="3"/>
        <v>2.3828435266084196E-3</v>
      </c>
      <c r="H5" s="145">
        <f t="shared" si="3"/>
        <v>0</v>
      </c>
      <c r="I5" s="145">
        <f t="shared" si="3"/>
        <v>5.1903114186851208E-3</v>
      </c>
      <c r="J5" s="145">
        <f t="shared" si="3"/>
        <v>0</v>
      </c>
      <c r="K5" s="145">
        <f t="shared" si="3"/>
        <v>0</v>
      </c>
      <c r="L5" s="145">
        <f t="shared" si="3"/>
        <v>7.85024154589372E-3</v>
      </c>
      <c r="M5" s="145">
        <f t="shared" si="3"/>
        <v>0</v>
      </c>
      <c r="N5" s="145">
        <f t="shared" si="3"/>
        <v>0</v>
      </c>
      <c r="O5" s="145">
        <f t="shared" si="3"/>
        <v>0</v>
      </c>
      <c r="P5" s="145">
        <f t="shared" si="3"/>
        <v>0</v>
      </c>
      <c r="Q5" s="145">
        <f t="shared" si="3"/>
        <v>0</v>
      </c>
      <c r="R5" s="54"/>
      <c r="S5" s="55"/>
      <c r="T5" s="54"/>
      <c r="U5" s="54"/>
      <c r="V5" s="54"/>
      <c r="W5" s="54"/>
      <c r="X5" s="54"/>
      <c r="Y5" s="54"/>
    </row>
    <row r="6" spans="1:25" ht="21" customHeight="1">
      <c r="A6" s="143" t="s">
        <v>54</v>
      </c>
      <c r="B6" s="129">
        <f t="shared" si="1"/>
        <v>5.0011630611770178E-3</v>
      </c>
      <c r="C6" s="144">
        <f t="shared" ref="C6:Q6" si="4">+C26/C$40</f>
        <v>6.2803889789303069E-2</v>
      </c>
      <c r="D6" s="145">
        <f t="shared" si="4"/>
        <v>0.55091819699499156</v>
      </c>
      <c r="E6" s="145">
        <f t="shared" si="4"/>
        <v>1.493651979088872E-3</v>
      </c>
      <c r="F6" s="145">
        <f t="shared" si="4"/>
        <v>0</v>
      </c>
      <c r="G6" s="145">
        <f t="shared" si="4"/>
        <v>0</v>
      </c>
      <c r="H6" s="145">
        <f t="shared" si="4"/>
        <v>0</v>
      </c>
      <c r="I6" s="145">
        <f t="shared" si="4"/>
        <v>0</v>
      </c>
      <c r="J6" s="145">
        <f t="shared" si="4"/>
        <v>0</v>
      </c>
      <c r="K6" s="145">
        <f t="shared" si="4"/>
        <v>0</v>
      </c>
      <c r="L6" s="145">
        <f t="shared" si="4"/>
        <v>0</v>
      </c>
      <c r="M6" s="145">
        <f t="shared" si="4"/>
        <v>0</v>
      </c>
      <c r="N6" s="145">
        <f t="shared" si="4"/>
        <v>0</v>
      </c>
      <c r="O6" s="145">
        <f t="shared" si="4"/>
        <v>0</v>
      </c>
      <c r="P6" s="145">
        <f t="shared" si="4"/>
        <v>0</v>
      </c>
      <c r="Q6" s="145">
        <f t="shared" si="4"/>
        <v>0</v>
      </c>
      <c r="R6" s="54"/>
      <c r="S6" s="55"/>
      <c r="T6" s="54"/>
      <c r="U6" s="54"/>
      <c r="V6" s="54"/>
      <c r="W6" s="54"/>
      <c r="X6" s="54"/>
      <c r="Y6" s="54"/>
    </row>
    <row r="7" spans="1:25" ht="21" customHeight="1">
      <c r="A7" s="143" t="s">
        <v>55</v>
      </c>
      <c r="B7" s="129">
        <f t="shared" si="1"/>
        <v>9.3393812514538266E-2</v>
      </c>
      <c r="C7" s="144">
        <f t="shared" ref="C7:Q7" si="5">+C27/C$40</f>
        <v>3.298217179902755E-2</v>
      </c>
      <c r="D7" s="145">
        <f t="shared" si="5"/>
        <v>1.1129660545353365E-3</v>
      </c>
      <c r="E7" s="145">
        <f t="shared" si="5"/>
        <v>0.67662434652725911</v>
      </c>
      <c r="F7" s="145">
        <f t="shared" si="5"/>
        <v>0</v>
      </c>
      <c r="G7" s="145">
        <f t="shared" si="5"/>
        <v>7.9428117553613986E-4</v>
      </c>
      <c r="H7" s="145">
        <f t="shared" si="5"/>
        <v>0</v>
      </c>
      <c r="I7" s="145">
        <f t="shared" si="5"/>
        <v>4.3252595155709337E-3</v>
      </c>
      <c r="J7" s="145">
        <f t="shared" si="5"/>
        <v>0</v>
      </c>
      <c r="K7" s="145">
        <f t="shared" si="5"/>
        <v>0</v>
      </c>
      <c r="L7" s="145">
        <f t="shared" si="5"/>
        <v>0</v>
      </c>
      <c r="M7" s="145">
        <f t="shared" si="5"/>
        <v>0</v>
      </c>
      <c r="N7" s="145">
        <f t="shared" si="5"/>
        <v>0</v>
      </c>
      <c r="O7" s="145">
        <f t="shared" si="5"/>
        <v>0</v>
      </c>
      <c r="P7" s="145">
        <f t="shared" si="5"/>
        <v>0</v>
      </c>
      <c r="Q7" s="145">
        <f t="shared" si="5"/>
        <v>0</v>
      </c>
      <c r="R7" s="54"/>
      <c r="S7" s="55"/>
      <c r="T7" s="54"/>
      <c r="U7" s="54"/>
      <c r="V7" s="54"/>
      <c r="W7" s="54"/>
      <c r="X7" s="54"/>
      <c r="Y7" s="54"/>
    </row>
    <row r="8" spans="1:25" ht="21" customHeight="1">
      <c r="A8" s="143" t="s">
        <v>56</v>
      </c>
      <c r="B8" s="129">
        <f t="shared" si="1"/>
        <v>2.4889509188183299E-2</v>
      </c>
      <c r="C8" s="144">
        <f t="shared" ref="C8:Q8" si="6">+C28/C$40</f>
        <v>0.12544570502431115</v>
      </c>
      <c r="D8" s="145">
        <f t="shared" si="6"/>
        <v>0.12520868113522537</v>
      </c>
      <c r="E8" s="145">
        <f t="shared" si="6"/>
        <v>3.2362459546925559E-3</v>
      </c>
      <c r="F8" s="145">
        <f t="shared" si="6"/>
        <v>0</v>
      </c>
      <c r="G8" s="145">
        <f t="shared" si="6"/>
        <v>4.5274027005559971E-2</v>
      </c>
      <c r="H8" s="145">
        <f t="shared" si="6"/>
        <v>0</v>
      </c>
      <c r="I8" s="145">
        <f t="shared" si="6"/>
        <v>5.1903114186851208E-3</v>
      </c>
      <c r="J8" s="145">
        <f t="shared" si="6"/>
        <v>0</v>
      </c>
      <c r="K8" s="145">
        <f t="shared" si="6"/>
        <v>0</v>
      </c>
      <c r="L8" s="145">
        <f t="shared" si="6"/>
        <v>0</v>
      </c>
      <c r="M8" s="145">
        <f t="shared" si="6"/>
        <v>0</v>
      </c>
      <c r="N8" s="145">
        <f t="shared" si="6"/>
        <v>0</v>
      </c>
      <c r="O8" s="145">
        <f t="shared" si="6"/>
        <v>0</v>
      </c>
      <c r="P8" s="145">
        <f t="shared" si="6"/>
        <v>0</v>
      </c>
      <c r="Q8" s="145">
        <f t="shared" si="6"/>
        <v>0</v>
      </c>
      <c r="R8" s="54"/>
      <c r="S8" s="55"/>
      <c r="T8" s="54"/>
      <c r="U8" s="54"/>
      <c r="V8" s="54"/>
      <c r="W8" s="54"/>
      <c r="X8" s="54"/>
      <c r="Y8" s="54"/>
    </row>
    <row r="9" spans="1:25" ht="21" customHeight="1">
      <c r="A9" s="143" t="s">
        <v>58</v>
      </c>
      <c r="B9" s="129">
        <f t="shared" si="1"/>
        <v>7.9088160037217962E-3</v>
      </c>
      <c r="C9" s="144">
        <f t="shared" ref="C9:Q9" si="7">+C29/C$40</f>
        <v>9.4003241491085882E-3</v>
      </c>
      <c r="D9" s="145">
        <f t="shared" si="7"/>
        <v>0</v>
      </c>
      <c r="E9" s="145">
        <f t="shared" si="7"/>
        <v>7.4682598954443598E-4</v>
      </c>
      <c r="F9" s="145">
        <f t="shared" si="7"/>
        <v>0</v>
      </c>
      <c r="G9" s="145">
        <f t="shared" si="7"/>
        <v>7.1485305798252591E-3</v>
      </c>
      <c r="H9" s="145">
        <f t="shared" si="7"/>
        <v>0.9358974358974359</v>
      </c>
      <c r="I9" s="145">
        <f t="shared" si="7"/>
        <v>0</v>
      </c>
      <c r="J9" s="145">
        <f t="shared" si="7"/>
        <v>0</v>
      </c>
      <c r="K9" s="145">
        <f t="shared" si="7"/>
        <v>0</v>
      </c>
      <c r="L9" s="145">
        <f t="shared" si="7"/>
        <v>0</v>
      </c>
      <c r="M9" s="145">
        <f t="shared" si="7"/>
        <v>0</v>
      </c>
      <c r="N9" s="145">
        <f t="shared" si="7"/>
        <v>0</v>
      </c>
      <c r="O9" s="145">
        <f t="shared" si="7"/>
        <v>0</v>
      </c>
      <c r="P9" s="145">
        <f t="shared" si="7"/>
        <v>0</v>
      </c>
      <c r="Q9" s="145">
        <f t="shared" si="7"/>
        <v>0</v>
      </c>
      <c r="R9" s="54"/>
      <c r="S9" s="55"/>
      <c r="T9" s="54"/>
      <c r="U9" s="54"/>
      <c r="V9" s="54"/>
      <c r="W9" s="54"/>
      <c r="X9" s="54"/>
      <c r="Y9" s="54"/>
    </row>
    <row r="10" spans="1:25" ht="21" customHeight="1">
      <c r="A10" s="143" t="s">
        <v>59</v>
      </c>
      <c r="B10" s="129">
        <f t="shared" si="1"/>
        <v>0</v>
      </c>
      <c r="C10" s="144">
        <f t="shared" ref="C10:Q10" si="8">+C30/C$40</f>
        <v>3.7277147487844403E-3</v>
      </c>
      <c r="D10" s="145">
        <f t="shared" si="8"/>
        <v>0</v>
      </c>
      <c r="E10" s="145">
        <f t="shared" si="8"/>
        <v>3.2362459546925559E-3</v>
      </c>
      <c r="F10" s="145">
        <f t="shared" si="8"/>
        <v>1.3586956521739128E-3</v>
      </c>
      <c r="G10" s="145">
        <f t="shared" si="8"/>
        <v>0</v>
      </c>
      <c r="H10" s="145">
        <f t="shared" si="8"/>
        <v>0</v>
      </c>
      <c r="I10" s="145">
        <f t="shared" si="8"/>
        <v>0</v>
      </c>
      <c r="J10" s="145">
        <f t="shared" si="8"/>
        <v>0</v>
      </c>
      <c r="K10" s="145">
        <f t="shared" si="8"/>
        <v>0</v>
      </c>
      <c r="L10" s="145">
        <f t="shared" si="8"/>
        <v>0.97946859903381656</v>
      </c>
      <c r="M10" s="145">
        <f t="shared" si="8"/>
        <v>0</v>
      </c>
      <c r="N10" s="145">
        <f t="shared" si="8"/>
        <v>0</v>
      </c>
      <c r="O10" s="145">
        <f t="shared" si="8"/>
        <v>0</v>
      </c>
      <c r="P10" s="145">
        <f t="shared" si="8"/>
        <v>0</v>
      </c>
      <c r="Q10" s="145">
        <f t="shared" si="8"/>
        <v>1</v>
      </c>
      <c r="R10" s="54"/>
      <c r="S10" s="55"/>
      <c r="T10" s="54"/>
      <c r="U10" s="54"/>
      <c r="V10" s="54"/>
      <c r="W10" s="54"/>
      <c r="X10" s="54"/>
      <c r="Y10" s="54"/>
    </row>
    <row r="11" spans="1:25" ht="21" customHeight="1">
      <c r="A11" s="143" t="s">
        <v>60</v>
      </c>
      <c r="B11" s="129">
        <f t="shared" si="1"/>
        <v>0</v>
      </c>
      <c r="C11" s="144">
        <f t="shared" ref="C11:Q11" si="9">+C31/C$40</f>
        <v>4.6191247974068069E-3</v>
      </c>
      <c r="D11" s="145">
        <f t="shared" si="9"/>
        <v>0</v>
      </c>
      <c r="E11" s="145">
        <f t="shared" si="9"/>
        <v>0</v>
      </c>
      <c r="F11" s="145">
        <f t="shared" si="9"/>
        <v>1.3586956521739128E-3</v>
      </c>
      <c r="G11" s="145">
        <f t="shared" si="9"/>
        <v>0.83876092136616365</v>
      </c>
      <c r="H11" s="145">
        <f t="shared" si="9"/>
        <v>0</v>
      </c>
      <c r="I11" s="145">
        <f t="shared" si="9"/>
        <v>2.5951557093425604E-2</v>
      </c>
      <c r="J11" s="145">
        <f t="shared" si="9"/>
        <v>0</v>
      </c>
      <c r="K11" s="145">
        <f t="shared" si="9"/>
        <v>0</v>
      </c>
      <c r="L11" s="145">
        <f t="shared" si="9"/>
        <v>6.642512077294686E-3</v>
      </c>
      <c r="M11" s="145">
        <f t="shared" si="9"/>
        <v>0</v>
      </c>
      <c r="N11" s="145">
        <f t="shared" si="9"/>
        <v>0</v>
      </c>
      <c r="O11" s="145">
        <f t="shared" si="9"/>
        <v>3.0165912518853688E-3</v>
      </c>
      <c r="P11" s="145">
        <f t="shared" si="9"/>
        <v>6.4267352185089985E-3</v>
      </c>
      <c r="Q11" s="145">
        <f t="shared" si="9"/>
        <v>0</v>
      </c>
      <c r="R11" s="54"/>
      <c r="S11" s="55"/>
      <c r="T11" s="54"/>
      <c r="U11" s="54"/>
      <c r="V11" s="54"/>
      <c r="W11" s="54"/>
      <c r="X11" s="54"/>
      <c r="Y11" s="54"/>
    </row>
    <row r="12" spans="1:25" ht="21" customHeight="1">
      <c r="A12" s="143" t="s">
        <v>61</v>
      </c>
      <c r="B12" s="129">
        <f t="shared" si="1"/>
        <v>4.5359385903698535E-3</v>
      </c>
      <c r="C12" s="144">
        <f t="shared" ref="C12:Q12" si="10">+C32/C$40</f>
        <v>0</v>
      </c>
      <c r="D12" s="145">
        <f t="shared" si="10"/>
        <v>6.3439065108514173E-2</v>
      </c>
      <c r="E12" s="145">
        <f t="shared" si="10"/>
        <v>0</v>
      </c>
      <c r="F12" s="145">
        <f t="shared" si="10"/>
        <v>0</v>
      </c>
      <c r="G12" s="145">
        <f t="shared" si="10"/>
        <v>4.7656870532168391E-3</v>
      </c>
      <c r="H12" s="145">
        <f t="shared" si="10"/>
        <v>0</v>
      </c>
      <c r="I12" s="145">
        <f t="shared" si="10"/>
        <v>0</v>
      </c>
      <c r="J12" s="145">
        <f t="shared" si="10"/>
        <v>0</v>
      </c>
      <c r="K12" s="145">
        <f t="shared" si="10"/>
        <v>0</v>
      </c>
      <c r="L12" s="145">
        <f t="shared" si="10"/>
        <v>0</v>
      </c>
      <c r="M12" s="145">
        <f t="shared" si="10"/>
        <v>0</v>
      </c>
      <c r="N12" s="145">
        <f t="shared" si="10"/>
        <v>0</v>
      </c>
      <c r="O12" s="145">
        <f t="shared" si="10"/>
        <v>4.5248868778280538E-3</v>
      </c>
      <c r="P12" s="145">
        <f t="shared" si="10"/>
        <v>0.9871465295629821</v>
      </c>
      <c r="Q12" s="145">
        <f t="shared" si="10"/>
        <v>0</v>
      </c>
      <c r="R12" s="54"/>
      <c r="S12" s="55"/>
      <c r="T12" s="54"/>
      <c r="U12" s="54"/>
      <c r="V12" s="54"/>
      <c r="W12" s="54"/>
      <c r="X12" s="54"/>
      <c r="Y12" s="54"/>
    </row>
    <row r="13" spans="1:25" ht="21" customHeight="1">
      <c r="A13" s="143" t="s">
        <v>63</v>
      </c>
      <c r="B13" s="129">
        <f t="shared" si="1"/>
        <v>0</v>
      </c>
      <c r="C13" s="144">
        <f t="shared" ref="C13:Q13" si="11">+C33/C$40</f>
        <v>1.2965964343598052E-3</v>
      </c>
      <c r="D13" s="145">
        <f t="shared" si="11"/>
        <v>0.10684474123539228</v>
      </c>
      <c r="E13" s="145">
        <f t="shared" si="11"/>
        <v>4.9788399302962399E-4</v>
      </c>
      <c r="F13" s="145">
        <f t="shared" si="11"/>
        <v>0</v>
      </c>
      <c r="G13" s="145">
        <f t="shared" si="11"/>
        <v>0</v>
      </c>
      <c r="H13" s="145">
        <f t="shared" si="11"/>
        <v>0</v>
      </c>
      <c r="I13" s="145">
        <f t="shared" si="11"/>
        <v>0</v>
      </c>
      <c r="J13" s="145">
        <f t="shared" si="11"/>
        <v>0</v>
      </c>
      <c r="K13" s="145">
        <f t="shared" si="11"/>
        <v>0</v>
      </c>
      <c r="L13" s="145">
        <f t="shared" si="11"/>
        <v>0</v>
      </c>
      <c r="M13" s="145">
        <f t="shared" si="11"/>
        <v>4.2122999157540015E-4</v>
      </c>
      <c r="N13" s="145">
        <f t="shared" si="11"/>
        <v>1</v>
      </c>
      <c r="O13" s="145">
        <f t="shared" si="11"/>
        <v>3.0165912518853688E-3</v>
      </c>
      <c r="P13" s="145">
        <f t="shared" si="11"/>
        <v>0</v>
      </c>
      <c r="Q13" s="145">
        <f t="shared" si="11"/>
        <v>0</v>
      </c>
      <c r="R13" s="54"/>
      <c r="S13" s="55"/>
      <c r="T13" s="54"/>
      <c r="U13" s="54"/>
      <c r="V13" s="54"/>
      <c r="W13" s="54"/>
      <c r="X13" s="54"/>
      <c r="Y13" s="54"/>
    </row>
    <row r="14" spans="1:25" ht="21" customHeight="1">
      <c r="A14" s="143" t="s">
        <v>64</v>
      </c>
      <c r="B14" s="129">
        <f t="shared" si="1"/>
        <v>2.2563386834147475E-2</v>
      </c>
      <c r="C14" s="144">
        <f t="shared" ref="C14:Q14" si="12">+C34/C$40</f>
        <v>0.11993517017828199</v>
      </c>
      <c r="D14" s="145">
        <f t="shared" si="12"/>
        <v>0.13856427378964939</v>
      </c>
      <c r="E14" s="145">
        <f t="shared" si="12"/>
        <v>5.9746079163554879E-3</v>
      </c>
      <c r="F14" s="145">
        <f t="shared" si="12"/>
        <v>0</v>
      </c>
      <c r="G14" s="145">
        <f t="shared" si="12"/>
        <v>0</v>
      </c>
      <c r="H14" s="145">
        <f t="shared" si="12"/>
        <v>0</v>
      </c>
      <c r="I14" s="145">
        <f t="shared" si="12"/>
        <v>0</v>
      </c>
      <c r="J14" s="145">
        <f t="shared" si="12"/>
        <v>1.2195121951219513E-2</v>
      </c>
      <c r="K14" s="145">
        <f t="shared" si="12"/>
        <v>0</v>
      </c>
      <c r="L14" s="145">
        <f t="shared" si="12"/>
        <v>0</v>
      </c>
      <c r="M14" s="145">
        <f t="shared" si="12"/>
        <v>0.98062342038753159</v>
      </c>
      <c r="N14" s="145">
        <f t="shared" si="12"/>
        <v>0</v>
      </c>
      <c r="O14" s="145">
        <f t="shared" si="12"/>
        <v>0.167420814479638</v>
      </c>
      <c r="P14" s="145">
        <f t="shared" si="12"/>
        <v>0</v>
      </c>
      <c r="Q14" s="145">
        <f t="shared" si="12"/>
        <v>0</v>
      </c>
      <c r="R14" s="54"/>
      <c r="S14" s="55"/>
      <c r="T14" s="54"/>
      <c r="U14" s="54"/>
      <c r="V14" s="54"/>
      <c r="W14" s="54"/>
      <c r="X14" s="54"/>
      <c r="Y14" s="54"/>
    </row>
    <row r="15" spans="1:25" ht="21" customHeight="1">
      <c r="A15" s="143" t="s">
        <v>65</v>
      </c>
      <c r="B15" s="129">
        <f t="shared" si="1"/>
        <v>1.4538264712723889E-2</v>
      </c>
      <c r="C15" s="144">
        <f t="shared" ref="C15:Q15" si="13">+C35/C$40</f>
        <v>2.431118314424635E-4</v>
      </c>
      <c r="D15" s="145">
        <f t="shared" si="13"/>
        <v>3.8953811908736778E-3</v>
      </c>
      <c r="E15" s="145">
        <f t="shared" si="13"/>
        <v>4.5307443365695789E-2</v>
      </c>
      <c r="F15" s="145">
        <f t="shared" si="13"/>
        <v>0</v>
      </c>
      <c r="G15" s="145">
        <f t="shared" si="13"/>
        <v>0</v>
      </c>
      <c r="H15" s="145">
        <f t="shared" si="13"/>
        <v>0</v>
      </c>
      <c r="I15" s="145">
        <f t="shared" si="13"/>
        <v>0</v>
      </c>
      <c r="J15" s="145">
        <f t="shared" si="13"/>
        <v>0.95731707317073178</v>
      </c>
      <c r="K15" s="145">
        <f t="shared" si="13"/>
        <v>0</v>
      </c>
      <c r="L15" s="145">
        <f t="shared" si="13"/>
        <v>0</v>
      </c>
      <c r="M15" s="145">
        <f t="shared" si="13"/>
        <v>0</v>
      </c>
      <c r="N15" s="145">
        <f t="shared" si="13"/>
        <v>0</v>
      </c>
      <c r="O15" s="145">
        <f t="shared" si="13"/>
        <v>9.0497737556561077E-3</v>
      </c>
      <c r="P15" s="145">
        <f t="shared" si="13"/>
        <v>0</v>
      </c>
      <c r="Q15" s="145">
        <f t="shared" si="13"/>
        <v>0</v>
      </c>
      <c r="R15" s="54"/>
      <c r="S15" s="55"/>
      <c r="T15" s="54"/>
      <c r="U15" s="54"/>
      <c r="V15" s="54"/>
      <c r="W15" s="54"/>
      <c r="X15" s="54"/>
      <c r="Y15" s="54"/>
    </row>
    <row r="16" spans="1:25" ht="21" customHeight="1">
      <c r="A16" s="143" t="s">
        <v>66</v>
      </c>
      <c r="B16" s="129">
        <f t="shared" si="1"/>
        <v>0</v>
      </c>
      <c r="C16" s="144">
        <f t="shared" ref="C16:Q16" si="14">+C36/C$40</f>
        <v>1.4829821717990273E-2</v>
      </c>
      <c r="D16" s="145">
        <f t="shared" si="14"/>
        <v>0</v>
      </c>
      <c r="E16" s="145">
        <f t="shared" si="14"/>
        <v>2.4894199651481199E-4</v>
      </c>
      <c r="F16" s="145">
        <f t="shared" si="14"/>
        <v>0</v>
      </c>
      <c r="G16" s="145">
        <f t="shared" si="14"/>
        <v>0</v>
      </c>
      <c r="H16" s="145">
        <f t="shared" si="14"/>
        <v>0</v>
      </c>
      <c r="I16" s="145">
        <f t="shared" si="14"/>
        <v>0</v>
      </c>
      <c r="J16" s="145">
        <f t="shared" si="14"/>
        <v>0</v>
      </c>
      <c r="K16" s="145">
        <f t="shared" si="14"/>
        <v>1</v>
      </c>
      <c r="L16" s="145">
        <f t="shared" si="14"/>
        <v>0</v>
      </c>
      <c r="M16" s="145">
        <f t="shared" si="14"/>
        <v>0</v>
      </c>
      <c r="N16" s="145">
        <f t="shared" si="14"/>
        <v>0</v>
      </c>
      <c r="O16" s="145">
        <f t="shared" si="14"/>
        <v>0</v>
      </c>
      <c r="P16" s="145">
        <f t="shared" si="14"/>
        <v>0</v>
      </c>
      <c r="Q16" s="145">
        <f t="shared" si="14"/>
        <v>0</v>
      </c>
      <c r="R16" s="54"/>
      <c r="S16" s="55"/>
      <c r="T16" s="54"/>
      <c r="U16" s="54"/>
      <c r="V16" s="54"/>
      <c r="W16" s="54"/>
      <c r="X16" s="54"/>
      <c r="Y16" s="54"/>
    </row>
    <row r="17" spans="1:25" ht="21" customHeight="1">
      <c r="A17" s="143" t="s">
        <v>67</v>
      </c>
      <c r="B17" s="129">
        <f t="shared" si="1"/>
        <v>6.5131425913003025E-3</v>
      </c>
      <c r="C17" s="144">
        <f t="shared" ref="C17:Q17" si="15">+C37/C$40</f>
        <v>1.5397082658022687E-3</v>
      </c>
      <c r="D17" s="145">
        <f t="shared" si="15"/>
        <v>0</v>
      </c>
      <c r="E17" s="145">
        <f t="shared" si="15"/>
        <v>0.23300970873786403</v>
      </c>
      <c r="F17" s="145">
        <f t="shared" si="15"/>
        <v>1.6304347826086953E-2</v>
      </c>
      <c r="G17" s="145">
        <f t="shared" si="15"/>
        <v>5.5599682287529786E-3</v>
      </c>
      <c r="H17" s="145">
        <f t="shared" si="15"/>
        <v>0</v>
      </c>
      <c r="I17" s="145">
        <f t="shared" si="15"/>
        <v>0</v>
      </c>
      <c r="J17" s="145">
        <f t="shared" si="15"/>
        <v>3.048780487804878E-2</v>
      </c>
      <c r="K17" s="145">
        <f t="shared" si="15"/>
        <v>0</v>
      </c>
      <c r="L17" s="145">
        <f t="shared" si="15"/>
        <v>0</v>
      </c>
      <c r="M17" s="145">
        <f t="shared" si="15"/>
        <v>6.7396798652064032E-3</v>
      </c>
      <c r="N17" s="145">
        <f t="shared" si="15"/>
        <v>0</v>
      </c>
      <c r="O17" s="145">
        <f t="shared" si="15"/>
        <v>0.78733031674208143</v>
      </c>
      <c r="P17" s="145">
        <f t="shared" si="15"/>
        <v>3.8560411311053988E-3</v>
      </c>
      <c r="Q17" s="145">
        <f t="shared" si="15"/>
        <v>0</v>
      </c>
      <c r="R17" s="54"/>
      <c r="S17" s="55"/>
      <c r="T17" s="54"/>
      <c r="U17" s="54"/>
      <c r="V17" s="54"/>
      <c r="W17" s="54"/>
      <c r="X17" s="54"/>
      <c r="Y17" s="54"/>
    </row>
    <row r="18" spans="1:25" ht="21" customHeight="1">
      <c r="A18" s="143" t="s">
        <v>62</v>
      </c>
      <c r="B18" s="129">
        <f t="shared" si="1"/>
        <v>1.3840428006513143E-2</v>
      </c>
      <c r="C18" s="144">
        <f t="shared" ref="C18:Q18" si="16">+C38/C$40</f>
        <v>0</v>
      </c>
      <c r="D18" s="145">
        <f t="shared" si="16"/>
        <v>0</v>
      </c>
      <c r="E18" s="145">
        <f t="shared" si="16"/>
        <v>2.4894199651481204E-3</v>
      </c>
      <c r="F18" s="145">
        <f t="shared" si="16"/>
        <v>0</v>
      </c>
      <c r="G18" s="145">
        <f t="shared" si="16"/>
        <v>0</v>
      </c>
      <c r="H18" s="145">
        <f t="shared" si="16"/>
        <v>0</v>
      </c>
      <c r="I18" s="145">
        <f t="shared" si="16"/>
        <v>0</v>
      </c>
      <c r="J18" s="145">
        <f t="shared" si="16"/>
        <v>0</v>
      </c>
      <c r="K18" s="145">
        <f t="shared" si="16"/>
        <v>0</v>
      </c>
      <c r="L18" s="145">
        <f t="shared" si="16"/>
        <v>0</v>
      </c>
      <c r="M18" s="145">
        <f t="shared" si="16"/>
        <v>0</v>
      </c>
      <c r="N18" s="145">
        <f t="shared" si="16"/>
        <v>0</v>
      </c>
      <c r="O18" s="145">
        <f t="shared" si="16"/>
        <v>0</v>
      </c>
      <c r="P18" s="145">
        <f t="shared" si="16"/>
        <v>0</v>
      </c>
      <c r="Q18" s="145">
        <f t="shared" si="16"/>
        <v>0</v>
      </c>
      <c r="R18" s="54"/>
      <c r="S18" s="55"/>
      <c r="T18" s="54"/>
      <c r="U18" s="54"/>
      <c r="V18" s="54"/>
      <c r="W18" s="54"/>
      <c r="X18" s="54"/>
      <c r="Y18" s="54"/>
    </row>
    <row r="19" spans="1:25" ht="21" customHeight="1">
      <c r="A19" s="143" t="s">
        <v>57</v>
      </c>
      <c r="B19" s="129">
        <f t="shared" si="1"/>
        <v>5.2337752965805999E-3</v>
      </c>
      <c r="C19" s="144">
        <f t="shared" ref="C19:Q19" si="17">+C39/C$40</f>
        <v>7.9740680713128023E-2</v>
      </c>
      <c r="D19" s="145">
        <f t="shared" si="17"/>
        <v>5.5648302726766822E-3</v>
      </c>
      <c r="E19" s="145">
        <f t="shared" si="17"/>
        <v>1.4936519790888723E-2</v>
      </c>
      <c r="F19" s="145">
        <f t="shared" si="17"/>
        <v>1.3586956521739128E-2</v>
      </c>
      <c r="G19" s="145">
        <f t="shared" si="17"/>
        <v>3.1771247021445594E-3</v>
      </c>
      <c r="H19" s="145">
        <f t="shared" si="17"/>
        <v>1.9230769230769232E-2</v>
      </c>
      <c r="I19" s="145">
        <f t="shared" si="17"/>
        <v>3.2006920415224911E-2</v>
      </c>
      <c r="J19" s="145">
        <f t="shared" si="17"/>
        <v>0</v>
      </c>
      <c r="K19" s="145">
        <f t="shared" si="17"/>
        <v>0</v>
      </c>
      <c r="L19" s="145">
        <f t="shared" si="17"/>
        <v>0</v>
      </c>
      <c r="M19" s="145">
        <f t="shared" si="17"/>
        <v>1.2215669755686605E-2</v>
      </c>
      <c r="N19" s="145">
        <f t="shared" si="17"/>
        <v>0</v>
      </c>
      <c r="O19" s="145">
        <f t="shared" si="17"/>
        <v>4.5248868778280538E-3</v>
      </c>
      <c r="P19" s="145">
        <f t="shared" si="17"/>
        <v>0</v>
      </c>
      <c r="Q19" s="145">
        <f t="shared" si="17"/>
        <v>0</v>
      </c>
      <c r="R19" s="54"/>
      <c r="S19" s="55"/>
      <c r="T19" s="54"/>
      <c r="U19" s="54"/>
      <c r="V19" s="54"/>
      <c r="W19" s="54"/>
      <c r="X19" s="54"/>
      <c r="Y19" s="54"/>
    </row>
    <row r="20" spans="1:25" ht="21" customHeight="1" thickBot="1">
      <c r="A20" s="130" t="s">
        <v>17</v>
      </c>
      <c r="B20" s="131">
        <f>SUM(B3:B19)</f>
        <v>1.0000000000000002</v>
      </c>
      <c r="C20" s="146">
        <f t="shared" ref="C20:O20" si="18">SUM(C3:C19)</f>
        <v>0.99999999999999978</v>
      </c>
      <c r="D20" s="132">
        <f t="shared" si="18"/>
        <v>1</v>
      </c>
      <c r="E20" s="132">
        <f t="shared" si="18"/>
        <v>0.99999999999999978</v>
      </c>
      <c r="F20" s="132">
        <f t="shared" si="18"/>
        <v>0.99999999999999989</v>
      </c>
      <c r="G20" s="132">
        <f t="shared" si="18"/>
        <v>1</v>
      </c>
      <c r="H20" s="132">
        <f t="shared" si="18"/>
        <v>1</v>
      </c>
      <c r="I20" s="132">
        <f t="shared" si="18"/>
        <v>0.99999999999999989</v>
      </c>
      <c r="J20" s="132">
        <f t="shared" si="18"/>
        <v>1</v>
      </c>
      <c r="K20" s="132">
        <f t="shared" si="18"/>
        <v>1</v>
      </c>
      <c r="L20" s="132">
        <f t="shared" si="18"/>
        <v>1</v>
      </c>
      <c r="M20" s="132">
        <f t="shared" si="18"/>
        <v>0.99999999999999989</v>
      </c>
      <c r="N20" s="132">
        <f t="shared" si="18"/>
        <v>1</v>
      </c>
      <c r="O20" s="132">
        <f t="shared" si="18"/>
        <v>1</v>
      </c>
      <c r="P20" s="132">
        <f>SUM(P3:P19)</f>
        <v>1.0000000000000002</v>
      </c>
      <c r="Q20" s="132">
        <f>SUM(Q3:Q19)</f>
        <v>1</v>
      </c>
      <c r="S20" s="28"/>
    </row>
    <row r="21" spans="1:25" ht="18" customHeight="1">
      <c r="A21" s="13"/>
      <c r="S21" s="28"/>
    </row>
    <row r="22" spans="1:25" s="18" customFormat="1" ht="49.5" customHeight="1">
      <c r="A22" s="121" t="s">
        <v>78</v>
      </c>
      <c r="B22" s="141" t="s">
        <v>99</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c r="A23" s="143" t="s">
        <v>51</v>
      </c>
      <c r="B23" s="133">
        <v>149</v>
      </c>
      <c r="C23" s="134">
        <v>18</v>
      </c>
      <c r="D23" s="134"/>
      <c r="E23" s="134"/>
      <c r="F23" s="134"/>
      <c r="G23" s="134"/>
      <c r="H23" s="135"/>
      <c r="I23" s="134">
        <v>356.66666666666669</v>
      </c>
      <c r="J23" s="134"/>
      <c r="K23" s="135"/>
      <c r="L23" s="134">
        <v>0.66666666666666663</v>
      </c>
      <c r="M23" s="135"/>
      <c r="N23" s="135"/>
      <c r="O23" s="134">
        <v>0.33333333333333331</v>
      </c>
      <c r="P23" s="135"/>
      <c r="Q23" s="135"/>
      <c r="R23" s="7"/>
      <c r="U23" s="56"/>
    </row>
    <row r="24" spans="1:25" ht="21" customHeight="1">
      <c r="A24" s="143" t="s">
        <v>52</v>
      </c>
      <c r="B24" s="133">
        <v>5912</v>
      </c>
      <c r="C24" s="134">
        <v>2139.3333333333335</v>
      </c>
      <c r="D24" s="134">
        <v>2.6666666666666665</v>
      </c>
      <c r="E24" s="134">
        <v>13</v>
      </c>
      <c r="F24" s="134"/>
      <c r="G24" s="134">
        <v>38.666666666666664</v>
      </c>
      <c r="H24" s="134">
        <v>2.333333333333333</v>
      </c>
      <c r="I24" s="134">
        <v>0.66666666666666663</v>
      </c>
      <c r="J24" s="134"/>
      <c r="K24" s="134"/>
      <c r="L24" s="134">
        <v>2.6666666666666665</v>
      </c>
      <c r="M24" s="134"/>
      <c r="N24" s="135"/>
      <c r="O24" s="134">
        <v>4.333333333333333</v>
      </c>
      <c r="P24" s="134">
        <v>0.66666666666666663</v>
      </c>
      <c r="Q24" s="134"/>
      <c r="R24" s="7"/>
      <c r="U24" s="56"/>
    </row>
    <row r="25" spans="1:25" ht="21" customHeight="1">
      <c r="A25" s="143" t="s">
        <v>53</v>
      </c>
      <c r="B25" s="133">
        <v>831</v>
      </c>
      <c r="C25" s="134">
        <v>78</v>
      </c>
      <c r="D25" s="134"/>
      <c r="E25" s="134">
        <v>3.3333333333333335</v>
      </c>
      <c r="F25" s="134">
        <v>237.33333333333334</v>
      </c>
      <c r="G25" s="134">
        <v>1</v>
      </c>
      <c r="H25" s="135"/>
      <c r="I25" s="134">
        <v>2</v>
      </c>
      <c r="J25" s="135"/>
      <c r="K25" s="135"/>
      <c r="L25" s="134">
        <v>4.333333333333333</v>
      </c>
      <c r="M25" s="134"/>
      <c r="N25" s="135"/>
      <c r="O25" s="134"/>
      <c r="P25" s="135"/>
      <c r="Q25" s="134"/>
      <c r="R25" s="7"/>
      <c r="U25" s="56"/>
    </row>
    <row r="26" spans="1:25" ht="21" customHeight="1">
      <c r="A26" s="143" t="s">
        <v>54</v>
      </c>
      <c r="B26" s="133">
        <v>43</v>
      </c>
      <c r="C26" s="134">
        <v>258.33333333333331</v>
      </c>
      <c r="D26" s="134">
        <v>330</v>
      </c>
      <c r="E26" s="134">
        <v>2</v>
      </c>
      <c r="F26" s="134"/>
      <c r="G26" s="134"/>
      <c r="H26" s="134"/>
      <c r="I26" s="134"/>
      <c r="J26" s="134"/>
      <c r="K26" s="135"/>
      <c r="L26" s="134"/>
      <c r="M26" s="135"/>
      <c r="N26" s="135"/>
      <c r="O26" s="134"/>
      <c r="P26" s="134"/>
      <c r="Q26" s="135"/>
      <c r="R26" s="7"/>
      <c r="U26" s="56"/>
    </row>
    <row r="27" spans="1:25" ht="21" customHeight="1">
      <c r="A27" s="143" t="s">
        <v>55</v>
      </c>
      <c r="B27" s="133">
        <v>803</v>
      </c>
      <c r="C27" s="134">
        <v>135.66666666666669</v>
      </c>
      <c r="D27" s="134">
        <v>0.66666666666666663</v>
      </c>
      <c r="E27" s="134">
        <v>906.00000000000011</v>
      </c>
      <c r="F27" s="134"/>
      <c r="G27" s="134">
        <v>0.33333333333333331</v>
      </c>
      <c r="H27" s="134"/>
      <c r="I27" s="134">
        <v>1.6666666666666667</v>
      </c>
      <c r="J27" s="135"/>
      <c r="K27" s="134"/>
      <c r="L27" s="135"/>
      <c r="M27" s="135"/>
      <c r="N27" s="135"/>
      <c r="O27" s="135"/>
      <c r="P27" s="135"/>
      <c r="Q27" s="135"/>
      <c r="R27" s="7"/>
      <c r="U27" s="56"/>
    </row>
    <row r="28" spans="1:25" ht="21" customHeight="1">
      <c r="A28" s="143" t="s">
        <v>56</v>
      </c>
      <c r="B28" s="133">
        <v>214</v>
      </c>
      <c r="C28" s="134">
        <v>516</v>
      </c>
      <c r="D28" s="134">
        <v>75.000000000000014</v>
      </c>
      <c r="E28" s="134">
        <v>4.333333333333333</v>
      </c>
      <c r="F28" s="134"/>
      <c r="G28" s="134">
        <v>19</v>
      </c>
      <c r="H28" s="135"/>
      <c r="I28" s="134">
        <v>2</v>
      </c>
      <c r="J28" s="134"/>
      <c r="K28" s="134"/>
      <c r="L28" s="135"/>
      <c r="M28" s="135"/>
      <c r="N28" s="135"/>
      <c r="O28" s="134"/>
      <c r="P28" s="134"/>
      <c r="Q28" s="135"/>
      <c r="R28" s="7"/>
      <c r="U28" s="56"/>
    </row>
    <row r="29" spans="1:25" ht="21" customHeight="1">
      <c r="A29" s="143" t="s">
        <v>58</v>
      </c>
      <c r="B29" s="136">
        <v>68</v>
      </c>
      <c r="C29" s="134">
        <v>38.666666666666664</v>
      </c>
      <c r="D29" s="134"/>
      <c r="E29" s="134">
        <v>1</v>
      </c>
      <c r="F29" s="135"/>
      <c r="G29" s="134">
        <v>3</v>
      </c>
      <c r="H29" s="134">
        <v>48.666666666666664</v>
      </c>
      <c r="I29" s="135"/>
      <c r="J29" s="134"/>
      <c r="K29" s="135"/>
      <c r="L29" s="134"/>
      <c r="M29" s="135"/>
      <c r="N29" s="135"/>
      <c r="O29" s="135"/>
      <c r="P29" s="135"/>
      <c r="Q29" s="135"/>
      <c r="R29" s="7"/>
      <c r="U29" s="56"/>
    </row>
    <row r="30" spans="1:25" ht="21" customHeight="1">
      <c r="A30" s="143" t="s">
        <v>59</v>
      </c>
      <c r="B30" s="137"/>
      <c r="C30" s="134">
        <v>15.333333333333334</v>
      </c>
      <c r="D30" s="134"/>
      <c r="E30" s="134">
        <v>4.333333333333333</v>
      </c>
      <c r="F30" s="134">
        <v>0.33333333333333331</v>
      </c>
      <c r="G30" s="134"/>
      <c r="H30" s="135"/>
      <c r="I30" s="135"/>
      <c r="J30" s="135"/>
      <c r="K30" s="135"/>
      <c r="L30" s="134">
        <v>540.66666666666674</v>
      </c>
      <c r="M30" s="135"/>
      <c r="N30" s="135"/>
      <c r="O30" s="134"/>
      <c r="P30" s="134"/>
      <c r="Q30" s="134">
        <v>35</v>
      </c>
      <c r="R30" s="7"/>
      <c r="U30" s="56"/>
    </row>
    <row r="31" spans="1:25" ht="21" customHeight="1">
      <c r="A31" s="143" t="s">
        <v>60</v>
      </c>
      <c r="B31" s="137"/>
      <c r="C31" s="134">
        <v>19</v>
      </c>
      <c r="D31" s="134"/>
      <c r="E31" s="134"/>
      <c r="F31" s="134">
        <v>0.33333333333333331</v>
      </c>
      <c r="G31" s="134">
        <v>352</v>
      </c>
      <c r="H31" s="134"/>
      <c r="I31" s="134">
        <v>10</v>
      </c>
      <c r="J31" s="134"/>
      <c r="K31" s="135"/>
      <c r="L31" s="134">
        <v>3.6666666666666665</v>
      </c>
      <c r="M31" s="135"/>
      <c r="N31" s="135"/>
      <c r="O31" s="134">
        <v>0.66666666666666663</v>
      </c>
      <c r="P31" s="134">
        <v>1.6666666666666667</v>
      </c>
      <c r="Q31" s="134"/>
      <c r="R31" s="7"/>
      <c r="U31" s="56"/>
    </row>
    <row r="32" spans="1:25" ht="21" customHeight="1">
      <c r="A32" s="143" t="s">
        <v>61</v>
      </c>
      <c r="B32" s="136">
        <v>39</v>
      </c>
      <c r="C32" s="134"/>
      <c r="D32" s="134">
        <v>38</v>
      </c>
      <c r="E32" s="134"/>
      <c r="F32" s="135"/>
      <c r="G32" s="134">
        <v>2</v>
      </c>
      <c r="H32" s="135"/>
      <c r="I32" s="134"/>
      <c r="J32" s="134"/>
      <c r="K32" s="135"/>
      <c r="L32" s="135"/>
      <c r="M32" s="135"/>
      <c r="N32" s="135"/>
      <c r="O32" s="134">
        <v>1</v>
      </c>
      <c r="P32" s="134">
        <v>256</v>
      </c>
      <c r="Q32" s="135"/>
      <c r="R32" s="7"/>
      <c r="U32" s="56"/>
    </row>
    <row r="33" spans="1:21" ht="21" customHeight="1">
      <c r="A33" s="143" t="s">
        <v>63</v>
      </c>
      <c r="B33" s="137"/>
      <c r="C33" s="134">
        <v>5.333333333333333</v>
      </c>
      <c r="D33" s="134">
        <v>63.999999999999993</v>
      </c>
      <c r="E33" s="134">
        <v>0.66666666666666663</v>
      </c>
      <c r="F33" s="135"/>
      <c r="G33" s="135"/>
      <c r="H33" s="135"/>
      <c r="I33" s="135"/>
      <c r="J33" s="135"/>
      <c r="K33" s="135"/>
      <c r="L33" s="135"/>
      <c r="M33" s="134">
        <v>0.33333333333333331</v>
      </c>
      <c r="N33" s="134">
        <v>243.33333333333334</v>
      </c>
      <c r="O33" s="134">
        <v>0.66666666666666663</v>
      </c>
      <c r="P33" s="135"/>
      <c r="Q33" s="135"/>
      <c r="R33" s="7"/>
      <c r="U33" s="56"/>
    </row>
    <row r="34" spans="1:21" ht="21" customHeight="1">
      <c r="A34" s="143" t="s">
        <v>64</v>
      </c>
      <c r="B34" s="136">
        <v>194</v>
      </c>
      <c r="C34" s="134">
        <v>493.33333333333331</v>
      </c>
      <c r="D34" s="134">
        <v>83</v>
      </c>
      <c r="E34" s="134">
        <v>7.9999999999999991</v>
      </c>
      <c r="F34" s="135"/>
      <c r="G34" s="134"/>
      <c r="H34" s="134"/>
      <c r="I34" s="134"/>
      <c r="J34" s="134">
        <v>1.3333333333333333</v>
      </c>
      <c r="K34" s="134"/>
      <c r="L34" s="134"/>
      <c r="M34" s="134">
        <v>776</v>
      </c>
      <c r="N34" s="134"/>
      <c r="O34" s="134">
        <v>37</v>
      </c>
      <c r="P34" s="134"/>
      <c r="Q34" s="135"/>
      <c r="R34" s="7"/>
      <c r="U34" s="56"/>
    </row>
    <row r="35" spans="1:21" ht="21" customHeight="1">
      <c r="A35" s="143" t="s">
        <v>65</v>
      </c>
      <c r="B35" s="136">
        <v>125</v>
      </c>
      <c r="C35" s="134">
        <v>1</v>
      </c>
      <c r="D35" s="134">
        <v>2.3333333333333335</v>
      </c>
      <c r="E35" s="134">
        <v>60.666666666666671</v>
      </c>
      <c r="F35" s="135"/>
      <c r="G35" s="134"/>
      <c r="H35" s="135"/>
      <c r="I35" s="135"/>
      <c r="J35" s="134">
        <v>104.66666666666667</v>
      </c>
      <c r="K35" s="134"/>
      <c r="L35" s="135"/>
      <c r="M35" s="135"/>
      <c r="N35" s="135"/>
      <c r="O35" s="134">
        <v>2</v>
      </c>
      <c r="P35" s="134"/>
      <c r="Q35" s="135"/>
      <c r="R35" s="7"/>
      <c r="U35" s="56"/>
    </row>
    <row r="36" spans="1:21" ht="21" customHeight="1">
      <c r="A36" s="143" t="s">
        <v>66</v>
      </c>
      <c r="B36" s="137"/>
      <c r="C36" s="134">
        <v>61</v>
      </c>
      <c r="D36" s="134"/>
      <c r="E36" s="134">
        <v>0.33333333333333331</v>
      </c>
      <c r="F36" s="135"/>
      <c r="G36" s="134"/>
      <c r="H36" s="135"/>
      <c r="I36" s="135"/>
      <c r="J36" s="134"/>
      <c r="K36" s="134">
        <v>329.66666666666669</v>
      </c>
      <c r="L36" s="135"/>
      <c r="M36" s="135"/>
      <c r="N36" s="135"/>
      <c r="O36" s="134"/>
      <c r="P36" s="135"/>
      <c r="Q36" s="135"/>
      <c r="R36" s="7"/>
      <c r="U36" s="56"/>
    </row>
    <row r="37" spans="1:21" ht="21" customHeight="1">
      <c r="A37" s="143" t="s">
        <v>67</v>
      </c>
      <c r="B37" s="136">
        <v>56</v>
      </c>
      <c r="C37" s="134">
        <v>6.333333333333333</v>
      </c>
      <c r="D37" s="134"/>
      <c r="E37" s="134">
        <v>312</v>
      </c>
      <c r="F37" s="134">
        <v>4</v>
      </c>
      <c r="G37" s="134">
        <v>2.333333333333333</v>
      </c>
      <c r="H37" s="134"/>
      <c r="I37" s="134"/>
      <c r="J37" s="134">
        <v>3.333333333333333</v>
      </c>
      <c r="K37" s="134"/>
      <c r="L37" s="134"/>
      <c r="M37" s="134">
        <v>5.3333333333333339</v>
      </c>
      <c r="N37" s="134"/>
      <c r="O37" s="134">
        <v>174.00000000000003</v>
      </c>
      <c r="P37" s="134">
        <v>1</v>
      </c>
      <c r="Q37" s="134"/>
      <c r="R37" s="7"/>
      <c r="U37" s="56"/>
    </row>
    <row r="38" spans="1:21" ht="21" customHeight="1">
      <c r="A38" s="143" t="s">
        <v>62</v>
      </c>
      <c r="B38" s="136">
        <v>119</v>
      </c>
      <c r="C38" s="135"/>
      <c r="D38" s="135"/>
      <c r="E38" s="135">
        <v>3.3333333333333335</v>
      </c>
      <c r="F38" s="135"/>
      <c r="G38" s="135"/>
      <c r="H38" s="135"/>
      <c r="I38" s="135"/>
      <c r="J38" s="135"/>
      <c r="K38" s="135"/>
      <c r="L38" s="135"/>
      <c r="M38" s="135"/>
      <c r="N38" s="135"/>
      <c r="O38" s="135"/>
      <c r="P38" s="135"/>
      <c r="Q38" s="135"/>
      <c r="R38" s="7"/>
      <c r="U38" s="56"/>
    </row>
    <row r="39" spans="1:21" ht="21" customHeight="1">
      <c r="A39" s="143" t="s">
        <v>57</v>
      </c>
      <c r="B39" s="136">
        <v>45</v>
      </c>
      <c r="C39" s="134">
        <v>328</v>
      </c>
      <c r="D39" s="134">
        <v>3.333333333333333</v>
      </c>
      <c r="E39" s="134">
        <v>20.000000000000004</v>
      </c>
      <c r="F39" s="135">
        <v>3.3333333333333335</v>
      </c>
      <c r="G39" s="134">
        <v>1.3333333333333333</v>
      </c>
      <c r="H39" s="134">
        <v>1</v>
      </c>
      <c r="I39" s="135">
        <v>12.333333333333334</v>
      </c>
      <c r="J39" s="135"/>
      <c r="K39" s="135"/>
      <c r="L39" s="135"/>
      <c r="M39" s="135">
        <v>9.6666666666666679</v>
      </c>
      <c r="N39" s="135"/>
      <c r="O39" s="135">
        <v>1</v>
      </c>
      <c r="P39" s="134"/>
      <c r="Q39" s="135"/>
      <c r="R39" s="7"/>
      <c r="U39" s="56"/>
    </row>
    <row r="40" spans="1:21" ht="21" customHeight="1">
      <c r="A40" s="147" t="s">
        <v>17</v>
      </c>
      <c r="B40" s="148">
        <f>SUM(B23:B39)</f>
        <v>8598</v>
      </c>
      <c r="C40" s="148">
        <f t="shared" ref="C40:Q40" si="19">SUM(C23:C39)</f>
        <v>4113.3333333333339</v>
      </c>
      <c r="D40" s="148">
        <f t="shared" si="19"/>
        <v>599.00000000000011</v>
      </c>
      <c r="E40" s="148">
        <f t="shared" si="19"/>
        <v>1339.0000000000002</v>
      </c>
      <c r="F40" s="148">
        <f t="shared" si="19"/>
        <v>245.33333333333337</v>
      </c>
      <c r="G40" s="148">
        <f t="shared" si="19"/>
        <v>419.66666666666663</v>
      </c>
      <c r="H40" s="148">
        <f t="shared" si="19"/>
        <v>52</v>
      </c>
      <c r="I40" s="148">
        <f t="shared" si="19"/>
        <v>385.33333333333337</v>
      </c>
      <c r="J40" s="148">
        <f t="shared" si="19"/>
        <v>109.33333333333333</v>
      </c>
      <c r="K40" s="148">
        <f t="shared" si="19"/>
        <v>329.66666666666669</v>
      </c>
      <c r="L40" s="148">
        <f t="shared" si="19"/>
        <v>552</v>
      </c>
      <c r="M40" s="148">
        <f t="shared" si="19"/>
        <v>791.33333333333337</v>
      </c>
      <c r="N40" s="148">
        <f t="shared" si="19"/>
        <v>243.33333333333334</v>
      </c>
      <c r="O40" s="148">
        <f t="shared" si="19"/>
        <v>221.00000000000003</v>
      </c>
      <c r="P40" s="148">
        <f t="shared" si="19"/>
        <v>259.33333333333331</v>
      </c>
      <c r="Q40" s="148">
        <f t="shared" si="19"/>
        <v>35</v>
      </c>
      <c r="R40" s="7"/>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workbookViewId="0"/>
  </sheetViews>
  <sheetFormatPr defaultColWidth="8.85546875" defaultRowHeight="18" customHeight="1"/>
  <cols>
    <col min="1" max="1" width="26.42578125" style="32" customWidth="1"/>
    <col min="2" max="2" width="14.7109375" style="32" customWidth="1"/>
    <col min="3" max="13" width="11.7109375" style="9" customWidth="1"/>
    <col min="14" max="17" width="11.7109375" style="32" customWidth="1"/>
    <col min="18" max="18" width="13.28515625" style="32" customWidth="1"/>
    <col min="19" max="16384" width="8.85546875" style="32"/>
  </cols>
  <sheetData>
    <row r="1" spans="1:18" ht="28.5" customHeight="1">
      <c r="A1" s="13" t="s">
        <v>336</v>
      </c>
      <c r="B1" s="6"/>
      <c r="C1" s="6"/>
      <c r="D1" s="6"/>
      <c r="E1" s="6"/>
      <c r="F1" s="6"/>
      <c r="G1" s="6"/>
      <c r="H1" s="6"/>
      <c r="I1" s="6"/>
      <c r="J1" s="6"/>
      <c r="K1" s="6"/>
      <c r="L1" s="6"/>
      <c r="M1" s="6"/>
      <c r="N1" s="6"/>
      <c r="O1" s="6"/>
    </row>
    <row r="2" spans="1:18" ht="42" customHeight="1">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c r="A3" s="124" t="s">
        <v>51</v>
      </c>
      <c r="B3" s="113">
        <f t="shared" ref="B3:Q3" si="0">+B23/B$40</f>
        <v>1.6278392849673019E-2</v>
      </c>
      <c r="C3" s="113">
        <f t="shared" si="0"/>
        <v>7.4113110324809488E-3</v>
      </c>
      <c r="D3" s="113">
        <f t="shared" si="0"/>
        <v>1.142361031780484E-3</v>
      </c>
      <c r="E3" s="113">
        <f t="shared" si="0"/>
        <v>5.958508435164888E-3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28"/>
    </row>
    <row r="4" spans="1:18" ht="18" customHeight="1">
      <c r="A4" s="124" t="s">
        <v>52</v>
      </c>
      <c r="B4" s="113">
        <f t="shared" ref="B4:Q4" si="1">+B24/B$40</f>
        <v>0.69793249857077122</v>
      </c>
      <c r="C4" s="113">
        <f t="shared" si="1"/>
        <v>0.56276610872711152</v>
      </c>
      <c r="D4" s="113">
        <f t="shared" si="1"/>
        <v>3.3859580981973544E-2</v>
      </c>
      <c r="E4" s="113">
        <f t="shared" si="1"/>
        <v>5.1688849596105167E-2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28"/>
    </row>
    <row r="5" spans="1:18" ht="18" customHeight="1">
      <c r="A5" s="124" t="s">
        <v>53</v>
      </c>
      <c r="B5" s="113">
        <f t="shared" ref="B5:Q5" si="2">+B25/B$40</f>
        <v>6.4464318083578512E-2</v>
      </c>
      <c r="C5" s="113">
        <f t="shared" si="2"/>
        <v>1.7290270772164922E-2</v>
      </c>
      <c r="D5" s="113">
        <f t="shared" si="2"/>
        <v>5.4833329525463229E-4</v>
      </c>
      <c r="E5" s="113">
        <f t="shared" si="2"/>
        <v>4.6747647479139162E-3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28"/>
    </row>
    <row r="6" spans="1:18" ht="18" customHeight="1">
      <c r="A6" s="124" t="s">
        <v>54</v>
      </c>
      <c r="B6" s="113">
        <f t="shared" ref="B6:Q6" si="3">+B26/B$40</f>
        <v>1.0978917132618487E-2</v>
      </c>
      <c r="C6" s="113">
        <f t="shared" si="3"/>
        <v>5.530042577396338E-2</v>
      </c>
      <c r="D6" s="113">
        <f t="shared" si="3"/>
        <v>0.54709954534030936</v>
      </c>
      <c r="E6" s="113">
        <f t="shared" si="3"/>
        <v>2.9065894805682382E-3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28"/>
    </row>
    <row r="7" spans="1:18" ht="18" customHeight="1">
      <c r="A7" s="124" t="s">
        <v>55</v>
      </c>
      <c r="B7" s="113">
        <f t="shared" ref="B7:Q7" si="4">+B27/B$40</f>
        <v>7.9283851806405736E-2</v>
      </c>
      <c r="C7" s="113">
        <f t="shared" si="4"/>
        <v>3.3936443407195496E-2</v>
      </c>
      <c r="D7" s="113">
        <f t="shared" si="4"/>
        <v>4.5694441271219356E-4</v>
      </c>
      <c r="E7" s="113">
        <f t="shared" si="4"/>
        <v>0.64952586259098233</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28"/>
    </row>
    <row r="8" spans="1:18" ht="18" customHeight="1">
      <c r="A8" s="124" t="s">
        <v>56</v>
      </c>
      <c r="B8" s="113">
        <f t="shared" ref="B8:Q8" si="5">+B28/B$40</f>
        <v>5.8716901153143604E-2</v>
      </c>
      <c r="C8" s="113">
        <f t="shared" si="5"/>
        <v>0.12569951567166052</v>
      </c>
      <c r="D8" s="113">
        <f t="shared" si="5"/>
        <v>0.10555415933651671</v>
      </c>
      <c r="E8" s="113">
        <f t="shared" si="5"/>
        <v>9.1557568637899503E-3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28"/>
    </row>
    <row r="9" spans="1:18" ht="18" customHeight="1">
      <c r="A9" s="124" t="s">
        <v>58</v>
      </c>
      <c r="B9" s="113">
        <f t="shared" ref="B9:Q9" si="6">+B29/B$40</f>
        <v>7.9967092878954777E-3</v>
      </c>
      <c r="C9" s="113">
        <f t="shared" si="6"/>
        <v>9.1344826720871283E-3</v>
      </c>
      <c r="D9" s="113">
        <f t="shared" si="6"/>
        <v>3.1986108889853551E-4</v>
      </c>
      <c r="E9" s="113">
        <f t="shared" si="6"/>
        <v>1.5744026353077957E-3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28"/>
    </row>
    <row r="10" spans="1:18" ht="18" customHeight="1">
      <c r="A10" s="124" t="s">
        <v>59</v>
      </c>
      <c r="B10" s="113">
        <f t="shared" ref="B10:Q10" si="7">+B30/B$40</f>
        <v>3.1373314555823587E-5</v>
      </c>
      <c r="C10" s="113">
        <f t="shared" si="7"/>
        <v>2.7687854985905124E-3</v>
      </c>
      <c r="D10" s="113">
        <f t="shared" si="7"/>
        <v>1.1880554730517032E-3</v>
      </c>
      <c r="E10" s="113">
        <f t="shared" si="7"/>
        <v>3.8270094827481805E-3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28"/>
    </row>
    <row r="11" spans="1:18" ht="18" customHeight="1">
      <c r="A11" s="124" t="s">
        <v>60</v>
      </c>
      <c r="B11" s="113">
        <f t="shared" ref="B11:Q11" si="8">+B31/B$40</f>
        <v>1.4205139646109011E-4</v>
      </c>
      <c r="C11" s="113">
        <f t="shared" si="8"/>
        <v>5.7048692146185178E-3</v>
      </c>
      <c r="D11" s="113">
        <f t="shared" si="8"/>
        <v>9.0931938129726522E-3</v>
      </c>
      <c r="E11" s="113">
        <f t="shared" si="8"/>
        <v>1.3806300032699131E-3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28"/>
    </row>
    <row r="12" spans="1:18" ht="18" customHeight="1">
      <c r="A12" s="124" t="s">
        <v>61</v>
      </c>
      <c r="B12" s="113">
        <f t="shared" ref="B12:Q12" si="9">+B32/B$40</f>
        <v>3.2262225134905252E-3</v>
      </c>
      <c r="C12" s="113">
        <f t="shared" si="9"/>
        <v>8.4485599805934073E-4</v>
      </c>
      <c r="D12" s="113">
        <f t="shared" si="9"/>
        <v>4.0393886083757914E-2</v>
      </c>
      <c r="E12" s="113">
        <f t="shared" si="9"/>
        <v>5.0865315909944171E-4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28"/>
    </row>
    <row r="13" spans="1:18" ht="18" customHeight="1">
      <c r="A13" s="124" t="s">
        <v>63</v>
      </c>
      <c r="B13" s="113">
        <f t="shared" ref="B13:Q13" si="10">+B33/B$40</f>
        <v>9.5862905587238727E-5</v>
      </c>
      <c r="C13" s="113">
        <f t="shared" si="10"/>
        <v>1.1459927894468284E-3</v>
      </c>
      <c r="D13" s="113">
        <f t="shared" si="10"/>
        <v>0.10706207589846695</v>
      </c>
      <c r="E13" s="113">
        <f t="shared" si="10"/>
        <v>5.3287473810417697E-4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28"/>
    </row>
    <row r="14" spans="1:18" ht="18" customHeight="1">
      <c r="A14" s="124" t="s">
        <v>64</v>
      </c>
      <c r="B14" s="113">
        <f t="shared" ref="B14:Q14" si="11">+B34/B$40</f>
        <v>2.8182822761688302E-2</v>
      </c>
      <c r="C14" s="113">
        <f t="shared" si="11"/>
        <v>0.10327737207960049</v>
      </c>
      <c r="D14" s="113">
        <f t="shared" si="11"/>
        <v>0.1465649203774361</v>
      </c>
      <c r="E14" s="113">
        <f t="shared" si="11"/>
        <v>1.867483741265093E-2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28"/>
    </row>
    <row r="15" spans="1:18" ht="18" customHeight="1">
      <c r="A15" s="124" t="s">
        <v>65</v>
      </c>
      <c r="B15" s="113">
        <f t="shared" ref="B15:Q15" si="12">+B35/B$40</f>
        <v>8.5910593025363587E-3</v>
      </c>
      <c r="C15" s="113">
        <f t="shared" si="12"/>
        <v>5.2698938492810356E-4</v>
      </c>
      <c r="D15" s="113">
        <f t="shared" si="12"/>
        <v>8.681943841531678E-4</v>
      </c>
      <c r="E15" s="113">
        <f t="shared" si="12"/>
        <v>3.1924041128241147E-2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28"/>
    </row>
    <row r="16" spans="1:18" ht="18" customHeight="1">
      <c r="A16" s="124" t="s">
        <v>66</v>
      </c>
      <c r="B16" s="113">
        <f t="shared" ref="B16:Q16" si="13">+B36/B$40</f>
        <v>5.141737663315532E-5</v>
      </c>
      <c r="C16" s="113">
        <f t="shared" si="13"/>
        <v>1.3417317038486955E-2</v>
      </c>
      <c r="D16" s="113">
        <f t="shared" si="13"/>
        <v>1.3708332381365807E-4</v>
      </c>
      <c r="E16" s="113">
        <f t="shared" si="13"/>
        <v>3.7543447457339743E-3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28"/>
    </row>
    <row r="17" spans="1:18" ht="18" customHeight="1">
      <c r="A17" s="124" t="s">
        <v>67</v>
      </c>
      <c r="B17" s="113">
        <f t="shared" ref="B17:Q17" si="14">+B37/B$40</f>
        <v>8.5126260161467997E-3</v>
      </c>
      <c r="C17" s="113">
        <f t="shared" si="14"/>
        <v>6.3406024408809922E-3</v>
      </c>
      <c r="D17" s="113">
        <f t="shared" si="14"/>
        <v>3.1072220064429163E-3</v>
      </c>
      <c r="E17" s="113">
        <f t="shared" si="14"/>
        <v>0.21132116602681328</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28"/>
    </row>
    <row r="18" spans="1:18" ht="18" customHeight="1">
      <c r="A18" s="124" t="s">
        <v>62</v>
      </c>
      <c r="B18" s="113">
        <f t="shared" ref="B18:Q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28"/>
    </row>
    <row r="19" spans="1:18" ht="18" customHeight="1">
      <c r="A19" s="124" t="s">
        <v>57</v>
      </c>
      <c r="B19" s="113">
        <f t="shared" ref="B19:Q19" si="16">+B39/B$40</f>
        <v>1.7290182244098331E-3</v>
      </c>
      <c r="C19" s="113">
        <f t="shared" si="16"/>
        <v>5.4434657498724351E-2</v>
      </c>
      <c r="D19" s="113">
        <f t="shared" si="16"/>
        <v>2.6045831524595035E-3</v>
      </c>
      <c r="E19" s="113">
        <f t="shared" si="16"/>
        <v>2.5917089535066793E-3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28"/>
    </row>
    <row r="20" spans="1:18" ht="18" customHeight="1">
      <c r="A20" s="114" t="s">
        <v>106</v>
      </c>
      <c r="B20" s="114">
        <f t="shared" ref="B20:P20" si="17">SUM(B3:B19)</f>
        <v>1</v>
      </c>
      <c r="C20" s="115">
        <f t="shared" si="17"/>
        <v>1.0000000000000002</v>
      </c>
      <c r="D20" s="115">
        <f t="shared" si="17"/>
        <v>1</v>
      </c>
      <c r="E20" s="115">
        <f t="shared" si="17"/>
        <v>1</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SUM(Q3:Q19)</f>
        <v>1</v>
      </c>
      <c r="R20" s="28"/>
    </row>
    <row r="21" spans="1:18" ht="18" customHeight="1">
      <c r="A21" s="13"/>
      <c r="R21" s="28"/>
    </row>
    <row r="22" spans="1:18" ht="42.75" customHeight="1">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c r="A23" s="124" t="s">
        <v>51</v>
      </c>
      <c r="B23" s="125">
        <v>18679</v>
      </c>
      <c r="C23" s="125">
        <v>886</v>
      </c>
      <c r="D23" s="125">
        <v>25</v>
      </c>
      <c r="E23" s="125">
        <v>246</v>
      </c>
      <c r="F23" s="125">
        <v>25</v>
      </c>
      <c r="G23" s="125">
        <v>51</v>
      </c>
      <c r="H23" s="126"/>
      <c r="I23" s="125">
        <v>10866</v>
      </c>
      <c r="J23" s="125">
        <v>3</v>
      </c>
      <c r="K23" s="126"/>
      <c r="L23" s="125">
        <v>7</v>
      </c>
      <c r="M23" s="126"/>
      <c r="N23" s="126"/>
      <c r="O23" s="125">
        <v>6</v>
      </c>
      <c r="P23" s="126"/>
      <c r="Q23" s="126"/>
    </row>
    <row r="24" spans="1:18" ht="18" customHeight="1">
      <c r="A24" s="124" t="s">
        <v>52</v>
      </c>
      <c r="B24" s="125">
        <v>800858</v>
      </c>
      <c r="C24" s="125">
        <v>67277</v>
      </c>
      <c r="D24" s="125">
        <v>741</v>
      </c>
      <c r="E24" s="125">
        <v>2134</v>
      </c>
      <c r="F24" s="125">
        <v>9</v>
      </c>
      <c r="G24" s="125">
        <v>727</v>
      </c>
      <c r="H24" s="125">
        <v>71</v>
      </c>
      <c r="I24" s="125">
        <v>213</v>
      </c>
      <c r="J24" s="125">
        <v>42</v>
      </c>
      <c r="K24" s="125">
        <v>11</v>
      </c>
      <c r="L24" s="125">
        <v>305</v>
      </c>
      <c r="M24" s="126">
        <v>14</v>
      </c>
      <c r="N24" s="126"/>
      <c r="O24" s="125">
        <v>86</v>
      </c>
      <c r="P24" s="125">
        <v>125</v>
      </c>
      <c r="Q24" s="125">
        <v>4</v>
      </c>
    </row>
    <row r="25" spans="1:18" ht="18" customHeight="1">
      <c r="A25" s="124" t="s">
        <v>53</v>
      </c>
      <c r="B25" s="125">
        <v>73971</v>
      </c>
      <c r="C25" s="125">
        <v>2067</v>
      </c>
      <c r="D25" s="126">
        <v>12</v>
      </c>
      <c r="E25" s="125">
        <v>193</v>
      </c>
      <c r="F25" s="125">
        <v>10567</v>
      </c>
      <c r="G25" s="125">
        <v>92</v>
      </c>
      <c r="H25" s="126"/>
      <c r="I25" s="125">
        <v>100</v>
      </c>
      <c r="J25" s="125"/>
      <c r="K25" s="126"/>
      <c r="L25" s="125">
        <v>112</v>
      </c>
      <c r="M25" s="126">
        <v>2</v>
      </c>
      <c r="N25" s="126"/>
      <c r="O25" s="125">
        <v>4</v>
      </c>
      <c r="P25" s="126"/>
      <c r="Q25" s="125">
        <v>4</v>
      </c>
    </row>
    <row r="26" spans="1:18" ht="18" customHeight="1">
      <c r="A26" s="124" t="s">
        <v>54</v>
      </c>
      <c r="B26" s="125">
        <v>12598</v>
      </c>
      <c r="C26" s="125">
        <v>6611</v>
      </c>
      <c r="D26" s="125">
        <v>11973</v>
      </c>
      <c r="E26" s="125">
        <v>120</v>
      </c>
      <c r="F26" s="126">
        <v>9</v>
      </c>
      <c r="G26" s="125">
        <v>72</v>
      </c>
      <c r="H26" s="126">
        <v>3</v>
      </c>
      <c r="I26" s="126">
        <v>3</v>
      </c>
      <c r="J26" s="125">
        <v>9</v>
      </c>
      <c r="K26" s="126"/>
      <c r="L26" s="126">
        <v>9</v>
      </c>
      <c r="M26" s="126"/>
      <c r="N26" s="126"/>
      <c r="O26" s="125">
        <v>5</v>
      </c>
      <c r="P26" s="125">
        <v>21</v>
      </c>
      <c r="Q26" s="126"/>
    </row>
    <row r="27" spans="1:18" ht="18" customHeight="1">
      <c r="A27" s="124" t="s">
        <v>55</v>
      </c>
      <c r="B27" s="125">
        <v>90976</v>
      </c>
      <c r="C27" s="125">
        <v>4057</v>
      </c>
      <c r="D27" s="125">
        <v>10</v>
      </c>
      <c r="E27" s="125">
        <v>26816</v>
      </c>
      <c r="F27" s="125">
        <v>36</v>
      </c>
      <c r="G27" s="125">
        <v>16</v>
      </c>
      <c r="H27" s="125">
        <v>1</v>
      </c>
      <c r="I27" s="125">
        <v>44</v>
      </c>
      <c r="J27" s="126"/>
      <c r="K27" s="126">
        <v>8</v>
      </c>
      <c r="L27" s="125"/>
      <c r="M27" s="126"/>
      <c r="N27" s="126"/>
      <c r="O27" s="125"/>
      <c r="P27" s="126"/>
      <c r="Q27" s="126"/>
    </row>
    <row r="28" spans="1:18" ht="18" customHeight="1">
      <c r="A28" s="124" t="s">
        <v>56</v>
      </c>
      <c r="B28" s="125">
        <v>67376</v>
      </c>
      <c r="C28" s="125">
        <v>15027</v>
      </c>
      <c r="D28" s="125">
        <v>2310</v>
      </c>
      <c r="E28" s="125">
        <v>378</v>
      </c>
      <c r="F28" s="125">
        <v>24</v>
      </c>
      <c r="G28" s="125">
        <v>519</v>
      </c>
      <c r="H28" s="126"/>
      <c r="I28" s="125">
        <v>180</v>
      </c>
      <c r="J28" s="125">
        <v>12</v>
      </c>
      <c r="K28" s="125">
        <v>1</v>
      </c>
      <c r="L28" s="125"/>
      <c r="M28" s="126"/>
      <c r="N28" s="126"/>
      <c r="O28" s="125">
        <v>7</v>
      </c>
      <c r="P28" s="126">
        <v>1</v>
      </c>
      <c r="Q28" s="126"/>
    </row>
    <row r="29" spans="1:18" ht="18" customHeight="1">
      <c r="A29" s="124" t="s">
        <v>58</v>
      </c>
      <c r="B29" s="125">
        <v>9176</v>
      </c>
      <c r="C29" s="125">
        <v>1092</v>
      </c>
      <c r="D29" s="125">
        <v>7</v>
      </c>
      <c r="E29" s="125">
        <v>65</v>
      </c>
      <c r="F29" s="125"/>
      <c r="G29" s="125">
        <v>26</v>
      </c>
      <c r="H29" s="125">
        <v>1482</v>
      </c>
      <c r="I29" s="126"/>
      <c r="J29" s="126">
        <v>3</v>
      </c>
      <c r="K29" s="125"/>
      <c r="L29" s="125">
        <v>146</v>
      </c>
      <c r="M29" s="126"/>
      <c r="N29" s="126"/>
      <c r="O29" s="126"/>
      <c r="P29" s="126"/>
      <c r="Q29" s="126"/>
    </row>
    <row r="30" spans="1:18" ht="18" customHeight="1">
      <c r="A30" s="124" t="s">
        <v>59</v>
      </c>
      <c r="B30" s="125">
        <v>36</v>
      </c>
      <c r="C30" s="125">
        <v>331</v>
      </c>
      <c r="D30" s="125">
        <v>26</v>
      </c>
      <c r="E30" s="125">
        <v>158</v>
      </c>
      <c r="F30" s="125">
        <v>2</v>
      </c>
      <c r="G30" s="125">
        <v>62</v>
      </c>
      <c r="H30" s="126"/>
      <c r="I30" s="125"/>
      <c r="J30" s="126"/>
      <c r="K30" s="126"/>
      <c r="L30" s="125">
        <v>22846</v>
      </c>
      <c r="M30" s="126"/>
      <c r="N30" s="126"/>
      <c r="O30" s="125">
        <v>19</v>
      </c>
      <c r="P30" s="126">
        <v>3</v>
      </c>
      <c r="Q30" s="125">
        <v>1389</v>
      </c>
    </row>
    <row r="31" spans="1:18" ht="18" customHeight="1">
      <c r="A31" s="124" t="s">
        <v>60</v>
      </c>
      <c r="B31" s="125">
        <v>163</v>
      </c>
      <c r="C31" s="125">
        <v>682</v>
      </c>
      <c r="D31" s="125">
        <v>199</v>
      </c>
      <c r="E31" s="125">
        <v>57</v>
      </c>
      <c r="F31" s="125">
        <v>105</v>
      </c>
      <c r="G31" s="125">
        <v>9867</v>
      </c>
      <c r="H31" s="125">
        <v>16</v>
      </c>
      <c r="I31" s="125">
        <v>222</v>
      </c>
      <c r="J31" s="125">
        <v>32</v>
      </c>
      <c r="K31" s="126"/>
      <c r="L31" s="125">
        <v>39</v>
      </c>
      <c r="M31" s="126"/>
      <c r="N31" s="126"/>
      <c r="O31" s="125">
        <v>49</v>
      </c>
      <c r="P31" s="125">
        <v>82</v>
      </c>
      <c r="Q31" s="125">
        <v>15</v>
      </c>
    </row>
    <row r="32" spans="1:18" ht="18" customHeight="1">
      <c r="A32" s="124" t="s">
        <v>61</v>
      </c>
      <c r="B32" s="125">
        <v>3702</v>
      </c>
      <c r="C32" s="125">
        <v>101</v>
      </c>
      <c r="D32" s="125">
        <v>884</v>
      </c>
      <c r="E32" s="125">
        <v>21</v>
      </c>
      <c r="F32" s="126"/>
      <c r="G32" s="125">
        <v>98</v>
      </c>
      <c r="H32" s="126"/>
      <c r="I32" s="125">
        <v>1</v>
      </c>
      <c r="J32" s="125">
        <v>10</v>
      </c>
      <c r="K32" s="126"/>
      <c r="L32" s="125"/>
      <c r="M32" s="126"/>
      <c r="N32" s="126"/>
      <c r="O32" s="125">
        <v>33</v>
      </c>
      <c r="P32" s="125">
        <v>9618</v>
      </c>
      <c r="Q32" s="126"/>
    </row>
    <row r="33" spans="1:18" ht="18" customHeight="1">
      <c r="A33" s="124" t="s">
        <v>63</v>
      </c>
      <c r="B33" s="125">
        <v>110</v>
      </c>
      <c r="C33" s="125">
        <v>137</v>
      </c>
      <c r="D33" s="126">
        <v>2343</v>
      </c>
      <c r="E33" s="126">
        <v>22</v>
      </c>
      <c r="F33" s="126"/>
      <c r="G33" s="126"/>
      <c r="H33" s="126"/>
      <c r="I33" s="126"/>
      <c r="J33" s="126"/>
      <c r="K33" s="126"/>
      <c r="L33" s="126"/>
      <c r="M33" s="126">
        <v>8</v>
      </c>
      <c r="N33" s="125">
        <v>13858</v>
      </c>
      <c r="O33" s="125">
        <v>13</v>
      </c>
      <c r="P33" s="126"/>
      <c r="Q33" s="126"/>
    </row>
    <row r="34" spans="1:18" ht="18" customHeight="1">
      <c r="A34" s="124" t="s">
        <v>64</v>
      </c>
      <c r="B34" s="125">
        <v>32339</v>
      </c>
      <c r="C34" s="125">
        <v>12346.5</v>
      </c>
      <c r="D34" s="125">
        <v>3207.5</v>
      </c>
      <c r="E34" s="125">
        <v>771</v>
      </c>
      <c r="F34" s="126"/>
      <c r="G34" s="125">
        <v>129</v>
      </c>
      <c r="H34" s="125">
        <v>5</v>
      </c>
      <c r="I34" s="125">
        <v>5</v>
      </c>
      <c r="J34" s="125">
        <v>185</v>
      </c>
      <c r="K34" s="125">
        <v>2121</v>
      </c>
      <c r="L34" s="125">
        <v>16</v>
      </c>
      <c r="M34" s="125">
        <v>42504.5</v>
      </c>
      <c r="N34" s="125">
        <v>2014</v>
      </c>
      <c r="O34" s="125">
        <v>915.5</v>
      </c>
      <c r="P34" s="125">
        <v>174</v>
      </c>
      <c r="Q34" s="126"/>
    </row>
    <row r="35" spans="1:18" ht="18" customHeight="1">
      <c r="A35" s="124" t="s">
        <v>65</v>
      </c>
      <c r="B35" s="125">
        <v>9858</v>
      </c>
      <c r="C35" s="125">
        <v>63</v>
      </c>
      <c r="D35" s="125">
        <v>19</v>
      </c>
      <c r="E35" s="125">
        <v>1318</v>
      </c>
      <c r="F35" s="126"/>
      <c r="G35" s="125">
        <v>3</v>
      </c>
      <c r="H35" s="126"/>
      <c r="I35" s="126"/>
      <c r="J35" s="125">
        <v>2402</v>
      </c>
      <c r="K35" s="125">
        <v>22</v>
      </c>
      <c r="L35" s="126"/>
      <c r="M35" s="126"/>
      <c r="N35" s="126"/>
      <c r="O35" s="125">
        <v>65</v>
      </c>
      <c r="P35" s="125">
        <v>3</v>
      </c>
      <c r="Q35" s="126"/>
    </row>
    <row r="36" spans="1:18" ht="18" customHeight="1">
      <c r="A36" s="124" t="s">
        <v>66</v>
      </c>
      <c r="B36" s="125">
        <v>59</v>
      </c>
      <c r="C36" s="125">
        <v>1604</v>
      </c>
      <c r="D36" s="126">
        <v>3</v>
      </c>
      <c r="E36" s="125">
        <v>155</v>
      </c>
      <c r="F36" s="126"/>
      <c r="G36" s="125">
        <v>9</v>
      </c>
      <c r="H36" s="126"/>
      <c r="I36" s="126"/>
      <c r="J36" s="125">
        <v>70</v>
      </c>
      <c r="K36" s="125">
        <v>15773</v>
      </c>
      <c r="L36" s="126"/>
      <c r="M36" s="126"/>
      <c r="N36" s="126"/>
      <c r="O36" s="125">
        <v>18</v>
      </c>
      <c r="P36" s="126"/>
      <c r="Q36" s="126"/>
    </row>
    <row r="37" spans="1:18" ht="18" customHeight="1">
      <c r="A37" s="124" t="s">
        <v>67</v>
      </c>
      <c r="B37" s="125">
        <v>9768</v>
      </c>
      <c r="C37" s="125">
        <v>758</v>
      </c>
      <c r="D37" s="125">
        <v>68</v>
      </c>
      <c r="E37" s="125">
        <v>8724.5</v>
      </c>
      <c r="F37" s="125">
        <v>74</v>
      </c>
      <c r="G37" s="125">
        <v>193</v>
      </c>
      <c r="H37" s="126">
        <v>3</v>
      </c>
      <c r="I37" s="125">
        <v>21</v>
      </c>
      <c r="J37" s="125">
        <v>437</v>
      </c>
      <c r="K37" s="125">
        <v>78</v>
      </c>
      <c r="L37" s="125">
        <v>30</v>
      </c>
      <c r="M37" s="125">
        <v>93</v>
      </c>
      <c r="N37" s="125">
        <v>4</v>
      </c>
      <c r="O37" s="125">
        <v>5740</v>
      </c>
      <c r="P37" s="125">
        <v>120</v>
      </c>
      <c r="Q37" s="125">
        <v>2</v>
      </c>
    </row>
    <row r="38" spans="1:18" ht="18" customHeight="1">
      <c r="A38" s="124" t="s">
        <v>62</v>
      </c>
      <c r="B38" s="125">
        <v>15819</v>
      </c>
      <c r="C38" s="125"/>
      <c r="D38" s="126"/>
      <c r="E38" s="126"/>
      <c r="F38" s="126"/>
      <c r="G38" s="126"/>
      <c r="H38" s="126"/>
      <c r="I38" s="126"/>
      <c r="J38" s="126"/>
      <c r="K38" s="126"/>
      <c r="L38" s="126"/>
      <c r="M38" s="126"/>
      <c r="N38" s="126"/>
      <c r="O38" s="126"/>
      <c r="P38" s="126"/>
      <c r="Q38" s="126"/>
    </row>
    <row r="39" spans="1:18" ht="18" customHeight="1">
      <c r="A39" s="124" t="s">
        <v>57</v>
      </c>
      <c r="B39" s="125">
        <v>1984</v>
      </c>
      <c r="C39" s="125">
        <v>6507.5</v>
      </c>
      <c r="D39" s="125">
        <v>57</v>
      </c>
      <c r="E39" s="125">
        <v>107</v>
      </c>
      <c r="F39" s="125"/>
      <c r="G39" s="125">
        <v>15</v>
      </c>
      <c r="H39" s="125">
        <v>16</v>
      </c>
      <c r="I39" s="125"/>
      <c r="J39" s="126"/>
      <c r="K39" s="126"/>
      <c r="L39" s="126"/>
      <c r="M39" s="125"/>
      <c r="N39" s="126"/>
      <c r="O39" s="126"/>
      <c r="P39" s="126">
        <v>12</v>
      </c>
      <c r="Q39" s="126"/>
    </row>
    <row r="40" spans="1:18" ht="18" customHeight="1">
      <c r="A40" s="114" t="s">
        <v>106</v>
      </c>
      <c r="B40" s="119">
        <f>SUM(B23:B39)</f>
        <v>1147472</v>
      </c>
      <c r="C40" s="119">
        <f t="shared" ref="C40:Q40" si="18">SUM(C23:C39)</f>
        <v>119547</v>
      </c>
      <c r="D40" s="119">
        <f t="shared" si="18"/>
        <v>21884.5</v>
      </c>
      <c r="E40" s="119">
        <f t="shared" si="18"/>
        <v>41285.5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7"/>
    </row>
  </sheetData>
  <printOptions horizontalCentered="1"/>
  <pageMargins left="0.2" right="0.2" top="0.8" bottom="0.5" header="0.05" footer="0.05"/>
  <pageSetup scale="62" orientation="landscape" r:id="rId1"/>
  <headerFooter>
    <oddFooter xml:space="preserve">&amp;L&amp;9&amp;Z&amp;F, &amp;A
Revised/Printed &amp;D, &amp;T&amp;R&amp;9Page &amp;P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showGridLines="0" workbookViewId="0">
      <pane xSplit="1" ySplit="2" topLeftCell="B3" activePane="bottomRight" state="frozen"/>
      <selection sqref="A1:XFD1048576"/>
      <selection pane="topRight" sqref="A1:XFD1048576"/>
      <selection pane="bottomLeft" sqref="A1:XFD1048576"/>
      <selection pane="bottomRight" activeCell="B3" sqref="B3"/>
    </sheetView>
  </sheetViews>
  <sheetFormatPr defaultColWidth="8.85546875" defaultRowHeight="15.95" customHeight="1"/>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8.5" customHeight="1">
      <c r="A1" s="659" t="s">
        <v>341</v>
      </c>
      <c r="B1" s="660"/>
      <c r="C1" s="660"/>
      <c r="D1" s="660"/>
      <c r="E1" s="660"/>
      <c r="F1" s="660"/>
      <c r="G1" s="660"/>
      <c r="H1" s="660"/>
      <c r="I1" s="660"/>
      <c r="J1" s="660"/>
      <c r="K1" s="660"/>
      <c r="L1" s="660"/>
      <c r="M1" s="660"/>
      <c r="N1" s="660"/>
      <c r="O1" s="660"/>
      <c r="P1" s="660"/>
      <c r="Q1" s="660"/>
      <c r="R1" s="661"/>
    </row>
    <row r="2" spans="1:18" s="5" customFormat="1" ht="54" customHeight="1">
      <c r="A2" s="33" t="s">
        <v>95</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5.95" customHeight="1">
      <c r="A3" s="36" t="s">
        <v>0</v>
      </c>
      <c r="B3" s="37">
        <f>+(UGpcntSCH*FY12ProjSCH!B3+UGpcntDeg*FY12ProjMajors!B3)*FY12ProjRev!E$3</f>
        <v>3634557.7024180666</v>
      </c>
      <c r="C3" s="37">
        <f>FY12ProjRev!$E$4*(GPpcntSCH*FY12ProjSCH!C3+GPpcntMjr*FY12ProjMajors!C3)</f>
        <v>83810.277436767981</v>
      </c>
      <c r="D3" s="37">
        <f>FY12ProjRev!$E$5*(GPpcntSCH*FY12ProjSCH!D3+GPpcntMjr*FY12ProjMajors!D3)</f>
        <v>791.19436856617153</v>
      </c>
      <c r="E3" s="37">
        <f>FY12ProjRev!$E$6*(GPpcntSCH*FY12ProjSCH!E3+GPpcntMjr*FY12ProjMajors!E3)</f>
        <v>17756.404150840721</v>
      </c>
      <c r="F3" s="37">
        <f>FY12ProjRev!$E$7*(GPpcntSCH*FY12ProjSCH!F3+GPpcntMjr*FY12ProjMajors!F3)</f>
        <v>915.82053867929483</v>
      </c>
      <c r="G3" s="37">
        <f>FY12ProjRev!$E$8*(GPpcntSCH*FY12ProjSCH!G3+GPpcntMjr*FY12ProjMajors!G3)</f>
        <v>3280.0119439922687</v>
      </c>
      <c r="H3" s="37">
        <f>FY12ProjRev!$E$9*(GPpcntSCH*FY12ProjSCH!H3+GPpcntMjr*FY12ProjMajors!H3)</f>
        <v>0</v>
      </c>
      <c r="I3" s="37">
        <f>FY12ProjRev!$E$10*(GPpcntSCH*FY12ProjSCH!I3+GPpcntMjr*FY12ProjMajors!I3)</f>
        <v>3593934.9393356713</v>
      </c>
      <c r="J3" s="37">
        <f>FY12ProjRev!$E$11*(GPpcntSCH*FY12ProjSCH!J3+GPpcntMjr*FY12ProjMajors!J3)</f>
        <v>146.29131099734275</v>
      </c>
      <c r="K3" s="37">
        <f>FY12ProjRev!$E$12*(GPpcntSCH*FY12ProjSCH!K3+GPpcntMjr*FY12ProjMajors!K3)</f>
        <v>0</v>
      </c>
      <c r="L3" s="37">
        <f>FY12ProjRev!$E$13*(GPpcntSCH*FY12ProjSCH!L3+GPpcntMjr*FY12ProjMajors!L3)</f>
        <v>312.18018413062896</v>
      </c>
      <c r="M3" s="37">
        <f>FY12ProjRev!$E$14*(GPpcntSCH*FY12ProjSCH!M3+GPpcntMjr*FY12ProjMajors!M3)</f>
        <v>0</v>
      </c>
      <c r="N3" s="37">
        <f>FY12ProjRev!$E$15*(GPpcntSCH*FY12ProjSCH!N3+GPpcntMjr*FY12ProjMajors!N3)</f>
        <v>0</v>
      </c>
      <c r="O3" s="37">
        <f>FY12ProjRev!$E$16*(GPpcntSCH*FY12ProjSCH!O3+GPpcntMjr*FY12ProjMajors!O3)</f>
        <v>315.70988919023739</v>
      </c>
      <c r="P3" s="37">
        <f>FY12ProjRev!$E$17*(GPpcntSCH*FY12ProjSCH!P3+GPpcntMjr*FY12ProjMajors!P3)</f>
        <v>311.41373542948082</v>
      </c>
      <c r="Q3" s="37">
        <f>FY12ProjRev!$E$18*(GPpcntSCH*FY12ProjSCH!Q3+GPpcntMjr*FY12ProjMajors!Q3)</f>
        <v>0</v>
      </c>
      <c r="R3" s="37">
        <f>SUM(B3:Q3)</f>
        <v>7336131.9453123324</v>
      </c>
    </row>
    <row r="4" spans="1:18" s="6" customFormat="1" ht="15.95" customHeight="1">
      <c r="A4" s="39" t="s">
        <v>1</v>
      </c>
      <c r="B4" s="40">
        <f>+(UGpcntSCH*FY12ProjSCH!B4+UGpcntDeg*FY12ProjMajors!B4)*FY12ProjRev!E$3</f>
        <v>143858932.52818412</v>
      </c>
      <c r="C4" s="40">
        <f>FY12ProjRev!$E$4*(GPpcntSCH*FY12ProjSCH!C4+GPpcntMjr*FY12ProjMajors!C4)</f>
        <v>8769640.2704909332</v>
      </c>
      <c r="D4" s="40">
        <f>FY12ProjRev!$E$5*(GPpcntSCH*FY12ProjSCH!D4+GPpcntMjr*FY12ProjMajors!D4)</f>
        <v>38319.229271276614</v>
      </c>
      <c r="E4" s="40">
        <f>FY12ProjRev!$E$6*(GPpcntSCH*FY12ProjSCH!E4+GPpcntMjr*FY12ProjMajors!E4)</f>
        <v>184300.49109888144</v>
      </c>
      <c r="F4" s="40">
        <f>FY12ProjRev!$E$7*(GPpcntSCH*FY12ProjSCH!F4+GPpcntMjr*FY12ProjMajors!F4)</f>
        <v>39484.590281178665</v>
      </c>
      <c r="G4" s="40">
        <f>FY12ProjRev!$E$8*(GPpcntSCH*FY12ProjSCH!G4+GPpcntMjr*FY12ProjMajors!G4)</f>
        <v>313180.9042955747</v>
      </c>
      <c r="H4" s="40">
        <f>FY12ProjRev!$E$9*(GPpcntSCH*FY12ProjSCH!H4+GPpcntMjr*FY12ProjMajors!H4)</f>
        <v>14141.850732318029</v>
      </c>
      <c r="I4" s="40">
        <f>FY12ProjRev!$E$10*(GPpcntSCH*FY12ProjSCH!I4+GPpcntMjr*FY12ProjMajors!I4)</f>
        <v>9687.647245910106</v>
      </c>
      <c r="J4" s="40">
        <f>FY12ProjRev!$E$11*(GPpcntSCH*FY12ProjSCH!J4+GPpcntMjr*FY12ProjMajors!J4)</f>
        <v>3584.1371194348976</v>
      </c>
      <c r="K4" s="40">
        <f>FY12ProjRev!$E$12*(GPpcntSCH*FY12ProjSCH!K4+GPpcntMjr*FY12ProjMajors!K4)</f>
        <v>2460.7625629189383</v>
      </c>
      <c r="L4" s="40">
        <f>FY12ProjRev!$E$13*(GPpcntSCH*FY12ProjSCH!L4+GPpcntMjr*FY12ProjMajors!L4)</f>
        <v>32713.176955038278</v>
      </c>
      <c r="M4" s="40">
        <f>FY12ProjRev!$E$14*(GPpcntSCH*FY12ProjSCH!M4+GPpcntMjr*FY12ProjMajors!M4)</f>
        <v>14890.231627526531</v>
      </c>
      <c r="N4" s="40">
        <f>FY12ProjRev!$E$15*(GPpcntSCH*FY12ProjSCH!N4+GPpcntMjr*FY12ProjMajors!N4)</f>
        <v>0</v>
      </c>
      <c r="O4" s="40">
        <f>FY12ProjRev!$E$16*(GPpcntSCH*FY12ProjSCH!O4+GPpcntMjr*FY12ProjMajors!O4)</f>
        <v>17157.591184898371</v>
      </c>
      <c r="P4" s="40">
        <f>FY12ProjRev!$E$17*(GPpcntSCH*FY12ProjSCH!P4+GPpcntMjr*FY12ProjMajors!P4)</f>
        <v>10305.803869977912</v>
      </c>
      <c r="Q4" s="40">
        <f>FY12ProjRev!$E$18*(GPpcntSCH*FY12ProjSCH!Q4+GPpcntMjr*FY12ProjMajors!Q4)</f>
        <v>5474.1417171671892</v>
      </c>
      <c r="R4" s="40">
        <f>SUM(B4:Q4)</f>
        <v>153314273.35663718</v>
      </c>
    </row>
    <row r="5" spans="1:18" s="6" customFormat="1" ht="15.95" customHeight="1">
      <c r="A5" s="39" t="s">
        <v>6</v>
      </c>
      <c r="B5" s="40">
        <f>+(UGpcntSCH*FY12ProjSCH!B5+UGpcntDeg*FY12ProjMajors!B5)*FY12ProjRev!E$3</f>
        <v>16368440.127788587</v>
      </c>
      <c r="C5" s="40">
        <f>FY12ProjRev!$E$4*(GPpcntSCH*FY12ProjSCH!C5+GPpcntMjr*FY12ProjMajors!C5)</f>
        <v>300003.52625380066</v>
      </c>
      <c r="D5" s="40">
        <f>FY12ProjRev!$E$5*(GPpcntSCH*FY12ProjSCH!D5+GPpcntMjr*FY12ProjMajors!D5)</f>
        <v>0</v>
      </c>
      <c r="E5" s="40">
        <f>FY12ProjRev!$E$6*(GPpcntSCH*FY12ProjSCH!E5+GPpcntMjr*FY12ProjMajors!E5)</f>
        <v>60300.320632170136</v>
      </c>
      <c r="F5" s="40">
        <f>FY12ProjRev!$E$7*(GPpcntSCH*FY12ProjSCH!F5+GPpcntMjr*FY12ProjMajors!F5)</f>
        <v>3280583.4828732875</v>
      </c>
      <c r="G5" s="40">
        <f>FY12ProjRev!$E$8*(GPpcntSCH*FY12ProjSCH!G5+GPpcntMjr*FY12ProjMajors!G5)</f>
        <v>2635.7238835652156</v>
      </c>
      <c r="H5" s="40">
        <f>FY12ProjRev!$E$9*(GPpcntSCH*FY12ProjSCH!H5+GPpcntMjr*FY12ProjMajors!H5)</f>
        <v>0</v>
      </c>
      <c r="I5" s="40">
        <f>FY12ProjRev!$E$10*(GPpcntSCH*FY12ProjSCH!I5+GPpcntMjr*FY12ProjMajors!I5)</f>
        <v>43537.348598911805</v>
      </c>
      <c r="J5" s="40">
        <f>FY12ProjRev!$E$11*(GPpcntSCH*FY12ProjSCH!J5+GPpcntMjr*FY12ProjMajors!J5)</f>
        <v>292.5826219946855</v>
      </c>
      <c r="K5" s="40">
        <f>FY12ProjRev!$E$12*(GPpcntSCH*FY12ProjSCH!K5+GPpcntMjr*FY12ProjMajors!K5)</f>
        <v>0</v>
      </c>
      <c r="L5" s="40">
        <f>FY12ProjRev!$E$13*(GPpcntSCH*FY12ProjSCH!L5+GPpcntMjr*FY12ProjMajors!L5)</f>
        <v>10776.367686184149</v>
      </c>
      <c r="M5" s="40">
        <f>FY12ProjRev!$E$14*(GPpcntSCH*FY12ProjSCH!M5+GPpcntMjr*FY12ProjMajors!M5)</f>
        <v>0</v>
      </c>
      <c r="N5" s="40">
        <f>FY12ProjRev!$E$15*(GPpcntSCH*FY12ProjSCH!N5+GPpcntMjr*FY12ProjMajors!N5)</f>
        <v>0</v>
      </c>
      <c r="O5" s="40">
        <f>FY12ProjRev!$E$16*(GPpcntSCH*FY12ProjSCH!O5+GPpcntMjr*FY12ProjMajors!O5)</f>
        <v>78.927472297559348</v>
      </c>
      <c r="P5" s="40">
        <f>FY12ProjRev!$E$17*(GPpcntSCH*FY12ProjSCH!P5+GPpcntMjr*FY12ProjMajors!P5)</f>
        <v>0</v>
      </c>
      <c r="Q5" s="40">
        <f>FY12ProjRev!$E$18*(GPpcntSCH*FY12ProjSCH!Q5+GPpcntMjr*FY12ProjMajors!Q5)</f>
        <v>1132.5810449311425</v>
      </c>
      <c r="R5" s="40">
        <f t="shared" ref="R5:R15" si="0">SUM(B5:Q5)</f>
        <v>20067780.988855734</v>
      </c>
    </row>
    <row r="6" spans="1:18" s="6" customFormat="1" ht="15.95" customHeight="1">
      <c r="A6" s="42" t="s">
        <v>2</v>
      </c>
      <c r="B6" s="40">
        <f>+(UGpcntSCH*FY12ProjSCH!B6+UGpcntDeg*FY12ProjMajors!B6)*FY12ProjRev!E$3</f>
        <v>1248013.8080809142</v>
      </c>
      <c r="C6" s="40">
        <f>FY12ProjRev!$E$4*(GPpcntSCH*FY12ProjSCH!C6+GPpcntMjr*FY12ProjMajors!C6)</f>
        <v>907923.05816797819</v>
      </c>
      <c r="D6" s="40">
        <f>FY12ProjRev!$E$5*(GPpcntSCH*FY12ProjSCH!D6+GPpcntMjr*FY12ProjMajors!D6)</f>
        <v>2594026.3844107692</v>
      </c>
      <c r="E6" s="40">
        <f>FY12ProjRev!$E$6*(GPpcntSCH*FY12ProjSCH!E6+GPpcntMjr*FY12ProjMajors!E6)</f>
        <v>20984.171894824711</v>
      </c>
      <c r="F6" s="40">
        <f>FY12ProjRev!$E$7*(GPpcntSCH*FY12ProjSCH!F6+GPpcntMjr*FY12ProjMajors!F6)</f>
        <v>0</v>
      </c>
      <c r="G6" s="40">
        <f>FY12ProjRev!$E$8*(GPpcntSCH*FY12ProjSCH!G6+GPpcntMjr*FY12ProjMajors!G6)</f>
        <v>8141.4582181236665</v>
      </c>
      <c r="H6" s="40">
        <f>FY12ProjRev!$E$9*(GPpcntSCH*FY12ProjSCH!H6+GPpcntMjr*FY12ProjMajors!H6)</f>
        <v>449.60208492306379</v>
      </c>
      <c r="I6" s="40">
        <f>FY12ProjRev!$E$10*(GPpcntSCH*FY12ProjSCH!I6+GPpcntMjr*FY12ProjMajors!I6)</f>
        <v>0</v>
      </c>
      <c r="J6" s="40">
        <f>FY12ProjRev!$E$11*(GPpcntSCH*FY12ProjSCH!J6+GPpcntMjr*FY12ProjMajors!J6)</f>
        <v>365.72827749335681</v>
      </c>
      <c r="K6" s="40">
        <f>FY12ProjRev!$E$12*(GPpcntSCH*FY12ProjSCH!K6+GPpcntMjr*FY12ProjMajors!K6)</f>
        <v>0</v>
      </c>
      <c r="L6" s="40">
        <f>FY12ProjRev!$E$13*(GPpcntSCH*FY12ProjSCH!L6+GPpcntMjr*FY12ProjMajors!L6)</f>
        <v>0</v>
      </c>
      <c r="M6" s="40">
        <f>FY12ProjRev!$E$14*(GPpcntSCH*FY12ProjSCH!M6+GPpcntMjr*FY12ProjMajors!M6)</f>
        <v>0</v>
      </c>
      <c r="N6" s="40">
        <f>FY12ProjRev!$E$15*(GPpcntSCH*FY12ProjSCH!N6+GPpcntMjr*FY12ProjMajors!N6)</f>
        <v>0</v>
      </c>
      <c r="O6" s="40">
        <f>FY12ProjRev!$E$16*(GPpcntSCH*FY12ProjSCH!O6+GPpcntMjr*FY12ProjMajors!O6)</f>
        <v>118.39120844633901</v>
      </c>
      <c r="P6" s="40">
        <f>FY12ProjRev!$E$17*(GPpcntSCH*FY12ProjSCH!P6+GPpcntMjr*FY12ProjMajors!P6)</f>
        <v>934.24120628844241</v>
      </c>
      <c r="Q6" s="40">
        <f>FY12ProjRev!$E$18*(GPpcntSCH*FY12ProjSCH!Q6+GPpcntMjr*FY12ProjMajors!Q6)</f>
        <v>0</v>
      </c>
      <c r="R6" s="40">
        <f t="shared" si="0"/>
        <v>4780956.843549761</v>
      </c>
    </row>
    <row r="7" spans="1:18" s="6" customFormat="1" ht="15.95" customHeight="1">
      <c r="A7" s="39" t="s">
        <v>3</v>
      </c>
      <c r="B7" s="40">
        <f>+(UGpcntSCH*FY12ProjSCH!B7+UGpcntDeg*FY12ProjMajors!B7)*FY12ProjRev!E$3</f>
        <v>17542171.13371959</v>
      </c>
      <c r="C7" s="40">
        <f>FY12ProjRev!$E$4*(GPpcntSCH*FY12ProjSCH!C7+GPpcntMjr*FY12ProjMajors!C7)</f>
        <v>497856.89169503091</v>
      </c>
      <c r="D7" s="40">
        <f>FY12ProjRev!$E$5*(GPpcntSCH*FY12ProjSCH!D7+GPpcntMjr*FY12ProjMajors!D7)</f>
        <v>439.55242698120639</v>
      </c>
      <c r="E7" s="40">
        <f>FY12ProjRev!$E$6*(GPpcntSCH*FY12ProjSCH!E7+GPpcntMjr*FY12ProjMajors!E7)</f>
        <v>7101657.1124637229</v>
      </c>
      <c r="F7" s="40">
        <f>FY12ProjRev!$E$7*(GPpcntSCH*FY12ProjSCH!F7+GPpcntMjr*FY12ProjMajors!F7)</f>
        <v>634.02960370105029</v>
      </c>
      <c r="G7" s="40">
        <f>FY12ProjRev!$E$8*(GPpcntSCH*FY12ProjSCH!G7+GPpcntMjr*FY12ProjMajors!G7)</f>
        <v>1874.2925394241531</v>
      </c>
      <c r="H7" s="40">
        <f>FY12ProjRev!$E$9*(GPpcntSCH*FY12ProjSCH!H7+GPpcntMjr*FY12ProjMajors!H7)</f>
        <v>249.77893606836875</v>
      </c>
      <c r="I7" s="40">
        <f>FY12ProjRev!$E$10*(GPpcntSCH*FY12ProjSCH!I7+GPpcntMjr*FY12ProjMajors!I7)</f>
        <v>24105.903879762889</v>
      </c>
      <c r="J7" s="40">
        <f>FY12ProjRev!$E$11*(GPpcntSCH*FY12ProjSCH!J7+GPpcntMjr*FY12ProjMajors!J7)</f>
        <v>0</v>
      </c>
      <c r="K7" s="40">
        <f>FY12ProjRev!$E$12*(GPpcntSCH*FY12ProjSCH!K7+GPpcntMjr*FY12ProjMajors!K7)</f>
        <v>0</v>
      </c>
      <c r="L7" s="40">
        <f>FY12ProjRev!$E$13*(GPpcntSCH*FY12ProjSCH!L7+GPpcntMjr*FY12ProjMajors!L7)</f>
        <v>1014.5855984245438</v>
      </c>
      <c r="M7" s="40">
        <f>FY12ProjRev!$E$14*(GPpcntSCH*FY12ProjSCH!M7+GPpcntMjr*FY12ProjMajors!M7)</f>
        <v>11167.673720644902</v>
      </c>
      <c r="N7" s="40">
        <f>FY12ProjRev!$E$15*(GPpcntSCH*FY12ProjSCH!N7+GPpcntMjr*FY12ProjMajors!N7)</f>
        <v>0</v>
      </c>
      <c r="O7" s="40">
        <f>FY12ProjRev!$E$16*(GPpcntSCH*FY12ProjSCH!O7+GPpcntMjr*FY12ProjMajors!O7)</f>
        <v>394.63736148779668</v>
      </c>
      <c r="P7" s="40">
        <f>FY12ProjRev!$E$17*(GPpcntSCH*FY12ProjSCH!P7+GPpcntMjr*FY12ProjMajors!P7)</f>
        <v>0</v>
      </c>
      <c r="Q7" s="40">
        <f>FY12ProjRev!$E$18*(GPpcntSCH*FY12ProjSCH!Q7+GPpcntMjr*FY12ProjMajors!Q7)</f>
        <v>0</v>
      </c>
      <c r="R7" s="40">
        <f t="shared" si="0"/>
        <v>25181565.591944844</v>
      </c>
    </row>
    <row r="8" spans="1:18" s="6" customFormat="1" ht="15.95" customHeight="1">
      <c r="A8" s="39" t="s">
        <v>4</v>
      </c>
      <c r="B8" s="40">
        <f>+(UGpcntSCH*FY12ProjSCH!B8+UGpcntDeg*FY12ProjMajors!B8)*FY12ProjRev!E$3</f>
        <v>8918378.1004724316</v>
      </c>
      <c r="C8" s="40">
        <f>FY12ProjRev!$E$4*(GPpcntSCH*FY12ProjSCH!C8+GPpcntMjr*FY12ProjMajors!C8)</f>
        <v>2077139.5097698574</v>
      </c>
      <c r="D8" s="40">
        <f>FY12ProjRev!$E$5*(GPpcntSCH*FY12ProjSCH!D8+GPpcntMjr*FY12ProjMajors!D8)</f>
        <v>512110.44068596105</v>
      </c>
      <c r="E8" s="40">
        <f>FY12ProjRev!$E$6*(GPpcntSCH*FY12ProjSCH!E8+GPpcntMjr*FY12ProjMajors!E8)</f>
        <v>38877.663912686745</v>
      </c>
      <c r="F8" s="40">
        <f>FY12ProjRev!$E$7*(GPpcntSCH*FY12ProjSCH!F8+GPpcntMjr*FY12ProjMajors!F8)</f>
        <v>211.34320123368346</v>
      </c>
      <c r="G8" s="40">
        <f>FY12ProjRev!$E$8*(GPpcntSCH*FY12ProjSCH!G8+GPpcntMjr*FY12ProjMajors!G8)</f>
        <v>167233.07718293637</v>
      </c>
      <c r="H8" s="40">
        <f>FY12ProjRev!$E$9*(GPpcntSCH*FY12ProjSCH!H8+GPpcntMjr*FY12ProjMajors!H8)</f>
        <v>0</v>
      </c>
      <c r="I8" s="40">
        <f>FY12ProjRev!$E$10*(GPpcntSCH*FY12ProjSCH!I8+GPpcntMjr*FY12ProjMajors!I8)</f>
        <v>7655.273697817076</v>
      </c>
      <c r="J8" s="40">
        <f>FY12ProjRev!$E$11*(GPpcntSCH*FY12ProjSCH!J8+GPpcntMjr*FY12ProjMajors!J8)</f>
        <v>365.72827749335681</v>
      </c>
      <c r="K8" s="40">
        <f>FY12ProjRev!$E$12*(GPpcntSCH*FY12ProjSCH!K8+GPpcntMjr*FY12ProjMajors!K8)</f>
        <v>104.71330054974206</v>
      </c>
      <c r="L8" s="40">
        <f>FY12ProjRev!$E$13*(GPpcntSCH*FY12ProjSCH!L8+GPpcntMjr*FY12ProjMajors!L8)</f>
        <v>858.49550635922958</v>
      </c>
      <c r="M8" s="40">
        <f>FY12ProjRev!$E$14*(GPpcntSCH*FY12ProjSCH!M8+GPpcntMjr*FY12ProjMajors!M8)</f>
        <v>0</v>
      </c>
      <c r="N8" s="40">
        <f>FY12ProjRev!$E$15*(GPpcntSCH*FY12ProjSCH!N8+GPpcntMjr*FY12ProjMajors!N8)</f>
        <v>0</v>
      </c>
      <c r="O8" s="40">
        <f>FY12ProjRev!$E$16*(GPpcntSCH*FY12ProjSCH!O8+GPpcntMjr*FY12ProjMajors!O8)</f>
        <v>315.70988919023739</v>
      </c>
      <c r="P8" s="40">
        <f>FY12ProjRev!$E$17*(GPpcntSCH*FY12ProjSCH!P8+GPpcntMjr*FY12ProjMajors!P8)</f>
        <v>0</v>
      </c>
      <c r="Q8" s="40">
        <f>FY12ProjRev!$E$18*(GPpcntSCH*FY12ProjSCH!Q8+GPpcntMjr*FY12ProjMajors!Q8)</f>
        <v>0</v>
      </c>
      <c r="R8" s="40">
        <f t="shared" si="0"/>
        <v>11723250.055896517</v>
      </c>
    </row>
    <row r="9" spans="1:18" s="6" customFormat="1" ht="15.95" customHeight="1">
      <c r="A9" s="39" t="s">
        <v>14</v>
      </c>
      <c r="B9" s="40">
        <f>+(UGpcntSCH*FY12ProjSCH!B9+UGpcntDeg*FY12ProjMajors!B9)*FY12ProjRev!E$3</f>
        <v>1393954.2882450544</v>
      </c>
      <c r="C9" s="40">
        <f>FY12ProjRev!$E$4*(GPpcntSCH*FY12ProjSCH!C9+GPpcntMjr*FY12ProjMajors!C9)</f>
        <v>160715.49711551858</v>
      </c>
      <c r="D9" s="40">
        <f>FY12ProjRev!$E$5*(GPpcntSCH*FY12ProjSCH!D9+GPpcntMjr*FY12ProjMajors!D9)</f>
        <v>131.86572809436194</v>
      </c>
      <c r="E9" s="40">
        <f>FY12ProjRev!$E$6*(GPpcntSCH*FY12ProjSCH!E9+GPpcntMjr*FY12ProjMajors!E9)</f>
        <v>2302.6477663736669</v>
      </c>
      <c r="F9" s="40">
        <f>FY12ProjRev!$E$7*(GPpcntSCH*FY12ProjSCH!F9+GPpcntMjr*FY12ProjMajors!F9)</f>
        <v>352.23866872280576</v>
      </c>
      <c r="G9" s="40">
        <f>FY12ProjRev!$E$8*(GPpcntSCH*FY12ProjSCH!G9+GPpcntMjr*FY12ProjMajors!G9)</f>
        <v>11012.257217773164</v>
      </c>
      <c r="H9" s="40">
        <f>FY12ProjRev!$E$9*(GPpcntSCH*FY12ProjSCH!H9+GPpcntMjr*FY12ProjMajors!H9)</f>
        <v>539543.44407174864</v>
      </c>
      <c r="I9" s="40">
        <f>FY12ProjRev!$E$10*(GPpcntSCH*FY12ProjSCH!I9+GPpcntMjr*FY12ProjMajors!I9)</f>
        <v>0</v>
      </c>
      <c r="J9" s="40">
        <f>FY12ProjRev!$E$11*(GPpcntSCH*FY12ProjSCH!J9+GPpcntMjr*FY12ProjMajors!J9)</f>
        <v>0</v>
      </c>
      <c r="K9" s="40">
        <f>FY12ProjRev!$E$12*(GPpcntSCH*FY12ProjSCH!K9+GPpcntMjr*FY12ProjMajors!K9)</f>
        <v>52.356650274871029</v>
      </c>
      <c r="L9" s="40">
        <f>FY12ProjRev!$E$13*(GPpcntSCH*FY12ProjSCH!L9+GPpcntMjr*FY12ProjMajors!L9)</f>
        <v>11238.486628702642</v>
      </c>
      <c r="M9" s="40">
        <f>FY12ProjRev!$E$14*(GPpcntSCH*FY12ProjSCH!M9+GPpcntMjr*FY12ProjMajors!M9)</f>
        <v>0</v>
      </c>
      <c r="N9" s="40">
        <f>FY12ProjRev!$E$15*(GPpcntSCH*FY12ProjSCH!N9+GPpcntMjr*FY12ProjMajors!N9)</f>
        <v>0</v>
      </c>
      <c r="O9" s="40">
        <f>FY12ProjRev!$E$16*(GPpcntSCH*FY12ProjSCH!O9+GPpcntMjr*FY12ProjMajors!O9)</f>
        <v>0</v>
      </c>
      <c r="P9" s="40">
        <f>FY12ProjRev!$E$17*(GPpcntSCH*FY12ProjSCH!P9+GPpcntMjr*FY12ProjMajors!P9)</f>
        <v>0</v>
      </c>
      <c r="Q9" s="40">
        <f>FY12ProjRev!$E$18*(GPpcntSCH*FY12ProjSCH!Q9+GPpcntMjr*FY12ProjMajors!Q9)</f>
        <v>0</v>
      </c>
      <c r="R9" s="40">
        <f t="shared" si="0"/>
        <v>2119303.0820922633</v>
      </c>
    </row>
    <row r="10" spans="1:18" s="6" customFormat="1" ht="15.95" customHeight="1">
      <c r="A10" s="39" t="s">
        <v>9</v>
      </c>
      <c r="B10" s="40">
        <f>+(UGpcntSCH*FY12ProjSCH!B10+UGpcntDeg*FY12ProjMajors!B10)*FY12ProjRev!E$3</f>
        <v>9256.8689446498938</v>
      </c>
      <c r="C10" s="40">
        <f>FY12ProjRev!$E$4*(GPpcntSCH*FY12ProjSCH!C10+GPpcntMjr*FY12ProjMajors!C10)</f>
        <v>61003.316700506126</v>
      </c>
      <c r="D10" s="40">
        <f>FY12ProjRev!$E$5*(GPpcntSCH*FY12ProjSCH!D10+GPpcntMjr*FY12ProjMajors!D10)</f>
        <v>703.28388316993028</v>
      </c>
      <c r="E10" s="40">
        <f>FY12ProjRev!$E$6*(GPpcntSCH*FY12ProjSCH!E10+GPpcntMjr*FY12ProjMajors!E10)</f>
        <v>54187.326311928598</v>
      </c>
      <c r="F10" s="40">
        <f>FY12ProjRev!$E$7*(GPpcntSCH*FY12ProjSCH!F10+GPpcntMjr*FY12ProjMajors!F10)</f>
        <v>34025.042525158278</v>
      </c>
      <c r="G10" s="40">
        <f>FY12ProjRev!$E$8*(GPpcntSCH*FY12ProjSCH!G10+GPpcntMjr*FY12ProjMajors!G10)</f>
        <v>10109.938513712785</v>
      </c>
      <c r="H10" s="40">
        <f>FY12ProjRev!$E$9*(GPpcntSCH*FY12ProjSCH!H10+GPpcntMjr*FY12ProjMajors!H10)</f>
        <v>0</v>
      </c>
      <c r="I10" s="40">
        <f>FY12ProjRev!$E$10*(GPpcntSCH*FY12ProjSCH!I10+GPpcntMjr*FY12ProjMajors!I10)</f>
        <v>203.23735480930293</v>
      </c>
      <c r="J10" s="40">
        <f>FY12ProjRev!$E$11*(GPpcntSCH*FY12ProjSCH!J10+GPpcntMjr*FY12ProjMajors!J10)</f>
        <v>0</v>
      </c>
      <c r="K10" s="40">
        <f>FY12ProjRev!$E$12*(GPpcntSCH*FY12ProjSCH!K10+GPpcntMjr*FY12ProjMajors!K10)</f>
        <v>0</v>
      </c>
      <c r="L10" s="40">
        <f>FY12ProjRev!$E$13*(GPpcntSCH*FY12ProjSCH!L10+GPpcntMjr*FY12ProjMajors!L10)</f>
        <v>8908231.100301981</v>
      </c>
      <c r="M10" s="40">
        <f>FY12ProjRev!$E$14*(GPpcntSCH*FY12ProjSCH!M10+GPpcntMjr*FY12ProjMajors!M10)</f>
        <v>0</v>
      </c>
      <c r="N10" s="40">
        <f>FY12ProjRev!$E$15*(GPpcntSCH*FY12ProjSCH!N10+GPpcntMjr*FY12ProjMajors!N10)</f>
        <v>0</v>
      </c>
      <c r="O10" s="40">
        <f>FY12ProjRev!$E$16*(GPpcntSCH*FY12ProjSCH!O10+GPpcntMjr*FY12ProjMajors!O10)</f>
        <v>6218.0561595372455</v>
      </c>
      <c r="P10" s="40">
        <f>FY12ProjRev!$E$17*(GPpcntSCH*FY12ProjSCH!P10+GPpcntMjr*FY12ProjMajors!P10)</f>
        <v>0</v>
      </c>
      <c r="Q10" s="40">
        <f>FY12ProjRev!$E$18*(GPpcntSCH*FY12ProjSCH!Q10+GPpcntMjr*FY12ProjMajors!Q10)</f>
        <v>711544.04147799034</v>
      </c>
      <c r="R10" s="40">
        <f t="shared" si="0"/>
        <v>9795482.2121734433</v>
      </c>
    </row>
    <row r="11" spans="1:18" s="6" customFormat="1" ht="15.95" customHeight="1">
      <c r="A11" s="39" t="s">
        <v>5</v>
      </c>
      <c r="B11" s="40">
        <f>+(UGpcntSCH*FY12ProjSCH!B11+UGpcntDeg*FY12ProjMajors!B11)*FY12ProjRev!E$3</f>
        <v>14593.181630389245</v>
      </c>
      <c r="C11" s="40">
        <f>FY12ProjRev!$E$4*(GPpcntSCH*FY12ProjSCH!C11+GPpcntMjr*FY12ProjMajors!C11)</f>
        <v>79816.601191327936</v>
      </c>
      <c r="D11" s="40">
        <f>FY12ProjRev!$E$5*(GPpcntSCH*FY12ProjSCH!D11+GPpcntMjr*FY12ProjMajors!D11)</f>
        <v>19193.827516851838</v>
      </c>
      <c r="E11" s="40">
        <f>FY12ProjRev!$E$6*(GPpcntSCH*FY12ProjSCH!E11+GPpcntMjr*FY12ProjMajors!E11)</f>
        <v>13877.513663462198</v>
      </c>
      <c r="F11" s="40">
        <f>FY12ProjRev!$E$7*(GPpcntSCH*FY12ProjSCH!F11+GPpcntMjr*FY12ProjMajors!F11)</f>
        <v>8418.3525732919625</v>
      </c>
      <c r="G11" s="40">
        <f>FY12ProjRev!$E$8*(GPpcntSCH*FY12ProjSCH!G11+GPpcntMjr*FY12ProjMajors!G11)</f>
        <v>2568731.5496492521</v>
      </c>
      <c r="H11" s="40">
        <f>FY12ProjRev!$E$9*(GPpcntSCH*FY12ProjSCH!H11+GPpcntMjr*FY12ProjMajors!H11)</f>
        <v>18372.167874883802</v>
      </c>
      <c r="I11" s="40">
        <f>FY12ProjRev!$E$10*(GPpcntSCH*FY12ProjSCH!I11+GPpcntMjr*FY12ProjMajors!I11)</f>
        <v>100094.80686925806</v>
      </c>
      <c r="J11" s="40">
        <f>FY12ProjRev!$E$11*(GPpcntSCH*FY12ProjSCH!J11+GPpcntMjr*FY12ProjMajors!J11)</f>
        <v>804.60221048538506</v>
      </c>
      <c r="K11" s="40">
        <f>FY12ProjRev!$E$12*(GPpcntSCH*FY12ProjSCH!K11+GPpcntMjr*FY12ProjMajors!K11)</f>
        <v>0</v>
      </c>
      <c r="L11" s="40">
        <f>FY12ProjRev!$E$13*(GPpcntSCH*FY12ProjSCH!L11+GPpcntMjr*FY12ProjMajors!L11)</f>
        <v>64586.312404749675</v>
      </c>
      <c r="M11" s="40">
        <f>FY12ProjRev!$E$14*(GPpcntSCH*FY12ProjSCH!M11+GPpcntMjr*FY12ProjMajors!M11)</f>
        <v>0</v>
      </c>
      <c r="N11" s="40">
        <f>FY12ProjRev!$E$15*(GPpcntSCH*FY12ProjSCH!N11+GPpcntMjr*FY12ProjMajors!N11)</f>
        <v>0</v>
      </c>
      <c r="O11" s="40">
        <f>FY12ProjRev!$E$16*(GPpcntSCH*FY12ProjSCH!O11+GPpcntMjr*FY12ProjMajors!O11)</f>
        <v>6522.641256638065</v>
      </c>
      <c r="P11" s="40">
        <f>FY12ProjRev!$E$17*(GPpcntSCH*FY12ProjSCH!P11+GPpcntMjr*FY12ProjMajors!P11)</f>
        <v>2958.4304865800682</v>
      </c>
      <c r="Q11" s="40">
        <f>FY12ProjRev!$E$18*(GPpcntSCH*FY12ProjSCH!Q11+GPpcntMjr*FY12ProjMajors!Q11)</f>
        <v>849.43578369835689</v>
      </c>
      <c r="R11" s="40">
        <f t="shared" si="0"/>
        <v>2898819.4231108683</v>
      </c>
    </row>
    <row r="12" spans="1:18" s="6" customFormat="1" ht="15.95" customHeight="1">
      <c r="A12" s="39" t="s">
        <v>13</v>
      </c>
      <c r="B12" s="40">
        <f>+(UGpcntSCH*FY12ProjSCH!B12+UGpcntDeg*FY12ProjMajors!B12)*FY12ProjRev!E$3</f>
        <v>836647.64987191989</v>
      </c>
      <c r="C12" s="40">
        <f>FY12ProjRev!$E$4*(GPpcntSCH*FY12ProjSCH!C12+GPpcntMjr*FY12ProjMajors!C12)</f>
        <v>3400.7725287721364</v>
      </c>
      <c r="D12" s="40">
        <f>FY12ProjRev!$E$5*(GPpcntSCH*FY12ProjSCH!D12+GPpcntMjr*FY12ProjMajors!D12)</f>
        <v>291190.35934104951</v>
      </c>
      <c r="E12" s="40">
        <f>FY12ProjRev!$E$6*(GPpcntSCH*FY12ProjSCH!E12+GPpcntMjr*FY12ProjMajors!E12)</f>
        <v>4516.1794941921371</v>
      </c>
      <c r="F12" s="40">
        <f>FY12ProjRev!$E$7*(GPpcntSCH*FY12ProjSCH!F12+GPpcntMjr*FY12ProjMajors!F12)</f>
        <v>0</v>
      </c>
      <c r="G12" s="40">
        <f>FY12ProjRev!$E$8*(GPpcntSCH*FY12ProjSCH!G12+GPpcntMjr*FY12ProjMajors!G12)</f>
        <v>48629.488974041684</v>
      </c>
      <c r="H12" s="40">
        <f>FY12ProjRev!$E$9*(GPpcntSCH*FY12ProjSCH!H12+GPpcntMjr*FY12ProjMajors!H12)</f>
        <v>149.86736164102126</v>
      </c>
      <c r="I12" s="40">
        <f>FY12ProjRev!$E$10*(GPpcntSCH*FY12ProjSCH!I12+GPpcntMjr*FY12ProjMajors!I12)</f>
        <v>67.745784936434305</v>
      </c>
      <c r="J12" s="40">
        <f>FY12ProjRev!$E$11*(GPpcntSCH*FY12ProjSCH!J12+GPpcntMjr*FY12ProjMajors!J12)</f>
        <v>2194.3696649601411</v>
      </c>
      <c r="K12" s="40">
        <f>FY12ProjRev!$E$12*(GPpcntSCH*FY12ProjSCH!K12+GPpcntMjr*FY12ProjMajors!K12)</f>
        <v>0</v>
      </c>
      <c r="L12" s="40">
        <f>FY12ProjRev!$E$13*(GPpcntSCH*FY12ProjSCH!L12+GPpcntMjr*FY12ProjMajors!L12)</f>
        <v>78.04504603265724</v>
      </c>
      <c r="M12" s="40">
        <f>FY12ProjRev!$E$14*(GPpcntSCH*FY12ProjSCH!M12+GPpcntMjr*FY12ProjMajors!M12)</f>
        <v>0</v>
      </c>
      <c r="N12" s="40">
        <f>FY12ProjRev!$E$15*(GPpcntSCH*FY12ProjSCH!N12+GPpcntMjr*FY12ProjMajors!N12)</f>
        <v>0</v>
      </c>
      <c r="O12" s="40">
        <f>FY12ProjRev!$E$16*(GPpcntSCH*FY12ProjSCH!O12+GPpcntMjr*FY12ProjMajors!O12)</f>
        <v>23835.042706191289</v>
      </c>
      <c r="P12" s="40">
        <f>FY12ProjRev!$E$17*(GPpcntSCH*FY12ProjSCH!P12+GPpcntMjr*FY12ProjMajors!P12)</f>
        <v>1905475.9469790114</v>
      </c>
      <c r="Q12" s="40">
        <f>FY12ProjRev!$E$18*(GPpcntSCH*FY12ProjSCH!Q12+GPpcntMjr*FY12ProjMajors!Q12)</f>
        <v>0</v>
      </c>
      <c r="R12" s="40">
        <f t="shared" si="0"/>
        <v>3116185.4677527482</v>
      </c>
    </row>
    <row r="13" spans="1:18" s="6" customFormat="1" ht="15.95" customHeight="1">
      <c r="A13" s="39" t="s">
        <v>8</v>
      </c>
      <c r="B13" s="40">
        <f>+(UGpcntSCH*FY12ProjSCH!B13+UGpcntDeg*FY12ProjMajors!B13)*FY12ProjRev!E$3</f>
        <v>10781.529712003994</v>
      </c>
      <c r="C13" s="40">
        <f>FY12ProjRev!$E$4*(GPpcntSCH*FY12ProjSCH!C13+GPpcntMjr*FY12ProjMajors!C13)</f>
        <v>262665.7593600346</v>
      </c>
      <c r="D13" s="40">
        <f>FY12ProjRev!$E$5*(GPpcntSCH*FY12ProjSCH!D13+GPpcntMjr*FY12ProjMajors!D13)</f>
        <v>2104.9804687674959</v>
      </c>
      <c r="E13" s="40">
        <f>FY12ProjRev!$E$6*(GPpcntSCH*FY12ProjSCH!E13+GPpcntMjr*FY12ProjMajors!E13)</f>
        <v>0</v>
      </c>
      <c r="F13" s="40">
        <f>FY12ProjRev!$E$7*(GPpcntSCH*FY12ProjSCH!F13+GPpcntMjr*FY12ProjMajors!F13)</f>
        <v>0</v>
      </c>
      <c r="G13" s="40">
        <f>FY12ProjRev!$E$8*(GPpcntSCH*FY12ProjSCH!G13+GPpcntMjr*FY12ProjMajors!G13)</f>
        <v>0</v>
      </c>
      <c r="H13" s="40">
        <f>FY12ProjRev!$E$9*(GPpcntSCH*FY12ProjSCH!H13+GPpcntMjr*FY12ProjMajors!H13)</f>
        <v>0</v>
      </c>
      <c r="I13" s="40">
        <f>FY12ProjRev!$E$10*(GPpcntSCH*FY12ProjSCH!I13+GPpcntMjr*FY12ProjMajors!I13)</f>
        <v>0</v>
      </c>
      <c r="J13" s="40">
        <f>FY12ProjRev!$E$11*(GPpcntSCH*FY12ProjSCH!J13+GPpcntMjr*FY12ProjMajors!J13)</f>
        <v>0</v>
      </c>
      <c r="K13" s="40">
        <f>FY12ProjRev!$E$12*(GPpcntSCH*FY12ProjSCH!K13+GPpcntMjr*FY12ProjMajors!K13)</f>
        <v>0</v>
      </c>
      <c r="L13" s="40">
        <f>FY12ProjRev!$E$13*(GPpcntSCH*FY12ProjSCH!L13+GPpcntMjr*FY12ProjMajors!L13)</f>
        <v>0</v>
      </c>
      <c r="M13" s="40">
        <f>FY12ProjRev!$E$14*(GPpcntSCH*FY12ProjSCH!M13+GPpcntMjr*FY12ProjMajors!M13)</f>
        <v>0</v>
      </c>
      <c r="N13" s="40">
        <f>FY12ProjRev!$E$15*(GPpcntSCH*FY12ProjSCH!N13+GPpcntMjr*FY12ProjMajors!N13)</f>
        <v>3601887.2078060512</v>
      </c>
      <c r="O13" s="40">
        <f>FY12ProjRev!$E$16*(GPpcntSCH*FY12ProjSCH!O13+GPpcntMjr*FY12ProjMajors!O13)</f>
        <v>2037.9448077068623</v>
      </c>
      <c r="P13" s="40">
        <f>FY12ProjRev!$E$17*(GPpcntSCH*FY12ProjSCH!P13+GPpcntMjr*FY12ProjMajors!P13)</f>
        <v>0</v>
      </c>
      <c r="Q13" s="40">
        <f>FY12ProjRev!$E$18*(GPpcntSCH*FY12ProjSCH!Q13+GPpcntMjr*FY12ProjMajors!Q13)</f>
        <v>0</v>
      </c>
      <c r="R13" s="40">
        <f t="shared" si="0"/>
        <v>3879477.4221545644</v>
      </c>
    </row>
    <row r="14" spans="1:18" s="6" customFormat="1" ht="15.95" customHeight="1">
      <c r="A14" s="39" t="s">
        <v>10</v>
      </c>
      <c r="B14" s="40">
        <f>+(UGpcntSCH*FY12ProjSCH!B14+UGpcntDeg*FY12ProjMajors!B14)*FY12ProjRev!E$3</f>
        <v>5519130.5744355861</v>
      </c>
      <c r="C14" s="40">
        <f>FY12ProjRev!$E$4*(GPpcntSCH*FY12ProjSCH!C14+GPpcntMjr*FY12ProjMajors!C14)</f>
        <v>1941175.1973801232</v>
      </c>
      <c r="D14" s="40">
        <f>FY12ProjRev!$E$5*(GPpcntSCH*FY12ProjSCH!D14+GPpcntMjr*FY12ProjMajors!D14)</f>
        <v>535394.48405610048</v>
      </c>
      <c r="E14" s="40">
        <f>FY12ProjRev!$E$6*(GPpcntSCH*FY12ProjSCH!E14+GPpcntMjr*FY12ProjMajors!E14)</f>
        <v>121282.48829043149</v>
      </c>
      <c r="F14" s="40">
        <f>FY12ProjRev!$E$7*(GPpcntSCH*FY12ProjSCH!F14+GPpcntMjr*FY12ProjMajors!F14)</f>
        <v>0</v>
      </c>
      <c r="G14" s="40">
        <f>FY12ProjRev!$E$8*(GPpcntSCH*FY12ProjSCH!G14+GPpcntMjr*FY12ProjMajors!G14)</f>
        <v>4568.5880648463726</v>
      </c>
      <c r="H14" s="40">
        <f>FY12ProjRev!$E$9*(GPpcntSCH*FY12ProjSCH!H14+GPpcntMjr*FY12ProjMajors!H14)</f>
        <v>399.64629770939007</v>
      </c>
      <c r="I14" s="40">
        <f>FY12ProjRev!$E$10*(GPpcntSCH*FY12ProjSCH!I14+GPpcntMjr*FY12ProjMajors!I14)</f>
        <v>67.745784936434305</v>
      </c>
      <c r="J14" s="40">
        <f>FY12ProjRev!$E$11*(GPpcntSCH*FY12ProjSCH!J14+GPpcntMjr*FY12ProjMajors!J14)</f>
        <v>19162.51801805642</v>
      </c>
      <c r="K14" s="40">
        <f>FY12ProjRev!$E$12*(GPpcntSCH*FY12ProjSCH!K14+GPpcntMjr*FY12ProjMajors!K14)</f>
        <v>113404.50449537064</v>
      </c>
      <c r="L14" s="40">
        <f>FY12ProjRev!$E$13*(GPpcntSCH*FY12ProjSCH!L14+GPpcntMjr*FY12ProjMajors!L14)</f>
        <v>702.4054142939151</v>
      </c>
      <c r="M14" s="40">
        <f>FY12ProjRev!$E$14*(GPpcntSCH*FY12ProjSCH!M14+GPpcntMjr*FY12ProjMajors!M14)</f>
        <v>10596551.538737591</v>
      </c>
      <c r="N14" s="40">
        <f>FY12ProjRev!$E$15*(GPpcntSCH*FY12ProjSCH!N14+GPpcntMjr*FY12ProjMajors!N14)</f>
        <v>97884.298603609597</v>
      </c>
      <c r="O14" s="40">
        <f>FY12ProjRev!$E$16*(GPpcntSCH*FY12ProjSCH!O14+GPpcntMjr*FY12ProjMajors!O14)</f>
        <v>206939.40094282755</v>
      </c>
      <c r="P14" s="40">
        <f>FY12ProjRev!$E$17*(GPpcntSCH*FY12ProjSCH!P14+GPpcntMjr*FY12ProjMajors!P14)</f>
        <v>3477.4533789625361</v>
      </c>
      <c r="Q14" s="40">
        <f>FY12ProjRev!$E$18*(GPpcntSCH*FY12ProjSCH!Q14+GPpcntMjr*FY12ProjMajors!Q14)</f>
        <v>0</v>
      </c>
      <c r="R14" s="40">
        <f t="shared" si="0"/>
        <v>19160140.84390045</v>
      </c>
    </row>
    <row r="15" spans="1:18" s="6" customFormat="1" ht="15.95" customHeight="1">
      <c r="A15" s="39" t="s">
        <v>11</v>
      </c>
      <c r="B15" s="40">
        <f>+(UGpcntSCH*FY12ProjSCH!B15+UGpcntDeg*FY12ProjMajors!B15)*FY12ProjRev!E$3</f>
        <v>2401593.5682565439</v>
      </c>
      <c r="C15" s="40">
        <f>FY12ProjRev!$E$4*(GPpcntSCH*FY12ProjSCH!C15+GPpcntMjr*FY12ProjMajors!C15)</f>
        <v>1487.8379813378097</v>
      </c>
      <c r="D15" s="40">
        <f>FY12ProjRev!$E$5*(GPpcntSCH*FY12ProjSCH!D15+GPpcntMjr*FY12ProjMajors!D15)</f>
        <v>659.32864047180976</v>
      </c>
      <c r="E15" s="40">
        <f>FY12ProjRev!$E$6*(GPpcntSCH*FY12ProjSCH!E15+GPpcntMjr*FY12ProjMajors!E15)</f>
        <v>410191.12947927258</v>
      </c>
      <c r="F15" s="40">
        <f>FY12ProjRev!$E$7*(GPpcntSCH*FY12ProjSCH!F15+GPpcntMjr*FY12ProjMajors!F15)</f>
        <v>0</v>
      </c>
      <c r="G15" s="40">
        <f>FY12ProjRev!$E$8*(GPpcntSCH*FY12ProjSCH!G15+GPpcntMjr*FY12ProjMajors!G15)</f>
        <v>117.14328371400957</v>
      </c>
      <c r="H15" s="40">
        <f>FY12ProjRev!$E$9*(GPpcntSCH*FY12ProjSCH!H15+GPpcntMjr*FY12ProjMajors!H15)</f>
        <v>0</v>
      </c>
      <c r="I15" s="40">
        <f>FY12ProjRev!$E$10*(GPpcntSCH*FY12ProjSCH!I15+GPpcntMjr*FY12ProjMajors!I15)</f>
        <v>0</v>
      </c>
      <c r="J15" s="40">
        <f>FY12ProjRev!$E$11*(GPpcntSCH*FY12ProjSCH!J15+GPpcntMjr*FY12ProjMajors!J15)</f>
        <v>850033.33325550554</v>
      </c>
      <c r="K15" s="40">
        <f>FY12ProjRev!$E$12*(GPpcntSCH*FY12ProjSCH!K15+GPpcntMjr*FY12ProjMajors!K15)</f>
        <v>1361.2729071466467</v>
      </c>
      <c r="L15" s="40">
        <f>FY12ProjRev!$E$13*(GPpcntSCH*FY12ProjSCH!L15+GPpcntMjr*FY12ProjMajors!L15)</f>
        <v>0</v>
      </c>
      <c r="M15" s="40">
        <f>FY12ProjRev!$E$14*(GPpcntSCH*FY12ProjSCH!M15+GPpcntMjr*FY12ProjMajors!M15)</f>
        <v>0</v>
      </c>
      <c r="N15" s="40">
        <f>FY12ProjRev!$E$15*(GPpcntSCH*FY12ProjSCH!N15+GPpcntMjr*FY12ProjMajors!N15)</f>
        <v>0</v>
      </c>
      <c r="O15" s="40">
        <f>FY12ProjRev!$E$16*(GPpcntSCH*FY12ProjSCH!O15+GPpcntMjr*FY12ProjMajors!O15)</f>
        <v>13397.411458674884</v>
      </c>
      <c r="P15" s="40">
        <f>FY12ProjRev!$E$17*(GPpcntSCH*FY12ProjSCH!P15+GPpcntMjr*FY12ProjMajors!P15)</f>
        <v>778.53433857370214</v>
      </c>
      <c r="Q15" s="40">
        <f>FY12ProjRev!$E$18*(GPpcntSCH*FY12ProjSCH!Q15+GPpcntMjr*FY12ProjMajors!Q15)</f>
        <v>0</v>
      </c>
      <c r="R15" s="40">
        <f t="shared" si="0"/>
        <v>3679619.5596012413</v>
      </c>
    </row>
    <row r="16" spans="1:18" s="6" customFormat="1" ht="15.95" customHeight="1">
      <c r="A16" s="39" t="s">
        <v>12</v>
      </c>
      <c r="B16" s="40">
        <f>+(UGpcntSCH*FY12ProjSCH!B16+UGpcntDeg*FY12ProjMajors!B16)*FY12ProjRev!E$3</f>
        <v>6425.356090992279</v>
      </c>
      <c r="C16" s="40">
        <f>FY12ProjRev!$E$4*(GPpcntSCH*FY12ProjSCH!C16+GPpcntMjr*FY12ProjMajors!C16)</f>
        <v>252260.67014948066</v>
      </c>
      <c r="D16" s="40">
        <f>FY12ProjRev!$E$5*(GPpcntSCH*FY12ProjSCH!D16+GPpcntMjr*FY12ProjMajors!D16)</f>
        <v>0</v>
      </c>
      <c r="E16" s="40">
        <f>FY12ProjRev!$E$6*(GPpcntSCH*FY12ProjSCH!E16+GPpcntMjr*FY12ProjMajors!E16)</f>
        <v>2014.8167955769586</v>
      </c>
      <c r="F16" s="40">
        <f>FY12ProjRev!$E$7*(GPpcntSCH*FY12ProjSCH!F16+GPpcntMjr*FY12ProjMajors!F16)</f>
        <v>0</v>
      </c>
      <c r="G16" s="40">
        <f>FY12ProjRev!$E$8*(GPpcntSCH*FY12ProjSCH!G16+GPpcntMjr*FY12ProjMajors!G16)</f>
        <v>234.28656742801914</v>
      </c>
      <c r="H16" s="40">
        <f>FY12ProjRev!$E$9*(GPpcntSCH*FY12ProjSCH!H16+GPpcntMjr*FY12ProjMajors!H16)</f>
        <v>0</v>
      </c>
      <c r="I16" s="40">
        <f>FY12ProjRev!$E$10*(GPpcntSCH*FY12ProjSCH!I16+GPpcntMjr*FY12ProjMajors!I16)</f>
        <v>0</v>
      </c>
      <c r="J16" s="40">
        <f>FY12ProjRev!$E$11*(GPpcntSCH*FY12ProjSCH!J16+GPpcntMjr*FY12ProjMajors!J16)</f>
        <v>8411.7503823472089</v>
      </c>
      <c r="K16" s="40">
        <f>FY12ProjRev!$E$12*(GPpcntSCH*FY12ProjSCH!K16+GPpcntMjr*FY12ProjMajors!K16)</f>
        <v>4133243.3992994186</v>
      </c>
      <c r="L16" s="40">
        <f>FY12ProjRev!$E$13*(GPpcntSCH*FY12ProjSCH!L16+GPpcntMjr*FY12ProjMajors!L16)</f>
        <v>0</v>
      </c>
      <c r="M16" s="40">
        <f>FY12ProjRev!$E$14*(GPpcntSCH*FY12ProjSCH!M16+GPpcntMjr*FY12ProjMajors!M16)</f>
        <v>0</v>
      </c>
      <c r="N16" s="40">
        <f>FY12ProjRev!$E$15*(GPpcntSCH*FY12ProjSCH!N16+GPpcntMjr*FY12ProjMajors!N16)</f>
        <v>0</v>
      </c>
      <c r="O16" s="40">
        <f>FY12ProjRev!$E$16*(GPpcntSCH*FY12ProjSCH!O16+GPpcntMjr*FY12ProjMajors!O16)</f>
        <v>591.95604223169505</v>
      </c>
      <c r="P16" s="40">
        <f>FY12ProjRev!$E$17*(GPpcntSCH*FY12ProjSCH!P16+GPpcntMjr*FY12ProjMajors!P16)</f>
        <v>0</v>
      </c>
      <c r="Q16" s="40">
        <f>FY12ProjRev!$E$18*(GPpcntSCH*FY12ProjSCH!Q16+GPpcntMjr*FY12ProjMajors!Q16)</f>
        <v>0</v>
      </c>
      <c r="R16" s="40">
        <f>SUM(B16:Q16)</f>
        <v>4403182.2353274757</v>
      </c>
    </row>
    <row r="17" spans="1:19" s="6" customFormat="1" ht="15.95" customHeight="1">
      <c r="A17" s="39" t="s">
        <v>7</v>
      </c>
      <c r="B17" s="40">
        <f>+(UGpcntSCH*FY12ProjSCH!B17+UGpcntDeg*FY12ProjMajors!B17)*FY12ProjRev!E$3</f>
        <v>1558481.9640944414</v>
      </c>
      <c r="C17" s="40">
        <f>FY12ProjRev!$E$4*(GPpcntSCH*FY12ProjSCH!C17+GPpcntMjr*FY12ProjMajors!C17)</f>
        <v>126600.91894114259</v>
      </c>
      <c r="D17" s="40">
        <f>FY12ProjRev!$E$5*(GPpcntSCH*FY12ProjSCH!D17+GPpcntMjr*FY12ProjMajors!D17)</f>
        <v>5225.8027003340621</v>
      </c>
      <c r="E17" s="40">
        <f>FY12ProjRev!$E$6*(GPpcntSCH*FY12ProjSCH!E17+GPpcntMjr*FY12ProjMajors!E17)</f>
        <v>2149883.7098711501</v>
      </c>
      <c r="F17" s="40">
        <f>FY12ProjRev!$E$7*(GPpcntSCH*FY12ProjSCH!F17+GPpcntMjr*FY12ProjMajors!F17)</f>
        <v>69177.248790229525</v>
      </c>
      <c r="G17" s="40">
        <f>FY12ProjRev!$E$8*(GPpcntSCH*FY12ProjSCH!G17+GPpcntMjr*FY12ProjMajors!G17)</f>
        <v>62956.585701458818</v>
      </c>
      <c r="H17" s="40">
        <f>FY12ProjRev!$E$9*(GPpcntSCH*FY12ProjSCH!H17+GPpcntMjr*FY12ProjMajors!H17)</f>
        <v>0</v>
      </c>
      <c r="I17" s="40">
        <f>FY12ProjRev!$E$10*(GPpcntSCH*FY12ProjSCH!I17+GPpcntMjr*FY12ProjMajors!I17)</f>
        <v>406.47470961860586</v>
      </c>
      <c r="J17" s="40">
        <f>FY12ProjRev!$E$11*(GPpcntSCH*FY12ProjSCH!J17+GPpcntMjr*FY12ProjMajors!J17)</f>
        <v>42125.870584384626</v>
      </c>
      <c r="K17" s="40">
        <f>FY12ProjRev!$E$12*(GPpcntSCH*FY12ProjSCH!K17+GPpcntMjr*FY12ProjMajors!K17)</f>
        <v>6492.2246340840074</v>
      </c>
      <c r="L17" s="40">
        <f>FY12ProjRev!$E$13*(GPpcntSCH*FY12ProjSCH!L17+GPpcntMjr*FY12ProjMajors!L17)</f>
        <v>1873.0811047837733</v>
      </c>
      <c r="M17" s="40">
        <f>FY12ProjRev!$E$14*(GPpcntSCH*FY12ProjSCH!M17+GPpcntMjr*FY12ProjMajors!M17)</f>
        <v>72645.766150156793</v>
      </c>
      <c r="N17" s="40">
        <f>FY12ProjRev!$E$15*(GPpcntSCH*FY12ProjSCH!N17+GPpcntMjr*FY12ProjMajors!N17)</f>
        <v>755.49868676206154</v>
      </c>
      <c r="O17" s="40">
        <f>FY12ProjRev!$E$16*(GPpcntSCH*FY12ProjSCH!O17+GPpcntMjr*FY12ProjMajors!O17)</f>
        <v>990044.431328704</v>
      </c>
      <c r="P17" s="40">
        <f>FY12ProjRev!$E$17*(GPpcntSCH*FY12ProjSCH!P17+GPpcntMjr*FY12ProjMajors!P17)</f>
        <v>18720.373638945734</v>
      </c>
      <c r="Q17" s="40">
        <f>FY12ProjRev!$E$18*(GPpcntSCH*FY12ProjSCH!Q17+GPpcntMjr*FY12ProjMajors!Q17)</f>
        <v>188.76350748852374</v>
      </c>
      <c r="R17" s="40">
        <f>SUM(B17:Q17)</f>
        <v>5105578.7144436846</v>
      </c>
    </row>
    <row r="18" spans="1:19" s="6" customFormat="1" ht="15.95" customHeight="1">
      <c r="A18" s="39" t="s">
        <v>16</v>
      </c>
      <c r="B18" s="40">
        <f>+(UGpcntSCH*FY12ProjSCH!B18+UGpcntDeg*FY12ProjMajors!B18)*FY12ProjRev!E$3</f>
        <v>3068963.8967015594</v>
      </c>
      <c r="C18" s="40">
        <f>FY12ProjRev!$E$4*(GPpcntSCH*FY12ProjSCH!C18+GPpcntMjr*FY12ProjMajors!C18)</f>
        <v>239.11681842929084</v>
      </c>
      <c r="D18" s="40">
        <f>FY12ProjRev!$E$5*(GPpcntSCH*FY12ProjSCH!D18+GPpcntMjr*FY12ProjMajors!D18)</f>
        <v>0</v>
      </c>
      <c r="E18" s="40">
        <f>FY12ProjRev!$E$6*(GPpcntSCH*FY12ProjSCH!E18+GPpcntMjr*FY12ProjMajors!E18)</f>
        <v>13623.910034464108</v>
      </c>
      <c r="F18" s="40">
        <f>FY12ProjRev!$E$7*(GPpcntSCH*FY12ProjSCH!F18+GPpcntMjr*FY12ProjMajors!F18)</f>
        <v>0</v>
      </c>
      <c r="G18" s="40">
        <f>FY12ProjRev!$E$8*(GPpcntSCH*FY12ProjSCH!G18+GPpcntMjr*FY12ProjMajors!G18)</f>
        <v>0</v>
      </c>
      <c r="H18" s="40">
        <f>FY12ProjRev!$E$9*(GPpcntSCH*FY12ProjSCH!H18+GPpcntMjr*FY12ProjMajors!H18)</f>
        <v>0</v>
      </c>
      <c r="I18" s="40">
        <f>FY12ProjRev!$E$10*(GPpcntSCH*FY12ProjSCH!I18+GPpcntMjr*FY12ProjMajors!I18)</f>
        <v>0</v>
      </c>
      <c r="J18" s="40">
        <f>FY12ProjRev!$E$11*(GPpcntSCH*FY12ProjSCH!J18+GPpcntMjr*FY12ProjMajors!J18)</f>
        <v>0</v>
      </c>
      <c r="K18" s="40">
        <f>FY12ProjRev!$E$12*(GPpcntSCH*FY12ProjSCH!K18+GPpcntMjr*FY12ProjMajors!K18)</f>
        <v>0</v>
      </c>
      <c r="L18" s="40">
        <f>FY12ProjRev!$E$13*(GPpcntSCH*FY12ProjSCH!L18+GPpcntMjr*FY12ProjMajors!L18)</f>
        <v>0</v>
      </c>
      <c r="M18" s="40">
        <f>FY12ProjRev!$E$14*(GPpcntSCH*FY12ProjSCH!M18+GPpcntMjr*FY12ProjMajors!M18)</f>
        <v>0</v>
      </c>
      <c r="N18" s="40">
        <f>FY12ProjRev!$E$15*(GPpcntSCH*FY12ProjSCH!N18+GPpcntMjr*FY12ProjMajors!N18)</f>
        <v>0</v>
      </c>
      <c r="O18" s="40">
        <f>FY12ProjRev!$E$16*(GPpcntSCH*FY12ProjSCH!O18+GPpcntMjr*FY12ProjMajors!O18)</f>
        <v>0</v>
      </c>
      <c r="P18" s="40">
        <f>FY12ProjRev!$E$17*(GPpcntSCH*FY12ProjSCH!P18+GPpcntMjr*FY12ProjMajors!P18)</f>
        <v>0</v>
      </c>
      <c r="Q18" s="40">
        <f>FY12ProjRev!$E$18*(GPpcntSCH*FY12ProjSCH!Q18+GPpcntMjr*FY12ProjMajors!Q18)</f>
        <v>0</v>
      </c>
      <c r="R18" s="40">
        <f>SUM(B18:Q18)</f>
        <v>3082826.9235544531</v>
      </c>
    </row>
    <row r="19" spans="1:19" s="6" customFormat="1" ht="15.95" customHeight="1">
      <c r="A19" s="44" t="s">
        <v>44</v>
      </c>
      <c r="B19" s="45">
        <f>+(UGpcntSCH*FY12ProjSCH!B19+UGpcntDeg*FY12ProjMajors!B19)*FY12ProjRev!E$3</f>
        <v>645813.6680282451</v>
      </c>
      <c r="C19" s="45">
        <f>FY12ProjRev!$E$4*(GPpcntSCH*FY12ProjSCH!C19+GPpcntMjr*FY12ProjMajors!C19)</f>
        <v>1268962.6270924648</v>
      </c>
      <c r="D19" s="45">
        <f>FY12ProjRev!$E$5*(GPpcntSCH*FY12ProjSCH!D19+GPpcntMjr*FY12ProjMajors!D19)</f>
        <v>36009.315363280337</v>
      </c>
      <c r="E19" s="45">
        <f>FY12ProjRev!$E$6*(GPpcntSCH*FY12ProjSCH!E19+GPpcntMjr*FY12ProjMajors!E19)</f>
        <v>265460.74774638831</v>
      </c>
      <c r="F19" s="45">
        <f>FY12ProjRev!$E$7*(GPpcntSCH*FY12ProjSCH!F19+GPpcntMjr*FY12ProjMajors!F19)</f>
        <v>95277.072878307765</v>
      </c>
      <c r="G19" s="45">
        <f>FY12ProjRev!$E$8*(GPpcntSCH*FY12ProjSCH!G19+GPpcntMjr*FY12ProjMajors!G19)</f>
        <v>47435.10060935255</v>
      </c>
      <c r="H19" s="45">
        <f>FY12ProjRev!$E$9*(GPpcntSCH*FY12ProjSCH!H19+GPpcntMjr*FY12ProjMajors!H19)</f>
        <v>8428.7847439385423</v>
      </c>
      <c r="I19" s="45">
        <f>FY12ProjRev!$E$10*(GPpcntSCH*FY12ProjSCH!I19+GPpcntMjr*FY12ProjMajors!I19)</f>
        <v>101733.62467137151</v>
      </c>
      <c r="J19" s="45">
        <f>FY12ProjRev!$E$11*(GPpcntSCH*FY12ProjSCH!J19+GPpcntMjr*FY12ProjMajors!J19)</f>
        <v>0</v>
      </c>
      <c r="K19" s="45">
        <f>FY12ProjRev!$E$12*(GPpcntSCH*FY12ProjSCH!K19+GPpcntMjr*FY12ProjMajors!K19)</f>
        <v>0</v>
      </c>
      <c r="L19" s="45">
        <f>FY12ProjRev!$E$13*(GPpcntSCH*FY12ProjSCH!L19+GPpcntMjr*FY12ProjMajors!L19)</f>
        <v>4451.6432907001872</v>
      </c>
      <c r="M19" s="45">
        <f>FY12ProjRev!$E$14*(GPpcntSCH*FY12ProjSCH!M19+GPpcntMjr*FY12ProjMajors!M19)</f>
        <v>104815.91710441823</v>
      </c>
      <c r="N19" s="45">
        <f>FY12ProjRev!$E$15*(GPpcntSCH*FY12ProjSCH!N19+GPpcntMjr*FY12ProjMajors!N19)</f>
        <v>0</v>
      </c>
      <c r="O19" s="45">
        <f>FY12ProjRev!$E$16*(GPpcntSCH*FY12ProjSCH!O19+GPpcntMjr*FY12ProjMajors!O19)</f>
        <v>16774.078615499995</v>
      </c>
      <c r="P19" s="45">
        <f>FY12ProjRev!$E$17*(GPpcntSCH*FY12ProjSCH!P19+GPpcntMjr*FY12ProjMajors!P19)</f>
        <v>0</v>
      </c>
      <c r="Q19" s="45">
        <f>FY12ProjRev!$E$18*(GPpcntSCH*FY12ProjSCH!Q19+GPpcntMjr*FY12ProjMajors!Q19)</f>
        <v>0</v>
      </c>
      <c r="R19" s="45">
        <f>SUM(B19:Q19)</f>
        <v>2595162.5801439676</v>
      </c>
    </row>
    <row r="20" spans="1:19" s="6" customFormat="1" ht="15.95" customHeight="1">
      <c r="A20" s="48" t="s">
        <v>34</v>
      </c>
      <c r="B20" s="49">
        <f>SUM(B3:B19)</f>
        <v>207036135.94667506</v>
      </c>
      <c r="C20" s="49">
        <f t="shared" ref="C20:R20" si="1">SUM(C3:C19)</f>
        <v>16794701.849073507</v>
      </c>
      <c r="D20" s="49">
        <f t="shared" si="1"/>
        <v>4036300.0488616745</v>
      </c>
      <c r="E20" s="49">
        <f t="shared" si="1"/>
        <v>10461216.633606367</v>
      </c>
      <c r="F20" s="49">
        <f t="shared" si="1"/>
        <v>3529079.2219337905</v>
      </c>
      <c r="G20" s="49">
        <f t="shared" si="1"/>
        <v>3250140.406645196</v>
      </c>
      <c r="H20" s="49">
        <f t="shared" si="1"/>
        <v>581735.14210323093</v>
      </c>
      <c r="I20" s="49">
        <f t="shared" si="1"/>
        <v>3881494.7479330045</v>
      </c>
      <c r="J20" s="49">
        <f t="shared" si="1"/>
        <v>927486.91172315308</v>
      </c>
      <c r="K20" s="49">
        <f t="shared" si="1"/>
        <v>4257119.2338497629</v>
      </c>
      <c r="L20" s="49">
        <f t="shared" si="1"/>
        <v>9036835.880121382</v>
      </c>
      <c r="M20" s="49">
        <f t="shared" si="1"/>
        <v>10800071.127340335</v>
      </c>
      <c r="N20" s="49">
        <f t="shared" si="1"/>
        <v>3700527.005096423</v>
      </c>
      <c r="O20" s="49">
        <f t="shared" si="1"/>
        <v>1284741.9303235221</v>
      </c>
      <c r="P20" s="49">
        <f t="shared" si="1"/>
        <v>1942962.1976337691</v>
      </c>
      <c r="Q20" s="49">
        <f t="shared" si="1"/>
        <v>719188.96353127551</v>
      </c>
      <c r="R20" s="49">
        <f t="shared" si="1"/>
        <v>282239737.24645156</v>
      </c>
    </row>
    <row r="21" spans="1:19" ht="23.25" customHeight="1">
      <c r="A21" s="658" t="s">
        <v>112</v>
      </c>
      <c r="B21" s="658"/>
      <c r="C21" s="658"/>
      <c r="D21" s="658"/>
      <c r="E21" s="658"/>
      <c r="F21" s="658"/>
      <c r="G21" s="658"/>
      <c r="H21" s="658"/>
      <c r="I21" s="658"/>
      <c r="J21" s="658"/>
      <c r="K21" s="658"/>
      <c r="L21" s="658"/>
      <c r="M21" s="658"/>
      <c r="N21" s="658"/>
      <c r="O21" s="658"/>
      <c r="P21" s="658"/>
      <c r="Q21" s="658"/>
      <c r="R21" s="658"/>
      <c r="S21" s="77"/>
    </row>
    <row r="22" spans="1:19" ht="15.95" customHeight="1">
      <c r="A22" s="79" t="s">
        <v>0</v>
      </c>
      <c r="B22" s="80">
        <f>+UGpcntSCH*FY12ProjSCH!B3*FY12ProjRev!E$3</f>
        <v>2130604.5180368298</v>
      </c>
      <c r="C22" s="80">
        <f>FY12ProjRev!$E$4*GPpcntSCH*FY12ProjSCH!C3</f>
        <v>24230.50426750147</v>
      </c>
      <c r="D22" s="80">
        <f>FY12ProjRev!$E$5*GPpcntSCH*FY12ProjSCH!D3</f>
        <v>791.19436856617153</v>
      </c>
      <c r="E22" s="80">
        <f>FY12ProjRev!$E$6*GPpcntSCH*FY12ProjSCH!E3</f>
        <v>13863.858426708119</v>
      </c>
      <c r="F22" s="80">
        <f>FY12ProjRev!$E$7*GPpcntSCH*FY12ProjSCH!F3</f>
        <v>915.82053867929494</v>
      </c>
      <c r="G22" s="80">
        <f>FY12ProjRev!$E$8*GPpcntSCH*FY12ProjSCH!G3</f>
        <v>3280.0119439922682</v>
      </c>
      <c r="H22" s="80">
        <f>FY12ProjRev!$E$9*GPpcntSCH*FY12ProjSCH!H3</f>
        <v>0</v>
      </c>
      <c r="I22" s="80">
        <f>FY12ProjRev!$E$10*GPpcntSCH*FY12ProjSCH!I3</f>
        <v>722712.03370188118</v>
      </c>
      <c r="J22" s="80">
        <f>FY12ProjRev!$E$11*GPpcntSCH*FY12ProjSCH!J3</f>
        <v>146.29131099734275</v>
      </c>
      <c r="K22" s="80">
        <f>FY12ProjRev!$E$12*GPpcntSCH*FY12ProjSCH!K3</f>
        <v>0</v>
      </c>
      <c r="L22" s="80">
        <f>FY12ProjRev!$E$13*GPpcntSCH*FY12ProjSCH!L3</f>
        <v>312.18018413062896</v>
      </c>
      <c r="M22" s="80">
        <f>FY12ProjRev!$E$14*GPpcntSCH*FY12ProjSCH!M3</f>
        <v>0</v>
      </c>
      <c r="N22" s="80">
        <f>FY12ProjRev!$E$15*GPpcntSCH*FY12ProjSCH!N3</f>
        <v>0</v>
      </c>
      <c r="O22" s="80">
        <f>FY12ProjRev!$E$16*GPpcntSCH*FY12ProjSCH!O3</f>
        <v>315.70988919023739</v>
      </c>
      <c r="P22" s="80">
        <f>FY12ProjRev!$E$17*GPpcntSCH*FY12ProjSCH!P3</f>
        <v>311.41373542948088</v>
      </c>
      <c r="Q22" s="80">
        <f>FY12ProjRev!$E$18*GPpcntSCH*FY12ProjSCH!Q3</f>
        <v>0</v>
      </c>
      <c r="R22" s="80">
        <f>SUM(B22:Q22)</f>
        <v>2897483.5364039061</v>
      </c>
    </row>
    <row r="23" spans="1:19" ht="15.95" customHeight="1">
      <c r="A23" s="82" t="s">
        <v>1</v>
      </c>
      <c r="B23" s="83">
        <f>+UGpcntSCH*FY12ProjSCH!B4*FY12ProjRev!E$3</f>
        <v>87669300.974947065</v>
      </c>
      <c r="C23" s="83">
        <f>FY12ProjRev!$E$4*GPpcntSCH*FY12ProjSCH!C4</f>
        <v>1870929.6929969145</v>
      </c>
      <c r="D23" s="83">
        <f>FY12ProjRev!$E$5*GPpcntSCH*FY12ProjSCH!D4</f>
        <v>34109.268333741624</v>
      </c>
      <c r="E23" s="83">
        <f>FY12ProjRev!$E$6*GPpcntSCH*FY12ProjSCH!E4</f>
        <v>120073.48665069351</v>
      </c>
      <c r="F23" s="83">
        <f>FY12ProjRev!$E$7*GPpcntSCH*FY12ProjSCH!F4</f>
        <v>3029.2525510161295</v>
      </c>
      <c r="G23" s="83">
        <f>FY12ProjRev!$E$8*GPpcntSCH*FY12ProjSCH!G4</f>
        <v>44807.306020608667</v>
      </c>
      <c r="H23" s="83">
        <f>FY12ProjRev!$E$9*GPpcntSCH*FY12ProjSCH!H4</f>
        <v>1948.2757013332764</v>
      </c>
      <c r="I23" s="83">
        <f>FY12ProjRev!$E$10*GPpcntSCH*FY12ProjSCH!I4</f>
        <v>9687.647245910106</v>
      </c>
      <c r="J23" s="83">
        <f>FY12ProjRev!$E$11*GPpcntSCH*FY12ProjSCH!J4</f>
        <v>3584.1371194348976</v>
      </c>
      <c r="K23" s="83">
        <f>FY12ProjRev!$E$12*GPpcntSCH*FY12ProjSCH!K4</f>
        <v>2460.7625629189383</v>
      </c>
      <c r="L23" s="83">
        <f>FY12ProjRev!$E$13*GPpcntSCH*FY12ProjSCH!L4</f>
        <v>14906.603792237529</v>
      </c>
      <c r="M23" s="83">
        <f>FY12ProjRev!$E$14*GPpcntSCH*FY12ProjSCH!M4</f>
        <v>0</v>
      </c>
      <c r="N23" s="83">
        <f>FY12ProjRev!$E$15*GPpcntSCH*FY12ProjSCH!N4</f>
        <v>0</v>
      </c>
      <c r="O23" s="83">
        <f>FY12ProjRev!$E$16*GPpcntSCH*FY12ProjSCH!O4</f>
        <v>3433.345044943831</v>
      </c>
      <c r="P23" s="83">
        <f>FY12ProjRev!$E$17*GPpcntSCH*FY12ProjSCH!P4</f>
        <v>4982.6197668716941</v>
      </c>
      <c r="Q23" s="83">
        <f>FY12ProjRev!$E$18*GPpcntSCH*FY12ProjSCH!Q4</f>
        <v>5474.1417171671892</v>
      </c>
      <c r="R23" s="83">
        <f>SUM(B23:Q23)</f>
        <v>89788727.514450863</v>
      </c>
    </row>
    <row r="24" spans="1:19" ht="15.95" customHeight="1">
      <c r="A24" s="82" t="s">
        <v>6</v>
      </c>
      <c r="B24" s="83">
        <f>+UGpcntSCH*FY12ProjSCH!B5*FY12ProjRev!E$3</f>
        <v>8159766.6181980949</v>
      </c>
      <c r="C24" s="83">
        <f>FY12ProjRev!$E$4*GPpcntSCH*FY12ProjSCH!C5</f>
        <v>56458.137684693669</v>
      </c>
      <c r="D24" s="83">
        <f>FY12ProjRev!$E$5*GPpcntSCH*FY12ProjSCH!D5</f>
        <v>0</v>
      </c>
      <c r="E24" s="83">
        <f>FY12ProjRev!$E$6*GPpcntSCH*FY12ProjSCH!E5</f>
        <v>19428.590528777815</v>
      </c>
      <c r="F24" s="83">
        <f>FY12ProjRev!$E$7*GPpcntSCH*FY12ProjSCH!F5</f>
        <v>688203.91095061786</v>
      </c>
      <c r="G24" s="83">
        <f>FY12ProjRev!$E$8*GPpcntSCH*FY12ProjSCH!G5</f>
        <v>2635.7238835652156</v>
      </c>
      <c r="H24" s="83">
        <f>FY12ProjRev!$E$9*GPpcntSCH*FY12ProjSCH!H5</f>
        <v>0</v>
      </c>
      <c r="I24" s="83">
        <f>FY12ProjRev!$E$10*GPpcntSCH*FY12ProjSCH!I5</f>
        <v>8874.6978266728947</v>
      </c>
      <c r="J24" s="83">
        <f>FY12ProjRev!$E$11*GPpcntSCH*FY12ProjSCH!J5</f>
        <v>292.5826219946855</v>
      </c>
      <c r="K24" s="83">
        <f>FY12ProjRev!$E$12*GPpcntSCH*FY12ProjSCH!K5</f>
        <v>0</v>
      </c>
      <c r="L24" s="83">
        <f>FY12ProjRev!$E$13*GPpcntSCH*FY12ProjSCH!L5</f>
        <v>1873.0811047837733</v>
      </c>
      <c r="M24" s="83">
        <f>FY12ProjRev!$E$14*GPpcntSCH*FY12ProjSCH!M5</f>
        <v>0</v>
      </c>
      <c r="N24" s="83">
        <f>FY12ProjRev!$E$15*GPpcntSCH*FY12ProjSCH!N5</f>
        <v>0</v>
      </c>
      <c r="O24" s="83">
        <f>FY12ProjRev!$E$16*GPpcntSCH*FY12ProjSCH!O5</f>
        <v>78.927472297559348</v>
      </c>
      <c r="P24" s="83">
        <f>FY12ProjRev!$E$17*GPpcntSCH*FY12ProjSCH!P5</f>
        <v>0</v>
      </c>
      <c r="Q24" s="83">
        <f>FY12ProjRev!$E$18*GPpcntSCH*FY12ProjSCH!Q5</f>
        <v>1132.5810449311425</v>
      </c>
      <c r="R24" s="83">
        <f t="shared" ref="R24:R34" si="2">SUM(B24:Q24)</f>
        <v>8938744.8513164278</v>
      </c>
    </row>
    <row r="25" spans="1:19" ht="15.95" customHeight="1">
      <c r="A25" s="85" t="s">
        <v>2</v>
      </c>
      <c r="B25" s="83">
        <f>+UGpcntSCH*FY12ProjSCH!B6*FY12ProjRev!E$3</f>
        <v>1073361.1802172866</v>
      </c>
      <c r="C25" s="83">
        <f>FY12ProjRev!$E$4*GPpcntSCH*FY12ProjSCH!C6</f>
        <v>159517.48642771802</v>
      </c>
      <c r="D25" s="83">
        <f>FY12ProjRev!$E$5*GPpcntSCH*FY12ProjSCH!D6</f>
        <v>507990.73986218031</v>
      </c>
      <c r="E25" s="83">
        <f>FY12ProjRev!$E$6*GPpcntSCH*FY12ProjSCH!E6</f>
        <v>9306.5347224269044</v>
      </c>
      <c r="F25" s="83">
        <f>FY12ProjRev!$E$7*GPpcntSCH*FY12ProjSCH!F6</f>
        <v>0</v>
      </c>
      <c r="G25" s="83">
        <f>FY12ProjRev!$E$8*GPpcntSCH*FY12ProjSCH!G6</f>
        <v>8141.4582181236665</v>
      </c>
      <c r="H25" s="83">
        <f>FY12ProjRev!$E$9*GPpcntSCH*FY12ProjSCH!H6</f>
        <v>449.60208492306379</v>
      </c>
      <c r="I25" s="83">
        <f>FY12ProjRev!$E$10*GPpcntSCH*FY12ProjSCH!I6</f>
        <v>0</v>
      </c>
      <c r="J25" s="83">
        <f>FY12ProjRev!$E$11*GPpcntSCH*FY12ProjSCH!J6</f>
        <v>365.72827749335687</v>
      </c>
      <c r="K25" s="83">
        <f>FY12ProjRev!$E$12*GPpcntSCH*FY12ProjSCH!K6</f>
        <v>0</v>
      </c>
      <c r="L25" s="83">
        <f>FY12ProjRev!$E$13*GPpcntSCH*FY12ProjSCH!L6</f>
        <v>0</v>
      </c>
      <c r="M25" s="83">
        <f>FY12ProjRev!$E$14*GPpcntSCH*FY12ProjSCH!M6</f>
        <v>0</v>
      </c>
      <c r="N25" s="83">
        <f>FY12ProjRev!$E$15*GPpcntSCH*FY12ProjSCH!N6</f>
        <v>0</v>
      </c>
      <c r="O25" s="83">
        <f>FY12ProjRev!$E$16*GPpcntSCH*FY12ProjSCH!O6</f>
        <v>118.39120844633901</v>
      </c>
      <c r="P25" s="83">
        <f>FY12ProjRev!$E$17*GPpcntSCH*FY12ProjSCH!P6</f>
        <v>934.24120628844241</v>
      </c>
      <c r="Q25" s="83">
        <f>FY12ProjRev!$E$18*GPpcntSCH*FY12ProjSCH!Q6</f>
        <v>0</v>
      </c>
      <c r="R25" s="83">
        <f t="shared" si="2"/>
        <v>1760185.3622248867</v>
      </c>
    </row>
    <row r="26" spans="1:19" ht="15.95" customHeight="1">
      <c r="A26" s="82" t="s">
        <v>3</v>
      </c>
      <c r="B26" s="83">
        <f>+UGpcntSCH*FY12ProjSCH!B7*FY12ProjRev!E$3</f>
        <v>9876861.3552603852</v>
      </c>
      <c r="C26" s="83">
        <f>FY12ProjRev!$E$4*GPpcntSCH*FY12ProjSCH!C7</f>
        <v>104839.44061355351</v>
      </c>
      <c r="D26" s="83">
        <f>FY12ProjRev!$E$5*GPpcntSCH*FY12ProjSCH!D7</f>
        <v>439.55242698120639</v>
      </c>
      <c r="E26" s="83">
        <f>FY12ProjRev!$E$6*GPpcntSCH*FY12ProjSCH!E7</f>
        <v>1369883.5336784674</v>
      </c>
      <c r="F26" s="83">
        <f>FY12ProjRev!$E$7*GPpcntSCH*FY12ProjSCH!F7</f>
        <v>634.02960370105029</v>
      </c>
      <c r="G26" s="83">
        <f>FY12ProjRev!$E$8*GPpcntSCH*FY12ProjSCH!G7</f>
        <v>1874.2925394241533</v>
      </c>
      <c r="H26" s="83">
        <f>FY12ProjRev!$E$9*GPpcntSCH*FY12ProjSCH!H7</f>
        <v>249.77893606836875</v>
      </c>
      <c r="I26" s="83">
        <f>FY12ProjRev!$E$10*GPpcntSCH*FY12ProjSCH!I7</f>
        <v>6774.5784936434302</v>
      </c>
      <c r="J26" s="83">
        <f>FY12ProjRev!$E$11*GPpcntSCH*FY12ProjSCH!J7</f>
        <v>0</v>
      </c>
      <c r="K26" s="83">
        <f>FY12ProjRev!$E$12*GPpcntSCH*FY12ProjSCH!K7</f>
        <v>0</v>
      </c>
      <c r="L26" s="83">
        <f>FY12ProjRev!$E$13*GPpcntSCH*FY12ProjSCH!L7</f>
        <v>1014.5855984245438</v>
      </c>
      <c r="M26" s="83">
        <f>FY12ProjRev!$E$14*GPpcntSCH*FY12ProjSCH!M7</f>
        <v>0</v>
      </c>
      <c r="N26" s="83">
        <f>FY12ProjRev!$E$15*GPpcntSCH*FY12ProjSCH!N7</f>
        <v>0</v>
      </c>
      <c r="O26" s="83">
        <f>FY12ProjRev!$E$16*GPpcntSCH*FY12ProjSCH!O7</f>
        <v>394.63736148779668</v>
      </c>
      <c r="P26" s="83">
        <f>FY12ProjRev!$E$17*GPpcntSCH*FY12ProjSCH!P7</f>
        <v>0</v>
      </c>
      <c r="Q26" s="83">
        <f>FY12ProjRev!$E$18*GPpcntSCH*FY12ProjSCH!Q7</f>
        <v>0</v>
      </c>
      <c r="R26" s="83">
        <f t="shared" si="2"/>
        <v>11362965.784512134</v>
      </c>
    </row>
    <row r="27" spans="1:19" ht="15.95" customHeight="1">
      <c r="A27" s="82" t="s">
        <v>4</v>
      </c>
      <c r="B27" s="83">
        <f>+UGpcntSCH*FY12ProjSCH!B8*FY12ProjRev!E$3</f>
        <v>6706111.4808664843</v>
      </c>
      <c r="C27" s="83">
        <f>FY12ProjRev!$E$4*GPpcntSCH*FY12ProjSCH!C8</f>
        <v>416222.67527925223</v>
      </c>
      <c r="D27" s="83">
        <f>FY12ProjRev!$E$5*GPpcntSCH*FY12ProjSCH!D8</f>
        <v>89009.366463694299</v>
      </c>
      <c r="E27" s="83">
        <f>FY12ProjRev!$E$6*GPpcntSCH*FY12ProjSCH!E8</f>
        <v>27200.02674028894</v>
      </c>
      <c r="F27" s="83">
        <f>FY12ProjRev!$E$7*GPpcntSCH*FY12ProjSCH!F8</f>
        <v>211.34320123368346</v>
      </c>
      <c r="G27" s="83">
        <f>FY12ProjRev!$E$8*GPpcntSCH*FY12ProjSCH!G8</f>
        <v>31101.541826069544</v>
      </c>
      <c r="H27" s="83">
        <f>FY12ProjRev!$E$9*GPpcntSCH*FY12ProjSCH!H8</f>
        <v>0</v>
      </c>
      <c r="I27" s="83">
        <f>FY12ProjRev!$E$10*GPpcntSCH*FY12ProjSCH!I8</f>
        <v>7655.273697817076</v>
      </c>
      <c r="J27" s="83">
        <f>FY12ProjRev!$E$11*GPpcntSCH*FY12ProjSCH!J8</f>
        <v>365.72827749335687</v>
      </c>
      <c r="K27" s="83">
        <f>FY12ProjRev!$E$12*GPpcntSCH*FY12ProjSCH!K8</f>
        <v>104.71330054974207</v>
      </c>
      <c r="L27" s="83">
        <f>FY12ProjRev!$E$13*GPpcntSCH*FY12ProjSCH!L8</f>
        <v>858.49550635922958</v>
      </c>
      <c r="M27" s="83">
        <f>FY12ProjRev!$E$14*GPpcntSCH*FY12ProjSCH!M8</f>
        <v>0</v>
      </c>
      <c r="N27" s="83">
        <f>FY12ProjRev!$E$15*GPpcntSCH*FY12ProjSCH!N8</f>
        <v>0</v>
      </c>
      <c r="O27" s="83">
        <f>FY12ProjRev!$E$16*GPpcntSCH*FY12ProjSCH!O8</f>
        <v>315.70988919023739</v>
      </c>
      <c r="P27" s="83">
        <f>FY12ProjRev!$E$17*GPpcntSCH*FY12ProjSCH!P8</f>
        <v>0</v>
      </c>
      <c r="Q27" s="83">
        <f>FY12ProjRev!$E$18*GPpcntSCH*FY12ProjSCH!Q8</f>
        <v>0</v>
      </c>
      <c r="R27" s="83">
        <f t="shared" si="2"/>
        <v>7279156.3550484329</v>
      </c>
    </row>
    <row r="28" spans="1:19" ht="15.95" customHeight="1">
      <c r="A28" s="82" t="s">
        <v>14</v>
      </c>
      <c r="B28" s="83">
        <f>+UGpcntSCH*FY12ProjSCH!B9*FY12ProjRev!E$3</f>
        <v>705046.70056074602</v>
      </c>
      <c r="C28" s="83">
        <f>FY12ProjRev!$E$4*GPpcntSCH*FY12ProjSCH!C9</f>
        <v>29012.840636087283</v>
      </c>
      <c r="D28" s="83">
        <f>FY12ProjRev!$E$5*GPpcntSCH*FY12ProjSCH!D9</f>
        <v>131.86572809436194</v>
      </c>
      <c r="E28" s="83">
        <f>FY12ProjRev!$E$6*GPpcntSCH*FY12ProjSCH!E9</f>
        <v>2302.6477663736669</v>
      </c>
      <c r="F28" s="83">
        <f>FY12ProjRev!$E$7*GPpcntSCH*FY12ProjSCH!F9</f>
        <v>352.23866872280576</v>
      </c>
      <c r="G28" s="83">
        <f>FY12ProjRev!$E$8*GPpcntSCH*FY12ProjSCH!G9</f>
        <v>1288.5761208541053</v>
      </c>
      <c r="H28" s="83">
        <f>FY12ProjRev!$E$9*GPpcntSCH*FY12ProjSCH!H9</f>
        <v>108703.79297695408</v>
      </c>
      <c r="I28" s="83">
        <f>FY12ProjRev!$E$10*GPpcntSCH*FY12ProjSCH!I9</f>
        <v>0</v>
      </c>
      <c r="J28" s="83">
        <f>FY12ProjRev!$E$11*GPpcntSCH*FY12ProjSCH!J9</f>
        <v>0</v>
      </c>
      <c r="K28" s="83">
        <f>FY12ProjRev!$E$12*GPpcntSCH*FY12ProjSCH!K9</f>
        <v>52.356650274871036</v>
      </c>
      <c r="L28" s="83">
        <f>FY12ProjRev!$E$13*GPpcntSCH*FY12ProjSCH!L9</f>
        <v>11238.48662870264</v>
      </c>
      <c r="M28" s="83">
        <f>FY12ProjRev!$E$14*GPpcntSCH*FY12ProjSCH!M9</f>
        <v>0</v>
      </c>
      <c r="N28" s="83">
        <f>FY12ProjRev!$E$15*GPpcntSCH*FY12ProjSCH!N9</f>
        <v>0</v>
      </c>
      <c r="O28" s="83">
        <f>FY12ProjRev!$E$16*GPpcntSCH*FY12ProjSCH!O9</f>
        <v>0</v>
      </c>
      <c r="P28" s="83">
        <f>FY12ProjRev!$E$17*GPpcntSCH*FY12ProjSCH!P9</f>
        <v>0</v>
      </c>
      <c r="Q28" s="83">
        <f>FY12ProjRev!$E$18*GPpcntSCH*FY12ProjSCH!Q9</f>
        <v>0</v>
      </c>
      <c r="R28" s="83">
        <f t="shared" si="2"/>
        <v>858129.50573680981</v>
      </c>
    </row>
    <row r="29" spans="1:19" ht="15.95" customHeight="1">
      <c r="A29" s="82" t="s">
        <v>9</v>
      </c>
      <c r="B29" s="83">
        <f>+UGpcntSCH*FY12ProjSCH!B10*FY12ProjRev!E$3</f>
        <v>9256.8689446498938</v>
      </c>
      <c r="C29" s="83">
        <f>FY12ProjRev!$E$4*GPpcntSCH*FY12ProjSCH!C10</f>
        <v>11876.135315321444</v>
      </c>
      <c r="D29" s="83">
        <f>FY12ProjRev!$E$5*GPpcntSCH*FY12ProjSCH!D10</f>
        <v>703.28388316993039</v>
      </c>
      <c r="E29" s="83">
        <f>FY12ProjRev!$E$6*GPpcntSCH*FY12ProjSCH!E10</f>
        <v>11369.323346469981</v>
      </c>
      <c r="F29" s="83">
        <f>FY12ProjRev!$E$7*GPpcntSCH*FY12ProjSCH!F10</f>
        <v>1620.2978761249065</v>
      </c>
      <c r="G29" s="83">
        <f>FY12ProjRev!$E$8*GPpcntSCH*FY12ProjSCH!G10</f>
        <v>4275.7298555613497</v>
      </c>
      <c r="H29" s="83">
        <f>FY12ProjRev!$E$9*GPpcntSCH*FY12ProjSCH!H10</f>
        <v>0</v>
      </c>
      <c r="I29" s="83">
        <f>FY12ProjRev!$E$10*GPpcntSCH*FY12ProjSCH!I10</f>
        <v>203.2373548093029</v>
      </c>
      <c r="J29" s="83">
        <f>FY12ProjRev!$E$11*GPpcntSCH*FY12ProjSCH!J10</f>
        <v>0</v>
      </c>
      <c r="K29" s="83">
        <f>FY12ProjRev!$E$12*GPpcntSCH*FY12ProjSCH!K10</f>
        <v>0</v>
      </c>
      <c r="L29" s="83">
        <f>FY12ProjRev!$E$13*GPpcntSCH*FY12ProjSCH!L10</f>
        <v>1772246.9053095803</v>
      </c>
      <c r="M29" s="83">
        <f>FY12ProjRev!$E$14*GPpcntSCH*FY12ProjSCH!M10</f>
        <v>0</v>
      </c>
      <c r="N29" s="83">
        <f>FY12ProjRev!$E$15*GPpcntSCH*FY12ProjSCH!N10</f>
        <v>0</v>
      </c>
      <c r="O29" s="83">
        <f>FY12ProjRev!$E$16*GPpcntSCH*FY12ProjSCH!O10</f>
        <v>118.39120844633901</v>
      </c>
      <c r="P29" s="83">
        <f>FY12ProjRev!$E$17*GPpcntSCH*FY12ProjSCH!P10</f>
        <v>0</v>
      </c>
      <c r="Q29" s="83">
        <f>FY12ProjRev!$E$18*GPpcntSCH*FY12ProjSCH!Q10</f>
        <v>136192.8706529699</v>
      </c>
      <c r="R29" s="83">
        <f t="shared" si="2"/>
        <v>1947863.0437471033</v>
      </c>
    </row>
    <row r="30" spans="1:19" ht="15.95" customHeight="1">
      <c r="A30" s="82" t="s">
        <v>5</v>
      </c>
      <c r="B30" s="83">
        <f>+UGpcntSCH*FY12ProjSCH!B11*FY12ProjRev!E$3</f>
        <v>14593.181630389245</v>
      </c>
      <c r="C30" s="83">
        <f>FY12ProjRev!$E$4*GPpcntSCH*FY12ProjSCH!C11</f>
        <v>18146.309665245069</v>
      </c>
      <c r="D30" s="83">
        <f>FY12ProjRev!$E$5*GPpcntSCH*FY12ProjSCH!D11</f>
        <v>12878.886110549351</v>
      </c>
      <c r="E30" s="83">
        <f>FY12ProjRev!$E$6*GPpcntSCH*FY12ProjSCH!E11</f>
        <v>6092.4222151969943</v>
      </c>
      <c r="F30" s="83">
        <f>FY12ProjRev!$E$7*GPpcntSCH*FY12ProjSCH!F11</f>
        <v>4367.7594921627915</v>
      </c>
      <c r="G30" s="83">
        <f>FY12ProjRev!$E$8*GPpcntSCH*FY12ProjSCH!G11</f>
        <v>522869.04685748176</v>
      </c>
      <c r="H30" s="83">
        <f>FY12ProjRev!$E$9*GPpcntSCH*FY12ProjSCH!H11</f>
        <v>4146.3303387349215</v>
      </c>
      <c r="I30" s="83">
        <f>FY12ProjRev!$E$10*GPpcntSCH*FY12ProjSCH!I11</f>
        <v>16326.734169680667</v>
      </c>
      <c r="J30" s="83">
        <f>FY12ProjRev!$E$11*GPpcntSCH*FY12ProjSCH!J11</f>
        <v>804.60221048538506</v>
      </c>
      <c r="K30" s="83">
        <f>FY12ProjRev!$E$12*GPpcntSCH*FY12ProjSCH!K11</f>
        <v>0</v>
      </c>
      <c r="L30" s="83">
        <f>FY12ProjRev!$E$13*GPpcntSCH*FY12ProjSCH!L11</f>
        <v>2263.3063349470594</v>
      </c>
      <c r="M30" s="83">
        <f>FY12ProjRev!$E$14*GPpcntSCH*FY12ProjSCH!M11</f>
        <v>0</v>
      </c>
      <c r="N30" s="83">
        <f>FY12ProjRev!$E$15*GPpcntSCH*FY12ProjSCH!N11</f>
        <v>0</v>
      </c>
      <c r="O30" s="83">
        <f>FY12ProjRev!$E$16*GPpcntSCH*FY12ProjSCH!O11</f>
        <v>3472.8087810926108</v>
      </c>
      <c r="P30" s="83">
        <f>FY12ProjRev!$E$17*GPpcntSCH*FY12ProjSCH!P11</f>
        <v>2958.4304865800682</v>
      </c>
      <c r="Q30" s="83">
        <f>FY12ProjRev!$E$18*GPpcntSCH*FY12ProjSCH!Q11</f>
        <v>849.43578369835689</v>
      </c>
      <c r="R30" s="83">
        <f t="shared" si="2"/>
        <v>609769.25407624419</v>
      </c>
    </row>
    <row r="31" spans="1:19" ht="15.95" customHeight="1">
      <c r="A31" s="82" t="s">
        <v>13</v>
      </c>
      <c r="B31" s="83">
        <f>+UGpcntSCH*FY12ProjSCH!B12*FY12ProjRev!E$3</f>
        <v>390313.15644264966</v>
      </c>
      <c r="C31" s="83">
        <f>FY12ProjRev!$E$4*GPpcntSCH*FY12ProjSCH!C12</f>
        <v>3400.7725287721364</v>
      </c>
      <c r="D31" s="83">
        <f>FY12ProjRev!$E$5*GPpcntSCH*FY12ProjSCH!D12</f>
        <v>38592.703088949929</v>
      </c>
      <c r="E31" s="83">
        <f>FY12ProjRev!$E$6*GPpcntSCH*FY12ProjSCH!E12</f>
        <v>623.63377005953475</v>
      </c>
      <c r="F31" s="83">
        <f>FY12ProjRev!$E$7*GPpcntSCH*FY12ProjSCH!F12</f>
        <v>0</v>
      </c>
      <c r="G31" s="83">
        <f>FY12ProjRev!$E$8*GPpcntSCH*FY12ProjSCH!G12</f>
        <v>7790.0283669816381</v>
      </c>
      <c r="H31" s="83">
        <f>FY12ProjRev!$E$9*GPpcntSCH*FY12ProjSCH!H12</f>
        <v>149.86736164102126</v>
      </c>
      <c r="I31" s="83">
        <f>FY12ProjRev!$E$10*GPpcntSCH*FY12ProjSCH!I12</f>
        <v>67.745784936434305</v>
      </c>
      <c r="J31" s="83">
        <f>FY12ProjRev!$E$11*GPpcntSCH*FY12ProjSCH!J12</f>
        <v>2194.3696649601411</v>
      </c>
      <c r="K31" s="83">
        <f>FY12ProjRev!$E$12*GPpcntSCH*FY12ProjSCH!K12</f>
        <v>0</v>
      </c>
      <c r="L31" s="83">
        <f>FY12ProjRev!$E$13*GPpcntSCH*FY12ProjSCH!L12</f>
        <v>78.04504603265724</v>
      </c>
      <c r="M31" s="83">
        <f>FY12ProjRev!$E$14*GPpcntSCH*FY12ProjSCH!M12</f>
        <v>0</v>
      </c>
      <c r="N31" s="83">
        <f>FY12ProjRev!$E$15*GPpcntSCH*FY12ProjSCH!N12</f>
        <v>0</v>
      </c>
      <c r="O31" s="83">
        <f>FY12ProjRev!$E$16*GPpcntSCH*FY12ProjSCH!O12</f>
        <v>2486.2153773731188</v>
      </c>
      <c r="P31" s="83">
        <f>FY12ProjRev!$E$17*GPpcntSCH*FY12ProjSCH!P12</f>
        <v>372398.92528442084</v>
      </c>
      <c r="Q31" s="83">
        <f>FY12ProjRev!$E$18*GPpcntSCH*FY12ProjSCH!Q12</f>
        <v>0</v>
      </c>
      <c r="R31" s="83">
        <f t="shared" si="2"/>
        <v>818095.46271677711</v>
      </c>
    </row>
    <row r="32" spans="1:19" ht="15.95" customHeight="1">
      <c r="A32" s="82" t="s">
        <v>8</v>
      </c>
      <c r="B32" s="83">
        <f>+UGpcntSCH*FY12ProjSCH!B13*FY12ProjRev!E$3</f>
        <v>10781.529712003994</v>
      </c>
      <c r="C32" s="83">
        <f>FY12ProjRev!$E$4*GPpcntSCH*FY12ProjSCH!C13</f>
        <v>59885.478748846836</v>
      </c>
      <c r="D32" s="83">
        <f>FY12ProjRev!$E$5*GPpcntSCH*FY12ProjSCH!D13</f>
        <v>0</v>
      </c>
      <c r="E32" s="83">
        <f>FY12ProjRev!$E$6*GPpcntSCH*FY12ProjSCH!E13</f>
        <v>0</v>
      </c>
      <c r="F32" s="83">
        <f>FY12ProjRev!$E$7*GPpcntSCH*FY12ProjSCH!F13</f>
        <v>0</v>
      </c>
      <c r="G32" s="83">
        <f>FY12ProjRev!$E$8*GPpcntSCH*FY12ProjSCH!G13</f>
        <v>0</v>
      </c>
      <c r="H32" s="83">
        <f>FY12ProjRev!$E$9*GPpcntSCH*FY12ProjSCH!H13</f>
        <v>0</v>
      </c>
      <c r="I32" s="83">
        <f>FY12ProjRev!$E$10*GPpcntSCH*FY12ProjSCH!I13</f>
        <v>0</v>
      </c>
      <c r="J32" s="83">
        <f>FY12ProjRev!$E$11*GPpcntSCH*FY12ProjSCH!J13</f>
        <v>0</v>
      </c>
      <c r="K32" s="83">
        <f>FY12ProjRev!$E$12*GPpcntSCH*FY12ProjSCH!K13</f>
        <v>0</v>
      </c>
      <c r="L32" s="83">
        <f>FY12ProjRev!$E$13*GPpcntSCH*FY12ProjSCH!L13</f>
        <v>0</v>
      </c>
      <c r="M32" s="83">
        <f>FY12ProjRev!$E$14*GPpcntSCH*FY12ProjSCH!M13</f>
        <v>0</v>
      </c>
      <c r="N32" s="83">
        <f>FY12ProjRev!$E$15*GPpcntSCH*FY12ProjSCH!N13</f>
        <v>641465.60372891289</v>
      </c>
      <c r="O32" s="83">
        <f>FY12ProjRev!$E$16*GPpcntSCH*FY12ProjSCH!O13</f>
        <v>513.0285699341357</v>
      </c>
      <c r="P32" s="83">
        <f>FY12ProjRev!$E$17*GPpcntSCH*FY12ProjSCH!P13</f>
        <v>0</v>
      </c>
      <c r="Q32" s="83">
        <f>FY12ProjRev!$E$18*GPpcntSCH*FY12ProjSCH!Q13</f>
        <v>0</v>
      </c>
      <c r="R32" s="83">
        <f t="shared" si="2"/>
        <v>712645.64075969788</v>
      </c>
    </row>
    <row r="33" spans="1:19" ht="15.95" customHeight="1">
      <c r="A33" s="82" t="s">
        <v>10</v>
      </c>
      <c r="B33" s="83">
        <f>+UGpcntSCH*FY12ProjSCH!B14*FY12ProjRev!E$3</f>
        <v>3423299.040072056</v>
      </c>
      <c r="C33" s="83">
        <f>FY12ProjRev!$E$4*GPpcntSCH*FY12ProjSCH!C14</f>
        <v>339838.13605878432</v>
      </c>
      <c r="D33" s="83">
        <f>FY12ProjRev!$E$5*GPpcntSCH*FY12ProjSCH!D14</f>
        <v>116503.37077136876</v>
      </c>
      <c r="E33" s="83">
        <f>FY12ProjRev!$E$6*GPpcntSCH*FY12ProjSCH!E14</f>
        <v>33700.209497447933</v>
      </c>
      <c r="F33" s="83">
        <f>FY12ProjRev!$E$7*GPpcntSCH*FY12ProjSCH!F14</f>
        <v>0</v>
      </c>
      <c r="G33" s="83">
        <f>FY12ProjRev!$E$8*GPpcntSCH*FY12ProjSCH!G14</f>
        <v>4568.5880648463735</v>
      </c>
      <c r="H33" s="83">
        <f>FY12ProjRev!$E$9*GPpcntSCH*FY12ProjSCH!H14</f>
        <v>399.64629770939001</v>
      </c>
      <c r="I33" s="83">
        <f>FY12ProjRev!$E$10*GPpcntSCH*FY12ProjSCH!I14</f>
        <v>67.745784936434305</v>
      </c>
      <c r="J33" s="83">
        <f>FY12ProjRev!$E$11*GPpcntSCH*FY12ProjSCH!J14</f>
        <v>10825.557013803364</v>
      </c>
      <c r="K33" s="83">
        <f>FY12ProjRev!$E$12*GPpcntSCH*FY12ProjSCH!K14</f>
        <v>113404.50449537065</v>
      </c>
      <c r="L33" s="83">
        <f>FY12ProjRev!$E$13*GPpcntSCH*FY12ProjSCH!L14</f>
        <v>702.40541429391499</v>
      </c>
      <c r="M33" s="83">
        <f>FY12ProjRev!$E$14*GPpcntSCH*FY12ProjSCH!M14</f>
        <v>2153790.2059300481</v>
      </c>
      <c r="N33" s="83">
        <f>FY12ProjRev!$E$15*GPpcntSCH*FY12ProjSCH!N14</f>
        <v>97884.298603609597</v>
      </c>
      <c r="O33" s="83">
        <f>FY12ProjRev!$E$16*GPpcntSCH*FY12ProjSCH!O14</f>
        <v>36148.782312282172</v>
      </c>
      <c r="P33" s="83">
        <f>FY12ProjRev!$E$17*GPpcntSCH*FY12ProjSCH!P14</f>
        <v>3477.4533789625361</v>
      </c>
      <c r="Q33" s="83">
        <f>FY12ProjRev!$E$18*GPpcntSCH*FY12ProjSCH!Q14</f>
        <v>0</v>
      </c>
      <c r="R33" s="83">
        <f t="shared" si="2"/>
        <v>6334609.9436955201</v>
      </c>
    </row>
    <row r="34" spans="1:19" ht="15.95" customHeight="1">
      <c r="A34" s="82" t="s">
        <v>11</v>
      </c>
      <c r="B34" s="83">
        <f>+UGpcntSCH*FY12ProjSCH!B15*FY12ProjRev!E$3</f>
        <v>1052887.1641985315</v>
      </c>
      <c r="C34" s="83">
        <f>FY12ProjRev!$E$4*GPpcntSCH*FY12ProjSCH!C15</f>
        <v>1487.8379813378097</v>
      </c>
      <c r="D34" s="83">
        <f>FY12ProjRev!$E$5*GPpcntSCH*FY12ProjSCH!D15</f>
        <v>659.32864047180976</v>
      </c>
      <c r="E34" s="83">
        <f>FY12ProjRev!$E$6*GPpcntSCH*FY12ProjSCH!E15</f>
        <v>63754.560031470901</v>
      </c>
      <c r="F34" s="83">
        <f>FY12ProjRev!$E$7*GPpcntSCH*FY12ProjSCH!F15</f>
        <v>0</v>
      </c>
      <c r="G34" s="83">
        <f>FY12ProjRev!$E$8*GPpcntSCH*FY12ProjSCH!G15</f>
        <v>117.14328371400958</v>
      </c>
      <c r="H34" s="83">
        <f>FY12ProjRev!$E$9*GPpcntSCH*FY12ProjSCH!H15</f>
        <v>0</v>
      </c>
      <c r="I34" s="83">
        <f>FY12ProjRev!$E$10*GPpcntSCH*FY12ProjSCH!I15</f>
        <v>0</v>
      </c>
      <c r="J34" s="83">
        <f>FY12ProjRev!$E$11*GPpcntSCH*FY12ProjSCH!J15</f>
        <v>146949.62189683079</v>
      </c>
      <c r="K34" s="83">
        <f>FY12ProjRev!$E$12*GPpcntSCH*FY12ProjSCH!K15</f>
        <v>1361.2729071466467</v>
      </c>
      <c r="L34" s="83">
        <f>FY12ProjRev!$E$13*GPpcntSCH*FY12ProjSCH!L15</f>
        <v>0</v>
      </c>
      <c r="M34" s="83">
        <f>FY12ProjRev!$E$14*GPpcntSCH*FY12ProjSCH!M15</f>
        <v>0</v>
      </c>
      <c r="N34" s="83">
        <f>FY12ProjRev!$E$15*GPpcntSCH*FY12ProjSCH!N15</f>
        <v>0</v>
      </c>
      <c r="O34" s="83">
        <f>FY12ProjRev!$E$16*GPpcntSCH*FY12ProjSCH!O15</f>
        <v>2722.997794265797</v>
      </c>
      <c r="P34" s="83">
        <f>FY12ProjRev!$E$17*GPpcntSCH*FY12ProjSCH!P15</f>
        <v>778.53433857370214</v>
      </c>
      <c r="Q34" s="83">
        <f>FY12ProjRev!$E$18*GPpcntSCH*FY12ProjSCH!Q15</f>
        <v>0</v>
      </c>
      <c r="R34" s="83">
        <f t="shared" si="2"/>
        <v>1270718.4610723434</v>
      </c>
    </row>
    <row r="35" spans="1:19" ht="15.95" customHeight="1">
      <c r="A35" s="82" t="s">
        <v>12</v>
      </c>
      <c r="B35" s="83">
        <f>+UGpcntSCH*FY12ProjSCH!B16*FY12ProjRev!E$3</f>
        <v>6425.356090992279</v>
      </c>
      <c r="C35" s="83">
        <f>FY12ProjRev!$E$4*GPpcntSCH*FY12ProjSCH!C16</f>
        <v>45299.352824660098</v>
      </c>
      <c r="D35" s="83">
        <f>FY12ProjRev!$E$5*GPpcntSCH*FY12ProjSCH!D16</f>
        <v>0</v>
      </c>
      <c r="E35" s="83">
        <f>FY12ProjRev!$E$6*GPpcntSCH*FY12ProjSCH!E16</f>
        <v>2014.8167955769586</v>
      </c>
      <c r="F35" s="83">
        <f>FY12ProjRev!$E$7*GPpcntSCH*FY12ProjSCH!F16</f>
        <v>0</v>
      </c>
      <c r="G35" s="83">
        <f>FY12ProjRev!$E$8*GPpcntSCH*FY12ProjSCH!G16</f>
        <v>234.28656742801917</v>
      </c>
      <c r="H35" s="83">
        <f>FY12ProjRev!$E$9*GPpcntSCH*FY12ProjSCH!H16</f>
        <v>0</v>
      </c>
      <c r="I35" s="83">
        <f>FY12ProjRev!$E$10*GPpcntSCH*FY12ProjSCH!I16</f>
        <v>0</v>
      </c>
      <c r="J35" s="83">
        <f>FY12ProjRev!$E$11*GPpcntSCH*FY12ProjSCH!J16</f>
        <v>8411.7503823472089</v>
      </c>
      <c r="K35" s="83">
        <f>FY12ProjRev!$E$12*GPpcntSCH*FY12ProjSCH!K16</f>
        <v>727548.01221960783</v>
      </c>
      <c r="L35" s="83">
        <f>FY12ProjRev!$E$13*GPpcntSCH*FY12ProjSCH!L16</f>
        <v>0</v>
      </c>
      <c r="M35" s="83">
        <f>FY12ProjRev!$E$14*GPpcntSCH*FY12ProjSCH!M16</f>
        <v>0</v>
      </c>
      <c r="N35" s="83">
        <f>FY12ProjRev!$E$15*GPpcntSCH*FY12ProjSCH!N16</f>
        <v>0</v>
      </c>
      <c r="O35" s="83">
        <f>FY12ProjRev!$E$16*GPpcntSCH*FY12ProjSCH!O16</f>
        <v>591.95604223169494</v>
      </c>
      <c r="P35" s="83">
        <f>FY12ProjRev!$E$17*GPpcntSCH*FY12ProjSCH!P16</f>
        <v>0</v>
      </c>
      <c r="Q35" s="83">
        <f>FY12ProjRev!$E$18*GPpcntSCH*FY12ProjSCH!Q16</f>
        <v>0</v>
      </c>
      <c r="R35" s="83">
        <f>SUM(B35:Q35)</f>
        <v>790525.53092284407</v>
      </c>
    </row>
    <row r="36" spans="1:19" ht="15.95" customHeight="1">
      <c r="A36" s="82" t="s">
        <v>7</v>
      </c>
      <c r="B36" s="83">
        <f>+UGpcntSCH*FY12ProjSCH!B17*FY12ProjRev!E$3</f>
        <v>995712.38542275282</v>
      </c>
      <c r="C36" s="83">
        <f>FY12ProjRev!$E$4*GPpcntSCH*FY12ProjSCH!C17</f>
        <v>37753.888776446918</v>
      </c>
      <c r="D36" s="83">
        <f>FY12ProjRev!$E$5*GPpcntSCH*FY12ProjSCH!D17</f>
        <v>3120.8222315665662</v>
      </c>
      <c r="E36" s="83">
        <f>FY12ProjRev!$E$6*GPpcntSCH*FY12ProjSCH!E17</f>
        <v>398238.13401147909</v>
      </c>
      <c r="F36" s="83">
        <f>FY12ProjRev!$E$7*GPpcntSCH*FY12ProjSCH!F17</f>
        <v>4367.7594921627915</v>
      </c>
      <c r="G36" s="83">
        <f>FY12ProjRev!$E$8*GPpcntSCH*FY12ProjSCH!G17</f>
        <v>16282.916436247333</v>
      </c>
      <c r="H36" s="83">
        <f>FY12ProjRev!$E$9*GPpcntSCH*FY12ProjSCH!H17</f>
        <v>0</v>
      </c>
      <c r="I36" s="83">
        <f>FY12ProjRev!$E$10*GPpcntSCH*FY12ProjSCH!I17</f>
        <v>406.4747096186058</v>
      </c>
      <c r="J36" s="83">
        <f>FY12ProjRev!$E$11*GPpcntSCH*FY12ProjSCH!J17</f>
        <v>11557.013568790077</v>
      </c>
      <c r="K36" s="83">
        <f>FY12ProjRev!$E$12*GPpcntSCH*FY12ProjSCH!K17</f>
        <v>6492.2246340840074</v>
      </c>
      <c r="L36" s="83">
        <f>FY12ProjRev!$E$13*GPpcntSCH*FY12ProjSCH!L17</f>
        <v>1873.0811047837733</v>
      </c>
      <c r="M36" s="83">
        <f>FY12ProjRev!$E$14*GPpcntSCH*FY12ProjSCH!M17</f>
        <v>5639.7238262873834</v>
      </c>
      <c r="N36" s="83">
        <f>FY12ProjRev!$E$15*GPpcntSCH*FY12ProjSCH!N17</f>
        <v>755.49868676206142</v>
      </c>
      <c r="O36" s="83">
        <f>FY12ProjRev!$E$16*GPpcntSCH*FY12ProjSCH!O17</f>
        <v>206237.48511352253</v>
      </c>
      <c r="P36" s="83">
        <f>FY12ProjRev!$E$17*GPpcntSCH*FY12ProjSCH!P17</f>
        <v>2750.821329627081</v>
      </c>
      <c r="Q36" s="83">
        <f>FY12ProjRev!$E$18*GPpcntSCH*FY12ProjSCH!Q17</f>
        <v>188.76350748852374</v>
      </c>
      <c r="R36" s="83">
        <f>SUM(B36:Q36)</f>
        <v>1691376.9928516196</v>
      </c>
    </row>
    <row r="37" spans="1:19" ht="15.95" customHeight="1">
      <c r="A37" s="82" t="s">
        <v>16</v>
      </c>
      <c r="B37" s="83">
        <f>+UGpcntSCH*FY12ProjSCH!B18*FY12ProjRev!E$3</f>
        <v>1817286.7303455621</v>
      </c>
      <c r="C37" s="83">
        <f>FY12ProjRev!$E$4*GPpcntSCH*FY12ProjSCH!C18</f>
        <v>239.11681842929084</v>
      </c>
      <c r="D37" s="83">
        <f>FY12ProjRev!$E$5*GPpcntSCH*FY12ProjSCH!D18</f>
        <v>0</v>
      </c>
      <c r="E37" s="83">
        <f>FY12ProjRev!$E$6*GPpcntSCH*FY12ProjSCH!E18</f>
        <v>0</v>
      </c>
      <c r="F37" s="83">
        <f>FY12ProjRev!$E$7*GPpcntSCH*FY12ProjSCH!F18</f>
        <v>0</v>
      </c>
      <c r="G37" s="83">
        <f>FY12ProjRev!$E$8*GPpcntSCH*FY12ProjSCH!G18</f>
        <v>0</v>
      </c>
      <c r="H37" s="83">
        <f>FY12ProjRev!$E$9*GPpcntSCH*FY12ProjSCH!H18</f>
        <v>0</v>
      </c>
      <c r="I37" s="83">
        <f>FY12ProjRev!$E$10*GPpcntSCH*FY12ProjSCH!I18</f>
        <v>0</v>
      </c>
      <c r="J37" s="83">
        <f>FY12ProjRev!$E$11*GPpcntSCH*FY12ProjSCH!J18</f>
        <v>0</v>
      </c>
      <c r="K37" s="83">
        <f>FY12ProjRev!$E$12*GPpcntSCH*FY12ProjSCH!K18</f>
        <v>0</v>
      </c>
      <c r="L37" s="83">
        <f>FY12ProjRev!$E$13*GPpcntSCH*FY12ProjSCH!L18</f>
        <v>0</v>
      </c>
      <c r="M37" s="83">
        <f>FY12ProjRev!$E$14*GPpcntSCH*FY12ProjSCH!M18</f>
        <v>0</v>
      </c>
      <c r="N37" s="83">
        <f>FY12ProjRev!$E$15*GPpcntSCH*FY12ProjSCH!N18</f>
        <v>0</v>
      </c>
      <c r="O37" s="83">
        <f>FY12ProjRev!$E$16*GPpcntSCH*FY12ProjSCH!O18</f>
        <v>0</v>
      </c>
      <c r="P37" s="83">
        <f>FY12ProjRev!$E$17*GPpcntSCH*FY12ProjSCH!P18</f>
        <v>0</v>
      </c>
      <c r="Q37" s="83">
        <f>FY12ProjRev!$E$18*GPpcntSCH*FY12ProjSCH!Q18</f>
        <v>0</v>
      </c>
      <c r="R37" s="83">
        <f>SUM(B37:Q37)</f>
        <v>1817525.8471639913</v>
      </c>
    </row>
    <row r="38" spans="1:19" ht="15.95" customHeight="1">
      <c r="A38" s="87" t="s">
        <v>44</v>
      </c>
      <c r="B38" s="88">
        <f>+UGpcntSCH*FY12ProjSCH!B19*FY12ProjRev!E$3</f>
        <v>180073.32705857177</v>
      </c>
      <c r="C38" s="88">
        <f>FY12ProjRev!$E$4*GPpcntSCH*FY12ProjSCH!C19</f>
        <v>179802.5631911362</v>
      </c>
      <c r="D38" s="88">
        <f>FY12ProjRev!$E$5*GPpcntSCH*FY12ProjSCH!D19</f>
        <v>2329.6278630003944</v>
      </c>
      <c r="E38" s="88">
        <f>FY12ProjRev!$E$6*GPpcntSCH*FY12ProjSCH!E19</f>
        <v>14391.548539835419</v>
      </c>
      <c r="F38" s="88">
        <f>FY12ProjRev!$E$7*GPpcntSCH*FY12ProjSCH!F19</f>
        <v>2113.4320123368343</v>
      </c>
      <c r="G38" s="88">
        <f>FY12ProjRev!$E$8*GPpcntSCH*FY12ProjSCH!G19</f>
        <v>761.43134414106225</v>
      </c>
      <c r="H38" s="88">
        <f>FY12ProjRev!$E$9*GPpcntSCH*FY12ProjSCH!H19</f>
        <v>299.73472328204252</v>
      </c>
      <c r="I38" s="88">
        <f>FY12ProjRev!$E$10*GPpcntSCH*FY12ProjSCH!I19</f>
        <v>3522.7808166945838</v>
      </c>
      <c r="J38" s="88">
        <f>FY12ProjRev!$E$11*GPpcntSCH*FY12ProjSCH!J19</f>
        <v>0</v>
      </c>
      <c r="K38" s="88">
        <f>FY12ProjRev!$E$12*GPpcntSCH*FY12ProjSCH!K19</f>
        <v>0</v>
      </c>
      <c r="L38" s="88">
        <f>FY12ProjRev!$E$13*GPpcntSCH*FY12ProjSCH!L19</f>
        <v>0</v>
      </c>
      <c r="M38" s="88">
        <f>FY12ProjRev!$E$14*GPpcntSCH*FY12ProjSCH!M19</f>
        <v>584.29571173247666</v>
      </c>
      <c r="N38" s="88">
        <f>FY12ProjRev!$E$15*GPpcntSCH*FY12ProjSCH!N19</f>
        <v>0</v>
      </c>
      <c r="O38" s="88">
        <f>FY12ProjRev!$E$16*GPpcntSCH*FY12ProjSCH!O19</f>
        <v>0</v>
      </c>
      <c r="P38" s="88">
        <f>FY12ProjRev!$E$17*GPpcntSCH*FY12ProjSCH!P19</f>
        <v>0</v>
      </c>
      <c r="Q38" s="88">
        <f>FY12ProjRev!$E$18*GPpcntSCH*FY12ProjSCH!Q19</f>
        <v>0</v>
      </c>
      <c r="R38" s="88">
        <f>SUM(B38:Q38)</f>
        <v>383878.74126073084</v>
      </c>
    </row>
    <row r="39" spans="1:19" ht="15.95" customHeight="1">
      <c r="A39" s="90" t="s">
        <v>34</v>
      </c>
      <c r="B39" s="91">
        <f>SUM(B22:B38)</f>
        <v>124221681.56800504</v>
      </c>
      <c r="C39" s="91">
        <f t="shared" ref="C39:R39" si="3">SUM(C22:C38)</f>
        <v>3358940.3698147</v>
      </c>
      <c r="D39" s="91">
        <f t="shared" si="3"/>
        <v>807260.00977233448</v>
      </c>
      <c r="E39" s="91">
        <f t="shared" si="3"/>
        <v>2092243.3267212731</v>
      </c>
      <c r="F39" s="91">
        <f t="shared" si="3"/>
        <v>705815.84438675817</v>
      </c>
      <c r="G39" s="91">
        <f t="shared" si="3"/>
        <v>650028.08132903907</v>
      </c>
      <c r="H39" s="91">
        <f t="shared" si="3"/>
        <v>116347.02842064617</v>
      </c>
      <c r="I39" s="91">
        <f t="shared" si="3"/>
        <v>776298.94958660088</v>
      </c>
      <c r="J39" s="91">
        <f t="shared" si="3"/>
        <v>185497.38234463061</v>
      </c>
      <c r="K39" s="91">
        <f t="shared" si="3"/>
        <v>851423.84676995268</v>
      </c>
      <c r="L39" s="91">
        <f t="shared" si="3"/>
        <v>1807367.1760242761</v>
      </c>
      <c r="M39" s="91">
        <f t="shared" si="3"/>
        <v>2160014.2254680679</v>
      </c>
      <c r="N39" s="91">
        <f t="shared" si="3"/>
        <v>740105.4010192845</v>
      </c>
      <c r="O39" s="91">
        <f t="shared" si="3"/>
        <v>256948.38606470439</v>
      </c>
      <c r="P39" s="91">
        <f t="shared" si="3"/>
        <v>388592.43952675379</v>
      </c>
      <c r="Q39" s="91">
        <f t="shared" si="3"/>
        <v>143837.79270625513</v>
      </c>
      <c r="R39" s="91">
        <f t="shared" si="3"/>
        <v>139262401.82796031</v>
      </c>
    </row>
    <row r="40" spans="1:19" ht="24" customHeight="1">
      <c r="A40" s="658" t="s">
        <v>113</v>
      </c>
      <c r="B40" s="658"/>
      <c r="C40" s="658"/>
      <c r="D40" s="658"/>
      <c r="E40" s="658"/>
      <c r="F40" s="658"/>
      <c r="G40" s="658"/>
      <c r="H40" s="658"/>
      <c r="I40" s="658"/>
      <c r="J40" s="658"/>
      <c r="K40" s="658"/>
      <c r="L40" s="658"/>
      <c r="M40" s="658"/>
      <c r="N40" s="658"/>
      <c r="O40" s="658"/>
      <c r="P40" s="658"/>
      <c r="Q40" s="658"/>
      <c r="R40" s="658"/>
      <c r="S40" s="77"/>
    </row>
    <row r="41" spans="1:19" ht="15.95" customHeight="1">
      <c r="A41" s="93" t="s">
        <v>0</v>
      </c>
      <c r="B41" s="94">
        <f>+UGpcntDeg*FY12ProjMajors!B3*FY12ProjRev!E$3</f>
        <v>1503953.1843812368</v>
      </c>
      <c r="C41" s="94">
        <f>FY12ProjRev!$E$4*GPpcntMjr*FY12ProjMajors!C3</f>
        <v>59579.773169266518</v>
      </c>
      <c r="D41" s="94">
        <f>FY12ProjRev!$E$5*GPpcntMjr*FY12ProjMajors!D3</f>
        <v>0</v>
      </c>
      <c r="E41" s="94">
        <f>FY12ProjRev!$E$6*GPpcntMjr*FY12ProjMajors!E3</f>
        <v>3892.5457241326021</v>
      </c>
      <c r="F41" s="94">
        <f>FY12ProjRev!$E$7*GPpcntMjr*FY12ProjMajors!F3</f>
        <v>0</v>
      </c>
      <c r="G41" s="94">
        <f>FY12ProjRev!$E$8*GPpcntMjr*FY12ProjMajors!G3</f>
        <v>0</v>
      </c>
      <c r="H41" s="94">
        <f>FY12ProjRev!$E$9*GPpcntMjr*FY12ProjMajors!H3</f>
        <v>0</v>
      </c>
      <c r="I41" s="94">
        <f>FY12ProjRev!$E$10*GPpcntMjr*FY12ProjMajors!I3</f>
        <v>2871222.90563379</v>
      </c>
      <c r="J41" s="94">
        <f>FY12ProjRev!$E$11*GPpcntMjr*FY12ProjMajors!J3</f>
        <v>0</v>
      </c>
      <c r="K41" s="94">
        <f>FY12ProjRev!$E$12*GPpcntMjr*FY12ProjMajors!K3</f>
        <v>0</v>
      </c>
      <c r="L41" s="94">
        <f>FY12ProjRev!$E$13*GPpcntMjr*FY12ProjMajors!L3</f>
        <v>0</v>
      </c>
      <c r="M41" s="94">
        <f>FY12ProjRev!$E$14*GPpcntMjr*FY12ProjMajors!M3</f>
        <v>0</v>
      </c>
      <c r="N41" s="94">
        <f>FY12ProjRev!$E$15*GPpcntMjr*FY12ProjMajors!N3</f>
        <v>0</v>
      </c>
      <c r="O41" s="94">
        <f>FY12ProjRev!$E$16*GPpcntMjr*FY12ProjMajors!O3</f>
        <v>0</v>
      </c>
      <c r="P41" s="94">
        <f>FY12ProjRev!$E$17*GPpcntMjr*FY12ProjMajors!P3</f>
        <v>0</v>
      </c>
      <c r="Q41" s="94">
        <f>FY12ProjRev!$E$18*GPpcntMjr*FY12ProjMajors!Q3</f>
        <v>0</v>
      </c>
      <c r="R41" s="94">
        <f>SUM(B41:Q41)</f>
        <v>4438648.4089084258</v>
      </c>
    </row>
    <row r="42" spans="1:19" ht="15.95" customHeight="1">
      <c r="A42" s="96" t="s">
        <v>1</v>
      </c>
      <c r="B42" s="97">
        <f>+UGpcntDeg*FY12ProjMajors!B4*FY12ProjRev!E$3</f>
        <v>56189631.553237043</v>
      </c>
      <c r="C42" s="97">
        <f>FY12ProjRev!$E$4*GPpcntMjr*FY12ProjMajors!C4</f>
        <v>6898710.5774940187</v>
      </c>
      <c r="D42" s="97">
        <f>FY12ProjRev!$E$5*GPpcntMjr*FY12ProjMajors!D4</f>
        <v>4209.9609375349928</v>
      </c>
      <c r="E42" s="97">
        <f>FY12ProjRev!$E$6*GPpcntMjr*FY12ProjMajors!E4</f>
        <v>64227.004448187945</v>
      </c>
      <c r="F42" s="97">
        <f>FY12ProjRev!$E$7*GPpcntMjr*FY12ProjMajors!F4</f>
        <v>36455.337730162544</v>
      </c>
      <c r="G42" s="97">
        <f>FY12ProjRev!$E$8*GPpcntMjr*FY12ProjMajors!G4</f>
        <v>268373.59827496606</v>
      </c>
      <c r="H42" s="97">
        <f>FY12ProjRev!$E$9*GPpcntMjr*FY12ProjMajors!H4</f>
        <v>12193.575030984752</v>
      </c>
      <c r="I42" s="97">
        <f>FY12ProjRev!$E$10*GPpcntMjr*FY12ProjMajors!I4</f>
        <v>0</v>
      </c>
      <c r="J42" s="97">
        <f>FY12ProjRev!$E$11*GPpcntMjr*FY12ProjMajors!J4</f>
        <v>0</v>
      </c>
      <c r="K42" s="97">
        <f>FY12ProjRev!$E$12*GPpcntMjr*FY12ProjMajors!K4</f>
        <v>0</v>
      </c>
      <c r="L42" s="97">
        <f>FY12ProjRev!$E$13*GPpcntMjr*FY12ProjMajors!L4</f>
        <v>17806.573162800745</v>
      </c>
      <c r="M42" s="97">
        <f>FY12ProjRev!$E$14*GPpcntMjr*FY12ProjMajors!M4</f>
        <v>14890.231627526533</v>
      </c>
      <c r="N42" s="97">
        <f>FY12ProjRev!$E$15*GPpcntMjr*FY12ProjMajors!N4</f>
        <v>0</v>
      </c>
      <c r="O42" s="97">
        <f>FY12ProjRev!$E$16*GPpcntMjr*FY12ProjMajors!O4</f>
        <v>13724.246139954541</v>
      </c>
      <c r="P42" s="97">
        <f>FY12ProjRev!$E$17*GPpcntMjr*FY12ProjMajors!P4</f>
        <v>5323.1841031062186</v>
      </c>
      <c r="Q42" s="97">
        <f>FY12ProjRev!$E$18*GPpcntMjr*FY12ProjMajors!Q4</f>
        <v>0</v>
      </c>
      <c r="R42" s="97">
        <f>SUM(B42:Q42)</f>
        <v>63525545.842186287</v>
      </c>
    </row>
    <row r="43" spans="1:19" ht="15.95" customHeight="1">
      <c r="A43" s="96" t="s">
        <v>6</v>
      </c>
      <c r="B43" s="97">
        <f>+UGpcntDeg*FY12ProjMajors!B5*FY12ProjRev!E$3</f>
        <v>8208673.5095904926</v>
      </c>
      <c r="C43" s="97">
        <f>FY12ProjRev!$E$4*GPpcntMjr*FY12ProjMajors!C5</f>
        <v>243545.38856910705</v>
      </c>
      <c r="D43" s="97">
        <f>FY12ProjRev!$E$5*GPpcntMjr*FY12ProjMajors!D5</f>
        <v>0</v>
      </c>
      <c r="E43" s="97">
        <f>FY12ProjRev!$E$6*GPpcntMjr*FY12ProjMajors!E5</f>
        <v>40871.730103392321</v>
      </c>
      <c r="F43" s="97">
        <f>FY12ProjRev!$E$7*GPpcntMjr*FY12ProjMajors!F5</f>
        <v>2592379.5719226697</v>
      </c>
      <c r="G43" s="97">
        <f>FY12ProjRev!$E$8*GPpcntMjr*FY12ProjMajors!G5</f>
        <v>0</v>
      </c>
      <c r="H43" s="97">
        <f>FY12ProjRev!$E$9*GPpcntMjr*FY12ProjMajors!H5</f>
        <v>0</v>
      </c>
      <c r="I43" s="97">
        <f>FY12ProjRev!$E$10*GPpcntMjr*FY12ProjMajors!I5</f>
        <v>34662.650772238914</v>
      </c>
      <c r="J43" s="97">
        <f>FY12ProjRev!$E$11*GPpcntMjr*FY12ProjMajors!J5</f>
        <v>0</v>
      </c>
      <c r="K43" s="97">
        <f>FY12ProjRev!$E$12*GPpcntMjr*FY12ProjMajors!K5</f>
        <v>0</v>
      </c>
      <c r="L43" s="97">
        <f>FY12ProjRev!$E$13*GPpcntMjr*FY12ProjMajors!L5</f>
        <v>8903.2865814003726</v>
      </c>
      <c r="M43" s="97">
        <f>FY12ProjRev!$E$14*GPpcntMjr*FY12ProjMajors!M5</f>
        <v>0</v>
      </c>
      <c r="N43" s="97">
        <f>FY12ProjRev!$E$15*GPpcntMjr*FY12ProjMajors!N5</f>
        <v>0</v>
      </c>
      <c r="O43" s="97">
        <f>FY12ProjRev!$E$16*GPpcntMjr*FY12ProjMajors!O5</f>
        <v>0</v>
      </c>
      <c r="P43" s="97">
        <f>FY12ProjRev!$E$17*GPpcntMjr*FY12ProjMajors!P5</f>
        <v>0</v>
      </c>
      <c r="Q43" s="97">
        <f>FY12ProjRev!$E$18*GPpcntMjr*FY12ProjMajors!Q5</f>
        <v>0</v>
      </c>
      <c r="R43" s="97">
        <f t="shared" ref="R43:R53" si="4">SUM(B43:Q43)</f>
        <v>11129036.137539299</v>
      </c>
    </row>
    <row r="44" spans="1:19" ht="15.95" customHeight="1">
      <c r="A44" s="99" t="s">
        <v>2</v>
      </c>
      <c r="B44" s="97">
        <f>+UGpcntDeg*FY12ProjMajors!B6*FY12ProjRev!E$3</f>
        <v>174652.62786362751</v>
      </c>
      <c r="C44" s="97">
        <f>FY12ProjRev!$E$4*GPpcntMjr*FY12ProjMajors!C6</f>
        <v>748405.57174026023</v>
      </c>
      <c r="D44" s="97">
        <f>FY12ProjRev!$E$5*GPpcntMjr*FY12ProjMajors!D6</f>
        <v>2086035.6445485887</v>
      </c>
      <c r="E44" s="97">
        <f>FY12ProjRev!$E$6*GPpcntMjr*FY12ProjMajors!E6</f>
        <v>11677.637172397808</v>
      </c>
      <c r="F44" s="97">
        <f>FY12ProjRev!$E$7*GPpcntMjr*FY12ProjMajors!F6</f>
        <v>0</v>
      </c>
      <c r="G44" s="97">
        <f>FY12ProjRev!$E$8*GPpcntMjr*FY12ProjMajors!G6</f>
        <v>0</v>
      </c>
      <c r="H44" s="97">
        <f>FY12ProjRev!$E$9*GPpcntMjr*FY12ProjMajors!H6</f>
        <v>0</v>
      </c>
      <c r="I44" s="97">
        <f>FY12ProjRev!$E$10*GPpcntMjr*FY12ProjMajors!I6</f>
        <v>0</v>
      </c>
      <c r="J44" s="97">
        <f>FY12ProjRev!$E$11*GPpcntMjr*FY12ProjMajors!J6</f>
        <v>0</v>
      </c>
      <c r="K44" s="97">
        <f>FY12ProjRev!$E$12*GPpcntMjr*FY12ProjMajors!K6</f>
        <v>0</v>
      </c>
      <c r="L44" s="97">
        <f>FY12ProjRev!$E$13*GPpcntMjr*FY12ProjMajors!L6</f>
        <v>0</v>
      </c>
      <c r="M44" s="97">
        <f>FY12ProjRev!$E$14*GPpcntMjr*FY12ProjMajors!M6</f>
        <v>0</v>
      </c>
      <c r="N44" s="97">
        <f>FY12ProjRev!$E$15*GPpcntMjr*FY12ProjMajors!N6</f>
        <v>0</v>
      </c>
      <c r="O44" s="97">
        <f>FY12ProjRev!$E$16*GPpcntMjr*FY12ProjMajors!O6</f>
        <v>0</v>
      </c>
      <c r="P44" s="97">
        <f>FY12ProjRev!$E$17*GPpcntMjr*FY12ProjMajors!P6</f>
        <v>0</v>
      </c>
      <c r="Q44" s="97">
        <f>FY12ProjRev!$E$18*GPpcntMjr*FY12ProjMajors!Q6</f>
        <v>0</v>
      </c>
      <c r="R44" s="97">
        <f t="shared" si="4"/>
        <v>3020771.4813248743</v>
      </c>
    </row>
    <row r="45" spans="1:19" ht="15.95" customHeight="1">
      <c r="A45" s="96" t="s">
        <v>3</v>
      </c>
      <c r="B45" s="97">
        <f>+UGpcntDeg*FY12ProjMajors!B7*FY12ProjRev!E$3</f>
        <v>7665309.7784592072</v>
      </c>
      <c r="C45" s="97">
        <f>FY12ProjRev!$E$4*GPpcntMjr*FY12ProjMajors!C7</f>
        <v>393017.45108147745</v>
      </c>
      <c r="D45" s="97">
        <f>FY12ProjRev!$E$5*GPpcntMjr*FY12ProjMajors!D7</f>
        <v>0</v>
      </c>
      <c r="E45" s="97">
        <f>FY12ProjRev!$E$6*GPpcntMjr*FY12ProjMajors!E7</f>
        <v>5731773.5787852556</v>
      </c>
      <c r="F45" s="97">
        <f>FY12ProjRev!$E$7*GPpcntMjr*FY12ProjMajors!F7</f>
        <v>0</v>
      </c>
      <c r="G45" s="97">
        <f>FY12ProjRev!$E$8*GPpcntMjr*FY12ProjMajors!G7</f>
        <v>0</v>
      </c>
      <c r="H45" s="97">
        <f>FY12ProjRev!$E$9*GPpcntMjr*FY12ProjMajors!H7</f>
        <v>0</v>
      </c>
      <c r="I45" s="97">
        <f>FY12ProjRev!$E$10*GPpcntMjr*FY12ProjMajors!I7</f>
        <v>17331.325386119457</v>
      </c>
      <c r="J45" s="97">
        <f>FY12ProjRev!$E$11*GPpcntMjr*FY12ProjMajors!J7</f>
        <v>0</v>
      </c>
      <c r="K45" s="97">
        <f>FY12ProjRev!$E$12*GPpcntMjr*FY12ProjMajors!K7</f>
        <v>0</v>
      </c>
      <c r="L45" s="97">
        <f>FY12ProjRev!$E$13*GPpcntMjr*FY12ProjMajors!L7</f>
        <v>0</v>
      </c>
      <c r="M45" s="97">
        <f>FY12ProjRev!$E$14*GPpcntMjr*FY12ProjMajors!M7</f>
        <v>11167.673720644902</v>
      </c>
      <c r="N45" s="97">
        <f>FY12ProjRev!$E$15*GPpcntMjr*FY12ProjMajors!N7</f>
        <v>0</v>
      </c>
      <c r="O45" s="97">
        <f>FY12ProjRev!$E$16*GPpcntMjr*FY12ProjMajors!O7</f>
        <v>0</v>
      </c>
      <c r="P45" s="97">
        <f>FY12ProjRev!$E$17*GPpcntMjr*FY12ProjMajors!P7</f>
        <v>0</v>
      </c>
      <c r="Q45" s="97">
        <f>FY12ProjRev!$E$18*GPpcntMjr*FY12ProjMajors!Q7</f>
        <v>0</v>
      </c>
      <c r="R45" s="97">
        <f t="shared" si="4"/>
        <v>13818599.807432704</v>
      </c>
    </row>
    <row r="46" spans="1:19" ht="15.95" customHeight="1">
      <c r="A46" s="96" t="s">
        <v>4</v>
      </c>
      <c r="B46" s="97">
        <f>+UGpcntDeg*FY12ProjMajors!B8*FY12ProjRev!E$3</f>
        <v>2212266.6196059487</v>
      </c>
      <c r="C46" s="97">
        <f>FY12ProjRev!$E$4*GPpcntMjr*FY12ProjMajors!C8</f>
        <v>1660916.8344906052</v>
      </c>
      <c r="D46" s="97">
        <f>FY12ProjRev!$E$5*GPpcntMjr*FY12ProjMajors!D8</f>
        <v>423101.07422226673</v>
      </c>
      <c r="E46" s="97">
        <f>FY12ProjRev!$E$6*GPpcntMjr*FY12ProjMajors!E8</f>
        <v>11677.637172397808</v>
      </c>
      <c r="F46" s="97">
        <f>FY12ProjRev!$E$7*GPpcntMjr*FY12ProjMajors!F8</f>
        <v>0</v>
      </c>
      <c r="G46" s="97">
        <f>FY12ProjRev!$E$8*GPpcntMjr*FY12ProjMajors!G8</f>
        <v>136131.53535686684</v>
      </c>
      <c r="H46" s="97">
        <f>FY12ProjRev!$E$9*GPpcntMjr*FY12ProjMajors!H8</f>
        <v>0</v>
      </c>
      <c r="I46" s="97">
        <f>FY12ProjRev!$E$10*GPpcntMjr*FY12ProjMajors!I8</f>
        <v>0</v>
      </c>
      <c r="J46" s="97">
        <f>FY12ProjRev!$E$11*GPpcntMjr*FY12ProjMajors!J8</f>
        <v>0</v>
      </c>
      <c r="K46" s="97">
        <f>FY12ProjRev!$E$12*GPpcntMjr*FY12ProjMajors!K8</f>
        <v>0</v>
      </c>
      <c r="L46" s="97">
        <f>FY12ProjRev!$E$13*GPpcntMjr*FY12ProjMajors!L8</f>
        <v>0</v>
      </c>
      <c r="M46" s="97">
        <f>FY12ProjRev!$E$14*GPpcntMjr*FY12ProjMajors!M8</f>
        <v>0</v>
      </c>
      <c r="N46" s="97">
        <f>FY12ProjRev!$E$15*GPpcntMjr*FY12ProjMajors!N8</f>
        <v>0</v>
      </c>
      <c r="O46" s="97">
        <f>FY12ProjRev!$E$16*GPpcntMjr*FY12ProjMajors!O8</f>
        <v>0</v>
      </c>
      <c r="P46" s="97">
        <f>FY12ProjRev!$E$17*GPpcntMjr*FY12ProjMajors!P8</f>
        <v>0</v>
      </c>
      <c r="Q46" s="97">
        <f>FY12ProjRev!$E$18*GPpcntMjr*FY12ProjMajors!Q8</f>
        <v>0</v>
      </c>
      <c r="R46" s="97">
        <f t="shared" si="4"/>
        <v>4444093.7008480858</v>
      </c>
    </row>
    <row r="47" spans="1:19" ht="15.95" customHeight="1">
      <c r="A47" s="96" t="s">
        <v>14</v>
      </c>
      <c r="B47" s="97">
        <f>+UGpcntDeg*FY12ProjMajors!B9*FY12ProjRev!E$3</f>
        <v>688907.58768430841</v>
      </c>
      <c r="C47" s="97">
        <f>FY12ProjRev!$E$4*GPpcntMjr*FY12ProjMajors!C9</f>
        <v>131702.65647943129</v>
      </c>
      <c r="D47" s="97">
        <f>FY12ProjRev!$E$5*GPpcntMjr*FY12ProjMajors!D9</f>
        <v>0</v>
      </c>
      <c r="E47" s="97">
        <f>FY12ProjRev!$E$6*GPpcntMjr*FY12ProjMajors!E9</f>
        <v>0</v>
      </c>
      <c r="F47" s="97">
        <f>FY12ProjRev!$E$7*GPpcntMjr*FY12ProjMajors!F9</f>
        <v>0</v>
      </c>
      <c r="G47" s="97">
        <f>FY12ProjRev!$E$8*GPpcntMjr*FY12ProjMajors!G9</f>
        <v>9723.6810969190592</v>
      </c>
      <c r="H47" s="97">
        <f>FY12ProjRev!$E$9*GPpcntMjr*FY12ProjMajors!H9</f>
        <v>430839.65109479462</v>
      </c>
      <c r="I47" s="97">
        <f>FY12ProjRev!$E$10*GPpcntMjr*FY12ProjMajors!I9</f>
        <v>0</v>
      </c>
      <c r="J47" s="97">
        <f>FY12ProjRev!$E$11*GPpcntMjr*FY12ProjMajors!J9</f>
        <v>0</v>
      </c>
      <c r="K47" s="97">
        <f>FY12ProjRev!$E$12*GPpcntMjr*FY12ProjMajors!K9</f>
        <v>0</v>
      </c>
      <c r="L47" s="97">
        <f>FY12ProjRev!$E$13*GPpcntMjr*FY12ProjMajors!L9</f>
        <v>0</v>
      </c>
      <c r="M47" s="97">
        <f>FY12ProjRev!$E$14*GPpcntMjr*FY12ProjMajors!M9</f>
        <v>0</v>
      </c>
      <c r="N47" s="97">
        <f>FY12ProjRev!$E$15*GPpcntMjr*FY12ProjMajors!N9</f>
        <v>0</v>
      </c>
      <c r="O47" s="97">
        <f>FY12ProjRev!$E$16*GPpcntMjr*FY12ProjMajors!O9</f>
        <v>0</v>
      </c>
      <c r="P47" s="97">
        <f>FY12ProjRev!$E$17*GPpcntMjr*FY12ProjMajors!P9</f>
        <v>0</v>
      </c>
      <c r="Q47" s="97">
        <f>FY12ProjRev!$E$18*GPpcntMjr*FY12ProjMajors!Q9</f>
        <v>0</v>
      </c>
      <c r="R47" s="97">
        <f t="shared" si="4"/>
        <v>1261173.5763554536</v>
      </c>
    </row>
    <row r="48" spans="1:19" ht="15.95" customHeight="1">
      <c r="A48" s="96" t="s">
        <v>9</v>
      </c>
      <c r="B48" s="97">
        <f>+UGpcntDeg*FY12ProjMajors!B10*FY12ProjRev!E$3</f>
        <v>0</v>
      </c>
      <c r="C48" s="97">
        <f>FY12ProjRev!$E$4*GPpcntMjr*FY12ProjMajors!C10</f>
        <v>49127.181385184682</v>
      </c>
      <c r="D48" s="97">
        <f>FY12ProjRev!$E$5*GPpcntMjr*FY12ProjMajors!D10</f>
        <v>0</v>
      </c>
      <c r="E48" s="97">
        <f>FY12ProjRev!$E$6*GPpcntMjr*FY12ProjMajors!E10</f>
        <v>42818.002965458625</v>
      </c>
      <c r="F48" s="97">
        <f>FY12ProjRev!$E$7*GPpcntMjr*FY12ProjMajors!F10</f>
        <v>32404.744649033371</v>
      </c>
      <c r="G48" s="97">
        <f>FY12ProjRev!$E$8*GPpcntMjr*FY12ProjMajors!G10</f>
        <v>5834.2086581514359</v>
      </c>
      <c r="H48" s="97">
        <f>FY12ProjRev!$E$9*GPpcntMjr*FY12ProjMajors!H10</f>
        <v>0</v>
      </c>
      <c r="I48" s="97">
        <f>FY12ProjRev!$E$10*GPpcntMjr*FY12ProjMajors!I10</f>
        <v>0</v>
      </c>
      <c r="J48" s="97">
        <f>FY12ProjRev!$E$11*GPpcntMjr*FY12ProjMajors!J10</f>
        <v>0</v>
      </c>
      <c r="K48" s="97">
        <f>FY12ProjRev!$E$12*GPpcntMjr*FY12ProjMajors!K10</f>
        <v>0</v>
      </c>
      <c r="L48" s="97">
        <f>FY12ProjRev!$E$13*GPpcntMjr*FY12ProjMajors!L10</f>
        <v>7135984.1949923998</v>
      </c>
      <c r="M48" s="97">
        <f>FY12ProjRev!$E$14*GPpcntMjr*FY12ProjMajors!M10</f>
        <v>0</v>
      </c>
      <c r="N48" s="97">
        <f>FY12ProjRev!$E$15*GPpcntMjr*FY12ProjMajors!N10</f>
        <v>0</v>
      </c>
      <c r="O48" s="97">
        <f>FY12ProjRev!$E$16*GPpcntMjr*FY12ProjMajors!O10</f>
        <v>6099.6649510909065</v>
      </c>
      <c r="P48" s="97">
        <f>FY12ProjRev!$E$17*GPpcntMjr*FY12ProjMajors!P10</f>
        <v>0</v>
      </c>
      <c r="Q48" s="97">
        <f>FY12ProjRev!$E$18*GPpcntMjr*FY12ProjMajors!Q10</f>
        <v>575351.17082502041</v>
      </c>
      <c r="R48" s="97">
        <f t="shared" si="4"/>
        <v>7847619.1684263386</v>
      </c>
    </row>
    <row r="49" spans="1:18" ht="15.95" customHeight="1">
      <c r="A49" s="96" t="s">
        <v>5</v>
      </c>
      <c r="B49" s="97">
        <f>+UGpcntDeg*FY12ProjMajors!B11*FY12ProjRev!E$3</f>
        <v>0</v>
      </c>
      <c r="C49" s="97">
        <f>FY12ProjRev!$E$4*GPpcntMjr*FY12ProjMajors!C11</f>
        <v>61670.291526082881</v>
      </c>
      <c r="D49" s="97">
        <f>FY12ProjRev!$E$5*GPpcntMjr*FY12ProjMajors!D11</f>
        <v>6314.9414063024888</v>
      </c>
      <c r="E49" s="97">
        <f>FY12ProjRev!$E$6*GPpcntMjr*FY12ProjMajors!E11</f>
        <v>7785.0914482652042</v>
      </c>
      <c r="F49" s="97">
        <f>FY12ProjRev!$E$7*GPpcntMjr*FY12ProjMajors!F11</f>
        <v>4050.5930811291714</v>
      </c>
      <c r="G49" s="97">
        <f>FY12ProjRev!$E$8*GPpcntMjr*FY12ProjMajors!G11</f>
        <v>2045862.5027917703</v>
      </c>
      <c r="H49" s="97">
        <f>FY12ProjRev!$E$9*GPpcntMjr*FY12ProjMajors!H11</f>
        <v>14225.837536148878</v>
      </c>
      <c r="I49" s="97">
        <f>FY12ProjRev!$E$10*GPpcntMjr*FY12ProjMajors!I11</f>
        <v>83768.072699577373</v>
      </c>
      <c r="J49" s="97">
        <f>FY12ProjRev!$E$11*GPpcntMjr*FY12ProjMajors!J11</f>
        <v>0</v>
      </c>
      <c r="K49" s="97">
        <f>FY12ProjRev!$E$12*GPpcntMjr*FY12ProjMajors!K11</f>
        <v>0</v>
      </c>
      <c r="L49" s="97">
        <f>FY12ProjRev!$E$13*GPpcntMjr*FY12ProjMajors!L11</f>
        <v>62323.006069802606</v>
      </c>
      <c r="M49" s="97">
        <f>FY12ProjRev!$E$14*GPpcntMjr*FY12ProjMajors!M11</f>
        <v>0</v>
      </c>
      <c r="N49" s="97">
        <f>FY12ProjRev!$E$15*GPpcntMjr*FY12ProjMajors!N11</f>
        <v>0</v>
      </c>
      <c r="O49" s="97">
        <f>FY12ProjRev!$E$16*GPpcntMjr*FY12ProjMajors!O11</f>
        <v>3049.8324755454532</v>
      </c>
      <c r="P49" s="97">
        <f>FY12ProjRev!$E$17*GPpcntMjr*FY12ProjMajors!P11</f>
        <v>0</v>
      </c>
      <c r="Q49" s="97">
        <f>FY12ProjRev!$E$18*GPpcntMjr*FY12ProjMajors!Q11</f>
        <v>0</v>
      </c>
      <c r="R49" s="97">
        <f t="shared" si="4"/>
        <v>2289050.1690346245</v>
      </c>
    </row>
    <row r="50" spans="1:18" ht="15.95" customHeight="1">
      <c r="A50" s="96" t="s">
        <v>13</v>
      </c>
      <c r="B50" s="97">
        <f>+UGpcntDeg*FY12ProjMajors!B12*FY12ProjRev!E$3</f>
        <v>446334.49342927028</v>
      </c>
      <c r="C50" s="97">
        <f>FY12ProjRev!$E$4*GPpcntMjr*FY12ProjMajors!C12</f>
        <v>0</v>
      </c>
      <c r="D50" s="97">
        <f>FY12ProjRev!$E$5*GPpcntMjr*FY12ProjMajors!D12</f>
        <v>252597.65625209958</v>
      </c>
      <c r="E50" s="97">
        <f>FY12ProjRev!$E$6*GPpcntMjr*FY12ProjMajors!E12</f>
        <v>3892.5457241326021</v>
      </c>
      <c r="F50" s="97">
        <f>FY12ProjRev!$E$7*GPpcntMjr*FY12ProjMajors!F12</f>
        <v>0</v>
      </c>
      <c r="G50" s="97">
        <f>FY12ProjRev!$E$8*GPpcntMjr*FY12ProjMajors!G12</f>
        <v>40839.460607060049</v>
      </c>
      <c r="H50" s="97">
        <f>FY12ProjRev!$E$9*GPpcntMjr*FY12ProjMajors!H12</f>
        <v>0</v>
      </c>
      <c r="I50" s="97">
        <f>FY12ProjRev!$E$10*GPpcntMjr*FY12ProjMajors!I12</f>
        <v>0</v>
      </c>
      <c r="J50" s="97">
        <f>FY12ProjRev!$E$11*GPpcntMjr*FY12ProjMajors!J12</f>
        <v>0</v>
      </c>
      <c r="K50" s="97">
        <f>FY12ProjRev!$E$12*GPpcntMjr*FY12ProjMajors!K12</f>
        <v>0</v>
      </c>
      <c r="L50" s="97">
        <f>FY12ProjRev!$E$13*GPpcntMjr*FY12ProjMajors!L12</f>
        <v>0</v>
      </c>
      <c r="M50" s="97">
        <f>FY12ProjRev!$E$14*GPpcntMjr*FY12ProjMajors!M12</f>
        <v>0</v>
      </c>
      <c r="N50" s="97">
        <f>FY12ProjRev!$E$15*GPpcntMjr*FY12ProjMajors!N12</f>
        <v>0</v>
      </c>
      <c r="O50" s="97">
        <f>FY12ProjRev!$E$16*GPpcntMjr*FY12ProjMajors!O12</f>
        <v>21348.82732881817</v>
      </c>
      <c r="P50" s="97">
        <f>FY12ProjRev!$E$17*GPpcntMjr*FY12ProjMajors!P12</f>
        <v>1533077.0216945906</v>
      </c>
      <c r="Q50" s="97">
        <f>FY12ProjRev!$E$18*GPpcntMjr*FY12ProjMajors!Q12</f>
        <v>0</v>
      </c>
      <c r="R50" s="97">
        <f t="shared" si="4"/>
        <v>2298090.0050359713</v>
      </c>
    </row>
    <row r="51" spans="1:18" ht="15.95" customHeight="1">
      <c r="A51" s="96" t="s">
        <v>8</v>
      </c>
      <c r="B51" s="97">
        <f>+UGpcntDeg*FY12ProjMajors!B13*FY12ProjRev!E$3</f>
        <v>0</v>
      </c>
      <c r="C51" s="97">
        <f>FY12ProjRev!$E$4*GPpcntMjr*FY12ProjMajors!C13</f>
        <v>202780.28061118783</v>
      </c>
      <c r="D51" s="97">
        <f>FY12ProjRev!$E$5*GPpcntMjr*FY12ProjMajors!D13</f>
        <v>2104.9804687674964</v>
      </c>
      <c r="E51" s="97">
        <f>FY12ProjRev!$E$6*GPpcntMjr*FY12ProjMajors!E13</f>
        <v>0</v>
      </c>
      <c r="F51" s="97">
        <f>FY12ProjRev!$E$7*GPpcntMjr*FY12ProjMajors!F13</f>
        <v>0</v>
      </c>
      <c r="G51" s="97">
        <f>FY12ProjRev!$E$8*GPpcntMjr*FY12ProjMajors!G13</f>
        <v>0</v>
      </c>
      <c r="H51" s="97">
        <f>FY12ProjRev!$E$9*GPpcntMjr*FY12ProjMajors!H13</f>
        <v>0</v>
      </c>
      <c r="I51" s="97">
        <f>FY12ProjRev!$E$10*GPpcntMjr*FY12ProjMajors!I13</f>
        <v>0</v>
      </c>
      <c r="J51" s="97">
        <f>FY12ProjRev!$E$11*GPpcntMjr*FY12ProjMajors!J13</f>
        <v>0</v>
      </c>
      <c r="K51" s="97">
        <f>FY12ProjRev!$E$12*GPpcntMjr*FY12ProjMajors!K13</f>
        <v>0</v>
      </c>
      <c r="L51" s="97">
        <f>FY12ProjRev!$E$13*GPpcntMjr*FY12ProjMajors!L13</f>
        <v>0</v>
      </c>
      <c r="M51" s="97">
        <f>FY12ProjRev!$E$14*GPpcntMjr*FY12ProjMajors!M13</f>
        <v>0</v>
      </c>
      <c r="N51" s="97">
        <f>FY12ProjRev!$E$15*GPpcntMjr*FY12ProjMajors!N13</f>
        <v>2960421.604077138</v>
      </c>
      <c r="O51" s="97">
        <f>FY12ProjRev!$E$16*GPpcntMjr*FY12ProjMajors!O13</f>
        <v>1524.9162377727266</v>
      </c>
      <c r="P51" s="97">
        <f>FY12ProjRev!$E$17*GPpcntMjr*FY12ProjMajors!P13</f>
        <v>0</v>
      </c>
      <c r="Q51" s="97">
        <f>FY12ProjRev!$E$18*GPpcntMjr*FY12ProjMajors!Q13</f>
        <v>0</v>
      </c>
      <c r="R51" s="97">
        <f t="shared" si="4"/>
        <v>3166831.7813948663</v>
      </c>
    </row>
    <row r="52" spans="1:18" ht="15.95" customHeight="1">
      <c r="A52" s="96" t="s">
        <v>10</v>
      </c>
      <c r="B52" s="97">
        <f>+UGpcntDeg*FY12ProjMajors!B14*FY12ProjRev!E$3</f>
        <v>2095831.5343635301</v>
      </c>
      <c r="C52" s="97">
        <f>FY12ProjRev!$E$4*GPpcntMjr*FY12ProjMajors!C14</f>
        <v>1601337.0613213391</v>
      </c>
      <c r="D52" s="97">
        <f>FY12ProjRev!$E$5*GPpcntMjr*FY12ProjMajors!D14</f>
        <v>418891.11328473175</v>
      </c>
      <c r="E52" s="97">
        <f>FY12ProjRev!$E$6*GPpcntMjr*FY12ProjMajors!E14</f>
        <v>87582.278792983561</v>
      </c>
      <c r="F52" s="97">
        <f>FY12ProjRev!$E$7*GPpcntMjr*FY12ProjMajors!F14</f>
        <v>0</v>
      </c>
      <c r="G52" s="97">
        <f>FY12ProjRev!$E$8*GPpcntMjr*FY12ProjMajors!G14</f>
        <v>0</v>
      </c>
      <c r="H52" s="97">
        <f>FY12ProjRev!$E$9*GPpcntMjr*FY12ProjMajors!H14</f>
        <v>0</v>
      </c>
      <c r="I52" s="97">
        <f>FY12ProjRev!$E$10*GPpcntMjr*FY12ProjMajors!I14</f>
        <v>0</v>
      </c>
      <c r="J52" s="97">
        <f>FY12ProjRev!$E$11*GPpcntMjr*FY12ProjMajors!J14</f>
        <v>8336.9610042530585</v>
      </c>
      <c r="K52" s="97">
        <f>FY12ProjRev!$E$12*GPpcntMjr*FY12ProjMajors!K14</f>
        <v>0</v>
      </c>
      <c r="L52" s="97">
        <f>FY12ProjRev!$E$13*GPpcntMjr*FY12ProjMajors!L14</f>
        <v>0</v>
      </c>
      <c r="M52" s="97">
        <f>FY12ProjRev!$E$14*GPpcntMjr*FY12ProjMajors!M14</f>
        <v>8442761.3328075446</v>
      </c>
      <c r="N52" s="97">
        <f>FY12ProjRev!$E$15*GPpcntMjr*FY12ProjMajors!N14</f>
        <v>0</v>
      </c>
      <c r="O52" s="97">
        <f>FY12ProjRev!$E$16*GPpcntMjr*FY12ProjMajors!O14</f>
        <v>170790.61863054539</v>
      </c>
      <c r="P52" s="97">
        <f>FY12ProjRev!$E$17*GPpcntMjr*FY12ProjMajors!P14</f>
        <v>0</v>
      </c>
      <c r="Q52" s="97">
        <f>FY12ProjRev!$E$18*GPpcntMjr*FY12ProjMajors!Q14</f>
        <v>0</v>
      </c>
      <c r="R52" s="97">
        <f t="shared" si="4"/>
        <v>12825530.900204929</v>
      </c>
    </row>
    <row r="53" spans="1:18" ht="15.95" customHeight="1">
      <c r="A53" s="96" t="s">
        <v>11</v>
      </c>
      <c r="B53" s="97">
        <f>+UGpcntDeg*FY12ProjMajors!B15*FY12ProjRev!E$3</f>
        <v>1348706.4040580122</v>
      </c>
      <c r="C53" s="97">
        <f>FY12ProjRev!$E$4*GPpcntMjr*FY12ProjMajors!C15</f>
        <v>0</v>
      </c>
      <c r="D53" s="97">
        <f>FY12ProjRev!$E$5*GPpcntMjr*FY12ProjMajors!D15</f>
        <v>0</v>
      </c>
      <c r="E53" s="97">
        <f>FY12ProjRev!$E$6*GPpcntMjr*FY12ProjMajors!E15</f>
        <v>346436.56944780168</v>
      </c>
      <c r="F53" s="97">
        <f>FY12ProjRev!$E$7*GPpcntMjr*FY12ProjMajors!F15</f>
        <v>0</v>
      </c>
      <c r="G53" s="97">
        <f>FY12ProjRev!$E$8*GPpcntMjr*FY12ProjMajors!G15</f>
        <v>0</v>
      </c>
      <c r="H53" s="97">
        <f>FY12ProjRev!$E$9*GPpcntMjr*FY12ProjMajors!H15</f>
        <v>0</v>
      </c>
      <c r="I53" s="97">
        <f>FY12ProjRev!$E$10*GPpcntMjr*FY12ProjMajors!I15</f>
        <v>0</v>
      </c>
      <c r="J53" s="97">
        <f>FY12ProjRev!$E$11*GPpcntMjr*FY12ProjMajors!J15</f>
        <v>703083.7113586748</v>
      </c>
      <c r="K53" s="97">
        <f>FY12ProjRev!$E$12*GPpcntMjr*FY12ProjMajors!K15</f>
        <v>0</v>
      </c>
      <c r="L53" s="97">
        <f>FY12ProjRev!$E$13*GPpcntMjr*FY12ProjMajors!L15</f>
        <v>0</v>
      </c>
      <c r="M53" s="97">
        <f>FY12ProjRev!$E$14*GPpcntMjr*FY12ProjMajors!M15</f>
        <v>0</v>
      </c>
      <c r="N53" s="97">
        <f>FY12ProjRev!$E$15*GPpcntMjr*FY12ProjMajors!N15</f>
        <v>0</v>
      </c>
      <c r="O53" s="97">
        <f>FY12ProjRev!$E$16*GPpcntMjr*FY12ProjMajors!O15</f>
        <v>10674.413664409087</v>
      </c>
      <c r="P53" s="97">
        <f>FY12ProjRev!$E$17*GPpcntMjr*FY12ProjMajors!P15</f>
        <v>0</v>
      </c>
      <c r="Q53" s="97">
        <f>FY12ProjRev!$E$18*GPpcntMjr*FY12ProjMajors!Q15</f>
        <v>0</v>
      </c>
      <c r="R53" s="97">
        <f t="shared" si="4"/>
        <v>2408901.0985288974</v>
      </c>
    </row>
    <row r="54" spans="1:18" ht="15.95" customHeight="1">
      <c r="A54" s="96" t="s">
        <v>12</v>
      </c>
      <c r="B54" s="97">
        <f>+UGpcntDeg*FY12ProjMajors!B16*FY12ProjRev!E$3</f>
        <v>0</v>
      </c>
      <c r="C54" s="97">
        <f>FY12ProjRev!$E$4*GPpcntMjr*FY12ProjMajors!C16</f>
        <v>206961.31732482056</v>
      </c>
      <c r="D54" s="97">
        <f>FY12ProjRev!$E$5*GPpcntMjr*FY12ProjMajors!D16</f>
        <v>0</v>
      </c>
      <c r="E54" s="97">
        <f>FY12ProjRev!$E$6*GPpcntMjr*FY12ProjMajors!E16</f>
        <v>0</v>
      </c>
      <c r="F54" s="97">
        <f>FY12ProjRev!$E$7*GPpcntMjr*FY12ProjMajors!F16</f>
        <v>0</v>
      </c>
      <c r="G54" s="97">
        <f>FY12ProjRev!$E$8*GPpcntMjr*FY12ProjMajors!G16</f>
        <v>0</v>
      </c>
      <c r="H54" s="97">
        <f>FY12ProjRev!$E$9*GPpcntMjr*FY12ProjMajors!H16</f>
        <v>0</v>
      </c>
      <c r="I54" s="97">
        <f>FY12ProjRev!$E$10*GPpcntMjr*FY12ProjMajors!I16</f>
        <v>0</v>
      </c>
      <c r="J54" s="97">
        <f>FY12ProjRev!$E$11*GPpcntMjr*FY12ProjMajors!J16</f>
        <v>0</v>
      </c>
      <c r="K54" s="97">
        <f>FY12ProjRev!$E$12*GPpcntMjr*FY12ProjMajors!K16</f>
        <v>3405695.3870798107</v>
      </c>
      <c r="L54" s="97">
        <f>FY12ProjRev!$E$13*GPpcntMjr*FY12ProjMajors!L16</f>
        <v>0</v>
      </c>
      <c r="M54" s="97">
        <f>FY12ProjRev!$E$14*GPpcntMjr*FY12ProjMajors!M16</f>
        <v>0</v>
      </c>
      <c r="N54" s="97">
        <f>FY12ProjRev!$E$15*GPpcntMjr*FY12ProjMajors!N16</f>
        <v>0</v>
      </c>
      <c r="O54" s="97">
        <f>FY12ProjRev!$E$16*GPpcntMjr*FY12ProjMajors!O16</f>
        <v>0</v>
      </c>
      <c r="P54" s="97">
        <f>FY12ProjRev!$E$17*GPpcntMjr*FY12ProjMajors!P16</f>
        <v>0</v>
      </c>
      <c r="Q54" s="97">
        <f>FY12ProjRev!$E$18*GPpcntMjr*FY12ProjMajors!Q16</f>
        <v>0</v>
      </c>
      <c r="R54" s="97">
        <f>SUM(B54:Q54)</f>
        <v>3612656.7044046312</v>
      </c>
    </row>
    <row r="55" spans="1:18" ht="15.95" customHeight="1">
      <c r="A55" s="96" t="s">
        <v>7</v>
      </c>
      <c r="B55" s="97">
        <f>+UGpcntDeg*FY12ProjMajors!B17*FY12ProjRev!E$3</f>
        <v>562769.57867168868</v>
      </c>
      <c r="C55" s="97">
        <f>FY12ProjRev!$E$4*GPpcntMjr*FY12ProjMajors!C17</f>
        <v>88847.03016469568</v>
      </c>
      <c r="D55" s="97">
        <f>FY12ProjRev!$E$5*GPpcntMjr*FY12ProjMajors!D17</f>
        <v>2104.9804687674964</v>
      </c>
      <c r="E55" s="97">
        <f>FY12ProjRev!$E$6*GPpcntMjr*FY12ProjMajors!E17</f>
        <v>1751645.575859671</v>
      </c>
      <c r="F55" s="97">
        <f>FY12ProjRev!$E$7*GPpcntMjr*FY12ProjMajors!F17</f>
        <v>64809.489298066743</v>
      </c>
      <c r="G55" s="97">
        <f>FY12ProjRev!$E$8*GPpcntMjr*FY12ProjMajors!G17</f>
        <v>46673.669265211487</v>
      </c>
      <c r="H55" s="97">
        <f>FY12ProjRev!$E$9*GPpcntMjr*FY12ProjMajors!H17</f>
        <v>0</v>
      </c>
      <c r="I55" s="97">
        <f>FY12ProjRev!$E$10*GPpcntMjr*FY12ProjMajors!I17</f>
        <v>0</v>
      </c>
      <c r="J55" s="97">
        <f>FY12ProjRev!$E$11*GPpcntMjr*FY12ProjMajors!J17</f>
        <v>30568.857015594549</v>
      </c>
      <c r="K55" s="97">
        <f>FY12ProjRev!$E$12*GPpcntMjr*FY12ProjMajors!K17</f>
        <v>0</v>
      </c>
      <c r="L55" s="97">
        <f>FY12ProjRev!$E$13*GPpcntMjr*FY12ProjMajors!L17</f>
        <v>0</v>
      </c>
      <c r="M55" s="97">
        <f>FY12ProjRev!$E$14*GPpcntMjr*FY12ProjMajors!M17</f>
        <v>67006.042323869406</v>
      </c>
      <c r="N55" s="97">
        <f>FY12ProjRev!$E$15*GPpcntMjr*FY12ProjMajors!N17</f>
        <v>0</v>
      </c>
      <c r="O55" s="97">
        <f>FY12ProjRev!$E$16*GPpcntMjr*FY12ProjMajors!O17</f>
        <v>783806.9462151815</v>
      </c>
      <c r="P55" s="97">
        <f>FY12ProjRev!$E$17*GPpcntMjr*FY12ProjMajors!P17</f>
        <v>15969.552309318653</v>
      </c>
      <c r="Q55" s="97">
        <f>FY12ProjRev!$E$18*GPpcntMjr*FY12ProjMajors!Q17</f>
        <v>0</v>
      </c>
      <c r="R55" s="97">
        <f>SUM(B55:Q55)</f>
        <v>3414201.7215920645</v>
      </c>
    </row>
    <row r="56" spans="1:18" ht="15.95" customHeight="1">
      <c r="A56" s="96" t="s">
        <v>16</v>
      </c>
      <c r="B56" s="97">
        <f>+UGpcntDeg*FY12ProjMajors!B18*FY12ProjRev!E$3</f>
        <v>1251677.1663559971</v>
      </c>
      <c r="C56" s="97">
        <f>FY12ProjRev!$E$4*GPpcntMjr*FY12ProjMajors!C18</f>
        <v>0</v>
      </c>
      <c r="D56" s="97">
        <f>FY12ProjRev!$E$5*GPpcntMjr*FY12ProjMajors!D18</f>
        <v>0</v>
      </c>
      <c r="E56" s="97">
        <f>FY12ProjRev!$E$6*GPpcntMjr*FY12ProjMajors!E18</f>
        <v>13623.91003446411</v>
      </c>
      <c r="F56" s="97">
        <f>FY12ProjRev!$E$7*GPpcntMjr*FY12ProjMajors!F18</f>
        <v>0</v>
      </c>
      <c r="G56" s="97">
        <f>FY12ProjRev!$E$8*GPpcntMjr*FY12ProjMajors!G18</f>
        <v>0</v>
      </c>
      <c r="H56" s="97">
        <f>FY12ProjRev!$E$9*GPpcntMjr*FY12ProjMajors!H18</f>
        <v>0</v>
      </c>
      <c r="I56" s="97">
        <f>FY12ProjRev!$E$10*GPpcntMjr*FY12ProjMajors!I18</f>
        <v>0</v>
      </c>
      <c r="J56" s="97">
        <f>FY12ProjRev!$E$11*GPpcntMjr*FY12ProjMajors!J18</f>
        <v>0</v>
      </c>
      <c r="K56" s="97">
        <f>FY12ProjRev!$E$12*GPpcntMjr*FY12ProjMajors!K18</f>
        <v>0</v>
      </c>
      <c r="L56" s="97">
        <f>FY12ProjRev!$E$13*GPpcntMjr*FY12ProjMajors!L18</f>
        <v>0</v>
      </c>
      <c r="M56" s="97">
        <f>FY12ProjRev!$E$14*GPpcntMjr*FY12ProjMajors!M18</f>
        <v>0</v>
      </c>
      <c r="N56" s="97">
        <f>FY12ProjRev!$E$15*GPpcntMjr*FY12ProjMajors!N18</f>
        <v>0</v>
      </c>
      <c r="O56" s="97">
        <f>FY12ProjRev!$E$16*GPpcntMjr*FY12ProjMajors!O18</f>
        <v>0</v>
      </c>
      <c r="P56" s="97">
        <f>FY12ProjRev!$E$17*GPpcntMjr*FY12ProjMajors!P18</f>
        <v>0</v>
      </c>
      <c r="Q56" s="97">
        <f>FY12ProjRev!$E$18*GPpcntMjr*FY12ProjMajors!Q18</f>
        <v>0</v>
      </c>
      <c r="R56" s="97">
        <f>SUM(B56:Q56)</f>
        <v>1265301.0763904613</v>
      </c>
    </row>
    <row r="57" spans="1:18" ht="15.95" customHeight="1">
      <c r="A57" s="101" t="s">
        <v>44</v>
      </c>
      <c r="B57" s="102">
        <f>+UGpcntDeg*FY12ProjMajors!B19*FY12ProjRev!E$3</f>
        <v>465740.34096967336</v>
      </c>
      <c r="C57" s="102">
        <f>FY12ProjRev!$E$4*GPpcntMjr*FY12ProjMajors!C19</f>
        <v>1089160.0639013285</v>
      </c>
      <c r="D57" s="102">
        <f>FY12ProjRev!$E$5*GPpcntMjr*FY12ProjMajors!D19</f>
        <v>33679.687500279942</v>
      </c>
      <c r="E57" s="102">
        <f>FY12ProjRev!$E$6*GPpcntMjr*FY12ProjMajors!E19</f>
        <v>251069.19920655288</v>
      </c>
      <c r="F57" s="102">
        <f>FY12ProjRev!$E$7*GPpcntMjr*FY12ProjMajors!F19</f>
        <v>93163.640865970941</v>
      </c>
      <c r="G57" s="102">
        <f>FY12ProjRev!$E$8*GPpcntMjr*FY12ProjMajors!G19</f>
        <v>46673.669265211487</v>
      </c>
      <c r="H57" s="102">
        <f>FY12ProjRev!$E$9*GPpcntMjr*FY12ProjMajors!H19</f>
        <v>8129.0500206565002</v>
      </c>
      <c r="I57" s="102">
        <f>FY12ProjRev!$E$10*GPpcntMjr*FY12ProjMajors!I19</f>
        <v>98210.843854676903</v>
      </c>
      <c r="J57" s="102">
        <f>FY12ProjRev!$E$11*GPpcntMjr*FY12ProjMajors!J19</f>
        <v>0</v>
      </c>
      <c r="K57" s="102">
        <f>FY12ProjRev!$E$12*GPpcntMjr*FY12ProjMajors!K19</f>
        <v>0</v>
      </c>
      <c r="L57" s="102">
        <f>FY12ProjRev!$E$13*GPpcntMjr*FY12ProjMajors!L19</f>
        <v>4451.6432907001863</v>
      </c>
      <c r="M57" s="102">
        <f>FY12ProjRev!$E$14*GPpcntMjr*FY12ProjMajors!M19</f>
        <v>104231.62139268575</v>
      </c>
      <c r="N57" s="102">
        <f>FY12ProjRev!$E$15*GPpcntMjr*FY12ProjMajors!N19</f>
        <v>0</v>
      </c>
      <c r="O57" s="102">
        <f>FY12ProjRev!$E$16*GPpcntMjr*FY12ProjMajors!O19</f>
        <v>16774.078615499995</v>
      </c>
      <c r="P57" s="102">
        <f>FY12ProjRev!$E$17*GPpcntMjr*FY12ProjMajors!P19</f>
        <v>0</v>
      </c>
      <c r="Q57" s="102">
        <f>FY12ProjRev!$E$18*GPpcntMjr*FY12ProjMajors!Q19</f>
        <v>0</v>
      </c>
      <c r="R57" s="102">
        <f>SUM(B57:Q57)</f>
        <v>2211283.8388832365</v>
      </c>
    </row>
    <row r="58" spans="1:18" ht="15.95" customHeight="1">
      <c r="A58" s="104" t="s">
        <v>34</v>
      </c>
      <c r="B58" s="105">
        <f>SUM(B41:B57)</f>
        <v>82814454.378670022</v>
      </c>
      <c r="C58" s="105">
        <f t="shared" ref="C58:R58" si="5">SUM(C41:C57)</f>
        <v>13435761.479258806</v>
      </c>
      <c r="D58" s="105">
        <f t="shared" si="5"/>
        <v>3229040.0390893398</v>
      </c>
      <c r="E58" s="105">
        <f t="shared" si="5"/>
        <v>8368973.3068850935</v>
      </c>
      <c r="F58" s="105">
        <f t="shared" si="5"/>
        <v>2823263.3775470322</v>
      </c>
      <c r="G58" s="105">
        <f t="shared" si="5"/>
        <v>2600112.3253161572</v>
      </c>
      <c r="H58" s="105">
        <f t="shared" si="5"/>
        <v>465388.11368258478</v>
      </c>
      <c r="I58" s="105">
        <f t="shared" si="5"/>
        <v>3105195.7983464031</v>
      </c>
      <c r="J58" s="105">
        <f t="shared" si="5"/>
        <v>741989.52937852242</v>
      </c>
      <c r="K58" s="105">
        <f t="shared" si="5"/>
        <v>3405695.3870798107</v>
      </c>
      <c r="L58" s="105">
        <f t="shared" si="5"/>
        <v>7229468.7040971043</v>
      </c>
      <c r="M58" s="105">
        <f t="shared" si="5"/>
        <v>8640056.9018722698</v>
      </c>
      <c r="N58" s="105">
        <f t="shared" si="5"/>
        <v>2960421.604077138</v>
      </c>
      <c r="O58" s="105">
        <f t="shared" si="5"/>
        <v>1027793.5442588178</v>
      </c>
      <c r="P58" s="105">
        <f t="shared" si="5"/>
        <v>1554369.7581070154</v>
      </c>
      <c r="Q58" s="105">
        <f t="shared" si="5"/>
        <v>575351.17082502041</v>
      </c>
      <c r="R58" s="105">
        <f t="shared" si="5"/>
        <v>142977335.41849118</v>
      </c>
    </row>
  </sheetData>
  <mergeCells count="3">
    <mergeCell ref="A1:R1"/>
    <mergeCell ref="A21:R21"/>
    <mergeCell ref="A40:R40"/>
  </mergeCells>
  <printOptions horizontalCentered="1"/>
  <pageMargins left="0.2" right="0.25" top="0.5" bottom="0.5" header="0.05" footer="0.05"/>
  <pageSetup scale="55" orientation="landscape" r:id="rId1"/>
  <headerFooter>
    <oddFooter xml:space="preserve">&amp;L&amp;9&amp;Z&amp;F, &amp;A
Revised/Printed &amp;D, &amp;T&amp;R&amp;9Page &amp;P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topLeftCell="B1" workbookViewId="0">
      <selection activeCell="F18" sqref="F18:F19"/>
    </sheetView>
  </sheetViews>
  <sheetFormatPr defaultColWidth="8.85546875" defaultRowHeight="15"/>
  <cols>
    <col min="1" max="1" width="36.85546875" style="32" customWidth="1"/>
    <col min="2" max="4" width="18.140625" style="32" customWidth="1"/>
    <col min="5" max="5" width="19.28515625" style="32" customWidth="1"/>
    <col min="6" max="6" width="16.42578125" style="32" customWidth="1"/>
    <col min="7" max="7" width="8.85546875" style="32"/>
    <col min="8" max="12" width="28.85546875" style="32" customWidth="1"/>
    <col min="13" max="16384" width="8.85546875" style="32"/>
  </cols>
  <sheetData>
    <row r="1" spans="1:13" s="75" customFormat="1" ht="22.5" customHeight="1">
      <c r="A1" s="665" t="s">
        <v>334</v>
      </c>
      <c r="B1" s="665"/>
      <c r="C1" s="666"/>
      <c r="D1" s="666"/>
      <c r="E1" s="665"/>
    </row>
    <row r="2" spans="1:13" s="68" customFormat="1" ht="32.25" customHeight="1">
      <c r="A2" s="63" t="s">
        <v>103</v>
      </c>
      <c r="B2" s="63" t="s">
        <v>110</v>
      </c>
      <c r="C2" s="64" t="s">
        <v>391</v>
      </c>
      <c r="D2" s="470" t="s">
        <v>392</v>
      </c>
      <c r="E2" s="63" t="s">
        <v>81</v>
      </c>
      <c r="I2" s="69"/>
      <c r="J2" s="69"/>
      <c r="K2" s="69"/>
      <c r="M2" s="12"/>
    </row>
    <row r="3" spans="1:13" ht="18" customHeight="1">
      <c r="A3" s="29" t="s">
        <v>21</v>
      </c>
      <c r="B3" s="57">
        <v>301291971.06447995</v>
      </c>
      <c r="C3" s="608">
        <f>+B3-5461200</f>
        <v>295830771.06447995</v>
      </c>
      <c r="D3" s="608">
        <f>+C3*D$27</f>
        <v>295765908.49525017</v>
      </c>
      <c r="E3" s="51">
        <f>0.7*D3</f>
        <v>207036135.94667509</v>
      </c>
      <c r="H3"/>
      <c r="I3"/>
      <c r="J3"/>
      <c r="K3"/>
      <c r="M3" s="28"/>
    </row>
    <row r="4" spans="1:13" ht="18" customHeight="1">
      <c r="A4" s="29" t="s">
        <v>35</v>
      </c>
      <c r="B4" s="57">
        <v>23997692.842804678</v>
      </c>
      <c r="C4" s="608">
        <f>+B4</f>
        <v>23997692.842804678</v>
      </c>
      <c r="D4" s="608">
        <f t="shared" ref="D4:D18" si="0">+C4*D$27</f>
        <v>23992431.212962147</v>
      </c>
      <c r="E4" s="51">
        <f t="shared" ref="E4:E18" si="1">0.7*D4</f>
        <v>16794701.849073503</v>
      </c>
      <c r="H4"/>
      <c r="I4"/>
      <c r="J4"/>
      <c r="K4"/>
      <c r="M4" s="28"/>
    </row>
    <row r="5" spans="1:13" ht="18" customHeight="1">
      <c r="A5" s="29" t="s">
        <v>36</v>
      </c>
      <c r="B5" s="57">
        <v>5767407.4636414833</v>
      </c>
      <c r="C5" s="608">
        <f t="shared" ref="C5:C18" si="2">+B5</f>
        <v>5767407.4636414833</v>
      </c>
      <c r="D5" s="608">
        <f t="shared" si="0"/>
        <v>5766142.9269452477</v>
      </c>
      <c r="E5" s="51">
        <f t="shared" si="1"/>
        <v>4036300.0488616731</v>
      </c>
      <c r="H5"/>
      <c r="I5"/>
      <c r="J5"/>
      <c r="K5"/>
      <c r="M5" s="28"/>
    </row>
    <row r="6" spans="1:13" ht="18" customHeight="1">
      <c r="A6" s="29" t="s">
        <v>37</v>
      </c>
      <c r="B6" s="57">
        <v>14947872.596450642</v>
      </c>
      <c r="C6" s="608">
        <f t="shared" si="2"/>
        <v>14947872.596450642</v>
      </c>
      <c r="D6" s="608">
        <f t="shared" si="0"/>
        <v>14944595.190866238</v>
      </c>
      <c r="E6" s="51">
        <f t="shared" si="1"/>
        <v>10461216.633606365</v>
      </c>
      <c r="H6"/>
      <c r="I6"/>
      <c r="J6"/>
      <c r="K6"/>
      <c r="M6" s="28"/>
    </row>
    <row r="7" spans="1:13" ht="18" customHeight="1">
      <c r="A7" s="29" t="s">
        <v>38</v>
      </c>
      <c r="B7" s="57">
        <v>5042647.3745684996</v>
      </c>
      <c r="C7" s="608">
        <f t="shared" si="2"/>
        <v>5042647.3745684996</v>
      </c>
      <c r="D7" s="608">
        <f t="shared" si="0"/>
        <v>5041541.7456197012</v>
      </c>
      <c r="E7" s="51">
        <f t="shared" si="1"/>
        <v>3529079.2219337905</v>
      </c>
      <c r="H7"/>
      <c r="I7"/>
      <c r="J7"/>
      <c r="K7"/>
      <c r="M7" s="28"/>
    </row>
    <row r="8" spans="1:13" ht="18" customHeight="1">
      <c r="A8" s="29" t="s">
        <v>39</v>
      </c>
      <c r="B8" s="57">
        <v>4644075.9636922302</v>
      </c>
      <c r="C8" s="608">
        <f t="shared" si="2"/>
        <v>4644075.9636922302</v>
      </c>
      <c r="D8" s="608">
        <f t="shared" si="0"/>
        <v>4643057.7237788513</v>
      </c>
      <c r="E8" s="51">
        <f t="shared" si="1"/>
        <v>3250140.4066451956</v>
      </c>
      <c r="H8"/>
      <c r="I8"/>
      <c r="J8"/>
      <c r="K8"/>
      <c r="M8" s="28"/>
    </row>
    <row r="9" spans="1:13" ht="18" customHeight="1">
      <c r="A9" s="29" t="s">
        <v>40</v>
      </c>
      <c r="B9" s="57">
        <v>831232.45542038605</v>
      </c>
      <c r="C9" s="608">
        <f t="shared" si="2"/>
        <v>831232.45542038605</v>
      </c>
      <c r="D9" s="608">
        <f t="shared" si="0"/>
        <v>831050.2030046155</v>
      </c>
      <c r="E9" s="51">
        <f t="shared" si="1"/>
        <v>581735.14210323081</v>
      </c>
      <c r="H9"/>
      <c r="I9"/>
      <c r="J9"/>
      <c r="K9"/>
      <c r="M9" s="28"/>
    </row>
    <row r="10" spans="1:13" ht="18" customHeight="1">
      <c r="A10" s="29" t="s">
        <v>41</v>
      </c>
      <c r="B10" s="57">
        <v>5546208.5346275037</v>
      </c>
      <c r="C10" s="608">
        <f t="shared" si="2"/>
        <v>5546208.5346275037</v>
      </c>
      <c r="D10" s="608">
        <f t="shared" si="0"/>
        <v>5544992.4970471477</v>
      </c>
      <c r="E10" s="51">
        <f t="shared" si="1"/>
        <v>3881494.7479330031</v>
      </c>
      <c r="H10"/>
      <c r="I10"/>
      <c r="J10"/>
      <c r="K10"/>
      <c r="M10" s="28"/>
    </row>
    <row r="11" spans="1:13" ht="18" customHeight="1">
      <c r="A11" s="29" t="s">
        <v>19</v>
      </c>
      <c r="B11" s="57">
        <v>1325271.8758137159</v>
      </c>
      <c r="C11" s="608">
        <f t="shared" si="2"/>
        <v>1325271.8758137159</v>
      </c>
      <c r="D11" s="608">
        <f t="shared" si="0"/>
        <v>1324981.3024616472</v>
      </c>
      <c r="E11" s="51">
        <f t="shared" si="1"/>
        <v>927486.91172315297</v>
      </c>
      <c r="H11"/>
      <c r="I11"/>
      <c r="J11"/>
      <c r="K11"/>
      <c r="M11" s="28"/>
    </row>
    <row r="12" spans="1:13" ht="18" customHeight="1">
      <c r="A12" s="29" t="s">
        <v>42</v>
      </c>
      <c r="B12" s="57">
        <v>6082932.6228710879</v>
      </c>
      <c r="C12" s="608">
        <f t="shared" si="2"/>
        <v>6082932.6228710879</v>
      </c>
      <c r="D12" s="608">
        <f t="shared" si="0"/>
        <v>6081598.9054996613</v>
      </c>
      <c r="E12" s="51">
        <f t="shared" si="1"/>
        <v>4257119.2338497629</v>
      </c>
      <c r="H12"/>
      <c r="I12"/>
      <c r="J12"/>
      <c r="K12"/>
      <c r="M12" s="28"/>
    </row>
    <row r="13" spans="1:13" ht="18" customHeight="1">
      <c r="A13" s="29" t="s">
        <v>98</v>
      </c>
      <c r="B13" s="57">
        <v>12912596.702867508</v>
      </c>
      <c r="C13" s="608">
        <f t="shared" si="2"/>
        <v>12912596.702867508</v>
      </c>
      <c r="D13" s="608">
        <f t="shared" si="0"/>
        <v>12909765.543030543</v>
      </c>
      <c r="E13" s="51">
        <f t="shared" si="1"/>
        <v>9036835.8801213801</v>
      </c>
      <c r="H13"/>
      <c r="I13"/>
      <c r="J13"/>
      <c r="K13"/>
      <c r="M13" s="28"/>
    </row>
    <row r="14" spans="1:13" ht="18" customHeight="1">
      <c r="A14" s="29" t="s">
        <v>20</v>
      </c>
      <c r="B14" s="57">
        <v>15432056.604723498</v>
      </c>
      <c r="C14" s="608">
        <f t="shared" si="2"/>
        <v>15432056.604723498</v>
      </c>
      <c r="D14" s="608">
        <f t="shared" si="0"/>
        <v>15428673.039057627</v>
      </c>
      <c r="E14" s="51">
        <f t="shared" si="1"/>
        <v>10800071.127340339</v>
      </c>
      <c r="H14"/>
      <c r="I14"/>
      <c r="J14"/>
      <c r="K14"/>
      <c r="M14" s="28"/>
    </row>
    <row r="15" spans="1:13" ht="18" customHeight="1">
      <c r="A15" s="29" t="s">
        <v>18</v>
      </c>
      <c r="B15" s="57">
        <v>5287626.492143224</v>
      </c>
      <c r="C15" s="608">
        <f t="shared" si="2"/>
        <v>5287626.492143224</v>
      </c>
      <c r="D15" s="608">
        <f t="shared" si="0"/>
        <v>5286467.1501377467</v>
      </c>
      <c r="E15" s="51">
        <f t="shared" si="1"/>
        <v>3700527.0050964225</v>
      </c>
      <c r="H15"/>
      <c r="I15"/>
      <c r="J15"/>
      <c r="K15"/>
      <c r="M15" s="28"/>
    </row>
    <row r="16" spans="1:13" ht="18" customHeight="1">
      <c r="A16" s="29" t="s">
        <v>49</v>
      </c>
      <c r="B16" s="57">
        <v>1835748.1129012522</v>
      </c>
      <c r="C16" s="608">
        <f t="shared" si="2"/>
        <v>1835748.1129012522</v>
      </c>
      <c r="D16" s="608">
        <f t="shared" si="0"/>
        <v>1835345.6147478889</v>
      </c>
      <c r="E16" s="51">
        <f t="shared" si="1"/>
        <v>1284741.9303235221</v>
      </c>
      <c r="H16"/>
      <c r="I16"/>
      <c r="J16"/>
      <c r="K16"/>
      <c r="M16" s="28"/>
    </row>
    <row r="17" spans="1:13" ht="18" customHeight="1">
      <c r="A17" s="29" t="s">
        <v>68</v>
      </c>
      <c r="B17" s="57">
        <v>2776268.9950085753</v>
      </c>
      <c r="C17" s="608">
        <f t="shared" si="2"/>
        <v>2776268.9950085753</v>
      </c>
      <c r="D17" s="608">
        <f t="shared" si="0"/>
        <v>2775660.2823339561</v>
      </c>
      <c r="E17" s="51">
        <f t="shared" si="1"/>
        <v>1942962.1976337691</v>
      </c>
      <c r="H17"/>
      <c r="I17"/>
      <c r="J17"/>
      <c r="K17"/>
      <c r="M17" s="28"/>
    </row>
    <row r="18" spans="1:13" ht="18" customHeight="1">
      <c r="A18" s="29" t="s">
        <v>69</v>
      </c>
      <c r="B18" s="57">
        <v>1027638.12051303</v>
      </c>
      <c r="C18" s="608">
        <f t="shared" si="2"/>
        <v>1027638.12051303</v>
      </c>
      <c r="D18" s="608">
        <f t="shared" si="0"/>
        <v>1027412.8050446793</v>
      </c>
      <c r="E18" s="51">
        <f t="shared" si="1"/>
        <v>719188.96353127551</v>
      </c>
      <c r="F18" s="601" t="s">
        <v>335</v>
      </c>
      <c r="H18"/>
      <c r="I18"/>
      <c r="J18"/>
      <c r="K18"/>
      <c r="M18" s="28"/>
    </row>
    <row r="19" spans="1:13" ht="18" customHeight="1">
      <c r="A19" s="65" t="s">
        <v>106</v>
      </c>
      <c r="B19" s="14">
        <f>SUM(B3:B18)</f>
        <v>408749247.82252729</v>
      </c>
      <c r="C19" s="190">
        <f>SUM(C3:C18)</f>
        <v>403288047.82252729</v>
      </c>
      <c r="D19" s="190">
        <f>SUM(D3:D18)</f>
        <v>403199624.63778776</v>
      </c>
      <c r="E19" s="14">
        <f>SUM(E3:E18)</f>
        <v>282239737.2464515</v>
      </c>
      <c r="F19" s="606">
        <f>+D19-E19</f>
        <v>120959887.39133626</v>
      </c>
      <c r="H19"/>
      <c r="I19"/>
      <c r="J19"/>
      <c r="K19"/>
      <c r="M19" s="28"/>
    </row>
    <row r="20" spans="1:13" ht="18" customHeight="1">
      <c r="A20" s="65" t="s">
        <v>107</v>
      </c>
      <c r="B20" s="27">
        <v>31114957.334717046</v>
      </c>
      <c r="C20" s="609">
        <f>+B20-599400</f>
        <v>30515557.334717046</v>
      </c>
      <c r="D20" s="609">
        <f t="shared" ref="D20:D21" si="3">+C20*D$27</f>
        <v>30508866.626231629</v>
      </c>
      <c r="E20" s="52"/>
      <c r="H20"/>
      <c r="I20"/>
      <c r="J20"/>
      <c r="K20"/>
      <c r="M20" s="28"/>
    </row>
    <row r="21" spans="1:13" ht="18" customHeight="1">
      <c r="A21" s="65" t="s">
        <v>108</v>
      </c>
      <c r="B21" s="27">
        <v>30397442.12519924</v>
      </c>
      <c r="C21" s="609">
        <f>+B21-599400</f>
        <v>29798042.12519924</v>
      </c>
      <c r="D21" s="609">
        <f t="shared" si="3"/>
        <v>29791508.735980455</v>
      </c>
      <c r="E21" s="52"/>
      <c r="H21"/>
      <c r="I21"/>
      <c r="J21"/>
      <c r="K21"/>
    </row>
    <row r="22" spans="1:13" ht="18" customHeight="1">
      <c r="A22" s="71" t="s">
        <v>109</v>
      </c>
      <c r="B22" s="30">
        <f>SUM(B19:B21)</f>
        <v>470261647.28244358</v>
      </c>
      <c r="C22" s="557">
        <f>SUM(C19:C21)</f>
        <v>463601647.28244358</v>
      </c>
      <c r="D22" s="557">
        <f>SUM(D19:D21)</f>
        <v>463499999.99999982</v>
      </c>
      <c r="E22" s="53"/>
      <c r="F22" s="8"/>
      <c r="H22"/>
      <c r="I22"/>
      <c r="J22"/>
      <c r="K22"/>
    </row>
    <row r="23" spans="1:13">
      <c r="B23" s="7"/>
      <c r="C23" s="7"/>
      <c r="D23" s="7"/>
      <c r="E23" s="10"/>
      <c r="H23"/>
      <c r="I23"/>
      <c r="J23"/>
      <c r="K23"/>
    </row>
    <row r="24" spans="1:13">
      <c r="H24"/>
      <c r="I24"/>
      <c r="J24"/>
      <c r="K24"/>
    </row>
    <row r="25" spans="1:13">
      <c r="H25"/>
      <c r="I25"/>
      <c r="J25"/>
      <c r="K25"/>
    </row>
    <row r="26" spans="1:13">
      <c r="H26"/>
      <c r="I26"/>
      <c r="J26"/>
      <c r="K26"/>
    </row>
    <row r="27" spans="1:13" hidden="1">
      <c r="D27" s="32">
        <v>0.99978074434584208</v>
      </c>
      <c r="H27"/>
      <c r="I27"/>
      <c r="J27"/>
      <c r="K27"/>
    </row>
    <row r="28" spans="1:13">
      <c r="H28"/>
      <c r="I28"/>
      <c r="J28"/>
      <c r="K28"/>
    </row>
    <row r="29" spans="1:13">
      <c r="H29"/>
      <c r="I29"/>
      <c r="J29"/>
      <c r="K29"/>
    </row>
    <row r="30" spans="1:13">
      <c r="H30"/>
      <c r="I30"/>
      <c r="J30"/>
      <c r="K30"/>
    </row>
    <row r="31" spans="1:13">
      <c r="H31"/>
      <c r="I31"/>
      <c r="J31"/>
      <c r="K31"/>
    </row>
    <row r="32" spans="1:13">
      <c r="H32"/>
      <c r="I32"/>
      <c r="J32"/>
      <c r="K32"/>
    </row>
    <row r="33" spans="8:11">
      <c r="H33"/>
      <c r="I33"/>
      <c r="J33"/>
      <c r="K33"/>
    </row>
    <row r="34" spans="8:11">
      <c r="H34"/>
      <c r="I34"/>
      <c r="J34"/>
      <c r="K34"/>
    </row>
    <row r="35" spans="8:11">
      <c r="H35"/>
      <c r="I35"/>
      <c r="J35"/>
      <c r="K35"/>
    </row>
    <row r="36" spans="8:11">
      <c r="H36"/>
      <c r="I36"/>
      <c r="J36"/>
      <c r="K36"/>
    </row>
    <row r="37" spans="8:11">
      <c r="H37"/>
      <c r="I37"/>
      <c r="J37"/>
      <c r="K37"/>
    </row>
    <row r="38" spans="8:11">
      <c r="H38"/>
      <c r="I38"/>
      <c r="J38"/>
      <c r="K38"/>
    </row>
    <row r="39" spans="8:11">
      <c r="H39"/>
      <c r="I39"/>
      <c r="J39"/>
      <c r="K39"/>
    </row>
    <row r="40" spans="8:11">
      <c r="H40"/>
      <c r="I40"/>
      <c r="J40"/>
      <c r="K40"/>
    </row>
    <row r="41" spans="8:11">
      <c r="H41"/>
      <c r="I41"/>
      <c r="J41"/>
      <c r="K41"/>
    </row>
    <row r="42" spans="8:11">
      <c r="H42"/>
      <c r="I42"/>
      <c r="J42"/>
      <c r="K42"/>
    </row>
    <row r="43" spans="8:11">
      <c r="H43"/>
      <c r="I43"/>
      <c r="J43"/>
      <c r="K43"/>
    </row>
    <row r="44" spans="8:11">
      <c r="H44"/>
      <c r="I44"/>
      <c r="J44"/>
      <c r="K44"/>
    </row>
    <row r="45" spans="8:11">
      <c r="H45"/>
      <c r="I45"/>
      <c r="J45"/>
      <c r="K45"/>
    </row>
    <row r="46" spans="8:11">
      <c r="H46"/>
      <c r="I46"/>
      <c r="J46"/>
      <c r="K46"/>
    </row>
    <row r="47" spans="8:11">
      <c r="H47"/>
      <c r="I47"/>
      <c r="J47"/>
      <c r="K47"/>
    </row>
    <row r="48" spans="8:11">
      <c r="H48"/>
      <c r="I48"/>
      <c r="J48"/>
      <c r="K48"/>
    </row>
  </sheetData>
  <mergeCells count="1">
    <mergeCell ref="A1:E1"/>
  </mergeCells>
  <printOptions horizontalCentered="1"/>
  <pageMargins left="0.5" right="0.5" top="1" bottom="0.5" header="0.05" footer="0.05"/>
  <pageSetup orientation="portrait" r:id="rId1"/>
  <headerFooter>
    <oddFooter xml:space="preserve">&amp;L&amp;9&amp;Z&amp;F, &amp;A
Revised/Printed &amp;D, &amp;T&amp;R&amp;9Page &amp;P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workbookViewId="0"/>
  </sheetViews>
  <sheetFormatPr defaultColWidth="8.85546875" defaultRowHeight="18" customHeight="1"/>
  <cols>
    <col min="1" max="1" width="53.7109375" style="32" customWidth="1"/>
    <col min="2" max="17" width="12.7109375" style="32" customWidth="1"/>
    <col min="18" max="16384" width="8.85546875" style="32"/>
  </cols>
  <sheetData>
    <row r="1" spans="1:25" ht="18" customHeight="1">
      <c r="A1" s="13" t="s">
        <v>343</v>
      </c>
      <c r="B1" s="13"/>
      <c r="C1" s="6"/>
      <c r="D1" s="6"/>
      <c r="E1" s="6"/>
      <c r="F1" s="6"/>
      <c r="G1" s="6"/>
      <c r="H1" s="6"/>
      <c r="I1" s="6"/>
      <c r="J1" s="6"/>
      <c r="K1" s="6"/>
      <c r="L1" s="6"/>
      <c r="M1" s="6"/>
      <c r="N1" s="6"/>
      <c r="O1" s="6"/>
      <c r="P1" s="6"/>
    </row>
    <row r="2" spans="1:25" s="18" customFormat="1" ht="47.25" customHeight="1">
      <c r="A2" s="120" t="s">
        <v>78</v>
      </c>
      <c r="B2" s="120" t="s">
        <v>101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c r="A3" s="143" t="s">
        <v>0</v>
      </c>
      <c r="B3" s="129">
        <f>+B23/B$40</f>
        <v>1.8160515524311659E-2</v>
      </c>
      <c r="C3" s="129">
        <f t="shared" ref="C3:Q3" si="0">+C23/C$40</f>
        <v>4.4344173020071575E-3</v>
      </c>
      <c r="D3" s="129">
        <f t="shared" si="0"/>
        <v>0</v>
      </c>
      <c r="E3" s="129">
        <f t="shared" si="0"/>
        <v>4.6511627906976758E-4</v>
      </c>
      <c r="F3" s="129">
        <f t="shared" si="0"/>
        <v>0</v>
      </c>
      <c r="G3" s="129">
        <f t="shared" si="0"/>
        <v>0</v>
      </c>
      <c r="H3" s="129">
        <f t="shared" si="0"/>
        <v>0</v>
      </c>
      <c r="I3" s="129">
        <f t="shared" si="0"/>
        <v>0.9246511627906977</v>
      </c>
      <c r="J3" s="129">
        <f t="shared" si="0"/>
        <v>0</v>
      </c>
      <c r="K3" s="129">
        <f t="shared" si="0"/>
        <v>0</v>
      </c>
      <c r="L3" s="129">
        <f t="shared" si="0"/>
        <v>0</v>
      </c>
      <c r="M3" s="129">
        <f t="shared" si="0"/>
        <v>0</v>
      </c>
      <c r="N3" s="129">
        <f t="shared" si="0"/>
        <v>0</v>
      </c>
      <c r="O3" s="129">
        <f t="shared" si="0"/>
        <v>0</v>
      </c>
      <c r="P3" s="129">
        <f t="shared" si="0"/>
        <v>0</v>
      </c>
      <c r="Q3" s="129">
        <f t="shared" si="0"/>
        <v>0</v>
      </c>
      <c r="R3" s="54"/>
      <c r="S3" s="55"/>
      <c r="T3" s="54"/>
      <c r="U3" s="54"/>
      <c r="V3" s="54"/>
      <c r="W3" s="54"/>
      <c r="X3" s="54"/>
      <c r="Y3" s="54"/>
    </row>
    <row r="4" spans="1:25" ht="21" customHeight="1">
      <c r="A4" s="143" t="s">
        <v>1</v>
      </c>
      <c r="B4" s="129">
        <f t="shared" ref="B4:Q19" si="1">+B24/B$40</f>
        <v>0.67850029291154068</v>
      </c>
      <c r="C4" s="129">
        <f t="shared" si="1"/>
        <v>0.51345884549556564</v>
      </c>
      <c r="D4" s="129">
        <f t="shared" si="1"/>
        <v>1.3037809647979141E-3</v>
      </c>
      <c r="E4" s="129">
        <f t="shared" si="1"/>
        <v>7.6744186046511656E-3</v>
      </c>
      <c r="F4" s="129">
        <f t="shared" si="1"/>
        <v>1.2912482065997131E-2</v>
      </c>
      <c r="G4" s="129">
        <f t="shared" si="1"/>
        <v>0.1032161555721765</v>
      </c>
      <c r="H4" s="129">
        <f t="shared" si="1"/>
        <v>2.6200873362445417E-2</v>
      </c>
      <c r="I4" s="129">
        <f t="shared" si="1"/>
        <v>0</v>
      </c>
      <c r="J4" s="129">
        <f t="shared" si="1"/>
        <v>0</v>
      </c>
      <c r="K4" s="129">
        <f t="shared" si="1"/>
        <v>0</v>
      </c>
      <c r="L4" s="129">
        <f t="shared" si="1"/>
        <v>2.4630541871921178E-3</v>
      </c>
      <c r="M4" s="129">
        <f t="shared" si="1"/>
        <v>1.723395088323998E-3</v>
      </c>
      <c r="N4" s="129">
        <f t="shared" si="1"/>
        <v>0</v>
      </c>
      <c r="O4" s="129">
        <f t="shared" si="1"/>
        <v>1.3353115727002969E-2</v>
      </c>
      <c r="P4" s="129">
        <f t="shared" si="1"/>
        <v>3.424657534246576E-3</v>
      </c>
      <c r="Q4" s="129">
        <f t="shared" si="1"/>
        <v>0</v>
      </c>
      <c r="R4" s="54"/>
      <c r="S4" s="55"/>
      <c r="T4" s="54"/>
      <c r="U4" s="54"/>
      <c r="V4" s="54"/>
      <c r="W4" s="54"/>
      <c r="X4" s="54"/>
      <c r="Y4" s="54"/>
    </row>
    <row r="5" spans="1:25" ht="21" customHeight="1">
      <c r="A5" s="143" t="s">
        <v>6</v>
      </c>
      <c r="B5" s="129">
        <f t="shared" si="1"/>
        <v>9.9121265377855886E-2</v>
      </c>
      <c r="C5" s="129">
        <f t="shared" si="1"/>
        <v>1.812665318188891E-2</v>
      </c>
      <c r="D5" s="129">
        <f t="shared" si="1"/>
        <v>0</v>
      </c>
      <c r="E5" s="129">
        <f t="shared" si="1"/>
        <v>4.8837209302325596E-3</v>
      </c>
      <c r="F5" s="129">
        <f t="shared" si="1"/>
        <v>0.9182209469153515</v>
      </c>
      <c r="G5" s="129">
        <f t="shared" si="1"/>
        <v>0</v>
      </c>
      <c r="H5" s="129">
        <f t="shared" si="1"/>
        <v>0</v>
      </c>
      <c r="I5" s="129">
        <f t="shared" si="1"/>
        <v>1.1162790697674419E-2</v>
      </c>
      <c r="J5" s="129">
        <f t="shared" si="1"/>
        <v>0</v>
      </c>
      <c r="K5" s="129">
        <f t="shared" si="1"/>
        <v>0</v>
      </c>
      <c r="L5" s="129">
        <f t="shared" si="1"/>
        <v>1.2315270935960589E-3</v>
      </c>
      <c r="M5" s="129">
        <f t="shared" si="1"/>
        <v>0</v>
      </c>
      <c r="N5" s="129">
        <f t="shared" si="1"/>
        <v>0</v>
      </c>
      <c r="O5" s="129">
        <f t="shared" si="1"/>
        <v>0</v>
      </c>
      <c r="P5" s="129">
        <f t="shared" si="1"/>
        <v>0</v>
      </c>
      <c r="Q5" s="129">
        <f t="shared" si="1"/>
        <v>0</v>
      </c>
      <c r="R5" s="54"/>
      <c r="S5" s="55"/>
      <c r="T5" s="54"/>
      <c r="U5" s="54"/>
      <c r="V5" s="54"/>
      <c r="W5" s="54"/>
      <c r="X5" s="54"/>
      <c r="Y5" s="54"/>
    </row>
    <row r="6" spans="1:25" ht="21" customHeight="1">
      <c r="A6" s="143" t="s">
        <v>2</v>
      </c>
      <c r="B6" s="129">
        <f t="shared" si="1"/>
        <v>2.1089630931458701E-3</v>
      </c>
      <c r="C6" s="129">
        <f t="shared" si="1"/>
        <v>5.5702505056791668E-2</v>
      </c>
      <c r="D6" s="129">
        <f t="shared" si="1"/>
        <v>0.64602346805736643</v>
      </c>
      <c r="E6" s="129">
        <f t="shared" si="1"/>
        <v>1.3953488372093028E-3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54"/>
      <c r="S6" s="55"/>
      <c r="T6" s="54"/>
      <c r="U6" s="54"/>
      <c r="V6" s="54"/>
      <c r="W6" s="54"/>
      <c r="X6" s="54"/>
      <c r="Y6" s="54"/>
    </row>
    <row r="7" spans="1:25" ht="21" customHeight="1">
      <c r="A7" s="143" t="s">
        <v>3</v>
      </c>
      <c r="B7" s="129">
        <f t="shared" si="1"/>
        <v>9.2560046865846513E-2</v>
      </c>
      <c r="C7" s="129">
        <f t="shared" si="1"/>
        <v>2.9251594834292832E-2</v>
      </c>
      <c r="D7" s="129">
        <f t="shared" si="1"/>
        <v>0</v>
      </c>
      <c r="E7" s="129">
        <f t="shared" si="1"/>
        <v>0.68488372093023264</v>
      </c>
      <c r="F7" s="129">
        <f t="shared" si="1"/>
        <v>0</v>
      </c>
      <c r="G7" s="129">
        <f t="shared" si="1"/>
        <v>0</v>
      </c>
      <c r="H7" s="129">
        <f t="shared" si="1"/>
        <v>0</v>
      </c>
      <c r="I7" s="129">
        <f t="shared" si="1"/>
        <v>5.5813953488372094E-3</v>
      </c>
      <c r="J7" s="129">
        <f t="shared" si="1"/>
        <v>0</v>
      </c>
      <c r="K7" s="129">
        <f t="shared" si="1"/>
        <v>0</v>
      </c>
      <c r="L7" s="129">
        <f t="shared" si="1"/>
        <v>0</v>
      </c>
      <c r="M7" s="129">
        <f t="shared" si="1"/>
        <v>1.2925463162429987E-3</v>
      </c>
      <c r="N7" s="129">
        <f t="shared" si="1"/>
        <v>0</v>
      </c>
      <c r="O7" s="129">
        <f t="shared" si="1"/>
        <v>0</v>
      </c>
      <c r="P7" s="129">
        <f t="shared" si="1"/>
        <v>0</v>
      </c>
      <c r="Q7" s="129">
        <f t="shared" si="1"/>
        <v>0</v>
      </c>
      <c r="R7" s="54"/>
      <c r="S7" s="55"/>
      <c r="T7" s="54"/>
      <c r="U7" s="54"/>
      <c r="V7" s="54"/>
      <c r="W7" s="54"/>
      <c r="X7" s="54"/>
      <c r="Y7" s="54"/>
    </row>
    <row r="8" spans="1:25" ht="21" customHeight="1">
      <c r="A8" s="143" t="s">
        <v>4</v>
      </c>
      <c r="B8" s="129">
        <f t="shared" si="1"/>
        <v>2.671353251318102E-2</v>
      </c>
      <c r="C8" s="129">
        <f t="shared" si="1"/>
        <v>0.12361910689279602</v>
      </c>
      <c r="D8" s="129">
        <f t="shared" si="1"/>
        <v>0.13102998696219037</v>
      </c>
      <c r="E8" s="129">
        <f t="shared" si="1"/>
        <v>1.3953488372093028E-3</v>
      </c>
      <c r="F8" s="129">
        <f t="shared" si="1"/>
        <v>0</v>
      </c>
      <c r="G8" s="129">
        <f t="shared" si="1"/>
        <v>5.235602094240837E-2</v>
      </c>
      <c r="H8" s="129">
        <f t="shared" si="1"/>
        <v>0</v>
      </c>
      <c r="I8" s="129">
        <f t="shared" si="1"/>
        <v>0</v>
      </c>
      <c r="J8" s="129">
        <f t="shared" si="1"/>
        <v>0</v>
      </c>
      <c r="K8" s="129">
        <f t="shared" si="1"/>
        <v>0</v>
      </c>
      <c r="L8" s="129">
        <f t="shared" si="1"/>
        <v>0</v>
      </c>
      <c r="M8" s="129">
        <f t="shared" si="1"/>
        <v>0</v>
      </c>
      <c r="N8" s="129">
        <f t="shared" si="1"/>
        <v>0</v>
      </c>
      <c r="O8" s="129">
        <f t="shared" si="1"/>
        <v>0</v>
      </c>
      <c r="P8" s="129">
        <f t="shared" si="1"/>
        <v>0</v>
      </c>
      <c r="Q8" s="129">
        <f t="shared" si="1"/>
        <v>0</v>
      </c>
      <c r="R8" s="54"/>
      <c r="S8" s="55"/>
      <c r="T8" s="54"/>
      <c r="U8" s="54"/>
      <c r="V8" s="54"/>
      <c r="W8" s="54"/>
      <c r="X8" s="54"/>
      <c r="Y8" s="54"/>
    </row>
    <row r="9" spans="1:25" ht="21" customHeight="1">
      <c r="A9" s="143" t="s">
        <v>14</v>
      </c>
      <c r="B9" s="129">
        <f t="shared" si="1"/>
        <v>8.3186877562975974E-3</v>
      </c>
      <c r="C9" s="129">
        <f t="shared" si="1"/>
        <v>9.8023961412789812E-3</v>
      </c>
      <c r="D9" s="129">
        <f t="shared" si="1"/>
        <v>0</v>
      </c>
      <c r="E9" s="129">
        <f t="shared" si="1"/>
        <v>0</v>
      </c>
      <c r="F9" s="129">
        <f t="shared" si="1"/>
        <v>0</v>
      </c>
      <c r="G9" s="129">
        <f t="shared" si="1"/>
        <v>3.7397157816005983E-3</v>
      </c>
      <c r="H9" s="129">
        <f t="shared" si="1"/>
        <v>0.92576419213973815</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54"/>
      <c r="S9" s="55"/>
      <c r="T9" s="54"/>
      <c r="U9" s="54"/>
      <c r="V9" s="54"/>
      <c r="W9" s="54"/>
      <c r="X9" s="54"/>
      <c r="Y9" s="54"/>
    </row>
    <row r="10" spans="1:25" ht="21" customHeight="1">
      <c r="A10" s="143" t="s">
        <v>9</v>
      </c>
      <c r="B10" s="129">
        <f t="shared" si="1"/>
        <v>0</v>
      </c>
      <c r="C10" s="129">
        <f t="shared" si="1"/>
        <v>3.6564493542866039E-3</v>
      </c>
      <c r="D10" s="129">
        <f t="shared" si="1"/>
        <v>0</v>
      </c>
      <c r="E10" s="129">
        <f t="shared" si="1"/>
        <v>5.1162790697674432E-3</v>
      </c>
      <c r="F10" s="129">
        <f t="shared" si="1"/>
        <v>1.1477761836441893E-2</v>
      </c>
      <c r="G10" s="129">
        <f t="shared" si="1"/>
        <v>2.243829468960359E-3</v>
      </c>
      <c r="H10" s="129">
        <f t="shared" si="1"/>
        <v>0</v>
      </c>
      <c r="I10" s="129">
        <f t="shared" si="1"/>
        <v>0</v>
      </c>
      <c r="J10" s="129">
        <f t="shared" si="1"/>
        <v>0</v>
      </c>
      <c r="K10" s="129">
        <f t="shared" si="1"/>
        <v>0</v>
      </c>
      <c r="L10" s="129">
        <f t="shared" si="1"/>
        <v>0.98706896551724133</v>
      </c>
      <c r="M10" s="129">
        <f t="shared" si="1"/>
        <v>0</v>
      </c>
      <c r="N10" s="129">
        <f t="shared" si="1"/>
        <v>0</v>
      </c>
      <c r="O10" s="129">
        <f t="shared" si="1"/>
        <v>5.9347181008902079E-3</v>
      </c>
      <c r="P10" s="129">
        <f t="shared" si="1"/>
        <v>0</v>
      </c>
      <c r="Q10" s="129">
        <f t="shared" si="1"/>
        <v>1</v>
      </c>
      <c r="R10" s="54"/>
      <c r="S10" s="55"/>
      <c r="T10" s="54"/>
      <c r="U10" s="54"/>
      <c r="V10" s="54"/>
      <c r="W10" s="54"/>
      <c r="X10" s="54"/>
      <c r="Y10" s="54"/>
    </row>
    <row r="11" spans="1:25" ht="21" customHeight="1">
      <c r="A11" s="143" t="s">
        <v>5</v>
      </c>
      <c r="B11" s="129">
        <f t="shared" si="1"/>
        <v>0</v>
      </c>
      <c r="C11" s="129">
        <f t="shared" si="1"/>
        <v>4.590010891551268E-3</v>
      </c>
      <c r="D11" s="129">
        <f t="shared" si="1"/>
        <v>1.9556714471968711E-3</v>
      </c>
      <c r="E11" s="129">
        <f t="shared" si="1"/>
        <v>9.3023255813953515E-4</v>
      </c>
      <c r="F11" s="129">
        <f t="shared" si="1"/>
        <v>1.4347202295552366E-3</v>
      </c>
      <c r="G11" s="129">
        <f t="shared" si="1"/>
        <v>0.7868362004487659</v>
      </c>
      <c r="H11" s="129">
        <f t="shared" si="1"/>
        <v>3.0567685589519656E-2</v>
      </c>
      <c r="I11" s="129">
        <f t="shared" si="1"/>
        <v>2.6976744186046512E-2</v>
      </c>
      <c r="J11" s="129">
        <f t="shared" si="1"/>
        <v>0</v>
      </c>
      <c r="K11" s="129">
        <f t="shared" si="1"/>
        <v>0</v>
      </c>
      <c r="L11" s="129">
        <f t="shared" si="1"/>
        <v>8.6206896551724119E-3</v>
      </c>
      <c r="M11" s="129">
        <f t="shared" si="1"/>
        <v>0</v>
      </c>
      <c r="N11" s="129">
        <f t="shared" si="1"/>
        <v>0</v>
      </c>
      <c r="O11" s="129">
        <f t="shared" si="1"/>
        <v>2.967359050445104E-3</v>
      </c>
      <c r="P11" s="129">
        <f t="shared" si="1"/>
        <v>0</v>
      </c>
      <c r="Q11" s="129">
        <f t="shared" si="1"/>
        <v>0</v>
      </c>
      <c r="R11" s="54"/>
      <c r="S11" s="55"/>
      <c r="T11" s="54"/>
      <c r="U11" s="54"/>
      <c r="V11" s="54"/>
      <c r="W11" s="54"/>
      <c r="X11" s="54"/>
      <c r="Y11" s="54"/>
    </row>
    <row r="12" spans="1:25" ht="21" customHeight="1">
      <c r="A12" s="143" t="s">
        <v>13</v>
      </c>
      <c r="B12" s="129">
        <f t="shared" si="1"/>
        <v>5.3895723491505561E-3</v>
      </c>
      <c r="C12" s="129">
        <f t="shared" si="1"/>
        <v>0</v>
      </c>
      <c r="D12" s="129">
        <f t="shared" si="1"/>
        <v>7.8226857887874854E-2</v>
      </c>
      <c r="E12" s="129">
        <f t="shared" si="1"/>
        <v>4.6511627906976758E-4</v>
      </c>
      <c r="F12" s="129">
        <f t="shared" si="1"/>
        <v>0</v>
      </c>
      <c r="G12" s="129">
        <f t="shared" si="1"/>
        <v>1.5706806282722512E-2</v>
      </c>
      <c r="H12" s="129">
        <f t="shared" si="1"/>
        <v>0</v>
      </c>
      <c r="I12" s="129">
        <f t="shared" si="1"/>
        <v>0</v>
      </c>
      <c r="J12" s="129">
        <f t="shared" si="1"/>
        <v>0</v>
      </c>
      <c r="K12" s="129">
        <f t="shared" si="1"/>
        <v>0</v>
      </c>
      <c r="L12" s="129">
        <f t="shared" si="1"/>
        <v>0</v>
      </c>
      <c r="M12" s="129">
        <f t="shared" si="1"/>
        <v>0</v>
      </c>
      <c r="N12" s="129">
        <f t="shared" si="1"/>
        <v>0</v>
      </c>
      <c r="O12" s="129">
        <f t="shared" si="1"/>
        <v>2.0771513353115726E-2</v>
      </c>
      <c r="P12" s="129">
        <f t="shared" si="1"/>
        <v>0.98630136986301375</v>
      </c>
      <c r="Q12" s="129">
        <f t="shared" si="1"/>
        <v>0</v>
      </c>
      <c r="R12" s="54"/>
      <c r="S12" s="55"/>
      <c r="T12" s="54"/>
      <c r="U12" s="54"/>
      <c r="V12" s="54"/>
      <c r="W12" s="54"/>
      <c r="X12" s="54"/>
      <c r="Y12" s="54"/>
    </row>
    <row r="13" spans="1:25" ht="21" customHeight="1">
      <c r="A13" s="143" t="s">
        <v>8</v>
      </c>
      <c r="B13" s="129">
        <f t="shared" si="1"/>
        <v>0</v>
      </c>
      <c r="C13" s="129">
        <f t="shared" si="1"/>
        <v>1.5092578185778749E-2</v>
      </c>
      <c r="D13" s="129">
        <f t="shared" si="1"/>
        <v>6.5189048239895706E-4</v>
      </c>
      <c r="E13" s="129">
        <f t="shared" si="1"/>
        <v>0</v>
      </c>
      <c r="F13" s="129">
        <f t="shared" si="1"/>
        <v>0</v>
      </c>
      <c r="G13" s="129">
        <f t="shared" si="1"/>
        <v>0</v>
      </c>
      <c r="H13" s="129">
        <f t="shared" si="1"/>
        <v>0</v>
      </c>
      <c r="I13" s="129">
        <f t="shared" si="1"/>
        <v>0</v>
      </c>
      <c r="J13" s="129">
        <f t="shared" si="1"/>
        <v>0</v>
      </c>
      <c r="K13" s="129">
        <f t="shared" si="1"/>
        <v>0</v>
      </c>
      <c r="L13" s="129">
        <f t="shared" si="1"/>
        <v>0</v>
      </c>
      <c r="M13" s="129">
        <f t="shared" si="1"/>
        <v>0</v>
      </c>
      <c r="N13" s="129">
        <f t="shared" si="1"/>
        <v>1</v>
      </c>
      <c r="O13" s="129">
        <f t="shared" si="1"/>
        <v>1.483679525222552E-3</v>
      </c>
      <c r="P13" s="129">
        <f t="shared" si="1"/>
        <v>0</v>
      </c>
      <c r="Q13" s="129">
        <f t="shared" si="1"/>
        <v>0</v>
      </c>
      <c r="R13" s="54"/>
      <c r="S13" s="55"/>
      <c r="T13" s="54"/>
      <c r="U13" s="54"/>
      <c r="V13" s="54"/>
      <c r="W13" s="54"/>
      <c r="X13" s="54"/>
      <c r="Y13" s="54"/>
    </row>
    <row r="14" spans="1:25" ht="21" customHeight="1">
      <c r="A14" s="143" t="s">
        <v>10</v>
      </c>
      <c r="B14" s="129">
        <f t="shared" si="1"/>
        <v>2.5307557117750439E-2</v>
      </c>
      <c r="C14" s="129">
        <f t="shared" si="1"/>
        <v>0.11918468959078889</v>
      </c>
      <c r="D14" s="129">
        <f t="shared" si="1"/>
        <v>0.12972620599739246</v>
      </c>
      <c r="E14" s="129">
        <f t="shared" si="1"/>
        <v>1.0465116279069771E-2</v>
      </c>
      <c r="F14" s="129">
        <f t="shared" si="1"/>
        <v>0</v>
      </c>
      <c r="G14" s="129">
        <f t="shared" si="1"/>
        <v>0</v>
      </c>
      <c r="H14" s="129">
        <f t="shared" si="1"/>
        <v>0</v>
      </c>
      <c r="I14" s="129">
        <f t="shared" si="1"/>
        <v>0</v>
      </c>
      <c r="J14" s="129">
        <f t="shared" si="1"/>
        <v>1.1235955056179773E-2</v>
      </c>
      <c r="K14" s="129">
        <f t="shared" si="1"/>
        <v>0</v>
      </c>
      <c r="L14" s="129">
        <f t="shared" si="1"/>
        <v>0</v>
      </c>
      <c r="M14" s="129">
        <f t="shared" si="1"/>
        <v>0.97716501507970688</v>
      </c>
      <c r="N14" s="129">
        <f t="shared" si="1"/>
        <v>0</v>
      </c>
      <c r="O14" s="129">
        <f t="shared" si="1"/>
        <v>0.16617210682492584</v>
      </c>
      <c r="P14" s="129">
        <f t="shared" si="1"/>
        <v>0</v>
      </c>
      <c r="Q14" s="129">
        <f t="shared" si="1"/>
        <v>0</v>
      </c>
      <c r="R14" s="54"/>
      <c r="S14" s="55"/>
      <c r="T14" s="54"/>
      <c r="U14" s="54"/>
      <c r="V14" s="54"/>
      <c r="W14" s="54"/>
      <c r="X14" s="54"/>
      <c r="Y14" s="54"/>
    </row>
    <row r="15" spans="1:25" ht="21" customHeight="1">
      <c r="A15" s="143" t="s">
        <v>11</v>
      </c>
      <c r="B15" s="129">
        <f t="shared" si="1"/>
        <v>1.628588166373755E-2</v>
      </c>
      <c r="C15" s="129">
        <f t="shared" si="1"/>
        <v>0</v>
      </c>
      <c r="D15" s="129">
        <f t="shared" si="1"/>
        <v>0</v>
      </c>
      <c r="E15" s="129">
        <f t="shared" si="1"/>
        <v>4.1395348837209321E-2</v>
      </c>
      <c r="F15" s="129">
        <f t="shared" si="1"/>
        <v>0</v>
      </c>
      <c r="G15" s="129">
        <f t="shared" si="1"/>
        <v>0</v>
      </c>
      <c r="H15" s="129">
        <f t="shared" si="1"/>
        <v>0</v>
      </c>
      <c r="I15" s="129">
        <f t="shared" si="1"/>
        <v>0</v>
      </c>
      <c r="J15" s="129">
        <f t="shared" si="1"/>
        <v>0.94756554307116103</v>
      </c>
      <c r="K15" s="129">
        <f t="shared" si="1"/>
        <v>0</v>
      </c>
      <c r="L15" s="129">
        <f t="shared" si="1"/>
        <v>0</v>
      </c>
      <c r="M15" s="129">
        <f t="shared" si="1"/>
        <v>0</v>
      </c>
      <c r="N15" s="129">
        <f t="shared" si="1"/>
        <v>0</v>
      </c>
      <c r="O15" s="129">
        <f t="shared" si="1"/>
        <v>1.0385756676557865E-2</v>
      </c>
      <c r="P15" s="129">
        <f t="shared" si="1"/>
        <v>0</v>
      </c>
      <c r="Q15" s="129">
        <f t="shared" si="1"/>
        <v>0</v>
      </c>
      <c r="R15" s="54"/>
      <c r="S15" s="55"/>
      <c r="T15" s="54"/>
      <c r="U15" s="54"/>
      <c r="V15" s="54"/>
      <c r="W15" s="54"/>
      <c r="X15" s="54"/>
      <c r="Y15" s="54"/>
    </row>
    <row r="16" spans="1:25" ht="21" customHeight="1">
      <c r="A16" s="143" t="s">
        <v>12</v>
      </c>
      <c r="B16" s="129">
        <f t="shared" si="1"/>
        <v>0</v>
      </c>
      <c r="C16" s="129">
        <f t="shared" si="1"/>
        <v>1.540376536486697E-2</v>
      </c>
      <c r="D16" s="129">
        <f t="shared" si="1"/>
        <v>0</v>
      </c>
      <c r="E16" s="129">
        <f t="shared" si="1"/>
        <v>0</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54"/>
      <c r="S16" s="55"/>
      <c r="T16" s="54"/>
      <c r="U16" s="54"/>
      <c r="V16" s="54"/>
      <c r="W16" s="54"/>
      <c r="X16" s="54"/>
      <c r="Y16" s="54"/>
    </row>
    <row r="17" spans="1:25" ht="21" customHeight="1">
      <c r="A17" s="143" t="s">
        <v>7</v>
      </c>
      <c r="B17" s="129">
        <f t="shared" si="1"/>
        <v>6.7955477445811362E-3</v>
      </c>
      <c r="C17" s="129">
        <f t="shared" si="1"/>
        <v>6.6127275556247082E-3</v>
      </c>
      <c r="D17" s="129">
        <f t="shared" si="1"/>
        <v>6.5189048239895706E-4</v>
      </c>
      <c r="E17" s="129">
        <f t="shared" si="1"/>
        <v>0.20930232558139542</v>
      </c>
      <c r="F17" s="129">
        <f t="shared" si="1"/>
        <v>2.2955523672883785E-2</v>
      </c>
      <c r="G17" s="129">
        <f t="shared" si="1"/>
        <v>1.7950635751682872E-2</v>
      </c>
      <c r="H17" s="129">
        <f t="shared" si="1"/>
        <v>0</v>
      </c>
      <c r="I17" s="129">
        <f t="shared" si="1"/>
        <v>0</v>
      </c>
      <c r="J17" s="129">
        <f t="shared" si="1"/>
        <v>4.1198501872659166E-2</v>
      </c>
      <c r="K17" s="129">
        <f t="shared" si="1"/>
        <v>0</v>
      </c>
      <c r="L17" s="129">
        <f t="shared" si="1"/>
        <v>0</v>
      </c>
      <c r="M17" s="129">
        <f t="shared" si="1"/>
        <v>7.755277897457993E-3</v>
      </c>
      <c r="N17" s="129">
        <f t="shared" si="1"/>
        <v>0</v>
      </c>
      <c r="O17" s="129">
        <f t="shared" si="1"/>
        <v>0.76261127596439171</v>
      </c>
      <c r="P17" s="129">
        <f t="shared" si="1"/>
        <v>1.0273972602739727E-2</v>
      </c>
      <c r="Q17" s="129">
        <f t="shared" si="1"/>
        <v>0</v>
      </c>
      <c r="R17" s="54"/>
      <c r="S17" s="55"/>
      <c r="T17" s="54"/>
      <c r="U17" s="54"/>
      <c r="V17" s="54"/>
      <c r="W17" s="54"/>
      <c r="X17" s="54"/>
      <c r="Y17" s="54"/>
    </row>
    <row r="18" spans="1:25" ht="21" customHeight="1">
      <c r="A18" s="143" t="s">
        <v>16</v>
      </c>
      <c r="B18" s="129">
        <f t="shared" si="1"/>
        <v>1.5114235500878734E-2</v>
      </c>
      <c r="C18" s="129">
        <f t="shared" si="1"/>
        <v>0</v>
      </c>
      <c r="D18" s="129">
        <f t="shared" si="1"/>
        <v>0</v>
      </c>
      <c r="E18" s="129">
        <f t="shared" si="1"/>
        <v>1.6279069767441868E-3</v>
      </c>
      <c r="F18" s="129">
        <f t="shared" si="1"/>
        <v>0</v>
      </c>
      <c r="G18" s="129">
        <f t="shared" si="1"/>
        <v>0</v>
      </c>
      <c r="H18" s="129">
        <f t="shared" si="1"/>
        <v>0</v>
      </c>
      <c r="I18" s="129">
        <f t="shared" si="1"/>
        <v>0</v>
      </c>
      <c r="J18" s="129">
        <f t="shared" si="1"/>
        <v>0</v>
      </c>
      <c r="K18" s="129">
        <f t="shared" si="1"/>
        <v>0</v>
      </c>
      <c r="L18" s="129">
        <f t="shared" si="1"/>
        <v>0</v>
      </c>
      <c r="M18" s="129">
        <f t="shared" si="1"/>
        <v>0</v>
      </c>
      <c r="N18" s="129">
        <f t="shared" si="1"/>
        <v>0</v>
      </c>
      <c r="O18" s="129">
        <f t="shared" si="1"/>
        <v>0</v>
      </c>
      <c r="P18" s="129">
        <f t="shared" si="1"/>
        <v>0</v>
      </c>
      <c r="Q18" s="129">
        <f t="shared" si="1"/>
        <v>0</v>
      </c>
      <c r="R18" s="54"/>
      <c r="S18" s="55"/>
      <c r="T18" s="54"/>
      <c r="U18" s="54"/>
      <c r="V18" s="54"/>
      <c r="W18" s="54"/>
      <c r="X18" s="54"/>
      <c r="Y18" s="54"/>
    </row>
    <row r="19" spans="1:25" ht="21" customHeight="1">
      <c r="A19" s="143" t="s">
        <v>44</v>
      </c>
      <c r="B19" s="129">
        <f t="shared" si="1"/>
        <v>5.6239015817223202E-3</v>
      </c>
      <c r="C19" s="129">
        <f t="shared" si="1"/>
        <v>8.1064260152481735E-2</v>
      </c>
      <c r="D19" s="129">
        <f t="shared" si="1"/>
        <v>1.0430247718383313E-2</v>
      </c>
      <c r="E19" s="129">
        <f t="shared" si="1"/>
        <v>3.0000000000000013E-2</v>
      </c>
      <c r="F19" s="129">
        <f t="shared" si="1"/>
        <v>3.2998565279770443E-2</v>
      </c>
      <c r="G19" s="129">
        <f t="shared" si="1"/>
        <v>1.7950635751682872E-2</v>
      </c>
      <c r="H19" s="129">
        <f t="shared" si="1"/>
        <v>1.7467248908296942E-2</v>
      </c>
      <c r="I19" s="129">
        <f t="shared" si="1"/>
        <v>3.1627906976744183E-2</v>
      </c>
      <c r="J19" s="129">
        <f t="shared" si="1"/>
        <v>0</v>
      </c>
      <c r="K19" s="129">
        <f t="shared" si="1"/>
        <v>0</v>
      </c>
      <c r="L19" s="129">
        <f t="shared" si="1"/>
        <v>6.1576354679802946E-4</v>
      </c>
      <c r="M19" s="129">
        <f t="shared" si="1"/>
        <v>1.2063765618267988E-2</v>
      </c>
      <c r="N19" s="129">
        <f t="shared" si="1"/>
        <v>0</v>
      </c>
      <c r="O19" s="129">
        <f t="shared" si="1"/>
        <v>1.6320474777448073E-2</v>
      </c>
      <c r="P19" s="129">
        <f t="shared" si="1"/>
        <v>0</v>
      </c>
      <c r="Q19" s="129">
        <f>+Q39/Q$40</f>
        <v>0</v>
      </c>
      <c r="R19" s="54"/>
      <c r="S19" s="55"/>
      <c r="T19" s="54"/>
      <c r="U19" s="54"/>
      <c r="V19" s="54"/>
      <c r="W19" s="54"/>
      <c r="X19" s="54"/>
      <c r="Y19" s="54"/>
    </row>
    <row r="20" spans="1:25" ht="21" customHeight="1" thickBot="1">
      <c r="A20" s="147" t="s">
        <v>17</v>
      </c>
      <c r="B20" s="131">
        <f>SUM(B3:B19)</f>
        <v>1</v>
      </c>
      <c r="C20" s="132">
        <f t="shared" ref="C20:O20" si="2">SUM(C3:C19)</f>
        <v>1</v>
      </c>
      <c r="D20" s="132">
        <f t="shared" si="2"/>
        <v>1.0000000000000002</v>
      </c>
      <c r="E20" s="132">
        <f t="shared" si="2"/>
        <v>1</v>
      </c>
      <c r="F20" s="132">
        <f t="shared" si="2"/>
        <v>1</v>
      </c>
      <c r="G20" s="132">
        <f t="shared" si="2"/>
        <v>0.99999999999999989</v>
      </c>
      <c r="H20" s="132">
        <f t="shared" si="2"/>
        <v>1</v>
      </c>
      <c r="I20" s="132">
        <f t="shared" si="2"/>
        <v>1</v>
      </c>
      <c r="J20" s="132">
        <f t="shared" si="2"/>
        <v>1</v>
      </c>
      <c r="K20" s="132">
        <f t="shared" si="2"/>
        <v>1</v>
      </c>
      <c r="L20" s="132">
        <f t="shared" si="2"/>
        <v>0.99999999999999989</v>
      </c>
      <c r="M20" s="132">
        <f t="shared" si="2"/>
        <v>0.99999999999999978</v>
      </c>
      <c r="N20" s="132">
        <f t="shared" si="2"/>
        <v>1</v>
      </c>
      <c r="O20" s="132">
        <f t="shared" si="2"/>
        <v>1</v>
      </c>
      <c r="P20" s="132">
        <f>SUM(P3:P19)</f>
        <v>1</v>
      </c>
      <c r="Q20" s="132">
        <f>SUM(Q3:Q19)</f>
        <v>1</v>
      </c>
      <c r="S20" s="28"/>
    </row>
    <row r="21" spans="1:25" ht="18" customHeight="1">
      <c r="A21" s="13"/>
      <c r="B21" s="58"/>
      <c r="S21" s="28"/>
    </row>
    <row r="22" spans="1:25" s="18" customFormat="1" ht="50.25" customHeight="1">
      <c r="A22" s="121" t="s">
        <v>78</v>
      </c>
      <c r="B22" s="141" t="s">
        <v>101</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c r="A23" s="143" t="s">
        <v>0</v>
      </c>
      <c r="B23" s="133">
        <v>155</v>
      </c>
      <c r="C23" s="133">
        <v>19</v>
      </c>
      <c r="D23" s="149"/>
      <c r="E23" s="134">
        <v>0.66666666666666663</v>
      </c>
      <c r="F23" s="135"/>
      <c r="G23" s="135"/>
      <c r="H23" s="135"/>
      <c r="I23" s="134">
        <v>331.33333333333331</v>
      </c>
      <c r="J23" s="135"/>
      <c r="K23" s="135"/>
      <c r="L23" s="135"/>
      <c r="M23" s="135"/>
      <c r="N23" s="135"/>
      <c r="O23" s="135"/>
      <c r="P23" s="135"/>
      <c r="Q23" s="135"/>
      <c r="R23" s="7">
        <f t="shared" ref="R23:R37" si="3">SUM(C23:Q23)</f>
        <v>351</v>
      </c>
      <c r="U23" s="56"/>
    </row>
    <row r="24" spans="1:25" ht="21" customHeight="1">
      <c r="A24" s="143" t="s">
        <v>1</v>
      </c>
      <c r="B24" s="133">
        <v>5791</v>
      </c>
      <c r="C24" s="133">
        <v>2200</v>
      </c>
      <c r="D24" s="150">
        <v>0.66666666666666663</v>
      </c>
      <c r="E24" s="134">
        <v>11</v>
      </c>
      <c r="F24" s="134">
        <v>3</v>
      </c>
      <c r="G24" s="134">
        <v>46</v>
      </c>
      <c r="H24" s="135">
        <v>2</v>
      </c>
      <c r="I24" s="135"/>
      <c r="J24" s="135"/>
      <c r="K24" s="135"/>
      <c r="L24" s="134">
        <v>1.3333333333333333</v>
      </c>
      <c r="M24" s="134">
        <v>1.3333333333333333</v>
      </c>
      <c r="N24" s="135"/>
      <c r="O24" s="134">
        <v>3</v>
      </c>
      <c r="P24" s="134">
        <v>0.66666666666666663</v>
      </c>
      <c r="Q24" s="135"/>
      <c r="R24" s="7">
        <f t="shared" si="3"/>
        <v>2269</v>
      </c>
      <c r="U24" s="56"/>
    </row>
    <row r="25" spans="1:25" ht="21" customHeight="1">
      <c r="A25" s="143" t="s">
        <v>6</v>
      </c>
      <c r="B25" s="133">
        <v>846</v>
      </c>
      <c r="C25" s="133">
        <v>77.666666666666671</v>
      </c>
      <c r="D25" s="149"/>
      <c r="E25" s="134">
        <v>7</v>
      </c>
      <c r="F25" s="134">
        <v>213.33333333333334</v>
      </c>
      <c r="G25" s="135"/>
      <c r="H25" s="135"/>
      <c r="I25" s="134">
        <v>4</v>
      </c>
      <c r="J25" s="135"/>
      <c r="K25" s="135"/>
      <c r="L25" s="134">
        <v>0.66666666666666663</v>
      </c>
      <c r="M25" s="135"/>
      <c r="N25" s="135"/>
      <c r="O25" s="135"/>
      <c r="P25" s="135"/>
      <c r="Q25" s="135"/>
      <c r="R25" s="7">
        <f t="shared" si="3"/>
        <v>302.66666666666669</v>
      </c>
      <c r="U25" s="56"/>
    </row>
    <row r="26" spans="1:25" ht="21" customHeight="1">
      <c r="A26" s="143" t="s">
        <v>2</v>
      </c>
      <c r="B26" s="133">
        <v>18</v>
      </c>
      <c r="C26" s="133">
        <v>238.66666666666666</v>
      </c>
      <c r="D26" s="150">
        <v>330.33333333333331</v>
      </c>
      <c r="E26" s="134">
        <v>2</v>
      </c>
      <c r="F26" s="135"/>
      <c r="G26" s="135"/>
      <c r="H26" s="135"/>
      <c r="I26" s="135"/>
      <c r="J26" s="135"/>
      <c r="K26" s="135"/>
      <c r="L26" s="135"/>
      <c r="M26" s="135"/>
      <c r="N26" s="135"/>
      <c r="O26" s="135"/>
      <c r="P26" s="135"/>
      <c r="Q26" s="135"/>
      <c r="R26" s="7">
        <f t="shared" si="3"/>
        <v>571</v>
      </c>
      <c r="U26" s="56"/>
    </row>
    <row r="27" spans="1:25" ht="21" customHeight="1">
      <c r="A27" s="143" t="s">
        <v>3</v>
      </c>
      <c r="B27" s="133">
        <v>790</v>
      </c>
      <c r="C27" s="133">
        <v>125.33333333333333</v>
      </c>
      <c r="D27" s="149"/>
      <c r="E27" s="134">
        <v>981.6666666666664</v>
      </c>
      <c r="F27" s="135"/>
      <c r="G27" s="135"/>
      <c r="H27" s="135"/>
      <c r="I27" s="134">
        <v>2</v>
      </c>
      <c r="J27" s="135"/>
      <c r="K27" s="135"/>
      <c r="L27" s="135"/>
      <c r="M27" s="134">
        <v>1</v>
      </c>
      <c r="N27" s="135"/>
      <c r="O27" s="135"/>
      <c r="P27" s="135"/>
      <c r="Q27" s="135"/>
      <c r="R27" s="7">
        <f t="shared" si="3"/>
        <v>1109.9999999999998</v>
      </c>
      <c r="U27" s="56"/>
    </row>
    <row r="28" spans="1:25" ht="21" customHeight="1">
      <c r="A28" s="143" t="s">
        <v>4</v>
      </c>
      <c r="B28" s="133">
        <v>228</v>
      </c>
      <c r="C28" s="133">
        <v>529.66666666666663</v>
      </c>
      <c r="D28" s="150">
        <v>67</v>
      </c>
      <c r="E28" s="134">
        <v>2</v>
      </c>
      <c r="F28" s="135"/>
      <c r="G28" s="134">
        <v>23.333333333333332</v>
      </c>
      <c r="H28" s="135"/>
      <c r="I28" s="135"/>
      <c r="J28" s="135"/>
      <c r="K28" s="135"/>
      <c r="L28" s="135"/>
      <c r="M28" s="135"/>
      <c r="N28" s="135"/>
      <c r="O28" s="135"/>
      <c r="P28" s="135"/>
      <c r="Q28" s="135"/>
      <c r="R28" s="7">
        <f t="shared" si="3"/>
        <v>622</v>
      </c>
      <c r="U28" s="56"/>
    </row>
    <row r="29" spans="1:25" ht="21" customHeight="1">
      <c r="A29" s="143" t="s">
        <v>14</v>
      </c>
      <c r="B29" s="136">
        <v>71</v>
      </c>
      <c r="C29" s="133">
        <v>42</v>
      </c>
      <c r="D29" s="149"/>
      <c r="E29" s="135"/>
      <c r="F29" s="135"/>
      <c r="G29" s="134">
        <v>1.6666666666666667</v>
      </c>
      <c r="H29" s="134">
        <v>70.666666666666671</v>
      </c>
      <c r="I29" s="135"/>
      <c r="J29" s="135"/>
      <c r="K29" s="135"/>
      <c r="L29" s="135"/>
      <c r="M29" s="135"/>
      <c r="N29" s="135"/>
      <c r="O29" s="135"/>
      <c r="P29" s="135"/>
      <c r="Q29" s="135"/>
      <c r="R29" s="7">
        <f t="shared" si="3"/>
        <v>114.33333333333334</v>
      </c>
      <c r="U29" s="56"/>
    </row>
    <row r="30" spans="1:25" ht="21" customHeight="1">
      <c r="A30" s="143" t="s">
        <v>9</v>
      </c>
      <c r="B30" s="151"/>
      <c r="C30" s="133">
        <v>15.666666666666666</v>
      </c>
      <c r="D30" s="149"/>
      <c r="E30" s="134">
        <v>7.333333333333333</v>
      </c>
      <c r="F30" s="134">
        <v>2.6666666666666665</v>
      </c>
      <c r="G30" s="134">
        <v>1</v>
      </c>
      <c r="H30" s="135"/>
      <c r="I30" s="135"/>
      <c r="J30" s="135"/>
      <c r="K30" s="135"/>
      <c r="L30" s="134">
        <v>534.33333333333337</v>
      </c>
      <c r="M30" s="135"/>
      <c r="N30" s="135"/>
      <c r="O30" s="134">
        <v>1.3333333333333333</v>
      </c>
      <c r="P30" s="135"/>
      <c r="Q30" s="134">
        <v>38.666666666666664</v>
      </c>
      <c r="R30" s="7">
        <f t="shared" si="3"/>
        <v>601</v>
      </c>
      <c r="U30" s="56"/>
    </row>
    <row r="31" spans="1:25" ht="21" customHeight="1">
      <c r="A31" s="143" t="s">
        <v>5</v>
      </c>
      <c r="B31" s="151"/>
      <c r="C31" s="133">
        <v>19.666666666666664</v>
      </c>
      <c r="D31" s="150">
        <v>1</v>
      </c>
      <c r="E31" s="134">
        <v>1.3333333333333333</v>
      </c>
      <c r="F31" s="134">
        <v>0.33333333333333331</v>
      </c>
      <c r="G31" s="134">
        <v>350.66666666666669</v>
      </c>
      <c r="H31" s="135">
        <v>2.3333333333333335</v>
      </c>
      <c r="I31" s="134">
        <v>9.6666666666666661</v>
      </c>
      <c r="J31" s="135"/>
      <c r="K31" s="135"/>
      <c r="L31" s="134">
        <v>4.6666666666666661</v>
      </c>
      <c r="M31" s="135"/>
      <c r="N31" s="135"/>
      <c r="O31" s="134">
        <v>0.66666666666666663</v>
      </c>
      <c r="P31" s="135"/>
      <c r="Q31" s="135"/>
      <c r="R31" s="7">
        <f t="shared" si="3"/>
        <v>390.33333333333337</v>
      </c>
      <c r="U31" s="56"/>
    </row>
    <row r="32" spans="1:25" ht="21" customHeight="1">
      <c r="A32" s="143" t="s">
        <v>13</v>
      </c>
      <c r="B32" s="136">
        <v>46</v>
      </c>
      <c r="C32" s="137"/>
      <c r="D32" s="150">
        <v>40</v>
      </c>
      <c r="E32" s="134">
        <v>0.66666666666666663</v>
      </c>
      <c r="F32" s="135"/>
      <c r="G32" s="134">
        <v>7</v>
      </c>
      <c r="H32" s="135"/>
      <c r="I32" s="135"/>
      <c r="J32" s="135"/>
      <c r="K32" s="135"/>
      <c r="L32" s="135"/>
      <c r="M32" s="135"/>
      <c r="N32" s="135"/>
      <c r="O32" s="134">
        <v>4.6666666666666661</v>
      </c>
      <c r="P32" s="134">
        <v>191.99999999999997</v>
      </c>
      <c r="Q32" s="135"/>
      <c r="R32" s="7">
        <f t="shared" si="3"/>
        <v>244.33333333333331</v>
      </c>
      <c r="U32" s="56"/>
    </row>
    <row r="33" spans="1:21" ht="21" customHeight="1">
      <c r="A33" s="143" t="s">
        <v>8</v>
      </c>
      <c r="B33" s="151"/>
      <c r="C33" s="133">
        <v>64.666666666666671</v>
      </c>
      <c r="D33" s="150">
        <v>0.33333333333333331</v>
      </c>
      <c r="E33" s="135"/>
      <c r="F33" s="135"/>
      <c r="G33" s="135"/>
      <c r="H33" s="135"/>
      <c r="I33" s="135"/>
      <c r="J33" s="135"/>
      <c r="K33" s="135"/>
      <c r="L33" s="135"/>
      <c r="M33" s="135"/>
      <c r="N33" s="134">
        <v>233.66666666666666</v>
      </c>
      <c r="O33" s="134">
        <v>0.33333333333333331</v>
      </c>
      <c r="P33" s="135"/>
      <c r="Q33" s="135"/>
      <c r="R33" s="7">
        <f t="shared" si="3"/>
        <v>298.99999999999994</v>
      </c>
      <c r="U33" s="56"/>
    </row>
    <row r="34" spans="1:21" ht="21" customHeight="1">
      <c r="A34" s="143" t="s">
        <v>10</v>
      </c>
      <c r="B34" s="136">
        <v>216</v>
      </c>
      <c r="C34" s="133">
        <v>510.66666666666669</v>
      </c>
      <c r="D34" s="150">
        <v>66.333333333333329</v>
      </c>
      <c r="E34" s="134">
        <v>14.999999999999998</v>
      </c>
      <c r="F34" s="135"/>
      <c r="G34" s="135"/>
      <c r="H34" s="135"/>
      <c r="I34" s="135"/>
      <c r="J34" s="134">
        <v>1</v>
      </c>
      <c r="K34" s="135"/>
      <c r="L34" s="135"/>
      <c r="M34" s="134">
        <v>756</v>
      </c>
      <c r="N34" s="135"/>
      <c r="O34" s="134">
        <v>37.333333333333336</v>
      </c>
      <c r="P34" s="135"/>
      <c r="Q34" s="135"/>
      <c r="R34" s="7">
        <f t="shared" si="3"/>
        <v>1386.3333333333333</v>
      </c>
      <c r="U34" s="56"/>
    </row>
    <row r="35" spans="1:21" ht="21" customHeight="1">
      <c r="A35" s="143" t="s">
        <v>11</v>
      </c>
      <c r="B35" s="136">
        <v>139</v>
      </c>
      <c r="C35" s="137"/>
      <c r="D35" s="149"/>
      <c r="E35" s="134">
        <v>59.333333333333336</v>
      </c>
      <c r="F35" s="135"/>
      <c r="G35" s="135"/>
      <c r="H35" s="135"/>
      <c r="I35" s="135"/>
      <c r="J35" s="134">
        <v>84.333333333333343</v>
      </c>
      <c r="K35" s="135"/>
      <c r="L35" s="135"/>
      <c r="M35" s="135"/>
      <c r="N35" s="135"/>
      <c r="O35" s="134">
        <v>2.3333333333333335</v>
      </c>
      <c r="P35" s="135"/>
      <c r="Q35" s="135"/>
      <c r="R35" s="7">
        <f t="shared" si="3"/>
        <v>146.00000000000003</v>
      </c>
      <c r="U35" s="56"/>
    </row>
    <row r="36" spans="1:21" ht="21" customHeight="1">
      <c r="A36" s="143" t="s">
        <v>12</v>
      </c>
      <c r="B36" s="151"/>
      <c r="C36" s="133">
        <v>66</v>
      </c>
      <c r="D36" s="149"/>
      <c r="E36" s="135"/>
      <c r="F36" s="135"/>
      <c r="G36" s="135"/>
      <c r="H36" s="135"/>
      <c r="I36" s="135"/>
      <c r="J36" s="135"/>
      <c r="K36" s="134">
        <v>313.66666666666669</v>
      </c>
      <c r="L36" s="135"/>
      <c r="M36" s="135"/>
      <c r="N36" s="135"/>
      <c r="O36" s="135"/>
      <c r="P36" s="135"/>
      <c r="Q36" s="135"/>
      <c r="R36" s="7">
        <f t="shared" si="3"/>
        <v>379.66666666666669</v>
      </c>
      <c r="U36" s="56"/>
    </row>
    <row r="37" spans="1:21" ht="21" customHeight="1">
      <c r="A37" s="143" t="s">
        <v>7</v>
      </c>
      <c r="B37" s="136">
        <v>58</v>
      </c>
      <c r="C37" s="133">
        <v>28.333333333333329</v>
      </c>
      <c r="D37" s="150">
        <v>0.33333333333333331</v>
      </c>
      <c r="E37" s="134">
        <v>300</v>
      </c>
      <c r="F37" s="134">
        <v>5.333333333333333</v>
      </c>
      <c r="G37" s="134">
        <v>8</v>
      </c>
      <c r="H37" s="135"/>
      <c r="I37" s="135"/>
      <c r="J37" s="134">
        <v>3.6666666666666665</v>
      </c>
      <c r="K37" s="135"/>
      <c r="L37" s="135"/>
      <c r="M37" s="134">
        <v>6.0000000000000009</v>
      </c>
      <c r="N37" s="135"/>
      <c r="O37" s="134">
        <v>171.33333333333334</v>
      </c>
      <c r="P37" s="134">
        <v>2</v>
      </c>
      <c r="Q37" s="135"/>
      <c r="R37" s="7">
        <f t="shared" si="3"/>
        <v>525</v>
      </c>
      <c r="U37" s="56"/>
    </row>
    <row r="38" spans="1:21" ht="21" customHeight="1">
      <c r="A38" s="143" t="s">
        <v>16</v>
      </c>
      <c r="B38" s="136">
        <v>129</v>
      </c>
      <c r="C38" s="137"/>
      <c r="D38" s="149"/>
      <c r="E38" s="134">
        <v>2.3333333333333335</v>
      </c>
      <c r="F38" s="135"/>
      <c r="G38" s="135"/>
      <c r="H38" s="135"/>
      <c r="I38" s="135"/>
      <c r="J38" s="135"/>
      <c r="K38" s="135"/>
      <c r="L38" s="135"/>
      <c r="M38" s="135"/>
      <c r="N38" s="135"/>
      <c r="O38" s="135"/>
      <c r="P38" s="135"/>
      <c r="Q38" s="135"/>
      <c r="R38" s="7">
        <f>SUM(C38:Q38)</f>
        <v>2.3333333333333335</v>
      </c>
      <c r="U38" s="56"/>
    </row>
    <row r="39" spans="1:21" ht="21" customHeight="1">
      <c r="A39" s="143" t="s">
        <v>44</v>
      </c>
      <c r="B39" s="136">
        <v>48</v>
      </c>
      <c r="C39" s="133">
        <v>347.33333333333337</v>
      </c>
      <c r="D39" s="150">
        <v>5.333333333333333</v>
      </c>
      <c r="E39" s="134">
        <v>43</v>
      </c>
      <c r="F39" s="134">
        <v>7.6666666666666661</v>
      </c>
      <c r="G39" s="134">
        <v>8</v>
      </c>
      <c r="H39" s="134">
        <v>1.3333333333333333</v>
      </c>
      <c r="I39" s="134">
        <v>11.333333333333332</v>
      </c>
      <c r="J39" s="135"/>
      <c r="K39" s="135"/>
      <c r="L39" s="134">
        <v>0.33333333333333331</v>
      </c>
      <c r="M39" s="134">
        <v>9.3333333333333339</v>
      </c>
      <c r="N39" s="135"/>
      <c r="O39" s="134">
        <v>3.6666666666666665</v>
      </c>
      <c r="P39" s="135"/>
      <c r="Q39" s="135"/>
      <c r="R39" s="7">
        <f>SUM(C39:Q39)</f>
        <v>437.33333333333331</v>
      </c>
      <c r="U39" s="56"/>
    </row>
    <row r="40" spans="1:21" ht="21" customHeight="1">
      <c r="A40" s="147" t="s">
        <v>17</v>
      </c>
      <c r="B40" s="152">
        <f>SUM(B23:B39)</f>
        <v>8535</v>
      </c>
      <c r="C40" s="152">
        <f t="shared" ref="C40:Q40" si="4">SUM(C23:C39)</f>
        <v>4284.6666666666661</v>
      </c>
      <c r="D40" s="152">
        <f t="shared" si="4"/>
        <v>511.33333333333326</v>
      </c>
      <c r="E40" s="152">
        <f t="shared" si="4"/>
        <v>1433.3333333333328</v>
      </c>
      <c r="F40" s="152">
        <f t="shared" si="4"/>
        <v>232.33333333333334</v>
      </c>
      <c r="G40" s="152">
        <f t="shared" si="4"/>
        <v>445.66666666666669</v>
      </c>
      <c r="H40" s="152">
        <f t="shared" si="4"/>
        <v>76.333333333333329</v>
      </c>
      <c r="I40" s="152">
        <f t="shared" si="4"/>
        <v>358.33333333333331</v>
      </c>
      <c r="J40" s="152">
        <f t="shared" si="4"/>
        <v>89.000000000000014</v>
      </c>
      <c r="K40" s="152">
        <f t="shared" si="4"/>
        <v>313.66666666666669</v>
      </c>
      <c r="L40" s="152">
        <f t="shared" si="4"/>
        <v>541.33333333333337</v>
      </c>
      <c r="M40" s="152">
        <f t="shared" si="4"/>
        <v>773.66666666666674</v>
      </c>
      <c r="N40" s="152">
        <f t="shared" si="4"/>
        <v>233.66666666666666</v>
      </c>
      <c r="O40" s="152">
        <f t="shared" si="4"/>
        <v>224.66666666666666</v>
      </c>
      <c r="P40" s="152">
        <f t="shared" si="4"/>
        <v>194.66666666666663</v>
      </c>
      <c r="Q40" s="152">
        <f t="shared" si="4"/>
        <v>38.666666666666664</v>
      </c>
      <c r="R40" s="7">
        <f>SUM(R23:R37)</f>
        <v>9311.6666666666642</v>
      </c>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workbookViewId="0"/>
  </sheetViews>
  <sheetFormatPr defaultColWidth="8.85546875" defaultRowHeight="18" customHeight="1"/>
  <cols>
    <col min="1" max="1" width="26.42578125" style="32" customWidth="1"/>
    <col min="2" max="2" width="14" style="32" customWidth="1"/>
    <col min="3" max="13" width="12.7109375" style="9" customWidth="1"/>
    <col min="14" max="17" width="12.7109375" style="32" customWidth="1"/>
    <col min="18" max="18" width="13.28515625" style="32" customWidth="1"/>
    <col min="19" max="16384" width="8.85546875" style="32"/>
  </cols>
  <sheetData>
    <row r="1" spans="1:18" ht="27" customHeight="1">
      <c r="A1" s="13" t="s">
        <v>333</v>
      </c>
      <c r="B1" s="6"/>
      <c r="C1" s="6"/>
      <c r="D1" s="6"/>
      <c r="E1" s="6"/>
      <c r="F1" s="6"/>
      <c r="G1" s="6"/>
      <c r="H1" s="6"/>
      <c r="I1" s="6"/>
      <c r="J1" s="6"/>
      <c r="K1" s="6"/>
      <c r="L1" s="6"/>
      <c r="M1" s="6"/>
      <c r="N1" s="6"/>
      <c r="O1" s="6"/>
    </row>
    <row r="2" spans="1:18" ht="46.5" customHeight="1">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c r="A3" s="124" t="s">
        <v>0</v>
      </c>
      <c r="B3" s="113">
        <f>+B23/B$40</f>
        <v>1.715163159235155E-2</v>
      </c>
      <c r="C3" s="113">
        <f t="shared" ref="C3:Q3" si="0">+C23/C$40</f>
        <v>7.2137345709528539E-3</v>
      </c>
      <c r="D3" s="113">
        <f t="shared" si="0"/>
        <v>9.8009855435463229E-4</v>
      </c>
      <c r="E3" s="113">
        <f t="shared" si="0"/>
        <v>6.6263126519007657E-3</v>
      </c>
      <c r="F3" s="113">
        <f t="shared" si="0"/>
        <v>1.2975346841002096E-3</v>
      </c>
      <c r="G3" s="113">
        <f t="shared" si="0"/>
        <v>5.0459542259866643E-3</v>
      </c>
      <c r="H3" s="113">
        <f t="shared" si="0"/>
        <v>0</v>
      </c>
      <c r="I3" s="113">
        <f t="shared" si="0"/>
        <v>0.93097128894318881</v>
      </c>
      <c r="J3" s="113">
        <f t="shared" si="0"/>
        <v>7.8864353312302837E-4</v>
      </c>
      <c r="K3" s="113">
        <f t="shared" si="0"/>
        <v>0</v>
      </c>
      <c r="L3" s="113">
        <f t="shared" si="0"/>
        <v>1.7272648760687453E-4</v>
      </c>
      <c r="M3" s="113">
        <f t="shared" si="0"/>
        <v>0</v>
      </c>
      <c r="N3" s="113">
        <f t="shared" si="0"/>
        <v>0</v>
      </c>
      <c r="O3" s="113">
        <f t="shared" si="0"/>
        <v>1.2286899093841193E-3</v>
      </c>
      <c r="P3" s="113">
        <f t="shared" si="0"/>
        <v>8.0138907439561912E-4</v>
      </c>
      <c r="Q3" s="113">
        <f t="shared" si="0"/>
        <v>0</v>
      </c>
      <c r="R3" s="28"/>
    </row>
    <row r="4" spans="1:18" ht="18" customHeight="1">
      <c r="A4" s="124" t="s">
        <v>1</v>
      </c>
      <c r="B4" s="113">
        <f t="shared" ref="B4:Q19" si="1">+B24/B$40</f>
        <v>0.70574878610826552</v>
      </c>
      <c r="C4" s="113">
        <f t="shared" si="1"/>
        <v>0.55699997231571163</v>
      </c>
      <c r="D4" s="113">
        <f t="shared" si="1"/>
        <v>4.2253137676621928E-2</v>
      </c>
      <c r="E4" s="113">
        <f t="shared" si="1"/>
        <v>5.7389828954005594E-2</v>
      </c>
      <c r="F4" s="113">
        <f t="shared" si="1"/>
        <v>4.2918454935622317E-3</v>
      </c>
      <c r="G4" s="113">
        <f t="shared" si="1"/>
        <v>6.8931338979996398E-2</v>
      </c>
      <c r="H4" s="113">
        <f t="shared" si="1"/>
        <v>1.6745384285100903E-2</v>
      </c>
      <c r="I4" s="113">
        <f t="shared" si="1"/>
        <v>1.2479273933152981E-2</v>
      </c>
      <c r="J4" s="113">
        <f t="shared" si="1"/>
        <v>1.9321766561514197E-2</v>
      </c>
      <c r="K4" s="113">
        <f t="shared" si="1"/>
        <v>2.8901734104046241E-3</v>
      </c>
      <c r="L4" s="113">
        <f t="shared" si="1"/>
        <v>8.2476897832282573E-3</v>
      </c>
      <c r="M4" s="113">
        <f t="shared" si="1"/>
        <v>0</v>
      </c>
      <c r="N4" s="113">
        <f t="shared" si="1"/>
        <v>0</v>
      </c>
      <c r="O4" s="113">
        <f t="shared" si="1"/>
        <v>1.3362002764552296E-2</v>
      </c>
      <c r="P4" s="113">
        <f t="shared" si="1"/>
        <v>1.2822225190329906E-2</v>
      </c>
      <c r="Q4" s="113">
        <f t="shared" si="1"/>
        <v>3.805774278215223E-2</v>
      </c>
      <c r="R4" s="28"/>
    </row>
    <row r="5" spans="1:18" ht="18" customHeight="1">
      <c r="A5" s="124" t="s">
        <v>6</v>
      </c>
      <c r="B5" s="113">
        <f t="shared" si="1"/>
        <v>6.5687137021495215E-2</v>
      </c>
      <c r="C5" s="113">
        <f t="shared" si="1"/>
        <v>1.6808317942187297E-2</v>
      </c>
      <c r="D5" s="113">
        <f t="shared" si="1"/>
        <v>0</v>
      </c>
      <c r="E5" s="113">
        <f t="shared" si="1"/>
        <v>9.2860090796533217E-3</v>
      </c>
      <c r="F5" s="113">
        <f t="shared" si="1"/>
        <v>0.9750474099211498</v>
      </c>
      <c r="G5" s="113">
        <f t="shared" si="1"/>
        <v>4.0547846458821408E-3</v>
      </c>
      <c r="H5" s="113">
        <f t="shared" si="1"/>
        <v>0</v>
      </c>
      <c r="I5" s="113">
        <f t="shared" si="1"/>
        <v>1.1432062134566717E-2</v>
      </c>
      <c r="J5" s="113">
        <f t="shared" si="1"/>
        <v>1.5772870662460567E-3</v>
      </c>
      <c r="K5" s="113">
        <f t="shared" si="1"/>
        <v>0</v>
      </c>
      <c r="L5" s="113">
        <f t="shared" si="1"/>
        <v>1.0363589256412471E-3</v>
      </c>
      <c r="M5" s="113">
        <f t="shared" si="1"/>
        <v>0</v>
      </c>
      <c r="N5" s="113">
        <f t="shared" si="1"/>
        <v>0</v>
      </c>
      <c r="O5" s="113">
        <f t="shared" si="1"/>
        <v>3.0717247734602982E-4</v>
      </c>
      <c r="P5" s="113">
        <f t="shared" si="1"/>
        <v>0</v>
      </c>
      <c r="Q5" s="113">
        <f t="shared" si="1"/>
        <v>7.874015748031496E-3</v>
      </c>
      <c r="R5" s="28"/>
    </row>
    <row r="6" spans="1:18" ht="18" customHeight="1">
      <c r="A6" s="124" t="s">
        <v>2</v>
      </c>
      <c r="B6" s="113">
        <f t="shared" si="1"/>
        <v>8.6406911150182421E-3</v>
      </c>
      <c r="C6" s="113">
        <f t="shared" si="1"/>
        <v>4.7490419258772953E-2</v>
      </c>
      <c r="D6" s="113">
        <f t="shared" si="1"/>
        <v>0.62927772181536035</v>
      </c>
      <c r="E6" s="113">
        <f t="shared" si="1"/>
        <v>4.4481129912413448E-3</v>
      </c>
      <c r="F6" s="113">
        <f t="shared" si="1"/>
        <v>0</v>
      </c>
      <c r="G6" s="113">
        <f t="shared" si="1"/>
        <v>1.2524779239502614E-2</v>
      </c>
      <c r="H6" s="113">
        <f t="shared" si="1"/>
        <v>3.8643194504079004E-3</v>
      </c>
      <c r="I6" s="113">
        <f t="shared" si="1"/>
        <v>0</v>
      </c>
      <c r="J6" s="113">
        <f t="shared" si="1"/>
        <v>1.9716088328075709E-3</v>
      </c>
      <c r="K6" s="113">
        <f t="shared" si="1"/>
        <v>0</v>
      </c>
      <c r="L6" s="113">
        <f t="shared" si="1"/>
        <v>0</v>
      </c>
      <c r="M6" s="113">
        <f t="shared" si="1"/>
        <v>0</v>
      </c>
      <c r="N6" s="113">
        <f t="shared" si="1"/>
        <v>0</v>
      </c>
      <c r="O6" s="113">
        <f t="shared" si="1"/>
        <v>4.607587160190447E-4</v>
      </c>
      <c r="P6" s="113">
        <f t="shared" si="1"/>
        <v>2.404167223186857E-3</v>
      </c>
      <c r="Q6" s="113">
        <f t="shared" si="1"/>
        <v>0</v>
      </c>
      <c r="R6" s="28"/>
    </row>
    <row r="7" spans="1:18" ht="18" customHeight="1">
      <c r="A7" s="124" t="s">
        <v>3</v>
      </c>
      <c r="B7" s="113">
        <f t="shared" si="1"/>
        <v>7.9509963402429926E-2</v>
      </c>
      <c r="C7" s="113">
        <f t="shared" si="1"/>
        <v>3.1212057694056973E-2</v>
      </c>
      <c r="D7" s="113">
        <f t="shared" si="1"/>
        <v>5.4449919686368458E-4</v>
      </c>
      <c r="E7" s="113">
        <f t="shared" si="1"/>
        <v>0.65474388957674146</v>
      </c>
      <c r="F7" s="113">
        <f t="shared" si="1"/>
        <v>8.9829324283860663E-4</v>
      </c>
      <c r="G7" s="113">
        <f t="shared" si="1"/>
        <v>2.8834024148495225E-3</v>
      </c>
      <c r="H7" s="113">
        <f t="shared" si="1"/>
        <v>2.1468441391155001E-3</v>
      </c>
      <c r="I7" s="113">
        <f t="shared" si="1"/>
        <v>8.7267649882188675E-3</v>
      </c>
      <c r="J7" s="113">
        <f t="shared" si="1"/>
        <v>0</v>
      </c>
      <c r="K7" s="113">
        <f t="shared" si="1"/>
        <v>0</v>
      </c>
      <c r="L7" s="113">
        <f t="shared" si="1"/>
        <v>5.6136108472234212E-4</v>
      </c>
      <c r="M7" s="113">
        <f t="shared" si="1"/>
        <v>0</v>
      </c>
      <c r="N7" s="113">
        <f t="shared" si="1"/>
        <v>0</v>
      </c>
      <c r="O7" s="113">
        <f t="shared" si="1"/>
        <v>1.535862386730149E-3</v>
      </c>
      <c r="P7" s="113">
        <f t="shared" si="1"/>
        <v>0</v>
      </c>
      <c r="Q7" s="113">
        <f t="shared" si="1"/>
        <v>0</v>
      </c>
      <c r="R7" s="28"/>
    </row>
    <row r="8" spans="1:18" ht="18" customHeight="1">
      <c r="A8" s="124" t="s">
        <v>4</v>
      </c>
      <c r="B8" s="113">
        <f t="shared" si="1"/>
        <v>5.3985032211910845E-2</v>
      </c>
      <c r="C8" s="113">
        <f t="shared" si="1"/>
        <v>0.12391487476814408</v>
      </c>
      <c r="D8" s="113">
        <f t="shared" si="1"/>
        <v>0.11026108736489613</v>
      </c>
      <c r="E8" s="113">
        <f t="shared" si="1"/>
        <v>1.300041271151465E-2</v>
      </c>
      <c r="F8" s="113">
        <f t="shared" si="1"/>
        <v>2.9943108094620223E-4</v>
      </c>
      <c r="G8" s="113">
        <f t="shared" si="1"/>
        <v>4.7846458821409261E-2</v>
      </c>
      <c r="H8" s="113">
        <f t="shared" si="1"/>
        <v>0</v>
      </c>
      <c r="I8" s="113">
        <f t="shared" si="1"/>
        <v>9.8612444366873199E-3</v>
      </c>
      <c r="J8" s="113">
        <f t="shared" si="1"/>
        <v>1.9716088328075709E-3</v>
      </c>
      <c r="K8" s="113">
        <f t="shared" si="1"/>
        <v>1.2298610257040955E-4</v>
      </c>
      <c r="L8" s="113">
        <f t="shared" si="1"/>
        <v>4.7499784091890494E-4</v>
      </c>
      <c r="M8" s="113">
        <f t="shared" si="1"/>
        <v>0</v>
      </c>
      <c r="N8" s="113">
        <f t="shared" si="1"/>
        <v>0</v>
      </c>
      <c r="O8" s="113">
        <f t="shared" si="1"/>
        <v>1.2286899093841193E-3</v>
      </c>
      <c r="P8" s="113">
        <f t="shared" si="1"/>
        <v>0</v>
      </c>
      <c r="Q8" s="113">
        <f t="shared" si="1"/>
        <v>0</v>
      </c>
      <c r="R8" s="28"/>
    </row>
    <row r="9" spans="1:18" ht="18" customHeight="1">
      <c r="A9" s="124" t="s">
        <v>14</v>
      </c>
      <c r="B9" s="113">
        <f t="shared" si="1"/>
        <v>5.675713705217948E-3</v>
      </c>
      <c r="C9" s="113">
        <f t="shared" si="1"/>
        <v>8.6374979731146002E-3</v>
      </c>
      <c r="D9" s="113">
        <f t="shared" si="1"/>
        <v>1.6334975905910539E-4</v>
      </c>
      <c r="E9" s="113">
        <f t="shared" si="1"/>
        <v>1.1005640390700233E-3</v>
      </c>
      <c r="F9" s="113">
        <f t="shared" si="1"/>
        <v>4.990518015770037E-4</v>
      </c>
      <c r="G9" s="113">
        <f t="shared" si="1"/>
        <v>1.9823391602090466E-3</v>
      </c>
      <c r="H9" s="113">
        <f t="shared" si="1"/>
        <v>0.93430656934306566</v>
      </c>
      <c r="I9" s="113">
        <f t="shared" si="1"/>
        <v>0</v>
      </c>
      <c r="J9" s="113">
        <f t="shared" si="1"/>
        <v>0</v>
      </c>
      <c r="K9" s="113">
        <f t="shared" si="1"/>
        <v>6.1493051285204777E-5</v>
      </c>
      <c r="L9" s="113">
        <f t="shared" si="1"/>
        <v>6.2181535538474823E-3</v>
      </c>
      <c r="M9" s="113">
        <f t="shared" si="1"/>
        <v>0</v>
      </c>
      <c r="N9" s="113">
        <f t="shared" si="1"/>
        <v>0</v>
      </c>
      <c r="O9" s="113">
        <f t="shared" si="1"/>
        <v>0</v>
      </c>
      <c r="P9" s="113">
        <f t="shared" si="1"/>
        <v>0</v>
      </c>
      <c r="Q9" s="113">
        <f t="shared" si="1"/>
        <v>0</v>
      </c>
      <c r="R9" s="28"/>
    </row>
    <row r="10" spans="1:18" ht="18" customHeight="1">
      <c r="A10" s="124" t="s">
        <v>9</v>
      </c>
      <c r="B10" s="113">
        <f t="shared" si="1"/>
        <v>7.451894731904937E-5</v>
      </c>
      <c r="C10" s="113">
        <f t="shared" si="1"/>
        <v>3.5356791153683394E-3</v>
      </c>
      <c r="D10" s="113">
        <f t="shared" si="1"/>
        <v>8.7119871498189541E-4</v>
      </c>
      <c r="E10" s="113">
        <f t="shared" si="1"/>
        <v>5.4340349429082401E-3</v>
      </c>
      <c r="F10" s="113">
        <f t="shared" si="1"/>
        <v>2.295638287254217E-3</v>
      </c>
      <c r="G10" s="113">
        <f t="shared" si="1"/>
        <v>6.5777617588754734E-3</v>
      </c>
      <c r="H10" s="113">
        <f t="shared" si="1"/>
        <v>0</v>
      </c>
      <c r="I10" s="113">
        <f t="shared" si="1"/>
        <v>2.6180294964656603E-4</v>
      </c>
      <c r="J10" s="113">
        <f t="shared" si="1"/>
        <v>0</v>
      </c>
      <c r="K10" s="113">
        <f t="shared" si="1"/>
        <v>0</v>
      </c>
      <c r="L10" s="113">
        <f t="shared" si="1"/>
        <v>0.98056827014422665</v>
      </c>
      <c r="M10" s="113">
        <f t="shared" si="1"/>
        <v>0</v>
      </c>
      <c r="N10" s="113">
        <f t="shared" si="1"/>
        <v>0</v>
      </c>
      <c r="O10" s="113">
        <f t="shared" si="1"/>
        <v>4.607587160190447E-4</v>
      </c>
      <c r="P10" s="113">
        <f t="shared" si="1"/>
        <v>0</v>
      </c>
      <c r="Q10" s="113">
        <f t="shared" si="1"/>
        <v>0.94685039370078738</v>
      </c>
      <c r="R10" s="28"/>
    </row>
    <row r="11" spans="1:18" ht="18" customHeight="1">
      <c r="A11" s="124" t="s">
        <v>5</v>
      </c>
      <c r="B11" s="113">
        <f t="shared" si="1"/>
        <v>1.1747692871473665E-4</v>
      </c>
      <c r="C11" s="113">
        <f t="shared" si="1"/>
        <v>5.4023911315359639E-3</v>
      </c>
      <c r="D11" s="113">
        <f t="shared" si="1"/>
        <v>1.5953826468105961E-2</v>
      </c>
      <c r="E11" s="113">
        <f t="shared" si="1"/>
        <v>2.911909020039437E-3</v>
      </c>
      <c r="F11" s="113">
        <f t="shared" si="1"/>
        <v>6.1882423395548461E-3</v>
      </c>
      <c r="G11" s="113">
        <f t="shared" si="1"/>
        <v>0.80437916741755267</v>
      </c>
      <c r="H11" s="113">
        <f t="shared" si="1"/>
        <v>3.5637612709317305E-2</v>
      </c>
      <c r="I11" s="113">
        <f t="shared" si="1"/>
        <v>2.103150362160747E-2</v>
      </c>
      <c r="J11" s="113">
        <f t="shared" si="1"/>
        <v>4.3375394321766561E-3</v>
      </c>
      <c r="K11" s="113">
        <f t="shared" si="1"/>
        <v>0</v>
      </c>
      <c r="L11" s="113">
        <f t="shared" si="1"/>
        <v>1.2522670351498401E-3</v>
      </c>
      <c r="M11" s="113">
        <f t="shared" si="1"/>
        <v>0</v>
      </c>
      <c r="N11" s="113">
        <f t="shared" si="1"/>
        <v>0</v>
      </c>
      <c r="O11" s="113">
        <f t="shared" si="1"/>
        <v>1.351558900322531E-2</v>
      </c>
      <c r="P11" s="113">
        <f t="shared" si="1"/>
        <v>7.6131962067583813E-3</v>
      </c>
      <c r="Q11" s="113">
        <f t="shared" si="1"/>
        <v>5.905511811023622E-3</v>
      </c>
      <c r="R11" s="28"/>
    </row>
    <row r="12" spans="1:18" ht="18" customHeight="1">
      <c r="A12" s="124" t="s">
        <v>13</v>
      </c>
      <c r="B12" s="113">
        <f t="shared" si="1"/>
        <v>3.1420694963702699E-3</v>
      </c>
      <c r="C12" s="113">
        <f t="shared" si="1"/>
        <v>1.0124539748705759E-3</v>
      </c>
      <c r="D12" s="113">
        <f t="shared" si="1"/>
        <v>4.7807029484631509E-2</v>
      </c>
      <c r="E12" s="113">
        <f t="shared" si="1"/>
        <v>2.9806942724813133E-4</v>
      </c>
      <c r="F12" s="113">
        <f t="shared" si="1"/>
        <v>0</v>
      </c>
      <c r="G12" s="113">
        <f t="shared" si="1"/>
        <v>1.1984141286718328E-2</v>
      </c>
      <c r="H12" s="113">
        <f t="shared" si="1"/>
        <v>1.2881064834693002E-3</v>
      </c>
      <c r="I12" s="113">
        <f t="shared" si="1"/>
        <v>8.7267649882188675E-5</v>
      </c>
      <c r="J12" s="113">
        <f t="shared" si="1"/>
        <v>1.1829652996845425E-2</v>
      </c>
      <c r="K12" s="113">
        <f t="shared" si="1"/>
        <v>0</v>
      </c>
      <c r="L12" s="113">
        <f t="shared" si="1"/>
        <v>4.3181621901718632E-5</v>
      </c>
      <c r="M12" s="113">
        <f t="shared" si="1"/>
        <v>0</v>
      </c>
      <c r="N12" s="113">
        <f t="shared" si="1"/>
        <v>0</v>
      </c>
      <c r="O12" s="113">
        <f t="shared" si="1"/>
        <v>9.675933036399938E-3</v>
      </c>
      <c r="P12" s="113">
        <f t="shared" si="1"/>
        <v>0.95832776813142784</v>
      </c>
      <c r="Q12" s="113">
        <f t="shared" si="1"/>
        <v>0</v>
      </c>
      <c r="R12" s="28"/>
    </row>
    <row r="13" spans="1:18" ht="18" customHeight="1">
      <c r="A13" s="124" t="s">
        <v>8</v>
      </c>
      <c r="B13" s="113">
        <f t="shared" si="1"/>
        <v>8.6792656289245732E-5</v>
      </c>
      <c r="C13" s="113">
        <f t="shared" si="1"/>
        <v>1.7828681713736548E-2</v>
      </c>
      <c r="D13" s="113">
        <f t="shared" si="1"/>
        <v>0</v>
      </c>
      <c r="E13" s="113">
        <f t="shared" si="1"/>
        <v>0</v>
      </c>
      <c r="F13" s="113">
        <f t="shared" si="1"/>
        <v>0</v>
      </c>
      <c r="G13" s="113">
        <f t="shared" si="1"/>
        <v>0</v>
      </c>
      <c r="H13" s="113">
        <f t="shared" si="1"/>
        <v>0</v>
      </c>
      <c r="I13" s="113">
        <f t="shared" si="1"/>
        <v>0</v>
      </c>
      <c r="J13" s="113">
        <f t="shared" si="1"/>
        <v>0</v>
      </c>
      <c r="K13" s="113">
        <f t="shared" si="1"/>
        <v>0</v>
      </c>
      <c r="L13" s="113">
        <f t="shared" si="1"/>
        <v>0</v>
      </c>
      <c r="M13" s="113">
        <f t="shared" si="1"/>
        <v>0</v>
      </c>
      <c r="N13" s="113">
        <f t="shared" si="1"/>
        <v>0.86672195993364809</v>
      </c>
      <c r="O13" s="113">
        <f t="shared" si="1"/>
        <v>1.9966211027491938E-3</v>
      </c>
      <c r="P13" s="113">
        <f t="shared" si="1"/>
        <v>0</v>
      </c>
      <c r="Q13" s="113">
        <f t="shared" si="1"/>
        <v>0</v>
      </c>
      <c r="R13" s="28"/>
    </row>
    <row r="14" spans="1:18" ht="18" customHeight="1">
      <c r="A14" s="124" t="s">
        <v>10</v>
      </c>
      <c r="B14" s="113">
        <f t="shared" si="1"/>
        <v>2.7557983412082328E-2</v>
      </c>
      <c r="C14" s="113">
        <f t="shared" si="1"/>
        <v>0.10117420931694951</v>
      </c>
      <c r="D14" s="113">
        <f t="shared" si="1"/>
        <v>0.1443195121287196</v>
      </c>
      <c r="E14" s="113">
        <f t="shared" si="1"/>
        <v>1.6107213280139403E-2</v>
      </c>
      <c r="F14" s="113">
        <f t="shared" si="1"/>
        <v>0</v>
      </c>
      <c r="G14" s="113">
        <f t="shared" si="1"/>
        <v>7.0282933861957105E-3</v>
      </c>
      <c r="H14" s="113">
        <f t="shared" si="1"/>
        <v>3.4349506225848005E-3</v>
      </c>
      <c r="I14" s="113">
        <f t="shared" si="1"/>
        <v>8.7267649882188675E-5</v>
      </c>
      <c r="J14" s="113">
        <f t="shared" si="1"/>
        <v>5.8359621451104099E-2</v>
      </c>
      <c r="K14" s="113">
        <f t="shared" si="1"/>
        <v>0.13319394908375354</v>
      </c>
      <c r="L14" s="113">
        <f t="shared" si="1"/>
        <v>3.8863459711546765E-4</v>
      </c>
      <c r="M14" s="113">
        <f t="shared" si="1"/>
        <v>0.99711852845012117</v>
      </c>
      <c r="N14" s="113">
        <f t="shared" si="1"/>
        <v>0.13225724129131045</v>
      </c>
      <c r="O14" s="113">
        <f t="shared" si="1"/>
        <v>0.14068499462448164</v>
      </c>
      <c r="P14" s="113">
        <f t="shared" si="1"/>
        <v>8.9488446640844134E-3</v>
      </c>
      <c r="Q14" s="113">
        <f t="shared" si="1"/>
        <v>0</v>
      </c>
      <c r="R14" s="28"/>
    </row>
    <row r="15" spans="1:18" ht="18" customHeight="1">
      <c r="A15" s="124" t="s">
        <v>11</v>
      </c>
      <c r="B15" s="113">
        <f t="shared" si="1"/>
        <v>8.475872737418462E-3</v>
      </c>
      <c r="C15" s="113">
        <f t="shared" si="1"/>
        <v>4.4294861400587699E-4</v>
      </c>
      <c r="D15" s="113">
        <f t="shared" si="1"/>
        <v>8.1674879529552698E-4</v>
      </c>
      <c r="E15" s="113">
        <f t="shared" si="1"/>
        <v>3.0471866831751272E-2</v>
      </c>
      <c r="F15" s="113">
        <f t="shared" si="1"/>
        <v>0</v>
      </c>
      <c r="G15" s="113">
        <f t="shared" si="1"/>
        <v>1.8021265092809516E-4</v>
      </c>
      <c r="H15" s="113">
        <f t="shared" si="1"/>
        <v>0</v>
      </c>
      <c r="I15" s="113">
        <f t="shared" si="1"/>
        <v>0</v>
      </c>
      <c r="J15" s="113">
        <f t="shared" si="1"/>
        <v>0.79219242902208198</v>
      </c>
      <c r="K15" s="113">
        <f t="shared" si="1"/>
        <v>1.598819333415324E-3</v>
      </c>
      <c r="L15" s="113">
        <f t="shared" si="1"/>
        <v>0</v>
      </c>
      <c r="M15" s="113">
        <f t="shared" si="1"/>
        <v>0</v>
      </c>
      <c r="N15" s="113">
        <f t="shared" si="1"/>
        <v>0</v>
      </c>
      <c r="O15" s="113">
        <f t="shared" si="1"/>
        <v>1.0597450468438028E-2</v>
      </c>
      <c r="P15" s="113">
        <f t="shared" si="1"/>
        <v>2.0034726859890477E-3</v>
      </c>
      <c r="Q15" s="113">
        <f t="shared" si="1"/>
        <v>0</v>
      </c>
      <c r="R15" s="28"/>
    </row>
    <row r="16" spans="1:18" ht="18" customHeight="1">
      <c r="A16" s="124" t="s">
        <v>12</v>
      </c>
      <c r="B16" s="113">
        <f t="shared" si="1"/>
        <v>5.1724916374398972E-5</v>
      </c>
      <c r="C16" s="113">
        <f t="shared" si="1"/>
        <v>1.3486203337143218E-2</v>
      </c>
      <c r="D16" s="113">
        <f t="shared" si="1"/>
        <v>0</v>
      </c>
      <c r="E16" s="113">
        <f t="shared" si="1"/>
        <v>9.6299353418627051E-4</v>
      </c>
      <c r="F16" s="113">
        <f t="shared" si="1"/>
        <v>0</v>
      </c>
      <c r="G16" s="113">
        <f t="shared" si="1"/>
        <v>3.6042530185619032E-4</v>
      </c>
      <c r="H16" s="113">
        <f t="shared" si="1"/>
        <v>0</v>
      </c>
      <c r="I16" s="113">
        <f t="shared" si="1"/>
        <v>0</v>
      </c>
      <c r="J16" s="113">
        <f t="shared" si="1"/>
        <v>4.5347003154574135E-2</v>
      </c>
      <c r="K16" s="113">
        <f t="shared" si="1"/>
        <v>0.85450744065920547</v>
      </c>
      <c r="L16" s="113">
        <f t="shared" si="1"/>
        <v>0</v>
      </c>
      <c r="M16" s="113">
        <f t="shared" si="1"/>
        <v>0</v>
      </c>
      <c r="N16" s="113">
        <f t="shared" si="1"/>
        <v>0</v>
      </c>
      <c r="O16" s="113">
        <f t="shared" si="1"/>
        <v>2.3037935800952233E-3</v>
      </c>
      <c r="P16" s="113">
        <f t="shared" si="1"/>
        <v>0</v>
      </c>
      <c r="Q16" s="113">
        <f t="shared" si="1"/>
        <v>0</v>
      </c>
      <c r="R16" s="28"/>
    </row>
    <row r="17" spans="1:18" ht="18" customHeight="1">
      <c r="A17" s="124" t="s">
        <v>7</v>
      </c>
      <c r="B17" s="113">
        <f t="shared" si="1"/>
        <v>8.0156086510360988E-3</v>
      </c>
      <c r="C17" s="113">
        <f t="shared" si="1"/>
        <v>1.1239821080399129E-2</v>
      </c>
      <c r="D17" s="113">
        <f t="shared" si="1"/>
        <v>3.865944297732161E-3</v>
      </c>
      <c r="E17" s="113">
        <f t="shared" si="1"/>
        <v>0.19034025771541249</v>
      </c>
      <c r="F17" s="113">
        <f t="shared" si="1"/>
        <v>6.1882423395548461E-3</v>
      </c>
      <c r="G17" s="113">
        <f t="shared" si="1"/>
        <v>2.5049558479005227E-2</v>
      </c>
      <c r="H17" s="113">
        <f t="shared" si="1"/>
        <v>0</v>
      </c>
      <c r="I17" s="113">
        <f t="shared" si="1"/>
        <v>5.2360589929313205E-4</v>
      </c>
      <c r="J17" s="113">
        <f t="shared" si="1"/>
        <v>6.2302839116719244E-2</v>
      </c>
      <c r="K17" s="113">
        <f t="shared" si="1"/>
        <v>7.6251383593653917E-3</v>
      </c>
      <c r="L17" s="113">
        <f t="shared" si="1"/>
        <v>1.0363589256412471E-3</v>
      </c>
      <c r="M17" s="113">
        <f t="shared" si="1"/>
        <v>2.6109660574412533E-3</v>
      </c>
      <c r="N17" s="113">
        <f t="shared" si="1"/>
        <v>1.0207987750414699E-3</v>
      </c>
      <c r="O17" s="113">
        <f t="shared" si="1"/>
        <v>0.80264168330517582</v>
      </c>
      <c r="P17" s="113">
        <f t="shared" si="1"/>
        <v>7.0789368238279686E-3</v>
      </c>
      <c r="Q17" s="113">
        <f t="shared" si="1"/>
        <v>1.3123359580052493E-3</v>
      </c>
      <c r="R17" s="28"/>
    </row>
    <row r="18" spans="1:18" ht="18" customHeight="1">
      <c r="A18" s="124" t="s">
        <v>16</v>
      </c>
      <c r="B18" s="113">
        <f t="shared" si="1"/>
        <v>1.4629384398976198E-2</v>
      </c>
      <c r="C18" s="113">
        <f t="shared" si="1"/>
        <v>7.1188170108087376E-5</v>
      </c>
      <c r="D18" s="113">
        <f t="shared" si="1"/>
        <v>0</v>
      </c>
      <c r="E18" s="113">
        <f t="shared" si="1"/>
        <v>0</v>
      </c>
      <c r="F18" s="113">
        <f t="shared" si="1"/>
        <v>0</v>
      </c>
      <c r="G18" s="113">
        <f t="shared" si="1"/>
        <v>0</v>
      </c>
      <c r="H18" s="113">
        <f t="shared" si="1"/>
        <v>0</v>
      </c>
      <c r="I18" s="113">
        <f t="shared" si="1"/>
        <v>0</v>
      </c>
      <c r="J18" s="113">
        <f t="shared" si="1"/>
        <v>0</v>
      </c>
      <c r="K18" s="113">
        <f t="shared" si="1"/>
        <v>0</v>
      </c>
      <c r="L18" s="113">
        <f t="shared" si="1"/>
        <v>0</v>
      </c>
      <c r="M18" s="113">
        <f t="shared" si="1"/>
        <v>0</v>
      </c>
      <c r="N18" s="113">
        <f t="shared" si="1"/>
        <v>0</v>
      </c>
      <c r="O18" s="113">
        <f t="shared" si="1"/>
        <v>0</v>
      </c>
      <c r="P18" s="113">
        <f t="shared" si="1"/>
        <v>0</v>
      </c>
      <c r="Q18" s="113">
        <f t="shared" si="1"/>
        <v>0</v>
      </c>
      <c r="R18" s="28"/>
    </row>
    <row r="19" spans="1:18" ht="18" customHeight="1">
      <c r="A19" s="124" t="s">
        <v>44</v>
      </c>
      <c r="B19" s="113">
        <f t="shared" si="1"/>
        <v>1.449612698729978E-3</v>
      </c>
      <c r="C19" s="113">
        <f t="shared" si="1"/>
        <v>5.3529549022942366E-2</v>
      </c>
      <c r="D19" s="113">
        <f t="shared" si="1"/>
        <v>2.8858457433775285E-3</v>
      </c>
      <c r="E19" s="113">
        <f t="shared" si="1"/>
        <v>6.8785252441876466E-3</v>
      </c>
      <c r="F19" s="113">
        <f t="shared" si="1"/>
        <v>2.9943108094620222E-3</v>
      </c>
      <c r="G19" s="113">
        <f t="shared" si="1"/>
        <v>1.1713822310326185E-3</v>
      </c>
      <c r="H19" s="113">
        <f t="shared" si="1"/>
        <v>2.5762129669386004E-3</v>
      </c>
      <c r="I19" s="113">
        <f t="shared" si="1"/>
        <v>4.5379177938738111E-3</v>
      </c>
      <c r="J19" s="113">
        <f t="shared" si="1"/>
        <v>0</v>
      </c>
      <c r="K19" s="113">
        <f t="shared" si="1"/>
        <v>0</v>
      </c>
      <c r="L19" s="113">
        <f t="shared" si="1"/>
        <v>0</v>
      </c>
      <c r="M19" s="113">
        <f t="shared" si="1"/>
        <v>2.7050549243760733E-4</v>
      </c>
      <c r="N19" s="113">
        <f t="shared" si="1"/>
        <v>0</v>
      </c>
      <c r="O19" s="113">
        <f t="shared" si="1"/>
        <v>0</v>
      </c>
      <c r="P19" s="113">
        <f t="shared" si="1"/>
        <v>0</v>
      </c>
      <c r="Q19" s="113">
        <f>+Q39/Q$40</f>
        <v>0</v>
      </c>
      <c r="R19" s="28"/>
    </row>
    <row r="20" spans="1:18" ht="18" customHeight="1">
      <c r="A20" s="118" t="s">
        <v>17</v>
      </c>
      <c r="B20" s="114">
        <f t="shared" ref="B20:P20" si="2">SUM(B3:B19)</f>
        <v>1</v>
      </c>
      <c r="C20" s="115">
        <f t="shared" si="2"/>
        <v>1</v>
      </c>
      <c r="D20" s="115">
        <f t="shared" si="2"/>
        <v>1</v>
      </c>
      <c r="E20" s="115">
        <f t="shared" si="2"/>
        <v>1.0000000000000002</v>
      </c>
      <c r="F20" s="115">
        <f t="shared" si="2"/>
        <v>1</v>
      </c>
      <c r="G20" s="115">
        <f t="shared" si="2"/>
        <v>0.99999999999999989</v>
      </c>
      <c r="H20" s="115">
        <f t="shared" si="2"/>
        <v>1</v>
      </c>
      <c r="I20" s="115">
        <f t="shared" si="2"/>
        <v>1.0000000000000002</v>
      </c>
      <c r="J20" s="115">
        <f t="shared" si="2"/>
        <v>1</v>
      </c>
      <c r="K20" s="115">
        <f t="shared" si="2"/>
        <v>1</v>
      </c>
      <c r="L20" s="115">
        <f t="shared" si="2"/>
        <v>1</v>
      </c>
      <c r="M20" s="115">
        <f t="shared" si="2"/>
        <v>1</v>
      </c>
      <c r="N20" s="114">
        <f t="shared" si="2"/>
        <v>1</v>
      </c>
      <c r="O20" s="114">
        <f t="shared" si="2"/>
        <v>1</v>
      </c>
      <c r="P20" s="114">
        <f t="shared" si="2"/>
        <v>1</v>
      </c>
      <c r="Q20" s="114">
        <f>SUM(Q3:Q19)</f>
        <v>1</v>
      </c>
      <c r="R20" s="28"/>
    </row>
    <row r="21" spans="1:18" ht="18" customHeight="1">
      <c r="A21" s="13"/>
      <c r="R21" s="28"/>
    </row>
    <row r="22" spans="1:18" ht="42" customHeight="1">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c r="A23" s="124" t="s">
        <v>0</v>
      </c>
      <c r="B23" s="125">
        <v>19564</v>
      </c>
      <c r="C23" s="125">
        <v>912</v>
      </c>
      <c r="D23" s="125">
        <v>18</v>
      </c>
      <c r="E23" s="125">
        <v>289</v>
      </c>
      <c r="F23" s="125">
        <v>13</v>
      </c>
      <c r="G23" s="125">
        <v>56</v>
      </c>
      <c r="H23" s="126"/>
      <c r="I23" s="125">
        <v>10668</v>
      </c>
      <c r="J23" s="125">
        <v>2</v>
      </c>
      <c r="K23" s="126"/>
      <c r="L23" s="125">
        <v>4</v>
      </c>
      <c r="M23" s="126"/>
      <c r="N23" s="126"/>
      <c r="O23" s="125">
        <v>8</v>
      </c>
      <c r="P23" s="126">
        <v>6</v>
      </c>
      <c r="Q23" s="126"/>
    </row>
    <row r="24" spans="1:18" ht="18" customHeight="1">
      <c r="A24" s="124" t="s">
        <v>1</v>
      </c>
      <c r="B24" s="125">
        <v>805012</v>
      </c>
      <c r="C24" s="125">
        <v>70419</v>
      </c>
      <c r="D24" s="125">
        <v>776</v>
      </c>
      <c r="E24" s="125">
        <v>2503</v>
      </c>
      <c r="F24" s="125">
        <v>43</v>
      </c>
      <c r="G24" s="125">
        <v>765</v>
      </c>
      <c r="H24" s="125">
        <v>39</v>
      </c>
      <c r="I24" s="125">
        <v>143</v>
      </c>
      <c r="J24" s="125">
        <v>49</v>
      </c>
      <c r="K24" s="125">
        <v>47</v>
      </c>
      <c r="L24" s="125">
        <v>191</v>
      </c>
      <c r="M24" s="126"/>
      <c r="N24" s="126"/>
      <c r="O24" s="125">
        <v>87</v>
      </c>
      <c r="P24" s="125">
        <v>96</v>
      </c>
      <c r="Q24" s="125">
        <v>58</v>
      </c>
    </row>
    <row r="25" spans="1:18" ht="18" customHeight="1">
      <c r="A25" s="124" t="s">
        <v>6</v>
      </c>
      <c r="B25" s="125">
        <v>74926</v>
      </c>
      <c r="C25" s="125">
        <v>2125</v>
      </c>
      <c r="D25" s="126"/>
      <c r="E25" s="125">
        <v>405</v>
      </c>
      <c r="F25" s="125">
        <v>9769</v>
      </c>
      <c r="G25" s="125">
        <v>45</v>
      </c>
      <c r="H25" s="126"/>
      <c r="I25" s="125">
        <v>131</v>
      </c>
      <c r="J25" s="125">
        <v>4</v>
      </c>
      <c r="K25" s="126"/>
      <c r="L25" s="125">
        <v>24</v>
      </c>
      <c r="M25" s="126"/>
      <c r="N25" s="126"/>
      <c r="O25" s="125">
        <v>2</v>
      </c>
      <c r="P25" s="126"/>
      <c r="Q25" s="125">
        <v>12</v>
      </c>
    </row>
    <row r="26" spans="1:18" ht="18" customHeight="1">
      <c r="A26" s="124" t="s">
        <v>2</v>
      </c>
      <c r="B26" s="125">
        <v>9856</v>
      </c>
      <c r="C26" s="125">
        <v>6004</v>
      </c>
      <c r="D26" s="125">
        <v>11557</v>
      </c>
      <c r="E26" s="125">
        <v>194</v>
      </c>
      <c r="F26" s="126"/>
      <c r="G26" s="125">
        <v>139</v>
      </c>
      <c r="H26" s="126">
        <v>9</v>
      </c>
      <c r="I26" s="126"/>
      <c r="J26" s="125">
        <v>5</v>
      </c>
      <c r="K26" s="126"/>
      <c r="L26" s="126"/>
      <c r="M26" s="126"/>
      <c r="N26" s="126"/>
      <c r="O26" s="125">
        <v>3</v>
      </c>
      <c r="P26" s="125">
        <v>18</v>
      </c>
      <c r="Q26" s="126"/>
    </row>
    <row r="27" spans="1:18" ht="18" customHeight="1">
      <c r="A27" s="124" t="s">
        <v>3</v>
      </c>
      <c r="B27" s="125">
        <v>90693</v>
      </c>
      <c r="C27" s="125">
        <v>3946</v>
      </c>
      <c r="D27" s="125">
        <v>10</v>
      </c>
      <c r="E27" s="125">
        <v>28556</v>
      </c>
      <c r="F27" s="125">
        <v>9</v>
      </c>
      <c r="G27" s="125">
        <v>32</v>
      </c>
      <c r="H27" s="125">
        <v>5</v>
      </c>
      <c r="I27" s="125">
        <v>100</v>
      </c>
      <c r="J27" s="126"/>
      <c r="K27" s="126"/>
      <c r="L27" s="125">
        <v>13</v>
      </c>
      <c r="M27" s="126"/>
      <c r="N27" s="126"/>
      <c r="O27" s="125">
        <v>10</v>
      </c>
      <c r="P27" s="126"/>
      <c r="Q27" s="126"/>
    </row>
    <row r="28" spans="1:18" ht="18" customHeight="1">
      <c r="A28" s="124" t="s">
        <v>4</v>
      </c>
      <c r="B28" s="125">
        <v>61578</v>
      </c>
      <c r="C28" s="125">
        <v>15666</v>
      </c>
      <c r="D28" s="125">
        <v>2025</v>
      </c>
      <c r="E28" s="125">
        <v>567</v>
      </c>
      <c r="F28" s="125">
        <v>3</v>
      </c>
      <c r="G28" s="125">
        <v>531</v>
      </c>
      <c r="H28" s="126"/>
      <c r="I28" s="125">
        <v>113</v>
      </c>
      <c r="J28" s="125">
        <v>5</v>
      </c>
      <c r="K28" s="125">
        <v>2</v>
      </c>
      <c r="L28" s="125">
        <v>11</v>
      </c>
      <c r="M28" s="126"/>
      <c r="N28" s="126"/>
      <c r="O28" s="125">
        <v>8</v>
      </c>
      <c r="P28" s="126"/>
      <c r="Q28" s="126"/>
    </row>
    <row r="29" spans="1:18" ht="18" customHeight="1">
      <c r="A29" s="124" t="s">
        <v>14</v>
      </c>
      <c r="B29" s="125">
        <v>6474</v>
      </c>
      <c r="C29" s="125">
        <v>1092</v>
      </c>
      <c r="D29" s="125">
        <v>3</v>
      </c>
      <c r="E29" s="125">
        <v>48</v>
      </c>
      <c r="F29" s="125">
        <v>5</v>
      </c>
      <c r="G29" s="125">
        <v>22</v>
      </c>
      <c r="H29" s="125">
        <v>2176</v>
      </c>
      <c r="I29" s="126"/>
      <c r="J29" s="126"/>
      <c r="K29" s="125">
        <v>1</v>
      </c>
      <c r="L29" s="125">
        <v>144</v>
      </c>
      <c r="M29" s="126"/>
      <c r="N29" s="126"/>
      <c r="O29" s="126"/>
      <c r="P29" s="126"/>
      <c r="Q29" s="126"/>
    </row>
    <row r="30" spans="1:18" ht="18" customHeight="1">
      <c r="A30" s="124" t="s">
        <v>9</v>
      </c>
      <c r="B30" s="125">
        <v>85</v>
      </c>
      <c r="C30" s="125">
        <v>447</v>
      </c>
      <c r="D30" s="125">
        <v>16</v>
      </c>
      <c r="E30" s="125">
        <v>237</v>
      </c>
      <c r="F30" s="125">
        <v>23</v>
      </c>
      <c r="G30" s="125">
        <v>73</v>
      </c>
      <c r="H30" s="126"/>
      <c r="I30" s="125">
        <v>3</v>
      </c>
      <c r="J30" s="126"/>
      <c r="K30" s="126"/>
      <c r="L30" s="125">
        <v>22708</v>
      </c>
      <c r="M30" s="126"/>
      <c r="N30" s="126"/>
      <c r="O30" s="125">
        <v>3</v>
      </c>
      <c r="P30" s="126"/>
      <c r="Q30" s="125">
        <v>1443</v>
      </c>
    </row>
    <row r="31" spans="1:18" ht="18" customHeight="1">
      <c r="A31" s="124" t="s">
        <v>5</v>
      </c>
      <c r="B31" s="125">
        <v>134</v>
      </c>
      <c r="C31" s="125">
        <v>683</v>
      </c>
      <c r="D31" s="125">
        <v>293</v>
      </c>
      <c r="E31" s="125">
        <v>127</v>
      </c>
      <c r="F31" s="125">
        <v>62</v>
      </c>
      <c r="G31" s="125">
        <v>8927</v>
      </c>
      <c r="H31" s="125">
        <v>83</v>
      </c>
      <c r="I31" s="125">
        <v>241</v>
      </c>
      <c r="J31" s="125">
        <v>11</v>
      </c>
      <c r="K31" s="126"/>
      <c r="L31" s="125">
        <v>29</v>
      </c>
      <c r="M31" s="126"/>
      <c r="N31" s="126"/>
      <c r="O31" s="125">
        <v>88</v>
      </c>
      <c r="P31" s="125">
        <v>57</v>
      </c>
      <c r="Q31" s="125">
        <v>9</v>
      </c>
    </row>
    <row r="32" spans="1:18" ht="18" customHeight="1">
      <c r="A32" s="124" t="s">
        <v>13</v>
      </c>
      <c r="B32" s="125">
        <v>3584</v>
      </c>
      <c r="C32" s="125">
        <v>128</v>
      </c>
      <c r="D32" s="125">
        <v>878</v>
      </c>
      <c r="E32" s="125">
        <v>13</v>
      </c>
      <c r="F32" s="126"/>
      <c r="G32" s="125">
        <v>133</v>
      </c>
      <c r="H32" s="126">
        <v>3</v>
      </c>
      <c r="I32" s="125">
        <v>1</v>
      </c>
      <c r="J32" s="125">
        <v>30</v>
      </c>
      <c r="K32" s="126"/>
      <c r="L32" s="125">
        <v>1</v>
      </c>
      <c r="M32" s="126"/>
      <c r="N32" s="126"/>
      <c r="O32" s="125">
        <v>63</v>
      </c>
      <c r="P32" s="125">
        <v>7175</v>
      </c>
      <c r="Q32" s="126"/>
    </row>
    <row r="33" spans="1:18" ht="18" customHeight="1">
      <c r="A33" s="124" t="s">
        <v>8</v>
      </c>
      <c r="B33" s="125">
        <v>99</v>
      </c>
      <c r="C33" s="125">
        <v>2254</v>
      </c>
      <c r="D33" s="126"/>
      <c r="E33" s="126"/>
      <c r="F33" s="126"/>
      <c r="G33" s="126"/>
      <c r="H33" s="126"/>
      <c r="I33" s="126"/>
      <c r="J33" s="126"/>
      <c r="K33" s="126"/>
      <c r="L33" s="126"/>
      <c r="M33" s="126"/>
      <c r="N33" s="125">
        <v>13585</v>
      </c>
      <c r="O33" s="125">
        <v>13</v>
      </c>
      <c r="P33" s="126"/>
      <c r="Q33" s="126"/>
    </row>
    <row r="34" spans="1:18" ht="18" customHeight="1">
      <c r="A34" s="124" t="s">
        <v>10</v>
      </c>
      <c r="B34" s="125">
        <v>31434</v>
      </c>
      <c r="C34" s="125">
        <v>12791</v>
      </c>
      <c r="D34" s="125">
        <v>2650.5</v>
      </c>
      <c r="E34" s="125">
        <v>702.5</v>
      </c>
      <c r="F34" s="126"/>
      <c r="G34" s="125">
        <v>78</v>
      </c>
      <c r="H34" s="125">
        <v>8</v>
      </c>
      <c r="I34" s="125">
        <v>1</v>
      </c>
      <c r="J34" s="125">
        <v>148</v>
      </c>
      <c r="K34" s="125">
        <v>2166</v>
      </c>
      <c r="L34" s="125">
        <v>9</v>
      </c>
      <c r="M34" s="125">
        <v>42390.5</v>
      </c>
      <c r="N34" s="125">
        <v>2073</v>
      </c>
      <c r="O34" s="125">
        <v>916</v>
      </c>
      <c r="P34" s="125">
        <v>67</v>
      </c>
      <c r="Q34" s="126"/>
    </row>
    <row r="35" spans="1:18" ht="18" customHeight="1">
      <c r="A35" s="124" t="s">
        <v>11</v>
      </c>
      <c r="B35" s="125">
        <v>9668</v>
      </c>
      <c r="C35" s="125">
        <v>56</v>
      </c>
      <c r="D35" s="125">
        <v>15</v>
      </c>
      <c r="E35" s="125">
        <v>1329</v>
      </c>
      <c r="F35" s="126"/>
      <c r="G35" s="125">
        <v>2</v>
      </c>
      <c r="H35" s="126"/>
      <c r="I35" s="126"/>
      <c r="J35" s="125">
        <v>2009</v>
      </c>
      <c r="K35" s="125">
        <v>26</v>
      </c>
      <c r="L35" s="126"/>
      <c r="M35" s="126"/>
      <c r="N35" s="126"/>
      <c r="O35" s="125">
        <v>69</v>
      </c>
      <c r="P35" s="125">
        <v>15</v>
      </c>
      <c r="Q35" s="126"/>
    </row>
    <row r="36" spans="1:18" ht="18" customHeight="1">
      <c r="A36" s="124" t="s">
        <v>12</v>
      </c>
      <c r="B36" s="125">
        <v>59</v>
      </c>
      <c r="C36" s="125">
        <v>1705</v>
      </c>
      <c r="D36" s="126"/>
      <c r="E36" s="125">
        <v>42</v>
      </c>
      <c r="F36" s="126"/>
      <c r="G36" s="125">
        <v>4</v>
      </c>
      <c r="H36" s="126"/>
      <c r="I36" s="126"/>
      <c r="J36" s="125">
        <v>115</v>
      </c>
      <c r="K36" s="125">
        <v>13896</v>
      </c>
      <c r="L36" s="126"/>
      <c r="M36" s="126"/>
      <c r="N36" s="126"/>
      <c r="O36" s="125">
        <v>15</v>
      </c>
      <c r="P36" s="126"/>
      <c r="Q36" s="126"/>
    </row>
    <row r="37" spans="1:18" ht="18" customHeight="1">
      <c r="A37" s="124" t="s">
        <v>7</v>
      </c>
      <c r="B37" s="125">
        <v>9143</v>
      </c>
      <c r="C37" s="125">
        <v>1421</v>
      </c>
      <c r="D37" s="125">
        <v>71</v>
      </c>
      <c r="E37" s="125">
        <v>8301.5</v>
      </c>
      <c r="F37" s="125">
        <v>62</v>
      </c>
      <c r="G37" s="125">
        <v>278</v>
      </c>
      <c r="H37" s="126"/>
      <c r="I37" s="125">
        <v>6</v>
      </c>
      <c r="J37" s="125">
        <v>158</v>
      </c>
      <c r="K37" s="125">
        <v>124</v>
      </c>
      <c r="L37" s="125">
        <v>24</v>
      </c>
      <c r="M37" s="125">
        <v>111</v>
      </c>
      <c r="N37" s="125">
        <v>16</v>
      </c>
      <c r="O37" s="125">
        <v>5226</v>
      </c>
      <c r="P37" s="125">
        <v>53</v>
      </c>
      <c r="Q37" s="125">
        <v>2</v>
      </c>
    </row>
    <row r="38" spans="1:18" ht="18" customHeight="1">
      <c r="A38" s="124" t="s">
        <v>16</v>
      </c>
      <c r="B38" s="125">
        <v>16687</v>
      </c>
      <c r="C38" s="125">
        <v>9</v>
      </c>
      <c r="D38" s="126"/>
      <c r="E38" s="126"/>
      <c r="F38" s="126"/>
      <c r="G38" s="126"/>
      <c r="H38" s="126"/>
      <c r="I38" s="126"/>
      <c r="J38" s="126"/>
      <c r="K38" s="126"/>
      <c r="L38" s="126"/>
      <c r="M38" s="126"/>
      <c r="N38" s="126"/>
      <c r="O38" s="126"/>
      <c r="P38" s="126"/>
      <c r="Q38" s="126"/>
    </row>
    <row r="39" spans="1:18" ht="18" customHeight="1">
      <c r="A39" s="124" t="s">
        <v>44</v>
      </c>
      <c r="B39" s="125">
        <v>1653.5</v>
      </c>
      <c r="C39" s="125">
        <v>6767.5</v>
      </c>
      <c r="D39" s="125">
        <v>53</v>
      </c>
      <c r="E39" s="125">
        <v>300</v>
      </c>
      <c r="F39" s="125">
        <v>30</v>
      </c>
      <c r="G39" s="125">
        <v>13</v>
      </c>
      <c r="H39" s="125">
        <v>6</v>
      </c>
      <c r="I39" s="125">
        <v>52</v>
      </c>
      <c r="J39" s="126"/>
      <c r="K39" s="126"/>
      <c r="L39" s="126"/>
      <c r="M39" s="125">
        <v>11.5</v>
      </c>
      <c r="N39" s="126"/>
      <c r="O39" s="126"/>
      <c r="P39" s="126"/>
      <c r="Q39" s="126"/>
    </row>
    <row r="40" spans="1:18" ht="18" customHeight="1">
      <c r="A40" s="118" t="s">
        <v>17</v>
      </c>
      <c r="B40" s="119">
        <f>SUM(B23:B39)</f>
        <v>1140649.5</v>
      </c>
      <c r="C40" s="119">
        <f t="shared" ref="C40:Q40" si="3">SUM(C23:C39)</f>
        <v>126425.5</v>
      </c>
      <c r="D40" s="119">
        <f t="shared" si="3"/>
        <v>18365.5</v>
      </c>
      <c r="E40" s="119">
        <f t="shared" si="3"/>
        <v>43614</v>
      </c>
      <c r="F40" s="119">
        <f t="shared" si="3"/>
        <v>10019</v>
      </c>
      <c r="G40" s="119">
        <f t="shared" si="3"/>
        <v>11098</v>
      </c>
      <c r="H40" s="119">
        <f t="shared" si="3"/>
        <v>2329</v>
      </c>
      <c r="I40" s="119">
        <f t="shared" si="3"/>
        <v>11459</v>
      </c>
      <c r="J40" s="119">
        <f t="shared" si="3"/>
        <v>2536</v>
      </c>
      <c r="K40" s="119">
        <f t="shared" si="3"/>
        <v>16262</v>
      </c>
      <c r="L40" s="119">
        <f t="shared" si="3"/>
        <v>23158</v>
      </c>
      <c r="M40" s="119">
        <f t="shared" si="3"/>
        <v>42513</v>
      </c>
      <c r="N40" s="119">
        <f t="shared" si="3"/>
        <v>15674</v>
      </c>
      <c r="O40" s="119">
        <f t="shared" si="3"/>
        <v>6511</v>
      </c>
      <c r="P40" s="119">
        <f t="shared" si="3"/>
        <v>7487</v>
      </c>
      <c r="Q40" s="119">
        <f t="shared" si="3"/>
        <v>1524</v>
      </c>
      <c r="R40" s="7"/>
    </row>
  </sheetData>
  <printOptions horizontalCentered="1"/>
  <pageMargins left="0.2" right="0.2" top="0.5" bottom="0.5" header="0.05" footer="0.05"/>
  <pageSetup scale="58" orientation="landscape" r:id="rId1"/>
  <headerFooter>
    <oddFooter xml:space="preserve">&amp;L&amp;9&amp;Z&amp;F, &amp;A
Revised/Printed &amp;D, &amp;T&amp;R&amp;9Page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7" workbookViewId="0">
      <selection activeCell="K23" sqref="K23:K27"/>
    </sheetView>
  </sheetViews>
  <sheetFormatPr defaultColWidth="8.85546875" defaultRowHeight="15"/>
  <cols>
    <col min="1" max="1" width="5.140625" style="32" customWidth="1"/>
    <col min="2" max="2" width="28.85546875" style="32" customWidth="1"/>
    <col min="3" max="4" width="15.85546875" style="32" customWidth="1"/>
    <col min="5" max="6" width="14.7109375" style="32" customWidth="1"/>
    <col min="7" max="8" width="18.140625" style="32" customWidth="1"/>
    <col min="9" max="9" width="18.7109375" style="32" customWidth="1"/>
    <col min="10" max="10" width="22.42578125" style="32" customWidth="1"/>
    <col min="11" max="11" width="21.85546875" style="32" customWidth="1"/>
    <col min="12" max="12" width="40.42578125" style="25" hidden="1" customWidth="1"/>
    <col min="13" max="13" width="13.140625" style="25" hidden="1" customWidth="1"/>
    <col min="14" max="14" width="15.42578125" style="25" hidden="1" customWidth="1"/>
    <col min="15" max="17" width="14.42578125" style="25" hidden="1" customWidth="1"/>
    <col min="18" max="18" width="15.42578125" style="32" hidden="1" customWidth="1"/>
    <col min="19" max="19" width="14.85546875" style="153" hidden="1" customWidth="1"/>
    <col min="20" max="16384" width="8.85546875" style="32"/>
  </cols>
  <sheetData>
    <row r="1" spans="1:19" ht="28.5" customHeight="1">
      <c r="B1" s="635" t="s">
        <v>439</v>
      </c>
      <c r="C1" s="635"/>
      <c r="D1" s="636"/>
      <c r="E1" s="635"/>
      <c r="F1" s="635"/>
      <c r="G1" s="635"/>
      <c r="H1" s="636"/>
      <c r="I1" s="635"/>
    </row>
    <row r="2" spans="1:19" s="2" customFormat="1" ht="30">
      <c r="B2" s="215" t="s">
        <v>103</v>
      </c>
      <c r="C2" s="215" t="s">
        <v>124</v>
      </c>
      <c r="D2" s="216" t="s">
        <v>199</v>
      </c>
      <c r="E2" s="217" t="s">
        <v>170</v>
      </c>
      <c r="F2" s="217" t="s">
        <v>176</v>
      </c>
      <c r="G2" s="217" t="s">
        <v>171</v>
      </c>
      <c r="H2" s="217" t="s">
        <v>281</v>
      </c>
      <c r="I2" s="218" t="s">
        <v>81</v>
      </c>
      <c r="J2" s="254"/>
      <c r="K2"/>
      <c r="S2" s="168"/>
    </row>
    <row r="3" spans="1:19" s="2" customFormat="1" ht="15.95" customHeight="1">
      <c r="B3" s="248"/>
      <c r="C3" s="249"/>
      <c r="D3" s="250"/>
      <c r="E3" s="251"/>
      <c r="F3" s="251"/>
      <c r="G3" s="251"/>
      <c r="H3" s="618">
        <v>5.0000000000000001E-3</v>
      </c>
      <c r="I3" s="252"/>
      <c r="J3" s="254"/>
      <c r="K3"/>
      <c r="L3" s="566" t="s">
        <v>291</v>
      </c>
      <c r="M3" s="566" t="s">
        <v>284</v>
      </c>
      <c r="N3" s="566" t="s">
        <v>285</v>
      </c>
      <c r="O3" s="566" t="s">
        <v>286</v>
      </c>
      <c r="P3" s="566" t="s">
        <v>287</v>
      </c>
      <c r="Q3" s="566" t="s">
        <v>288</v>
      </c>
      <c r="R3" s="566" t="s">
        <v>290</v>
      </c>
      <c r="S3" s="168"/>
    </row>
    <row r="4" spans="1:19" ht="15.95" customHeight="1">
      <c r="A4" s="32" t="s">
        <v>128</v>
      </c>
      <c r="B4" s="220" t="s">
        <v>21</v>
      </c>
      <c r="C4" s="227">
        <v>27067.578205376401</v>
      </c>
      <c r="D4" s="228">
        <v>414917241.77560002</v>
      </c>
      <c r="E4" s="473">
        <v>13353170.626170987</v>
      </c>
      <c r="F4" s="473">
        <v>9000000</v>
      </c>
      <c r="G4" s="473">
        <f>+D4-E4-F4</f>
        <v>392564071.14942902</v>
      </c>
      <c r="H4" s="473">
        <f>+(1-$H$3)*G4</f>
        <v>390601250.79368186</v>
      </c>
      <c r="I4" s="230">
        <f>+H4*0.7</f>
        <v>273420875.55557728</v>
      </c>
      <c r="J4" s="255"/>
      <c r="K4"/>
      <c r="L4" s="567" t="s">
        <v>21</v>
      </c>
      <c r="M4" s="574">
        <v>27216.738749455024</v>
      </c>
      <c r="N4" s="574">
        <v>458514580.44778383</v>
      </c>
      <c r="O4" s="574">
        <v>11268293.183462847</v>
      </c>
      <c r="P4" s="574">
        <v>981824.07106655231</v>
      </c>
      <c r="Q4" s="574">
        <v>22313223.159662709</v>
      </c>
      <c r="R4" s="574">
        <v>423951240.03359103</v>
      </c>
    </row>
    <row r="5" spans="1:19" ht="15.95" customHeight="1">
      <c r="A5" s="32" t="s">
        <v>129</v>
      </c>
      <c r="B5" s="222" t="s">
        <v>35</v>
      </c>
      <c r="C5" s="231">
        <v>3001.4488143440899</v>
      </c>
      <c r="D5" s="232">
        <v>18287393.5980285</v>
      </c>
      <c r="E5" s="474"/>
      <c r="F5" s="474"/>
      <c r="G5" s="474">
        <f t="shared" ref="G5:G23" si="0">+D5-E5-F5</f>
        <v>18287393.5980285</v>
      </c>
      <c r="H5" s="565">
        <f t="shared" ref="H5:H26" si="1">+(1-$H$3)*G5</f>
        <v>18195956.630038358</v>
      </c>
      <c r="I5" s="234">
        <f t="shared" ref="I5:I23" si="2">+H5*0.7</f>
        <v>12737169.641026851</v>
      </c>
      <c r="J5" s="255"/>
      <c r="K5"/>
      <c r="L5" s="567" t="s">
        <v>35</v>
      </c>
      <c r="M5" s="574">
        <v>2987.2444444276334</v>
      </c>
      <c r="N5" s="574">
        <v>60794681.547260709</v>
      </c>
      <c r="O5" s="574">
        <v>1580337.3170779936</v>
      </c>
      <c r="P5" s="574">
        <v>37993351.423641443</v>
      </c>
      <c r="Q5" s="574">
        <v>1061049.6403270641</v>
      </c>
      <c r="R5" s="574">
        <v>20159943.166214217</v>
      </c>
    </row>
    <row r="6" spans="1:19" ht="15.95" customHeight="1">
      <c r="A6" s="32" t="s">
        <v>140</v>
      </c>
      <c r="B6" s="222" t="s">
        <v>36</v>
      </c>
      <c r="C6" s="231">
        <v>165.04918966583</v>
      </c>
      <c r="D6" s="232">
        <v>1718683.9381011301</v>
      </c>
      <c r="E6" s="474"/>
      <c r="F6" s="474"/>
      <c r="G6" s="474">
        <f t="shared" si="0"/>
        <v>1718683.9381011301</v>
      </c>
      <c r="H6" s="565">
        <f t="shared" si="1"/>
        <v>1710090.5184106245</v>
      </c>
      <c r="I6" s="234">
        <f t="shared" si="2"/>
        <v>1197063.362887437</v>
      </c>
      <c r="J6" s="255"/>
      <c r="K6"/>
      <c r="L6" s="567" t="s">
        <v>36</v>
      </c>
      <c r="M6" s="574">
        <v>157.23888888812041</v>
      </c>
      <c r="N6" s="574">
        <v>2344795.5954718241</v>
      </c>
      <c r="O6" s="574">
        <v>72879.074864658323</v>
      </c>
      <c r="P6" s="574">
        <v>540860.49378181447</v>
      </c>
      <c r="Q6" s="574">
        <v>86552.80134126771</v>
      </c>
      <c r="R6" s="574">
        <v>1644503.2254840855</v>
      </c>
    </row>
    <row r="7" spans="1:19" ht="15.95" customHeight="1">
      <c r="A7" s="32" t="s">
        <v>130</v>
      </c>
      <c r="B7" s="222" t="s">
        <v>37</v>
      </c>
      <c r="C7" s="231">
        <v>1189.7820022568901</v>
      </c>
      <c r="D7" s="232">
        <v>11717011.6196272</v>
      </c>
      <c r="E7" s="474"/>
      <c r="F7" s="474"/>
      <c r="G7" s="474">
        <f t="shared" si="0"/>
        <v>11717011.6196272</v>
      </c>
      <c r="H7" s="565">
        <f t="shared" si="1"/>
        <v>11658426.561529065</v>
      </c>
      <c r="I7" s="234">
        <f t="shared" si="2"/>
        <v>8160898.593070345</v>
      </c>
      <c r="J7" s="255"/>
      <c r="L7" s="567" t="s">
        <v>37</v>
      </c>
      <c r="M7" s="574">
        <v>1165.6444444296301</v>
      </c>
      <c r="N7" s="574">
        <v>25855486.590973187</v>
      </c>
      <c r="O7" s="574">
        <v>655309.23754839075</v>
      </c>
      <c r="P7" s="574">
        <v>12624602.907788677</v>
      </c>
      <c r="Q7" s="574">
        <v>628778.72228180582</v>
      </c>
      <c r="R7" s="574">
        <v>11946795.723354323</v>
      </c>
    </row>
    <row r="8" spans="1:19" ht="15.95" customHeight="1">
      <c r="A8" s="32" t="s">
        <v>131</v>
      </c>
      <c r="B8" s="222" t="s">
        <v>141</v>
      </c>
      <c r="C8" s="231">
        <v>503.79034973479497</v>
      </c>
      <c r="D8" s="232">
        <v>4814000.2715255702</v>
      </c>
      <c r="E8" s="474"/>
      <c r="F8" s="474"/>
      <c r="G8" s="474">
        <f t="shared" si="0"/>
        <v>4814000.2715255702</v>
      </c>
      <c r="H8" s="565">
        <f t="shared" si="1"/>
        <v>4789930.2701679422</v>
      </c>
      <c r="I8" s="234">
        <f t="shared" si="2"/>
        <v>3352951.1891175592</v>
      </c>
      <c r="J8" s="255"/>
      <c r="L8" s="567" t="s">
        <v>141</v>
      </c>
      <c r="M8" s="574">
        <v>523.99999999573902</v>
      </c>
      <c r="N8" s="574">
        <v>9914097.8561357949</v>
      </c>
      <c r="O8" s="574">
        <v>264943.81583338714</v>
      </c>
      <c r="P8" s="574">
        <v>4160437.1937173661</v>
      </c>
      <c r="Q8" s="574">
        <v>274435.84232925187</v>
      </c>
      <c r="R8" s="574">
        <v>5214281.0042557828</v>
      </c>
    </row>
    <row r="9" spans="1:19" ht="15.95" customHeight="1">
      <c r="A9" s="32" t="s">
        <v>132</v>
      </c>
      <c r="B9" s="222" t="s">
        <v>206</v>
      </c>
      <c r="C9" s="231">
        <v>630.49255751900398</v>
      </c>
      <c r="D9" s="232">
        <v>6051097.1124166502</v>
      </c>
      <c r="E9" s="474"/>
      <c r="F9" s="474"/>
      <c r="G9" s="474">
        <f t="shared" si="0"/>
        <v>6051097.1124166502</v>
      </c>
      <c r="H9" s="565">
        <f t="shared" si="1"/>
        <v>6020841.6268545669</v>
      </c>
      <c r="I9" s="234">
        <f t="shared" si="2"/>
        <v>4214589.1387981968</v>
      </c>
      <c r="J9" s="255"/>
      <c r="L9" s="567" t="s">
        <v>206</v>
      </c>
      <c r="M9" s="574">
        <v>654.72222221887398</v>
      </c>
      <c r="N9" s="574">
        <v>10050643.722381759</v>
      </c>
      <c r="O9" s="574">
        <v>316648.05664508819</v>
      </c>
      <c r="P9" s="574">
        <v>2949486.1420840002</v>
      </c>
      <c r="Q9" s="574">
        <v>339225.47618263337</v>
      </c>
      <c r="R9" s="574">
        <v>6445284.0474700388</v>
      </c>
    </row>
    <row r="10" spans="1:19" ht="15.95" customHeight="1">
      <c r="A10" s="32" t="s">
        <v>135</v>
      </c>
      <c r="B10" s="222" t="s">
        <v>70</v>
      </c>
      <c r="C10" s="547">
        <v>330.07248046490901</v>
      </c>
      <c r="D10" s="232">
        <v>4420986.6223200997</v>
      </c>
      <c r="E10" s="474"/>
      <c r="F10" s="474"/>
      <c r="G10" s="474">
        <f t="shared" si="0"/>
        <v>4420986.6223200997</v>
      </c>
      <c r="H10" s="565">
        <f t="shared" si="1"/>
        <v>4398881.6892084992</v>
      </c>
      <c r="I10" s="234">
        <f t="shared" si="2"/>
        <v>3079217.1824459494</v>
      </c>
      <c r="J10" s="255"/>
      <c r="L10" s="567" t="s">
        <v>40</v>
      </c>
      <c r="M10" s="574">
        <v>0.39999999999000002</v>
      </c>
      <c r="N10" s="574">
        <v>8349.506051996028</v>
      </c>
      <c r="O10" s="574">
        <v>333.98024207984116</v>
      </c>
      <c r="P10" s="574">
        <v>0</v>
      </c>
      <c r="Q10" s="574">
        <v>400.77629049580929</v>
      </c>
      <c r="R10" s="574">
        <v>7614.7495194203775</v>
      </c>
    </row>
    <row r="11" spans="1:19" ht="15.95" customHeight="1">
      <c r="A11" s="32" t="s">
        <v>136</v>
      </c>
      <c r="B11" s="222" t="s">
        <v>144</v>
      </c>
      <c r="C11" s="231">
        <v>336.45476060129602</v>
      </c>
      <c r="D11" s="232">
        <v>3254312.8869196698</v>
      </c>
      <c r="E11" s="474"/>
      <c r="F11" s="474"/>
      <c r="G11" s="474">
        <f t="shared" si="0"/>
        <v>3254312.8869196698</v>
      </c>
      <c r="H11" s="565">
        <f t="shared" si="1"/>
        <v>3238041.3224850716</v>
      </c>
      <c r="I11" s="234">
        <f t="shared" si="2"/>
        <v>2266628.92573955</v>
      </c>
      <c r="J11" s="255"/>
      <c r="L11" s="567" t="s">
        <v>70</v>
      </c>
      <c r="M11" s="574">
        <v>340.95555555375103</v>
      </c>
      <c r="N11" s="574">
        <v>5005161.71163355</v>
      </c>
      <c r="O11" s="574">
        <v>170419.49648224071</v>
      </c>
      <c r="P11" s="574">
        <v>198405.8884876949</v>
      </c>
      <c r="Q11" s="574">
        <v>231816.8163331814</v>
      </c>
      <c r="R11" s="574">
        <v>4404519.5103304414</v>
      </c>
    </row>
    <row r="12" spans="1:19" ht="15.95" customHeight="1">
      <c r="A12" s="32" t="s">
        <v>137</v>
      </c>
      <c r="B12" s="222" t="s">
        <v>49</v>
      </c>
      <c r="C12" s="231">
        <v>240.01917569056599</v>
      </c>
      <c r="D12" s="232">
        <v>2473177.7117628301</v>
      </c>
      <c r="E12" s="474"/>
      <c r="F12" s="474"/>
      <c r="G12" s="474">
        <f t="shared" si="0"/>
        <v>2473177.7117628301</v>
      </c>
      <c r="H12" s="565">
        <f t="shared" si="1"/>
        <v>2460811.8232040158</v>
      </c>
      <c r="I12" s="234">
        <f t="shared" si="2"/>
        <v>1722568.276242811</v>
      </c>
      <c r="J12" s="255"/>
      <c r="L12" s="567" t="s">
        <v>144</v>
      </c>
      <c r="M12" s="574">
        <v>322.19999999574901</v>
      </c>
      <c r="N12" s="574">
        <v>6754767.1704475321</v>
      </c>
      <c r="O12" s="574">
        <v>184060.87846352029</v>
      </c>
      <c r="P12" s="574">
        <v>2979071.1597328391</v>
      </c>
      <c r="Q12" s="574">
        <v>179581.75661255882</v>
      </c>
      <c r="R12" s="574">
        <v>3412053.3756386195</v>
      </c>
    </row>
    <row r="13" spans="1:19" ht="15.95" customHeight="1">
      <c r="A13" s="32" t="s">
        <v>145</v>
      </c>
      <c r="B13" s="222" t="s">
        <v>207</v>
      </c>
      <c r="C13" s="231">
        <v>412.548631811924</v>
      </c>
      <c r="D13" s="232">
        <v>6777307.7017070604</v>
      </c>
      <c r="E13" s="474"/>
      <c r="F13" s="474"/>
      <c r="G13" s="474">
        <f t="shared" si="0"/>
        <v>6777307.7017070604</v>
      </c>
      <c r="H13" s="565">
        <f t="shared" si="1"/>
        <v>6743421.1631985251</v>
      </c>
      <c r="I13" s="234">
        <f t="shared" si="2"/>
        <v>4720394.8142389674</v>
      </c>
      <c r="J13" s="255"/>
      <c r="L13" s="567" t="s">
        <v>49</v>
      </c>
      <c r="M13" s="574">
        <v>172.36111110833008</v>
      </c>
      <c r="N13" s="574">
        <v>3198140.1594982781</v>
      </c>
      <c r="O13" s="574">
        <v>86327.243732114992</v>
      </c>
      <c r="P13" s="574">
        <v>1190060.5684644135</v>
      </c>
      <c r="Q13" s="574">
        <v>96087.617365087441</v>
      </c>
      <c r="R13" s="574">
        <v>1825664.7299366621</v>
      </c>
    </row>
    <row r="14" spans="1:19" ht="15.95" customHeight="1">
      <c r="A14" s="32" t="s">
        <v>147</v>
      </c>
      <c r="B14" s="222" t="s">
        <v>208</v>
      </c>
      <c r="C14" s="231">
        <v>93.402784065932096</v>
      </c>
      <c r="D14" s="232">
        <v>2219203.6115515102</v>
      </c>
      <c r="E14" s="474"/>
      <c r="F14" s="474"/>
      <c r="G14" s="474">
        <f t="shared" si="0"/>
        <v>2219203.6115515102</v>
      </c>
      <c r="H14" s="565">
        <f t="shared" si="1"/>
        <v>2208107.5934937526</v>
      </c>
      <c r="I14" s="234">
        <f t="shared" si="2"/>
        <v>1545675.3154456269</v>
      </c>
      <c r="J14" s="255"/>
      <c r="L14" s="567" t="s">
        <v>208</v>
      </c>
      <c r="M14" s="574">
        <v>71.733333332720008</v>
      </c>
      <c r="N14" s="574">
        <v>1866845.3695289404</v>
      </c>
      <c r="O14" s="574">
        <v>56265.453197479415</v>
      </c>
      <c r="P14" s="574">
        <v>3290.8727880367792</v>
      </c>
      <c r="Q14" s="574">
        <v>90364.452177171202</v>
      </c>
      <c r="R14" s="574">
        <v>1716924.5913662522</v>
      </c>
    </row>
    <row r="15" spans="1:19" ht="15.95" customHeight="1">
      <c r="A15" s="32" t="s">
        <v>148</v>
      </c>
      <c r="B15" s="222" t="s">
        <v>39</v>
      </c>
      <c r="C15" s="231">
        <v>413.77737647905502</v>
      </c>
      <c r="D15" s="232">
        <v>6521813.0015860396</v>
      </c>
      <c r="E15" s="474"/>
      <c r="F15" s="474"/>
      <c r="G15" s="474">
        <f t="shared" si="0"/>
        <v>6521813.0015860396</v>
      </c>
      <c r="H15" s="565">
        <f t="shared" si="1"/>
        <v>6489203.9365781089</v>
      </c>
      <c r="I15" s="234">
        <f t="shared" si="2"/>
        <v>4542442.755604676</v>
      </c>
      <c r="J15" s="255"/>
      <c r="L15" s="567" t="s">
        <v>39</v>
      </c>
      <c r="M15" s="574">
        <v>408.11111110143997</v>
      </c>
      <c r="N15" s="574">
        <v>8309366.6007653903</v>
      </c>
      <c r="O15" s="574">
        <v>248463.71031704699</v>
      </c>
      <c r="P15" s="574">
        <v>1322082.0489724225</v>
      </c>
      <c r="Q15" s="574">
        <v>336941.04207379598</v>
      </c>
      <c r="R15" s="574">
        <v>6401879.799402127</v>
      </c>
    </row>
    <row r="16" spans="1:19" ht="15.95" customHeight="1">
      <c r="A16" s="32" t="s">
        <v>149</v>
      </c>
      <c r="B16" s="222" t="s">
        <v>38</v>
      </c>
      <c r="C16" s="231">
        <v>360.30016806243401</v>
      </c>
      <c r="D16" s="232">
        <v>6650882.4631331395</v>
      </c>
      <c r="E16" s="474"/>
      <c r="F16" s="474"/>
      <c r="G16" s="474">
        <f t="shared" si="0"/>
        <v>6650882.4631331395</v>
      </c>
      <c r="H16" s="565">
        <f t="shared" si="1"/>
        <v>6617628.0508174738</v>
      </c>
      <c r="I16" s="234">
        <f t="shared" si="2"/>
        <v>4632339.6355722314</v>
      </c>
      <c r="J16" s="255"/>
      <c r="L16" s="567" t="s">
        <v>38</v>
      </c>
      <c r="M16" s="574">
        <v>376.91111110668004</v>
      </c>
      <c r="N16" s="574">
        <v>9032597.1087533981</v>
      </c>
      <c r="O16" s="574">
        <v>278801.25345163792</v>
      </c>
      <c r="P16" s="574">
        <v>1436001.6235055097</v>
      </c>
      <c r="Q16" s="574">
        <v>365889.71158981282</v>
      </c>
      <c r="R16" s="574">
        <v>6951904.5202064458</v>
      </c>
      <c r="S16" s="32"/>
    </row>
    <row r="17" spans="1:19" ht="15.95" customHeight="1">
      <c r="A17" s="32" t="s">
        <v>150</v>
      </c>
      <c r="B17" s="222" t="s">
        <v>31</v>
      </c>
      <c r="C17" s="231">
        <v>725.83870893099402</v>
      </c>
      <c r="D17" s="232">
        <v>14083581.917755101</v>
      </c>
      <c r="E17" s="474"/>
      <c r="F17" s="474"/>
      <c r="G17" s="474">
        <f t="shared" si="0"/>
        <v>14083581.917755101</v>
      </c>
      <c r="H17" s="565">
        <f t="shared" si="1"/>
        <v>14013164.008166326</v>
      </c>
      <c r="I17" s="234">
        <f t="shared" si="2"/>
        <v>9809214.805716427</v>
      </c>
      <c r="J17" s="255"/>
      <c r="L17" s="567" t="s">
        <v>31</v>
      </c>
      <c r="M17" s="574">
        <v>752.78888888645201</v>
      </c>
      <c r="N17" s="574">
        <v>16381031.865349868</v>
      </c>
      <c r="O17" s="574">
        <v>582974.81369824603</v>
      </c>
      <c r="P17" s="574">
        <v>495381.18447997549</v>
      </c>
      <c r="Q17" s="574">
        <v>765133.79335858242</v>
      </c>
      <c r="R17" s="574">
        <v>14537542.073813077</v>
      </c>
      <c r="S17" s="32"/>
    </row>
    <row r="18" spans="1:19" ht="15.95" customHeight="1">
      <c r="A18" s="32" t="s">
        <v>151</v>
      </c>
      <c r="B18" s="222" t="s">
        <v>209</v>
      </c>
      <c r="C18" s="231">
        <v>91.061393411020902</v>
      </c>
      <c r="D18" s="232">
        <v>1877807.67193185</v>
      </c>
      <c r="E18" s="474"/>
      <c r="F18" s="474"/>
      <c r="G18" s="474">
        <f t="shared" si="0"/>
        <v>1877807.67193185</v>
      </c>
      <c r="H18" s="565">
        <f t="shared" si="1"/>
        <v>1868418.6335721908</v>
      </c>
      <c r="I18" s="234">
        <f t="shared" si="2"/>
        <v>1307893.0435005336</v>
      </c>
      <c r="J18" s="255"/>
      <c r="L18" s="567" t="s">
        <v>209</v>
      </c>
      <c r="M18" s="574">
        <v>82.01111111102999</v>
      </c>
      <c r="N18" s="574">
        <v>1983955.4895733581</v>
      </c>
      <c r="O18" s="574">
        <v>46357.815899133202</v>
      </c>
      <c r="P18" s="574">
        <v>126199.62504154917</v>
      </c>
      <c r="Q18" s="574">
        <v>90569.902431633818</v>
      </c>
      <c r="R18" s="574">
        <v>1720828.146201042</v>
      </c>
      <c r="S18" s="32"/>
    </row>
    <row r="19" spans="1:19" ht="15.95" customHeight="1">
      <c r="A19" s="32" t="s">
        <v>153</v>
      </c>
      <c r="B19" s="222" t="s">
        <v>210</v>
      </c>
      <c r="C19" s="231">
        <v>92.476395366767406</v>
      </c>
      <c r="D19" s="232">
        <v>1979881.0822416099</v>
      </c>
      <c r="E19" s="474"/>
      <c r="F19" s="474"/>
      <c r="G19" s="474">
        <f t="shared" si="0"/>
        <v>1979881.0822416099</v>
      </c>
      <c r="H19" s="565">
        <f t="shared" si="1"/>
        <v>1969981.6768304019</v>
      </c>
      <c r="I19" s="234">
        <f t="shared" si="2"/>
        <v>1378987.1737812813</v>
      </c>
      <c r="J19" s="255"/>
      <c r="L19" s="567" t="s">
        <v>210</v>
      </c>
      <c r="M19" s="574">
        <v>74.43333333340999</v>
      </c>
      <c r="N19" s="574">
        <v>1984998.6359607507</v>
      </c>
      <c r="O19" s="574">
        <v>69854.859391739548</v>
      </c>
      <c r="P19" s="574">
        <v>244154.12576258095</v>
      </c>
      <c r="Q19" s="574">
        <v>83549.482540321565</v>
      </c>
      <c r="R19" s="574">
        <v>1587440.1682661104</v>
      </c>
      <c r="S19" s="32"/>
    </row>
    <row r="20" spans="1:19" ht="15.95" customHeight="1">
      <c r="A20" s="32" t="s">
        <v>155</v>
      </c>
      <c r="B20" s="222" t="s">
        <v>42</v>
      </c>
      <c r="C20" s="231">
        <v>640.86618517689999</v>
      </c>
      <c r="D20" s="232">
        <v>9899514.2702377792</v>
      </c>
      <c r="E20" s="474"/>
      <c r="F20" s="474"/>
      <c r="G20" s="474">
        <f t="shared" si="0"/>
        <v>9899514.2702377792</v>
      </c>
      <c r="H20" s="565">
        <f t="shared" si="1"/>
        <v>9850016.6988865901</v>
      </c>
      <c r="I20" s="234">
        <f t="shared" si="2"/>
        <v>6895011.6892206129</v>
      </c>
      <c r="J20" s="255"/>
      <c r="L20" s="567" t="s">
        <v>42</v>
      </c>
      <c r="M20" s="574">
        <v>599.68888888794902</v>
      </c>
      <c r="N20" s="574">
        <v>12476884.114314407</v>
      </c>
      <c r="O20" s="574">
        <v>422351.93686797755</v>
      </c>
      <c r="P20" s="574">
        <v>1868302.0170150318</v>
      </c>
      <c r="Q20" s="574">
        <v>509311.50802156987</v>
      </c>
      <c r="R20" s="574">
        <v>9676918.6524098329</v>
      </c>
      <c r="S20" s="32"/>
    </row>
    <row r="21" spans="1:19" ht="15.95" customHeight="1">
      <c r="A21" s="32" t="s">
        <v>162</v>
      </c>
      <c r="B21" s="222" t="s">
        <v>76</v>
      </c>
      <c r="C21" s="231">
        <v>1450.1133274829999</v>
      </c>
      <c r="D21" s="232">
        <v>21066987.0408182</v>
      </c>
      <c r="E21" s="474"/>
      <c r="F21" s="474"/>
      <c r="G21" s="474">
        <f t="shared" si="0"/>
        <v>21066987.0408182</v>
      </c>
      <c r="H21" s="565">
        <f t="shared" si="1"/>
        <v>20961652.105614107</v>
      </c>
      <c r="I21" s="234">
        <f t="shared" si="2"/>
        <v>14673156.473929875</v>
      </c>
      <c r="J21" s="255"/>
      <c r="L21" s="567" t="s">
        <v>76</v>
      </c>
      <c r="M21" s="574">
        <v>1419.133333327557</v>
      </c>
      <c r="N21" s="574">
        <v>31301631.925528362</v>
      </c>
      <c r="O21" s="574">
        <v>903627.89776409045</v>
      </c>
      <c r="P21" s="574">
        <v>8262570.7239263766</v>
      </c>
      <c r="Q21" s="574">
        <v>1106771.665191893</v>
      </c>
      <c r="R21" s="574">
        <v>21028661.63864594</v>
      </c>
      <c r="S21" s="32"/>
    </row>
    <row r="22" spans="1:19" ht="15.95" customHeight="1">
      <c r="A22" s="32" t="s">
        <v>156</v>
      </c>
      <c r="B22" s="222" t="s">
        <v>77</v>
      </c>
      <c r="C22" s="231">
        <v>499.34773891319298</v>
      </c>
      <c r="D22" s="232">
        <v>8317132.3694998603</v>
      </c>
      <c r="E22" s="474"/>
      <c r="F22" s="474"/>
      <c r="G22" s="474">
        <f t="shared" si="0"/>
        <v>8317132.3694998603</v>
      </c>
      <c r="H22" s="565">
        <f t="shared" si="1"/>
        <v>8275546.7076523611</v>
      </c>
      <c r="I22" s="234">
        <f t="shared" si="2"/>
        <v>5792882.6953566521</v>
      </c>
      <c r="J22" s="255"/>
      <c r="L22" s="567" t="s">
        <v>77</v>
      </c>
      <c r="M22" s="574">
        <v>542.08888887906096</v>
      </c>
      <c r="N22" s="574">
        <v>10182820.839022091</v>
      </c>
      <c r="O22" s="574">
        <v>380031.87301806634</v>
      </c>
      <c r="P22" s="574">
        <v>312813.98580216005</v>
      </c>
      <c r="Q22" s="574">
        <v>474498.74901009322</v>
      </c>
      <c r="R22" s="574">
        <v>9015476.2311917655</v>
      </c>
      <c r="S22" s="32"/>
    </row>
    <row r="23" spans="1:19" ht="15.95" customHeight="1">
      <c r="A23" s="32" t="s">
        <v>163</v>
      </c>
      <c r="B23" s="222" t="s">
        <v>212</v>
      </c>
      <c r="C23" s="231">
        <v>82.600381198737594</v>
      </c>
      <c r="D23" s="232">
        <v>1262656.61948467</v>
      </c>
      <c r="E23" s="474"/>
      <c r="F23" s="474"/>
      <c r="G23" s="474">
        <f t="shared" si="0"/>
        <v>1262656.61948467</v>
      </c>
      <c r="H23" s="565">
        <f t="shared" si="1"/>
        <v>1256343.3363872466</v>
      </c>
      <c r="I23" s="234">
        <f t="shared" si="2"/>
        <v>879440.33547107258</v>
      </c>
      <c r="J23" s="616" t="s">
        <v>335</v>
      </c>
      <c r="K23" s="8">
        <f>+I24-FY16ProjRev!I25</f>
        <v>-4510338.7063922882</v>
      </c>
      <c r="L23" s="567" t="s">
        <v>212</v>
      </c>
      <c r="M23" s="574">
        <v>83.499999998730004</v>
      </c>
      <c r="N23" s="574">
        <v>1515277.9162424756</v>
      </c>
      <c r="O23" s="574">
        <v>42032.326940502462</v>
      </c>
      <c r="P23" s="574">
        <v>110993.10093606959</v>
      </c>
      <c r="Q23" s="574">
        <v>68112.624418295178</v>
      </c>
      <c r="R23" s="574">
        <v>1294139.8639476087</v>
      </c>
      <c r="S23" s="32"/>
    </row>
    <row r="24" spans="1:19" ht="15.95" customHeight="1">
      <c r="B24" s="223" t="s">
        <v>106</v>
      </c>
      <c r="C24" s="236">
        <f t="shared" ref="C24:I24" si="3">SUM(C4:C23)</f>
        <v>38327.020626553727</v>
      </c>
      <c r="D24" s="191">
        <f t="shared" si="3"/>
        <v>548310673.28624845</v>
      </c>
      <c r="E24" s="191">
        <f t="shared" si="3"/>
        <v>13353170.626170987</v>
      </c>
      <c r="F24" s="191">
        <f t="shared" si="3"/>
        <v>9000000</v>
      </c>
      <c r="G24" s="191">
        <f t="shared" si="3"/>
        <v>525957502.66007751</v>
      </c>
      <c r="H24" s="191">
        <f t="shared" si="3"/>
        <v>523327715.14677709</v>
      </c>
      <c r="I24" s="552">
        <f t="shared" si="3"/>
        <v>366329400.60274392</v>
      </c>
      <c r="J24" s="606">
        <f>+H24-I24</f>
        <v>156998314.54403317</v>
      </c>
      <c r="K24" s="8">
        <f>+J24-FY16ProjRev!J25</f>
        <v>-1933002.3027396202</v>
      </c>
      <c r="L24" s="567" t="s">
        <v>292</v>
      </c>
      <c r="M24" s="574">
        <v>4700.2414598625101</v>
      </c>
      <c r="N24" s="574">
        <v>60807351.777703106</v>
      </c>
      <c r="O24" s="574">
        <v>2060763.6396653464</v>
      </c>
      <c r="P24" s="574">
        <v>406134.585383659</v>
      </c>
      <c r="Q24" s="574">
        <v>2917022.6776327137</v>
      </c>
      <c r="R24" s="574">
        <v>55423430.875021651</v>
      </c>
      <c r="S24" s="32"/>
    </row>
    <row r="25" spans="1:19" ht="15.95" customHeight="1">
      <c r="B25" s="224" t="s">
        <v>107</v>
      </c>
      <c r="C25" s="246">
        <v>4556.4243504533906</v>
      </c>
      <c r="D25" s="228">
        <v>54352389.967384256</v>
      </c>
      <c r="E25" s="238">
        <v>2666834.1201952733</v>
      </c>
      <c r="F25" s="239"/>
      <c r="G25" s="239">
        <f>+D25-E25-F25</f>
        <v>51685555.847188979</v>
      </c>
      <c r="H25" s="239">
        <f t="shared" si="1"/>
        <v>51427128.067953035</v>
      </c>
      <c r="I25" s="240"/>
      <c r="K25" s="620">
        <f>+H25-FY16ProjRev!H26</f>
        <v>-688878.49831839651</v>
      </c>
      <c r="L25" s="567" t="s">
        <v>293</v>
      </c>
      <c r="M25" s="574">
        <v>4114.5833952965304</v>
      </c>
      <c r="N25" s="574">
        <v>51987929.44327683</v>
      </c>
      <c r="O25" s="574">
        <v>1847586.6393447032</v>
      </c>
      <c r="P25" s="574">
        <v>971015.86027909303</v>
      </c>
      <c r="Q25" s="574">
        <v>2458466.3471826501</v>
      </c>
      <c r="R25" s="574">
        <v>46710860.596470483</v>
      </c>
      <c r="S25" s="32"/>
    </row>
    <row r="26" spans="1:19" ht="15.95" customHeight="1">
      <c r="B26" s="225" t="s">
        <v>108</v>
      </c>
      <c r="C26" s="247">
        <v>4095.5298660643521</v>
      </c>
      <c r="D26" s="235">
        <v>47048954.159079634</v>
      </c>
      <c r="E26" s="241">
        <v>2359547.5880000149</v>
      </c>
      <c r="F26" s="242"/>
      <c r="G26" s="242">
        <f>+D26-E26-F26</f>
        <v>44689406.571079619</v>
      </c>
      <c r="H26" s="242">
        <f t="shared" si="1"/>
        <v>44465959.53822422</v>
      </c>
      <c r="I26" s="243"/>
      <c r="K26" s="620">
        <f>+H26-FY16ProjRev!H27</f>
        <v>583357.54771844298</v>
      </c>
      <c r="S26" s="32"/>
    </row>
    <row r="27" spans="1:19" ht="15.95" customHeight="1">
      <c r="B27" s="226" t="s">
        <v>109</v>
      </c>
      <c r="C27" s="244">
        <f t="shared" ref="C27:H27" si="4">SUM(C24:C26)</f>
        <v>46978.974843071468</v>
      </c>
      <c r="D27" s="193">
        <f t="shared" si="4"/>
        <v>649712017.41271234</v>
      </c>
      <c r="E27" s="193">
        <f t="shared" si="4"/>
        <v>18379552.334366277</v>
      </c>
      <c r="F27" s="191">
        <f t="shared" si="4"/>
        <v>9000000</v>
      </c>
      <c r="G27" s="193">
        <f t="shared" si="4"/>
        <v>622332465.07834613</v>
      </c>
      <c r="H27" s="193">
        <f t="shared" si="4"/>
        <v>619220802.75295436</v>
      </c>
      <c r="I27" s="245"/>
      <c r="J27" s="213"/>
      <c r="K27" s="8">
        <f>SUM(K23:K26)</f>
        <v>-6548861.9597318619</v>
      </c>
      <c r="S27" s="32"/>
    </row>
    <row r="28" spans="1:19" ht="15.95" customHeight="1">
      <c r="B28" s="208"/>
      <c r="C28" s="209"/>
      <c r="D28" s="210"/>
      <c r="E28" s="210"/>
      <c r="F28" s="211"/>
      <c r="G28" s="210"/>
      <c r="H28" s="210"/>
      <c r="I28" s="32" t="s">
        <v>277</v>
      </c>
      <c r="J28" s="8"/>
      <c r="S28" s="32"/>
    </row>
    <row r="29" spans="1:19" ht="15.95" customHeight="1">
      <c r="B29" s="208"/>
      <c r="C29" s="212"/>
      <c r="D29" s="214"/>
      <c r="E29" s="210"/>
      <c r="F29" s="211"/>
      <c r="G29" s="210"/>
      <c r="H29" s="210">
        <f>0.0075*H24</f>
        <v>3924957.8636008282</v>
      </c>
      <c r="I29" s="210" t="s">
        <v>17</v>
      </c>
      <c r="J29" s="8"/>
      <c r="L29" s="566" t="s">
        <v>291</v>
      </c>
      <c r="M29" s="566" t="s">
        <v>284</v>
      </c>
      <c r="N29" s="566" t="s">
        <v>285</v>
      </c>
      <c r="O29" s="566" t="s">
        <v>286</v>
      </c>
      <c r="P29" s="566" t="s">
        <v>287</v>
      </c>
      <c r="Q29" s="566" t="s">
        <v>288</v>
      </c>
      <c r="R29" s="566" t="s">
        <v>290</v>
      </c>
      <c r="S29" s="32"/>
    </row>
    <row r="30" spans="1:19">
      <c r="B30" s="208"/>
      <c r="C30" s="496"/>
      <c r="D30" s="214"/>
      <c r="E30" s="210"/>
      <c r="F30" s="211"/>
      <c r="G30" s="210"/>
      <c r="H30" s="210"/>
      <c r="I30" s="59"/>
      <c r="L30" s="567" t="s">
        <v>21</v>
      </c>
      <c r="M30" s="568">
        <v>18836.757356330319</v>
      </c>
      <c r="N30" s="568">
        <v>197333634.40070677</v>
      </c>
      <c r="O30" s="568">
        <v>7893345.3760282714</v>
      </c>
      <c r="P30" s="568">
        <v>936621.82474750816</v>
      </c>
      <c r="Q30" s="568">
        <v>9425183.3599965498</v>
      </c>
      <c r="R30" s="568">
        <v>179078483.83993444</v>
      </c>
      <c r="S30" s="32"/>
    </row>
    <row r="31" spans="1:19" customFormat="1"/>
    <row r="32" spans="1:19" customFormat="1">
      <c r="H32" s="8">
        <f>+H27-FY16ProjRev!H28</f>
        <v>-6548861.9597319365</v>
      </c>
    </row>
    <row r="33" spans="12:19" customFormat="1"/>
    <row r="34" spans="12:19" customFormat="1"/>
    <row r="35" spans="12:19" customFormat="1"/>
    <row r="36" spans="12:19" customFormat="1"/>
    <row r="37" spans="12:19" customFormat="1"/>
    <row r="38" spans="12:19" customFormat="1"/>
    <row r="39" spans="12:19" customFormat="1"/>
    <row r="40" spans="12:19" customFormat="1"/>
    <row r="41" spans="12:19" customFormat="1"/>
    <row r="42" spans="12:19" customFormat="1"/>
    <row r="43" spans="12:19" customFormat="1"/>
    <row r="44" spans="12:19">
      <c r="S44" s="32"/>
    </row>
    <row r="45" spans="12:19">
      <c r="S45" s="32"/>
    </row>
    <row r="46" spans="12:19">
      <c r="S46" s="32"/>
    </row>
    <row r="47" spans="12:19">
      <c r="S47" s="32"/>
    </row>
    <row r="48" spans="12:19">
      <c r="L48" s="32"/>
      <c r="M48" s="32"/>
      <c r="N48" s="32"/>
      <c r="O48" s="32"/>
      <c r="P48" s="32"/>
      <c r="Q48" s="32"/>
      <c r="S48" s="32"/>
    </row>
    <row r="49" spans="12:19">
      <c r="L49" s="32"/>
      <c r="M49" s="32"/>
      <c r="N49" s="32"/>
      <c r="O49" s="32"/>
      <c r="P49" s="32"/>
      <c r="Q49" s="32"/>
      <c r="S49" s="32"/>
    </row>
    <row r="50" spans="12:19">
      <c r="L50" s="32"/>
      <c r="M50" s="32"/>
      <c r="N50" s="32"/>
      <c r="O50" s="32"/>
      <c r="P50" s="32"/>
      <c r="Q50" s="32"/>
      <c r="S50" s="32"/>
    </row>
    <row r="51" spans="12:19">
      <c r="L51" s="32"/>
      <c r="M51" s="32"/>
      <c r="N51" s="32"/>
      <c r="O51" s="32"/>
      <c r="P51" s="32"/>
      <c r="Q51" s="32"/>
      <c r="S51" s="32"/>
    </row>
    <row r="52" spans="12:19">
      <c r="L52" s="32"/>
      <c r="M52" s="32"/>
      <c r="N52" s="32"/>
      <c r="O52" s="32"/>
      <c r="P52" s="32"/>
      <c r="Q52" s="32"/>
      <c r="S52" s="32"/>
    </row>
    <row r="53" spans="12:19">
      <c r="L53" s="32"/>
      <c r="M53" s="32"/>
      <c r="N53" s="32"/>
      <c r="O53" s="32"/>
      <c r="P53" s="32"/>
      <c r="Q53" s="32"/>
      <c r="S53" s="32"/>
    </row>
    <row r="54" spans="12:19">
      <c r="L54" s="32"/>
      <c r="M54" s="32"/>
      <c r="N54" s="32"/>
      <c r="O54" s="32"/>
      <c r="P54" s="32"/>
      <c r="Q54" s="32"/>
      <c r="S54" s="32"/>
    </row>
    <row r="55" spans="12:19">
      <c r="L55" s="32"/>
      <c r="M55" s="32"/>
      <c r="N55" s="32"/>
      <c r="O55" s="32"/>
      <c r="P55" s="32"/>
      <c r="Q55" s="32"/>
      <c r="S55" s="32"/>
    </row>
    <row r="56" spans="12:19">
      <c r="L56" s="32"/>
      <c r="M56" s="32"/>
      <c r="N56" s="32"/>
      <c r="O56" s="32"/>
      <c r="P56" s="32"/>
      <c r="Q56" s="32"/>
      <c r="S56" s="32"/>
    </row>
    <row r="57" spans="12:19">
      <c r="L57" s="32"/>
      <c r="M57" s="32"/>
      <c r="N57" s="32"/>
      <c r="O57" s="32"/>
      <c r="P57" s="32"/>
      <c r="Q57" s="32"/>
      <c r="S57" s="32"/>
    </row>
    <row r="58" spans="12:19">
      <c r="L58" s="32"/>
      <c r="M58" s="32"/>
      <c r="N58" s="32"/>
      <c r="O58" s="32"/>
      <c r="P58" s="32"/>
      <c r="Q58" s="32"/>
      <c r="S58" s="32"/>
    </row>
    <row r="59" spans="12:19">
      <c r="L59" s="32"/>
      <c r="M59" s="32"/>
      <c r="N59" s="32"/>
      <c r="O59" s="32"/>
      <c r="P59" s="32"/>
      <c r="Q59" s="32"/>
      <c r="S59" s="32"/>
    </row>
    <row r="60" spans="12:19">
      <c r="L60" s="32"/>
      <c r="M60" s="32"/>
      <c r="N60" s="32"/>
      <c r="O60" s="32"/>
      <c r="P60" s="32"/>
      <c r="Q60" s="32"/>
      <c r="S60" s="32"/>
    </row>
    <row r="61" spans="12:19">
      <c r="L61" s="32"/>
      <c r="M61" s="32"/>
      <c r="N61" s="32"/>
      <c r="O61" s="32"/>
      <c r="P61" s="32"/>
      <c r="Q61" s="32"/>
      <c r="S61" s="32"/>
    </row>
    <row r="62" spans="12:19">
      <c r="L62" s="32"/>
      <c r="M62" s="32"/>
      <c r="N62" s="32"/>
      <c r="O62" s="32"/>
      <c r="P62" s="32"/>
      <c r="Q62" s="32"/>
      <c r="S62" s="32"/>
    </row>
    <row r="63" spans="12:19">
      <c r="L63" s="32"/>
      <c r="M63" s="32"/>
      <c r="N63" s="32"/>
      <c r="O63" s="32"/>
      <c r="P63" s="32"/>
      <c r="Q63" s="32"/>
      <c r="S63" s="32"/>
    </row>
    <row r="64" spans="12:19">
      <c r="L64" s="32"/>
      <c r="M64" s="32"/>
      <c r="N64" s="32"/>
      <c r="O64" s="32"/>
      <c r="P64" s="32"/>
      <c r="Q64" s="32"/>
      <c r="S64" s="32"/>
    </row>
    <row r="65" spans="3:19">
      <c r="L65" s="32"/>
      <c r="M65" s="32"/>
      <c r="N65" s="32"/>
      <c r="O65" s="32"/>
      <c r="P65" s="32"/>
      <c r="Q65" s="32"/>
      <c r="S65" s="32"/>
    </row>
    <row r="66" spans="3:19">
      <c r="L66" s="32"/>
      <c r="M66" s="32"/>
      <c r="N66" s="32"/>
      <c r="O66" s="32"/>
      <c r="P66" s="32"/>
      <c r="Q66" s="32"/>
      <c r="S66" s="32"/>
    </row>
    <row r="67" spans="3:19">
      <c r="C67" s="25"/>
      <c r="D67" s="25"/>
      <c r="E67" s="25"/>
      <c r="F67" s="25"/>
      <c r="G67" s="25"/>
      <c r="H67" s="25"/>
      <c r="I67" s="25"/>
      <c r="J67" s="25"/>
      <c r="L67" s="32"/>
      <c r="M67" s="32"/>
      <c r="N67" s="32"/>
      <c r="O67" s="32"/>
      <c r="P67" s="32"/>
      <c r="Q67" s="32"/>
      <c r="S67" s="32"/>
    </row>
    <row r="68" spans="3:19">
      <c r="J68" s="8"/>
      <c r="L68" s="32"/>
      <c r="M68" s="32"/>
      <c r="N68" s="32"/>
      <c r="O68" s="32"/>
      <c r="P68" s="32"/>
      <c r="Q68" s="32"/>
      <c r="S68" s="32"/>
    </row>
  </sheetData>
  <mergeCells count="1">
    <mergeCell ref="B1:I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3" workbookViewId="0">
      <selection activeCell="J24" sqref="J24"/>
    </sheetView>
  </sheetViews>
  <sheetFormatPr defaultColWidth="8.85546875" defaultRowHeight="15"/>
  <cols>
    <col min="1" max="1" width="5.140625" style="32" customWidth="1"/>
    <col min="2" max="2" width="21.42578125" style="32" customWidth="1"/>
    <col min="3" max="4" width="15.85546875" style="32" customWidth="1"/>
    <col min="5" max="6" width="14.7109375" style="32" customWidth="1"/>
    <col min="7" max="8" width="18.140625" style="32" customWidth="1"/>
    <col min="9" max="9" width="18.7109375" style="32" customWidth="1"/>
    <col min="10" max="10" width="22.42578125" style="32" customWidth="1"/>
    <col min="11" max="11" width="21.85546875" style="32" customWidth="1"/>
    <col min="12" max="12" width="40.42578125" style="25" hidden="1" customWidth="1"/>
    <col min="13" max="13" width="13.140625" style="25" hidden="1" customWidth="1"/>
    <col min="14" max="14" width="15.42578125" style="25" hidden="1" customWidth="1"/>
    <col min="15" max="17" width="14.42578125" style="25" hidden="1" customWidth="1"/>
    <col min="18" max="18" width="15.42578125" style="32" hidden="1" customWidth="1"/>
    <col min="19" max="19" width="14.85546875" style="153" hidden="1" customWidth="1"/>
    <col min="20" max="16384" width="8.85546875" style="32"/>
  </cols>
  <sheetData>
    <row r="1" spans="1:19" ht="28.5" customHeight="1">
      <c r="B1" s="635" t="s">
        <v>440</v>
      </c>
      <c r="C1" s="635"/>
      <c r="D1" s="636"/>
      <c r="E1" s="635"/>
      <c r="F1" s="635"/>
      <c r="G1" s="635"/>
      <c r="H1" s="636"/>
      <c r="I1" s="635"/>
    </row>
    <row r="2" spans="1:19" s="2" customFormat="1" ht="30">
      <c r="B2" s="215" t="s">
        <v>103</v>
      </c>
      <c r="C2" s="215" t="s">
        <v>124</v>
      </c>
      <c r="D2" s="216" t="s">
        <v>199</v>
      </c>
      <c r="E2" s="217" t="s">
        <v>170</v>
      </c>
      <c r="F2" s="217" t="s">
        <v>176</v>
      </c>
      <c r="G2" s="217" t="s">
        <v>171</v>
      </c>
      <c r="H2" s="217" t="s">
        <v>281</v>
      </c>
      <c r="I2" s="218" t="s">
        <v>81</v>
      </c>
      <c r="J2" s="254"/>
      <c r="S2" s="168"/>
    </row>
    <row r="3" spans="1:19" s="2" customFormat="1" ht="15" customHeight="1">
      <c r="B3" s="248"/>
      <c r="C3" s="249"/>
      <c r="D3" s="250"/>
      <c r="E3" s="251"/>
      <c r="F3" s="251"/>
      <c r="G3" s="251"/>
      <c r="H3" s="618">
        <v>5.0000000000000001E-3</v>
      </c>
      <c r="I3" s="252"/>
      <c r="J3" s="254"/>
      <c r="L3" s="566" t="s">
        <v>291</v>
      </c>
      <c r="M3" s="566" t="s">
        <v>284</v>
      </c>
      <c r="N3" s="566" t="s">
        <v>285</v>
      </c>
      <c r="O3" s="566" t="s">
        <v>286</v>
      </c>
      <c r="P3" s="566" t="s">
        <v>287</v>
      </c>
      <c r="Q3" s="566" t="s">
        <v>288</v>
      </c>
      <c r="R3" s="566" t="s">
        <v>290</v>
      </c>
      <c r="S3" s="168"/>
    </row>
    <row r="4" spans="1:19" ht="18" customHeight="1">
      <c r="A4" s="32" t="s">
        <v>128</v>
      </c>
      <c r="B4" s="220" t="s">
        <v>21</v>
      </c>
      <c r="C4" s="227">
        <v>27067.578205376401</v>
      </c>
      <c r="D4" s="228">
        <v>424295055.39212197</v>
      </c>
      <c r="E4" s="473">
        <v>14055969.080179987</v>
      </c>
      <c r="F4" s="473">
        <v>9000000</v>
      </c>
      <c r="G4" s="473">
        <f>+D4-E4-F4</f>
        <v>401239086.31194198</v>
      </c>
      <c r="H4" s="473">
        <f>+(1-$H$3)*G4</f>
        <v>399232890.8803823</v>
      </c>
      <c r="I4" s="230">
        <f>+H4*0.7</f>
        <v>279463023.61626762</v>
      </c>
      <c r="J4" s="255"/>
      <c r="L4" s="567" t="s">
        <v>21</v>
      </c>
      <c r="M4" s="574">
        <v>27216.738749455024</v>
      </c>
      <c r="N4" s="574">
        <v>458514580.44778383</v>
      </c>
      <c r="O4" s="574">
        <v>11268293.183462847</v>
      </c>
      <c r="P4" s="574">
        <v>981824.07106655231</v>
      </c>
      <c r="Q4" s="574">
        <v>22313223.159662709</v>
      </c>
      <c r="R4" s="574">
        <v>423951240.03359103</v>
      </c>
    </row>
    <row r="5" spans="1:19" ht="18" customHeight="1">
      <c r="A5" s="32" t="s">
        <v>129</v>
      </c>
      <c r="B5" s="222" t="s">
        <v>35</v>
      </c>
      <c r="C5" s="231">
        <v>3001.4488143440899</v>
      </c>
      <c r="D5" s="232">
        <v>18287393.5980285</v>
      </c>
      <c r="E5" s="474"/>
      <c r="F5" s="474"/>
      <c r="G5" s="474">
        <f t="shared" ref="G5:G23" si="0">+D5-E5-F5</f>
        <v>18287393.5980285</v>
      </c>
      <c r="H5" s="565">
        <f t="shared" ref="H5:H26" si="1">+(1-$H$3)*G5</f>
        <v>18195956.630038358</v>
      </c>
      <c r="I5" s="234">
        <f t="shared" ref="I5:I23" si="2">+H5*0.7</f>
        <v>12737169.641026851</v>
      </c>
      <c r="J5" s="255"/>
      <c r="K5" s="59"/>
      <c r="L5" s="567" t="s">
        <v>35</v>
      </c>
      <c r="M5" s="574">
        <v>2987.2444444276334</v>
      </c>
      <c r="N5" s="574">
        <v>60794681.547260709</v>
      </c>
      <c r="O5" s="574">
        <v>1580337.3170779936</v>
      </c>
      <c r="P5" s="574">
        <v>37993351.423641443</v>
      </c>
      <c r="Q5" s="574">
        <v>1061049.6403270641</v>
      </c>
      <c r="R5" s="574">
        <v>20159943.166214217</v>
      </c>
    </row>
    <row r="6" spans="1:19" ht="18" customHeight="1">
      <c r="A6" s="32" t="s">
        <v>140</v>
      </c>
      <c r="B6" s="222" t="s">
        <v>36</v>
      </c>
      <c r="C6" s="231">
        <v>165.04918966583</v>
      </c>
      <c r="D6" s="232">
        <v>1718683.9381011301</v>
      </c>
      <c r="E6" s="474"/>
      <c r="F6" s="474"/>
      <c r="G6" s="474">
        <f t="shared" si="0"/>
        <v>1718683.9381011301</v>
      </c>
      <c r="H6" s="565">
        <f t="shared" si="1"/>
        <v>1710090.5184106245</v>
      </c>
      <c r="I6" s="234">
        <f t="shared" si="2"/>
        <v>1197063.362887437</v>
      </c>
      <c r="J6" s="255"/>
      <c r="L6" s="567" t="s">
        <v>36</v>
      </c>
      <c r="M6" s="574">
        <v>157.23888888812041</v>
      </c>
      <c r="N6" s="574">
        <v>2344795.5954718241</v>
      </c>
      <c r="O6" s="574">
        <v>72879.074864658323</v>
      </c>
      <c r="P6" s="574">
        <v>540860.49378181447</v>
      </c>
      <c r="Q6" s="574">
        <v>86552.80134126771</v>
      </c>
      <c r="R6" s="574">
        <v>1644503.2254840855</v>
      </c>
    </row>
    <row r="7" spans="1:19" ht="18" customHeight="1">
      <c r="A7" s="32" t="s">
        <v>130</v>
      </c>
      <c r="B7" s="222" t="s">
        <v>37</v>
      </c>
      <c r="C7" s="231">
        <v>1189.7820022568901</v>
      </c>
      <c r="D7" s="232">
        <v>11717011.6196272</v>
      </c>
      <c r="E7" s="474"/>
      <c r="F7" s="474"/>
      <c r="G7" s="474">
        <f t="shared" si="0"/>
        <v>11717011.6196272</v>
      </c>
      <c r="H7" s="565">
        <f t="shared" si="1"/>
        <v>11658426.561529065</v>
      </c>
      <c r="I7" s="234">
        <f t="shared" si="2"/>
        <v>8160898.593070345</v>
      </c>
      <c r="J7" s="255"/>
      <c r="L7" s="567" t="s">
        <v>37</v>
      </c>
      <c r="M7" s="574">
        <v>1165.6444444296301</v>
      </c>
      <c r="N7" s="574">
        <v>25855486.590973187</v>
      </c>
      <c r="O7" s="574">
        <v>655309.23754839075</v>
      </c>
      <c r="P7" s="574">
        <v>12624602.907788677</v>
      </c>
      <c r="Q7" s="574">
        <v>628778.72228180582</v>
      </c>
      <c r="R7" s="574">
        <v>11946795.723354323</v>
      </c>
    </row>
    <row r="8" spans="1:19" ht="18" customHeight="1">
      <c r="A8" s="32" t="s">
        <v>131</v>
      </c>
      <c r="B8" s="222" t="s">
        <v>141</v>
      </c>
      <c r="C8" s="231">
        <v>503.79034973479497</v>
      </c>
      <c r="D8" s="232">
        <v>4814000.2715255702</v>
      </c>
      <c r="E8" s="474"/>
      <c r="F8" s="474"/>
      <c r="G8" s="474">
        <f t="shared" si="0"/>
        <v>4814000.2715255702</v>
      </c>
      <c r="H8" s="565">
        <f t="shared" si="1"/>
        <v>4789930.2701679422</v>
      </c>
      <c r="I8" s="234">
        <f t="shared" si="2"/>
        <v>3352951.1891175592</v>
      </c>
      <c r="J8" s="255"/>
      <c r="L8" s="567" t="s">
        <v>141</v>
      </c>
      <c r="M8" s="574">
        <v>523.99999999573902</v>
      </c>
      <c r="N8" s="574">
        <v>9914097.8561357949</v>
      </c>
      <c r="O8" s="574">
        <v>264943.81583338714</v>
      </c>
      <c r="P8" s="574">
        <v>4160437.1937173661</v>
      </c>
      <c r="Q8" s="574">
        <v>274435.84232925187</v>
      </c>
      <c r="R8" s="574">
        <v>5214281.0042557828</v>
      </c>
    </row>
    <row r="9" spans="1:19" ht="18" customHeight="1">
      <c r="A9" s="32" t="s">
        <v>132</v>
      </c>
      <c r="B9" s="222" t="s">
        <v>206</v>
      </c>
      <c r="C9" s="231">
        <v>630.49255751900398</v>
      </c>
      <c r="D9" s="232">
        <v>6051097.1124166502</v>
      </c>
      <c r="E9" s="474"/>
      <c r="F9" s="474"/>
      <c r="G9" s="474">
        <f t="shared" si="0"/>
        <v>6051097.1124166502</v>
      </c>
      <c r="H9" s="565">
        <f t="shared" si="1"/>
        <v>6020841.6268545669</v>
      </c>
      <c r="I9" s="234">
        <f t="shared" si="2"/>
        <v>4214589.1387981968</v>
      </c>
      <c r="J9" s="255"/>
      <c r="L9" s="567" t="s">
        <v>206</v>
      </c>
      <c r="M9" s="574">
        <v>654.72222221887398</v>
      </c>
      <c r="N9" s="574">
        <v>10050643.722381759</v>
      </c>
      <c r="O9" s="574">
        <v>316648.05664508819</v>
      </c>
      <c r="P9" s="574">
        <v>2949486.1420840002</v>
      </c>
      <c r="Q9" s="574">
        <v>339225.47618263337</v>
      </c>
      <c r="R9" s="574">
        <v>6445284.0474700388</v>
      </c>
    </row>
    <row r="10" spans="1:19" ht="18" customHeight="1">
      <c r="A10" s="32" t="s">
        <v>135</v>
      </c>
      <c r="B10" s="222" t="s">
        <v>70</v>
      </c>
      <c r="C10" s="231">
        <v>330.07248046490901</v>
      </c>
      <c r="D10" s="232">
        <v>4420986.6223200997</v>
      </c>
      <c r="E10" s="474"/>
      <c r="F10" s="474"/>
      <c r="G10" s="474">
        <f t="shared" si="0"/>
        <v>4420986.6223200997</v>
      </c>
      <c r="H10" s="565">
        <f t="shared" si="1"/>
        <v>4398881.6892084992</v>
      </c>
      <c r="I10" s="234">
        <f t="shared" si="2"/>
        <v>3079217.1824459494</v>
      </c>
      <c r="J10" s="255"/>
      <c r="L10" s="567" t="s">
        <v>70</v>
      </c>
      <c r="M10" s="574">
        <v>340.95555555375103</v>
      </c>
      <c r="N10" s="574">
        <v>5005161.71163355</v>
      </c>
      <c r="O10" s="574">
        <v>170419.49648224071</v>
      </c>
      <c r="P10" s="574">
        <v>198405.8884876949</v>
      </c>
      <c r="Q10" s="574">
        <v>231816.8163331814</v>
      </c>
      <c r="R10" s="574">
        <v>4404519.5103304414</v>
      </c>
    </row>
    <row r="11" spans="1:19" ht="18" customHeight="1">
      <c r="A11" s="32" t="s">
        <v>136</v>
      </c>
      <c r="B11" s="222" t="s">
        <v>144</v>
      </c>
      <c r="C11" s="231">
        <v>336.45476060129602</v>
      </c>
      <c r="D11" s="232">
        <v>3254312.8869196698</v>
      </c>
      <c r="E11" s="474"/>
      <c r="F11" s="474"/>
      <c r="G11" s="474">
        <f t="shared" si="0"/>
        <v>3254312.8869196698</v>
      </c>
      <c r="H11" s="565">
        <f t="shared" si="1"/>
        <v>3238041.3224850716</v>
      </c>
      <c r="I11" s="234">
        <f t="shared" si="2"/>
        <v>2266628.92573955</v>
      </c>
      <c r="J11" s="255"/>
      <c r="L11" s="567" t="s">
        <v>144</v>
      </c>
      <c r="M11" s="574">
        <v>322.19999999574901</v>
      </c>
      <c r="N11" s="574">
        <v>6754767.1704475321</v>
      </c>
      <c r="O11" s="574">
        <v>184060.87846352029</v>
      </c>
      <c r="P11" s="574">
        <v>2979071.1597328391</v>
      </c>
      <c r="Q11" s="574">
        <v>179581.75661255882</v>
      </c>
      <c r="R11" s="574">
        <v>3412053.3756386195</v>
      </c>
    </row>
    <row r="12" spans="1:19" ht="18" customHeight="1">
      <c r="A12" s="32" t="s">
        <v>137</v>
      </c>
      <c r="B12" s="222" t="s">
        <v>49</v>
      </c>
      <c r="C12" s="231">
        <v>240.01917569056599</v>
      </c>
      <c r="D12" s="232">
        <v>2473177.7117628301</v>
      </c>
      <c r="E12" s="474"/>
      <c r="F12" s="474"/>
      <c r="G12" s="474">
        <f t="shared" si="0"/>
        <v>2473177.7117628301</v>
      </c>
      <c r="H12" s="565">
        <f t="shared" si="1"/>
        <v>2460811.8232040158</v>
      </c>
      <c r="I12" s="234">
        <f t="shared" si="2"/>
        <v>1722568.276242811</v>
      </c>
      <c r="J12" s="255"/>
      <c r="L12" s="567" t="s">
        <v>49</v>
      </c>
      <c r="M12" s="574">
        <v>172.36111110833008</v>
      </c>
      <c r="N12" s="574">
        <v>3198140.1594982781</v>
      </c>
      <c r="O12" s="574">
        <v>86327.243732114992</v>
      </c>
      <c r="P12" s="574">
        <v>1190060.5684644135</v>
      </c>
      <c r="Q12" s="574">
        <v>96087.617365087441</v>
      </c>
      <c r="R12" s="574">
        <v>1825664.7299366621</v>
      </c>
    </row>
    <row r="13" spans="1:19" ht="18" customHeight="1">
      <c r="A13" s="32" t="s">
        <v>145</v>
      </c>
      <c r="B13" s="222" t="s">
        <v>207</v>
      </c>
      <c r="C13" s="231">
        <v>412.548631811924</v>
      </c>
      <c r="D13" s="232">
        <v>6777307.7017070604</v>
      </c>
      <c r="E13" s="474"/>
      <c r="F13" s="474"/>
      <c r="G13" s="474">
        <f t="shared" si="0"/>
        <v>6777307.7017070604</v>
      </c>
      <c r="H13" s="565">
        <f t="shared" si="1"/>
        <v>6743421.1631985251</v>
      </c>
      <c r="I13" s="234">
        <f t="shared" si="2"/>
        <v>4720394.8142389674</v>
      </c>
      <c r="J13" s="255"/>
      <c r="L13" s="567" t="s">
        <v>207</v>
      </c>
      <c r="M13" s="574">
        <v>391.16666666743998</v>
      </c>
      <c r="N13" s="574">
        <v>7595573.0470460728</v>
      </c>
      <c r="O13" s="574">
        <v>196222.22818505837</v>
      </c>
      <c r="P13" s="574">
        <v>693389.03557909478</v>
      </c>
      <c r="Q13" s="574">
        <v>335298.08916409622</v>
      </c>
      <c r="R13" s="574">
        <v>6370663.6941178264</v>
      </c>
    </row>
    <row r="14" spans="1:19" ht="18" customHeight="1">
      <c r="A14" s="32" t="s">
        <v>147</v>
      </c>
      <c r="B14" s="222" t="s">
        <v>208</v>
      </c>
      <c r="C14" s="231">
        <v>93.402784065932096</v>
      </c>
      <c r="D14" s="232">
        <v>2219203.6115515102</v>
      </c>
      <c r="E14" s="474"/>
      <c r="F14" s="474"/>
      <c r="G14" s="474">
        <f t="shared" si="0"/>
        <v>2219203.6115515102</v>
      </c>
      <c r="H14" s="565">
        <f t="shared" si="1"/>
        <v>2208107.5934937526</v>
      </c>
      <c r="I14" s="234">
        <f t="shared" si="2"/>
        <v>1545675.3154456269</v>
      </c>
      <c r="J14" s="255"/>
      <c r="L14" s="567" t="s">
        <v>208</v>
      </c>
      <c r="M14" s="574">
        <v>71.733333332720008</v>
      </c>
      <c r="N14" s="574">
        <v>1866845.3695289404</v>
      </c>
      <c r="O14" s="574">
        <v>56265.453197479415</v>
      </c>
      <c r="P14" s="574">
        <v>3290.8727880367792</v>
      </c>
      <c r="Q14" s="574">
        <v>90364.452177171202</v>
      </c>
      <c r="R14" s="574">
        <v>1716924.5913662522</v>
      </c>
    </row>
    <row r="15" spans="1:19" ht="18" customHeight="1">
      <c r="A15" s="32" t="s">
        <v>148</v>
      </c>
      <c r="B15" s="222" t="s">
        <v>39</v>
      </c>
      <c r="C15" s="231">
        <v>413.77737647905502</v>
      </c>
      <c r="D15" s="232">
        <v>6521813.0015860396</v>
      </c>
      <c r="E15" s="474"/>
      <c r="F15" s="474"/>
      <c r="G15" s="474">
        <f t="shared" si="0"/>
        <v>6521813.0015860396</v>
      </c>
      <c r="H15" s="565">
        <f t="shared" si="1"/>
        <v>6489203.9365781089</v>
      </c>
      <c r="I15" s="234">
        <f t="shared" si="2"/>
        <v>4542442.755604676</v>
      </c>
      <c r="J15" s="255"/>
      <c r="L15" s="567" t="s">
        <v>39</v>
      </c>
      <c r="M15" s="574">
        <v>408.11111110143997</v>
      </c>
      <c r="N15" s="574">
        <v>8309366.6007653903</v>
      </c>
      <c r="O15" s="574">
        <v>248463.71031704699</v>
      </c>
      <c r="P15" s="574">
        <v>1322082.0489724225</v>
      </c>
      <c r="Q15" s="574">
        <v>336941.04207379598</v>
      </c>
      <c r="R15" s="574">
        <v>6401879.799402127</v>
      </c>
    </row>
    <row r="16" spans="1:19" ht="18" customHeight="1">
      <c r="A16" s="32" t="s">
        <v>149</v>
      </c>
      <c r="B16" s="222" t="s">
        <v>38</v>
      </c>
      <c r="C16" s="231">
        <v>360.30016806243401</v>
      </c>
      <c r="D16" s="232">
        <v>6650882.4631331395</v>
      </c>
      <c r="E16" s="474"/>
      <c r="F16" s="474"/>
      <c r="G16" s="474">
        <f t="shared" si="0"/>
        <v>6650882.4631331395</v>
      </c>
      <c r="H16" s="565">
        <f t="shared" si="1"/>
        <v>6617628.0508174738</v>
      </c>
      <c r="I16" s="234">
        <f t="shared" si="2"/>
        <v>4632339.6355722314</v>
      </c>
      <c r="J16" s="255"/>
      <c r="L16" s="567" t="s">
        <v>38</v>
      </c>
      <c r="M16" s="574">
        <v>376.91111110668004</v>
      </c>
      <c r="N16" s="574">
        <v>9032597.1087533981</v>
      </c>
      <c r="O16" s="574">
        <v>278801.25345163792</v>
      </c>
      <c r="P16" s="574">
        <v>1436001.6235055097</v>
      </c>
      <c r="Q16" s="574">
        <v>365889.71158981282</v>
      </c>
      <c r="R16" s="574">
        <v>6951904.5202064458</v>
      </c>
      <c r="S16" s="32"/>
    </row>
    <row r="17" spans="1:19" ht="18" customHeight="1">
      <c r="A17" s="32" t="s">
        <v>150</v>
      </c>
      <c r="B17" s="222" t="s">
        <v>31</v>
      </c>
      <c r="C17" s="231">
        <v>725.83870893099402</v>
      </c>
      <c r="D17" s="232">
        <v>14083581.917755101</v>
      </c>
      <c r="E17" s="474"/>
      <c r="F17" s="474"/>
      <c r="G17" s="474">
        <f t="shared" si="0"/>
        <v>14083581.917755101</v>
      </c>
      <c r="H17" s="565">
        <f t="shared" si="1"/>
        <v>14013164.008166326</v>
      </c>
      <c r="I17" s="234">
        <f t="shared" si="2"/>
        <v>9809214.805716427</v>
      </c>
      <c r="J17" s="255"/>
      <c r="L17" s="567" t="s">
        <v>31</v>
      </c>
      <c r="M17" s="574">
        <v>752.78888888645201</v>
      </c>
      <c r="N17" s="574">
        <v>16381031.865349868</v>
      </c>
      <c r="O17" s="574">
        <v>582974.81369824603</v>
      </c>
      <c r="P17" s="574">
        <v>495381.18447997549</v>
      </c>
      <c r="Q17" s="574">
        <v>765133.79335858242</v>
      </c>
      <c r="R17" s="574">
        <v>14537542.073813077</v>
      </c>
      <c r="S17" s="32"/>
    </row>
    <row r="18" spans="1:19" ht="18" customHeight="1">
      <c r="A18" s="32" t="s">
        <v>151</v>
      </c>
      <c r="B18" s="222" t="s">
        <v>209</v>
      </c>
      <c r="C18" s="231">
        <v>91.061393411020902</v>
      </c>
      <c r="D18" s="232">
        <v>1877807.67193185</v>
      </c>
      <c r="E18" s="474"/>
      <c r="F18" s="474"/>
      <c r="G18" s="474">
        <f t="shared" si="0"/>
        <v>1877807.67193185</v>
      </c>
      <c r="H18" s="565">
        <f t="shared" si="1"/>
        <v>1868418.6335721908</v>
      </c>
      <c r="I18" s="234">
        <f t="shared" si="2"/>
        <v>1307893.0435005336</v>
      </c>
      <c r="J18" s="255"/>
      <c r="L18" s="567" t="s">
        <v>209</v>
      </c>
      <c r="M18" s="574">
        <v>82.01111111102999</v>
      </c>
      <c r="N18" s="574">
        <v>1983955.4895733581</v>
      </c>
      <c r="O18" s="574">
        <v>46357.815899133202</v>
      </c>
      <c r="P18" s="574">
        <v>126199.62504154917</v>
      </c>
      <c r="Q18" s="574">
        <v>90569.902431633818</v>
      </c>
      <c r="R18" s="574">
        <v>1720828.146201042</v>
      </c>
      <c r="S18" s="32"/>
    </row>
    <row r="19" spans="1:19" ht="18" customHeight="1">
      <c r="A19" s="32" t="s">
        <v>153</v>
      </c>
      <c r="B19" s="222" t="s">
        <v>210</v>
      </c>
      <c r="C19" s="231">
        <v>92.476395366767406</v>
      </c>
      <c r="D19" s="232">
        <v>1979881.0822416099</v>
      </c>
      <c r="E19" s="474"/>
      <c r="F19" s="474"/>
      <c r="G19" s="474">
        <f t="shared" si="0"/>
        <v>1979881.0822416099</v>
      </c>
      <c r="H19" s="565">
        <f t="shared" si="1"/>
        <v>1969981.6768304019</v>
      </c>
      <c r="I19" s="234">
        <f t="shared" si="2"/>
        <v>1378987.1737812813</v>
      </c>
      <c r="J19" s="255"/>
      <c r="L19" s="567" t="s">
        <v>210</v>
      </c>
      <c r="M19" s="574">
        <v>74.43333333340999</v>
      </c>
      <c r="N19" s="574">
        <v>1984998.6359607507</v>
      </c>
      <c r="O19" s="574">
        <v>69854.859391739548</v>
      </c>
      <c r="P19" s="574">
        <v>244154.12576258095</v>
      </c>
      <c r="Q19" s="574">
        <v>83549.482540321565</v>
      </c>
      <c r="R19" s="574">
        <v>1587440.1682661104</v>
      </c>
      <c r="S19" s="32"/>
    </row>
    <row r="20" spans="1:19" ht="18" customHeight="1">
      <c r="A20" s="32" t="s">
        <v>155</v>
      </c>
      <c r="B20" s="222" t="s">
        <v>42</v>
      </c>
      <c r="C20" s="231">
        <v>640.86618517689999</v>
      </c>
      <c r="D20" s="232">
        <v>9899514.2702377792</v>
      </c>
      <c r="E20" s="474"/>
      <c r="F20" s="474"/>
      <c r="G20" s="474">
        <f t="shared" si="0"/>
        <v>9899514.2702377792</v>
      </c>
      <c r="H20" s="565">
        <f t="shared" si="1"/>
        <v>9850016.6988865901</v>
      </c>
      <c r="I20" s="234">
        <f t="shared" si="2"/>
        <v>6895011.6892206129</v>
      </c>
      <c r="J20" s="255"/>
      <c r="L20" s="567" t="s">
        <v>42</v>
      </c>
      <c r="M20" s="574">
        <v>599.68888888794902</v>
      </c>
      <c r="N20" s="574">
        <v>12476884.114314407</v>
      </c>
      <c r="O20" s="574">
        <v>422351.93686797755</v>
      </c>
      <c r="P20" s="574">
        <v>1868302.0170150318</v>
      </c>
      <c r="Q20" s="574">
        <v>509311.50802156987</v>
      </c>
      <c r="R20" s="574">
        <v>9676918.6524098329</v>
      </c>
      <c r="S20" s="32"/>
    </row>
    <row r="21" spans="1:19" ht="18" customHeight="1">
      <c r="A21" s="32" t="s">
        <v>162</v>
      </c>
      <c r="B21" s="222" t="s">
        <v>76</v>
      </c>
      <c r="C21" s="231">
        <v>1450.1133274829999</v>
      </c>
      <c r="D21" s="232">
        <v>21066987.0408182</v>
      </c>
      <c r="E21" s="474"/>
      <c r="F21" s="474"/>
      <c r="G21" s="474">
        <f t="shared" si="0"/>
        <v>21066987.0408182</v>
      </c>
      <c r="H21" s="565">
        <f t="shared" si="1"/>
        <v>20961652.105614107</v>
      </c>
      <c r="I21" s="234">
        <f t="shared" si="2"/>
        <v>14673156.473929875</v>
      </c>
      <c r="J21" s="255"/>
      <c r="L21" s="567" t="s">
        <v>76</v>
      </c>
      <c r="M21" s="574">
        <v>1419.133333327557</v>
      </c>
      <c r="N21" s="574">
        <v>31301631.925528362</v>
      </c>
      <c r="O21" s="574">
        <v>903627.89776409045</v>
      </c>
      <c r="P21" s="574">
        <v>8262570.7239263766</v>
      </c>
      <c r="Q21" s="574">
        <v>1106771.665191893</v>
      </c>
      <c r="R21" s="574">
        <v>21028661.63864594</v>
      </c>
      <c r="S21" s="32"/>
    </row>
    <row r="22" spans="1:19" ht="18" customHeight="1">
      <c r="A22" s="32" t="s">
        <v>156</v>
      </c>
      <c r="B22" s="222" t="s">
        <v>77</v>
      </c>
      <c r="C22" s="231">
        <v>499.34773891319298</v>
      </c>
      <c r="D22" s="232">
        <v>8317132.3694998603</v>
      </c>
      <c r="E22" s="474"/>
      <c r="F22" s="474"/>
      <c r="G22" s="474">
        <f t="shared" si="0"/>
        <v>8317132.3694998603</v>
      </c>
      <c r="H22" s="565">
        <f t="shared" si="1"/>
        <v>8275546.7076523611</v>
      </c>
      <c r="I22" s="234">
        <f t="shared" si="2"/>
        <v>5792882.6953566521</v>
      </c>
      <c r="J22" s="255"/>
      <c r="L22" s="567" t="s">
        <v>77</v>
      </c>
      <c r="M22" s="574">
        <v>542.08888887906096</v>
      </c>
      <c r="N22" s="574">
        <v>10182820.839022091</v>
      </c>
      <c r="O22" s="574">
        <v>380031.87301806634</v>
      </c>
      <c r="P22" s="574">
        <v>312813.98580216005</v>
      </c>
      <c r="Q22" s="574">
        <v>474498.74901009322</v>
      </c>
      <c r="R22" s="574">
        <v>9015476.2311917655</v>
      </c>
      <c r="S22" s="32"/>
    </row>
    <row r="23" spans="1:19" ht="18" customHeight="1">
      <c r="A23" s="32" t="s">
        <v>163</v>
      </c>
      <c r="B23" s="222" t="s">
        <v>212</v>
      </c>
      <c r="C23" s="231">
        <v>82.600381198737594</v>
      </c>
      <c r="D23" s="232">
        <v>1262656.61948467</v>
      </c>
      <c r="E23" s="474"/>
      <c r="F23" s="474"/>
      <c r="G23" s="474">
        <f t="shared" si="0"/>
        <v>1262656.61948467</v>
      </c>
      <c r="H23" s="565">
        <f t="shared" si="1"/>
        <v>1256343.3363872466</v>
      </c>
      <c r="I23" s="234">
        <f t="shared" si="2"/>
        <v>879440.33547107258</v>
      </c>
      <c r="J23" s="616" t="s">
        <v>335</v>
      </c>
      <c r="L23" s="567" t="s">
        <v>212</v>
      </c>
      <c r="M23" s="574">
        <v>83.499999998730004</v>
      </c>
      <c r="N23" s="574">
        <v>1515277.9162424756</v>
      </c>
      <c r="O23" s="574">
        <v>42032.326940502462</v>
      </c>
      <c r="P23" s="574">
        <v>110993.10093606959</v>
      </c>
      <c r="Q23" s="574">
        <v>68112.624418295178</v>
      </c>
      <c r="R23" s="574">
        <v>1294139.8639476087</v>
      </c>
      <c r="S23" s="32"/>
    </row>
    <row r="24" spans="1:19" ht="18" customHeight="1">
      <c r="B24" s="223" t="s">
        <v>106</v>
      </c>
      <c r="C24" s="236">
        <f t="shared" ref="C24:I24" si="3">SUM(C4:C23)</f>
        <v>38327.020626553727</v>
      </c>
      <c r="D24" s="191">
        <f t="shared" si="3"/>
        <v>557688486.9027704</v>
      </c>
      <c r="E24" s="191">
        <f t="shared" si="3"/>
        <v>14055969.080179987</v>
      </c>
      <c r="F24" s="191">
        <f t="shared" si="3"/>
        <v>9000000</v>
      </c>
      <c r="G24" s="191">
        <f t="shared" si="3"/>
        <v>534632517.82259047</v>
      </c>
      <c r="H24" s="191">
        <f t="shared" si="3"/>
        <v>531959355.23347753</v>
      </c>
      <c r="I24" s="552">
        <f t="shared" si="3"/>
        <v>372371548.66343427</v>
      </c>
      <c r="J24" s="606">
        <f>+H24-I24</f>
        <v>159587806.57004327</v>
      </c>
      <c r="K24" s="8"/>
      <c r="L24" s="567" t="s">
        <v>292</v>
      </c>
      <c r="M24" s="574">
        <v>4700.2414598625101</v>
      </c>
      <c r="N24" s="574">
        <v>60807351.777703106</v>
      </c>
      <c r="O24" s="574">
        <v>2060763.6396653464</v>
      </c>
      <c r="P24" s="574">
        <v>406134.585383659</v>
      </c>
      <c r="Q24" s="574">
        <v>2917022.6776327137</v>
      </c>
      <c r="R24" s="574">
        <v>55423430.875021651</v>
      </c>
      <c r="S24" s="32"/>
    </row>
    <row r="25" spans="1:19" ht="18" customHeight="1">
      <c r="B25" s="224" t="s">
        <v>107</v>
      </c>
      <c r="C25" s="246">
        <v>4556.4243504533906</v>
      </c>
      <c r="D25" s="228">
        <v>56266959.004935652</v>
      </c>
      <c r="E25" s="238">
        <v>2807193.8107318664</v>
      </c>
      <c r="F25" s="239"/>
      <c r="G25" s="239">
        <f>+D25-E25-F25</f>
        <v>53459765.194203787</v>
      </c>
      <c r="H25" s="239">
        <f t="shared" si="1"/>
        <v>53192466.368232764</v>
      </c>
      <c r="I25" s="240"/>
      <c r="J25" s="213"/>
      <c r="L25" s="567" t="s">
        <v>293</v>
      </c>
      <c r="M25" s="574">
        <v>4114.5833952965304</v>
      </c>
      <c r="N25" s="574">
        <v>51987929.44327683</v>
      </c>
      <c r="O25" s="574">
        <v>1847586.6393447032</v>
      </c>
      <c r="P25" s="574">
        <v>971015.86027909303</v>
      </c>
      <c r="Q25" s="574">
        <v>2458466.3471826501</v>
      </c>
      <c r="R25" s="574">
        <v>46710860.596470483</v>
      </c>
      <c r="S25" s="32"/>
    </row>
    <row r="26" spans="1:19" ht="18" customHeight="1">
      <c r="B26" s="225" t="s">
        <v>108</v>
      </c>
      <c r="C26" s="247">
        <v>4095.5298660643521</v>
      </c>
      <c r="D26" s="235">
        <v>48717881.961082734</v>
      </c>
      <c r="E26" s="241">
        <v>2483734.3031579107</v>
      </c>
      <c r="F26" s="242"/>
      <c r="G26" s="242">
        <f>+D26-E26-F26</f>
        <v>46234147.657924823</v>
      </c>
      <c r="H26" s="242">
        <f t="shared" si="1"/>
        <v>46002976.919635199</v>
      </c>
      <c r="I26" s="243"/>
      <c r="J26" s="213"/>
      <c r="S26" s="32"/>
    </row>
    <row r="27" spans="1:19" ht="18" customHeight="1">
      <c r="B27" s="226" t="s">
        <v>109</v>
      </c>
      <c r="C27" s="244">
        <f t="shared" ref="C27:H27" si="4">SUM(C24:C26)</f>
        <v>46978.974843071468</v>
      </c>
      <c r="D27" s="193">
        <f t="shared" si="4"/>
        <v>662673327.86878872</v>
      </c>
      <c r="E27" s="193">
        <f t="shared" si="4"/>
        <v>19346897.194069766</v>
      </c>
      <c r="F27" s="191">
        <f t="shared" si="4"/>
        <v>9000000</v>
      </c>
      <c r="G27" s="193">
        <f t="shared" si="4"/>
        <v>634326430.67471898</v>
      </c>
      <c r="H27" s="193">
        <f t="shared" si="4"/>
        <v>631154798.5213455</v>
      </c>
      <c r="I27" s="245"/>
      <c r="J27" s="213"/>
      <c r="S27" s="32"/>
    </row>
    <row r="28" spans="1:19">
      <c r="B28" s="208"/>
      <c r="C28" s="209"/>
      <c r="D28" s="210"/>
      <c r="E28" s="210"/>
      <c r="F28" s="211"/>
      <c r="G28" s="210"/>
      <c r="H28" s="210"/>
      <c r="I28" s="32" t="s">
        <v>277</v>
      </c>
      <c r="J28" s="8"/>
      <c r="S28" s="32"/>
    </row>
    <row r="29" spans="1:19">
      <c r="B29" s="208"/>
      <c r="C29" s="212"/>
      <c r="D29" s="214"/>
      <c r="E29" s="210"/>
      <c r="F29" s="211"/>
      <c r="G29" s="210"/>
      <c r="H29" s="210">
        <f>0.0075*H24</f>
        <v>3989695.1642510812</v>
      </c>
      <c r="I29" s="210" t="s">
        <v>17</v>
      </c>
      <c r="J29" s="8"/>
      <c r="L29" s="566" t="s">
        <v>291</v>
      </c>
      <c r="M29" s="566" t="s">
        <v>284</v>
      </c>
      <c r="N29" s="566" t="s">
        <v>285</v>
      </c>
      <c r="O29" s="566" t="s">
        <v>286</v>
      </c>
      <c r="P29" s="566" t="s">
        <v>287</v>
      </c>
      <c r="Q29" s="566" t="s">
        <v>288</v>
      </c>
      <c r="R29" s="566" t="s">
        <v>290</v>
      </c>
      <c r="S29" s="32"/>
    </row>
    <row r="30" spans="1:19">
      <c r="B30" s="208"/>
      <c r="C30" s="496"/>
      <c r="D30" s="214"/>
      <c r="E30" s="210"/>
      <c r="F30" s="211"/>
      <c r="G30" s="210"/>
      <c r="H30" s="210"/>
      <c r="I30" s="59"/>
      <c r="L30" s="567" t="s">
        <v>21</v>
      </c>
      <c r="M30" s="568">
        <v>18836.757356330319</v>
      </c>
      <c r="N30" s="568">
        <v>197333634.40070677</v>
      </c>
      <c r="O30" s="568">
        <v>7893345.3760282714</v>
      </c>
      <c r="P30" s="568">
        <v>936621.82474750816</v>
      </c>
      <c r="Q30" s="568">
        <v>9425183.3599965498</v>
      </c>
      <c r="R30" s="568">
        <v>179078483.83993444</v>
      </c>
      <c r="S30" s="32"/>
    </row>
    <row r="31" spans="1:19">
      <c r="C31" s="566" t="s">
        <v>289</v>
      </c>
      <c r="D31" s="566" t="s">
        <v>290</v>
      </c>
      <c r="E31" s="8"/>
      <c r="G31" s="566" t="s">
        <v>290</v>
      </c>
      <c r="H31" s="210"/>
      <c r="I31" s="10"/>
      <c r="L31" s="567" t="s">
        <v>292</v>
      </c>
      <c r="M31" s="568">
        <v>3970.6990497349843</v>
      </c>
      <c r="N31" s="568">
        <v>42107396.299547784</v>
      </c>
      <c r="O31" s="568">
        <v>1684295.8519819111</v>
      </c>
      <c r="P31" s="568">
        <v>287267.39315848041</v>
      </c>
      <c r="Q31" s="568">
        <v>2006791.6527203696</v>
      </c>
      <c r="R31" s="568">
        <v>38129041.401687019</v>
      </c>
      <c r="S31" s="32"/>
    </row>
    <row r="32" spans="1:19">
      <c r="C32" s="568">
        <v>190820397.84557769</v>
      </c>
      <c r="D32" s="568">
        <v>179078483.83993444</v>
      </c>
      <c r="G32" s="568">
        <v>249402503.24694234</v>
      </c>
      <c r="L32" s="567" t="s">
        <v>293</v>
      </c>
      <c r="M32" s="568">
        <v>3405.1836352991754</v>
      </c>
      <c r="N32" s="568">
        <v>36116168.02025485</v>
      </c>
      <c r="O32" s="568">
        <v>1444646.720810194</v>
      </c>
      <c r="P32" s="568">
        <v>783256.44382072287</v>
      </c>
      <c r="Q32" s="568">
        <v>1694413.2427811967</v>
      </c>
      <c r="R32" s="568">
        <v>32193851.612842739</v>
      </c>
      <c r="S32" s="32"/>
    </row>
    <row r="33" spans="3:19">
      <c r="C33" s="568">
        <v>36698084.84702687</v>
      </c>
      <c r="D33" s="568">
        <v>38129041.401687019</v>
      </c>
      <c r="G33" s="568">
        <v>264651511.85166758</v>
      </c>
      <c r="M33" s="25">
        <f>SUM(M30:M32)</f>
        <v>26212.640041364477</v>
      </c>
      <c r="N33" s="25">
        <f>+M30*$N$36</f>
        <v>13191683.566672383</v>
      </c>
      <c r="S33" s="32"/>
    </row>
    <row r="34" spans="3:19">
      <c r="C34" s="568">
        <v>32299474.342453301</v>
      </c>
      <c r="D34" s="568">
        <v>32193851.612842739</v>
      </c>
      <c r="G34" s="568">
        <v>76877823.946767673</v>
      </c>
      <c r="M34" s="25">
        <v>25945</v>
      </c>
      <c r="N34" s="25">
        <f t="shared" ref="N34:N35" si="5">+M31*$N$36</f>
        <v>2780744.2869134606</v>
      </c>
      <c r="S34" s="32"/>
    </row>
    <row r="35" spans="3:19">
      <c r="C35" s="32">
        <f>SUM(C32:C34)</f>
        <v>259817957.03505784</v>
      </c>
      <c r="D35" s="32">
        <f>SUM(D32:D34)</f>
        <v>249401376.8544642</v>
      </c>
      <c r="G35" s="568">
        <v>70517825.918989882</v>
      </c>
      <c r="M35" s="25">
        <f>19126000/M34</f>
        <v>737.17479283098862</v>
      </c>
      <c r="N35" s="25">
        <f t="shared" si="5"/>
        <v>2384704.7638579849</v>
      </c>
      <c r="S35" s="32"/>
    </row>
    <row r="36" spans="3:19">
      <c r="N36" s="25">
        <f>+M35*0.95</f>
        <v>700.31605318943912</v>
      </c>
      <c r="S36" s="32"/>
    </row>
    <row r="37" spans="3:19">
      <c r="S37" s="32"/>
    </row>
    <row r="38" spans="3:19">
      <c r="S38" s="32"/>
    </row>
    <row r="39" spans="3:19">
      <c r="S39" s="32"/>
    </row>
    <row r="40" spans="3:19">
      <c r="S40" s="32"/>
    </row>
    <row r="41" spans="3:19">
      <c r="S41" s="32"/>
    </row>
    <row r="42" spans="3:19">
      <c r="S42" s="32"/>
    </row>
    <row r="43" spans="3:19">
      <c r="S43" s="32"/>
    </row>
    <row r="44" spans="3:19">
      <c r="S44" s="32"/>
    </row>
    <row r="45" spans="3:19">
      <c r="S45" s="32"/>
    </row>
    <row r="46" spans="3:19">
      <c r="S46" s="32"/>
    </row>
    <row r="47" spans="3:19">
      <c r="S47" s="32"/>
    </row>
    <row r="48" spans="3:19">
      <c r="L48" s="32"/>
      <c r="M48" s="32"/>
      <c r="N48" s="32"/>
      <c r="O48" s="32"/>
      <c r="P48" s="32"/>
      <c r="Q48" s="32"/>
      <c r="S48" s="32"/>
    </row>
    <row r="49" spans="12:19">
      <c r="L49" s="32"/>
      <c r="M49" s="32"/>
      <c r="N49" s="32"/>
      <c r="O49" s="32"/>
      <c r="P49" s="32"/>
      <c r="Q49" s="32"/>
      <c r="S49" s="32"/>
    </row>
    <row r="50" spans="12:19">
      <c r="L50" s="32"/>
      <c r="M50" s="32"/>
      <c r="N50" s="32"/>
      <c r="O50" s="32"/>
      <c r="P50" s="32"/>
      <c r="Q50" s="32"/>
      <c r="S50" s="32"/>
    </row>
    <row r="51" spans="12:19">
      <c r="L51" s="32"/>
      <c r="M51" s="32"/>
      <c r="N51" s="32"/>
      <c r="O51" s="32"/>
      <c r="P51" s="32"/>
      <c r="Q51" s="32"/>
      <c r="S51" s="32"/>
    </row>
    <row r="52" spans="12:19">
      <c r="L52" s="32"/>
      <c r="M52" s="32"/>
      <c r="N52" s="32"/>
      <c r="O52" s="32"/>
      <c r="P52" s="32"/>
      <c r="Q52" s="32"/>
      <c r="S52" s="32"/>
    </row>
    <row r="53" spans="12:19">
      <c r="L53" s="32"/>
      <c r="M53" s="32"/>
      <c r="N53" s="32"/>
      <c r="O53" s="32"/>
      <c r="P53" s="32"/>
      <c r="Q53" s="32"/>
      <c r="S53" s="32"/>
    </row>
    <row r="54" spans="12:19">
      <c r="L54" s="32"/>
      <c r="M54" s="32"/>
      <c r="N54" s="32"/>
      <c r="O54" s="32"/>
      <c r="P54" s="32"/>
      <c r="Q54" s="32"/>
      <c r="S54" s="32"/>
    </row>
    <row r="55" spans="12:19">
      <c r="L55" s="32"/>
      <c r="M55" s="32"/>
      <c r="N55" s="32"/>
      <c r="O55" s="32"/>
      <c r="P55" s="32"/>
      <c r="Q55" s="32"/>
      <c r="S55" s="32"/>
    </row>
    <row r="56" spans="12:19">
      <c r="L56" s="32"/>
      <c r="M56" s="32"/>
      <c r="N56" s="32"/>
      <c r="O56" s="32"/>
      <c r="P56" s="32"/>
      <c r="Q56" s="32"/>
      <c r="S56" s="32"/>
    </row>
    <row r="57" spans="12:19">
      <c r="L57" s="32"/>
      <c r="M57" s="32"/>
      <c r="N57" s="32"/>
      <c r="O57" s="32"/>
      <c r="P57" s="32"/>
      <c r="Q57" s="32"/>
      <c r="S57" s="32"/>
    </row>
    <row r="58" spans="12:19">
      <c r="L58" s="32"/>
      <c r="M58" s="32"/>
      <c r="N58" s="32"/>
      <c r="O58" s="32"/>
      <c r="P58" s="32"/>
      <c r="Q58" s="32"/>
      <c r="S58" s="32"/>
    </row>
    <row r="59" spans="12:19">
      <c r="L59" s="32"/>
      <c r="M59" s="32"/>
      <c r="N59" s="32"/>
      <c r="O59" s="32"/>
      <c r="P59" s="32"/>
      <c r="Q59" s="32"/>
      <c r="S59" s="32"/>
    </row>
    <row r="60" spans="12:19">
      <c r="L60" s="32"/>
      <c r="M60" s="32"/>
      <c r="N60" s="32"/>
      <c r="O60" s="32"/>
      <c r="P60" s="32"/>
      <c r="Q60" s="32"/>
      <c r="S60" s="32"/>
    </row>
    <row r="61" spans="12:19">
      <c r="L61" s="32"/>
      <c r="M61" s="32"/>
      <c r="N61" s="32"/>
      <c r="O61" s="32"/>
      <c r="P61" s="32"/>
      <c r="Q61" s="32"/>
      <c r="S61" s="32"/>
    </row>
    <row r="62" spans="12:19">
      <c r="L62" s="32"/>
      <c r="M62" s="32"/>
      <c r="N62" s="32"/>
      <c r="O62" s="32"/>
      <c r="P62" s="32"/>
      <c r="Q62" s="32"/>
      <c r="S62" s="32"/>
    </row>
    <row r="63" spans="12:19">
      <c r="L63" s="32"/>
      <c r="M63" s="32"/>
      <c r="N63" s="32"/>
      <c r="O63" s="32"/>
      <c r="P63" s="32"/>
      <c r="Q63" s="32"/>
      <c r="S63" s="32"/>
    </row>
    <row r="64" spans="12:19">
      <c r="L64" s="32"/>
      <c r="M64" s="32"/>
      <c r="N64" s="32"/>
      <c r="O64" s="32"/>
      <c r="P64" s="32"/>
      <c r="Q64" s="32"/>
      <c r="S64" s="32"/>
    </row>
    <row r="65" spans="3:19">
      <c r="L65" s="32"/>
      <c r="M65" s="32"/>
      <c r="N65" s="32"/>
      <c r="O65" s="32"/>
      <c r="P65" s="32"/>
      <c r="Q65" s="32"/>
      <c r="S65" s="32"/>
    </row>
    <row r="66" spans="3:19">
      <c r="L66" s="32"/>
      <c r="M66" s="32"/>
      <c r="N66" s="32"/>
      <c r="O66" s="32"/>
      <c r="P66" s="32"/>
      <c r="Q66" s="32"/>
      <c r="S66" s="32"/>
    </row>
    <row r="67" spans="3:19">
      <c r="C67" s="25"/>
      <c r="D67" s="25"/>
      <c r="E67" s="25"/>
      <c r="F67" s="25"/>
      <c r="G67" s="25"/>
      <c r="H67" s="25"/>
      <c r="I67" s="25"/>
      <c r="J67" s="25"/>
      <c r="L67" s="32"/>
      <c r="M67" s="32"/>
      <c r="N67" s="32"/>
      <c r="O67" s="32"/>
      <c r="P67" s="32"/>
      <c r="Q67" s="32"/>
      <c r="S67" s="32"/>
    </row>
    <row r="68" spans="3:19">
      <c r="J68" s="8"/>
      <c r="L68" s="32"/>
      <c r="M68" s="32"/>
      <c r="N68" s="32"/>
      <c r="O68" s="32"/>
      <c r="P68" s="32"/>
      <c r="Q68" s="32"/>
      <c r="S68" s="32"/>
    </row>
  </sheetData>
  <mergeCells count="1">
    <mergeCell ref="B1:I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B1" zoomScale="90" zoomScaleNormal="90" zoomScalePageLayoutView="90" workbookViewId="0">
      <selection sqref="A1:B1"/>
    </sheetView>
  </sheetViews>
  <sheetFormatPr defaultColWidth="8.85546875" defaultRowHeight="50.25" customHeight="1"/>
  <cols>
    <col min="1" max="1" width="8.42578125" style="502" hidden="1" customWidth="1"/>
    <col min="2" max="2" width="52.140625" style="502" customWidth="1"/>
    <col min="3" max="19" width="25" style="502" customWidth="1"/>
    <col min="20" max="20" width="18.140625" style="502" customWidth="1"/>
    <col min="21" max="21" width="13.7109375" style="502" customWidth="1"/>
    <col min="22" max="16384" width="8.85546875" style="502"/>
  </cols>
  <sheetData>
    <row r="1" spans="1:38" ht="74.25" customHeight="1">
      <c r="A1" s="637" t="s">
        <v>446</v>
      </c>
      <c r="B1" s="638"/>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282</v>
      </c>
      <c r="S2" s="503">
        <v>266</v>
      </c>
      <c r="T2" s="504"/>
      <c r="U2" s="13"/>
      <c r="V2" s="32"/>
      <c r="W2" s="32"/>
      <c r="X2" s="32"/>
      <c r="Y2" s="32"/>
      <c r="Z2" s="32"/>
      <c r="AA2" s="32"/>
      <c r="AB2" s="32"/>
      <c r="AC2" s="32"/>
      <c r="AD2" s="32"/>
      <c r="AE2" s="32"/>
      <c r="AF2" s="32"/>
      <c r="AG2" s="32"/>
      <c r="AH2" s="32"/>
      <c r="AI2" s="32"/>
      <c r="AJ2" s="32"/>
      <c r="AK2" s="32"/>
      <c r="AL2" s="32"/>
    </row>
    <row r="3" spans="1:38" s="507" customFormat="1" ht="24" customHeight="1">
      <c r="A3" s="505" t="s">
        <v>128</v>
      </c>
      <c r="B3" s="533" t="s">
        <v>173</v>
      </c>
      <c r="C3" s="506">
        <f>+C26/$T26</f>
        <v>1.6507788886305511E-2</v>
      </c>
      <c r="D3" s="506">
        <f t="shared" ref="D3:T3" si="0">+D26/$T26</f>
        <v>0.62636596140432454</v>
      </c>
      <c r="E3" s="506">
        <f t="shared" si="0"/>
        <v>0.10846314810509183</v>
      </c>
      <c r="F3" s="506">
        <f t="shared" si="0"/>
        <v>1.7670309230411532E-2</v>
      </c>
      <c r="G3" s="506">
        <f t="shared" si="0"/>
        <v>0.11264822134387352</v>
      </c>
      <c r="H3" s="506">
        <f t="shared" si="0"/>
        <v>3.3015577772611021E-2</v>
      </c>
      <c r="I3" s="506">
        <f t="shared" si="0"/>
        <v>1.4531504301325273E-2</v>
      </c>
      <c r="J3" s="506">
        <f t="shared" si="0"/>
        <v>0</v>
      </c>
      <c r="K3" s="506">
        <f t="shared" si="0"/>
        <v>0</v>
      </c>
      <c r="L3" s="506">
        <f t="shared" si="0"/>
        <v>4.6500813764240876E-3</v>
      </c>
      <c r="M3" s="506">
        <f t="shared" si="0"/>
        <v>0</v>
      </c>
      <c r="N3" s="506">
        <f t="shared" si="0"/>
        <v>2.8830504533829342E-2</v>
      </c>
      <c r="O3" s="506">
        <f t="shared" si="0"/>
        <v>1.6042780748663103E-2</v>
      </c>
      <c r="P3" s="506">
        <f t="shared" si="0"/>
        <v>0</v>
      </c>
      <c r="Q3" s="506">
        <f t="shared" si="0"/>
        <v>1.9879097884212972E-2</v>
      </c>
      <c r="R3" s="506">
        <f t="shared" si="0"/>
        <v>1.3950244129272262E-3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s="32"/>
      <c r="W4" s="32"/>
      <c r="X4" s="32"/>
      <c r="Y4" s="32"/>
      <c r="Z4" s="32"/>
      <c r="AA4" s="32"/>
      <c r="AB4" s="32"/>
      <c r="AC4" s="32"/>
      <c r="AD4" s="32"/>
      <c r="AE4" s="32"/>
      <c r="AF4" s="32"/>
      <c r="AG4" s="32"/>
      <c r="AH4" s="32"/>
      <c r="AI4" s="32"/>
      <c r="AJ4" s="32"/>
      <c r="AK4" s="32"/>
      <c r="AL4" s="32"/>
    </row>
    <row r="5" spans="1:38" s="507" customFormat="1" ht="24" customHeight="1">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s="32"/>
      <c r="W6" s="32"/>
      <c r="X6" s="32"/>
      <c r="Y6" s="32"/>
      <c r="Z6" s="32"/>
      <c r="AA6" s="32"/>
      <c r="AB6" s="32"/>
      <c r="AC6" s="32"/>
      <c r="AD6" s="32"/>
      <c r="AE6" s="32"/>
      <c r="AF6" s="32"/>
      <c r="AG6" s="32"/>
      <c r="AH6" s="32"/>
      <c r="AI6" s="32"/>
      <c r="AJ6" s="32"/>
      <c r="AK6" s="32"/>
      <c r="AL6" s="32"/>
    </row>
    <row r="7" spans="1:38" s="507" customFormat="1" ht="24" customHeight="1">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c r="B24" s="537"/>
    </row>
    <row r="25" spans="1:21" ht="60" customHeight="1">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c r="A26" s="505" t="s">
        <v>128</v>
      </c>
      <c r="B26" s="533" t="s">
        <v>173</v>
      </c>
      <c r="C26" s="515">
        <v>142</v>
      </c>
      <c r="D26" s="515">
        <v>5388</v>
      </c>
      <c r="E26" s="515">
        <v>933</v>
      </c>
      <c r="F26" s="515">
        <v>152</v>
      </c>
      <c r="G26" s="515">
        <v>969</v>
      </c>
      <c r="H26" s="515">
        <v>284</v>
      </c>
      <c r="I26" s="515">
        <v>125</v>
      </c>
      <c r="J26" s="515"/>
      <c r="K26" s="515"/>
      <c r="L26" s="515">
        <v>40</v>
      </c>
      <c r="M26" s="515"/>
      <c r="N26" s="515">
        <v>248</v>
      </c>
      <c r="O26" s="515">
        <v>138</v>
      </c>
      <c r="P26" s="515"/>
      <c r="Q26" s="515">
        <v>171</v>
      </c>
      <c r="R26" s="515">
        <v>12</v>
      </c>
      <c r="S26" s="515">
        <v>0</v>
      </c>
      <c r="T26" s="517">
        <f>SUM(C26:S26)</f>
        <v>8602</v>
      </c>
      <c r="U26" s="32"/>
    </row>
    <row r="27" spans="1:21" s="507" customFormat="1" ht="24" customHeight="1">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s="32"/>
    </row>
    <row r="28" spans="1:21" s="507" customFormat="1" ht="24" customHeight="1">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s="32"/>
    </row>
    <row r="30" spans="1:21" s="507" customFormat="1" ht="24" customHeight="1">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s="32"/>
    </row>
    <row r="31" spans="1:21" s="507" customFormat="1" ht="24" customHeight="1">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s="32"/>
    </row>
    <row r="34" spans="1:21" s="507" customFormat="1" ht="24" customHeight="1">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s="32"/>
    </row>
    <row r="37" spans="1:21" s="507" customFormat="1" ht="24" customHeight="1">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s="32"/>
    </row>
    <row r="40" spans="1:21" s="507" customFormat="1" ht="24" customHeight="1">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s="32"/>
    </row>
    <row r="47" spans="1:21" ht="24" customHeight="1">
      <c r="B47" s="539" t="s">
        <v>17</v>
      </c>
      <c r="C47" s="524">
        <f t="shared" ref="C47:T47" si="5">SUM(C26:C46)</f>
        <v>523</v>
      </c>
      <c r="D47" s="525">
        <f t="shared" si="5"/>
        <v>7388.6666666666679</v>
      </c>
      <c r="E47" s="524">
        <f t="shared" si="5"/>
        <v>1254.6666666666667</v>
      </c>
      <c r="F47" s="524">
        <f t="shared" si="5"/>
        <v>740.66666666666663</v>
      </c>
      <c r="G47" s="525">
        <f t="shared" si="5"/>
        <v>2178.333333333333</v>
      </c>
      <c r="H47" s="524">
        <f t="shared" si="5"/>
        <v>757.66666666666674</v>
      </c>
      <c r="I47" s="524">
        <f t="shared" si="5"/>
        <v>177.66666666666666</v>
      </c>
      <c r="J47" s="524">
        <f t="shared" si="5"/>
        <v>586.33333333333326</v>
      </c>
      <c r="K47" s="524">
        <f t="shared" si="5"/>
        <v>351</v>
      </c>
      <c r="L47" s="524">
        <f t="shared" si="5"/>
        <v>336.99999999999994</v>
      </c>
      <c r="M47" s="524">
        <f t="shared" si="5"/>
        <v>314.66666666666669</v>
      </c>
      <c r="N47" s="525">
        <f t="shared" si="5"/>
        <v>1623.6666666666667</v>
      </c>
      <c r="O47" s="524">
        <f t="shared" si="5"/>
        <v>280</v>
      </c>
      <c r="P47" s="524">
        <f t="shared" si="5"/>
        <v>436.33333333333331</v>
      </c>
      <c r="Q47" s="524">
        <f t="shared" si="5"/>
        <v>651.33333333333348</v>
      </c>
      <c r="R47" s="524">
        <f t="shared" si="5"/>
        <v>12</v>
      </c>
      <c r="S47" s="524">
        <f t="shared" si="5"/>
        <v>256.33333333333331</v>
      </c>
      <c r="T47" s="526">
        <f t="shared" si="5"/>
        <v>17869.333333333339</v>
      </c>
      <c r="U47" s="32"/>
    </row>
    <row r="48" spans="1:21" ht="43.5" customHeight="1">
      <c r="U48" s="32"/>
    </row>
    <row r="49" spans="2:20" ht="42" customHeight="1">
      <c r="B49" s="538" t="s">
        <v>438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c r="B50" s="533" t="s">
        <v>173</v>
      </c>
      <c r="C50" s="515">
        <f>+C26-FY16ProjMjrs!C26</f>
        <v>30</v>
      </c>
      <c r="D50" s="515">
        <f>+D26-FY16ProjMjrs!D26</f>
        <v>-77</v>
      </c>
      <c r="E50" s="515">
        <f>+E26-FY16ProjMjrs!E26</f>
        <v>-7</v>
      </c>
      <c r="F50" s="515">
        <f>+F26-FY16ProjMjrs!F26</f>
        <v>51</v>
      </c>
      <c r="G50" s="515">
        <f>+G26-FY16ProjMjrs!G26</f>
        <v>-9</v>
      </c>
      <c r="H50" s="515">
        <f>+H26-FY16ProjMjrs!H26</f>
        <v>-11</v>
      </c>
      <c r="I50" s="515">
        <f>+I26-FY16ProjMjrs!I26</f>
        <v>25</v>
      </c>
      <c r="J50" s="515">
        <f>+J26-FY16ProjMjrs!J26</f>
        <v>0</v>
      </c>
      <c r="K50" s="515">
        <f>+K26-FY16ProjMjrs!K26</f>
        <v>0</v>
      </c>
      <c r="L50" s="515">
        <f>+L26-FY16ProjMjrs!L26</f>
        <v>-1</v>
      </c>
      <c r="M50" s="515">
        <f>+M26-FY16ProjMjrs!M26</f>
        <v>0</v>
      </c>
      <c r="N50" s="515">
        <f>+N26-FY16ProjMjrs!N26</f>
        <v>43</v>
      </c>
      <c r="O50" s="515">
        <f>+O26-FY16ProjMjrs!O26</f>
        <v>-4</v>
      </c>
      <c r="P50" s="515">
        <f>+P26-FY16ProjMjrs!P26</f>
        <v>0</v>
      </c>
      <c r="Q50" s="515">
        <f>+Q26-FY16ProjMjrs!Q26</f>
        <v>-8</v>
      </c>
      <c r="R50" s="515">
        <f>+R26-FY16ProjMjrs!R26</f>
        <v>-1</v>
      </c>
      <c r="S50" s="515">
        <f>+S26-FY16ProjMjrs!S26</f>
        <v>0</v>
      </c>
      <c r="T50" s="517">
        <f t="shared" ref="T50:T70" si="6">SUM(C50:S50)</f>
        <v>31</v>
      </c>
    </row>
    <row r="51" spans="2:20" ht="24" customHeight="1">
      <c r="B51" s="534" t="s">
        <v>35</v>
      </c>
      <c r="C51" s="518">
        <f>+C27-FY16ProjMjrs!C27</f>
        <v>0</v>
      </c>
      <c r="D51" s="518">
        <f>+D27-FY16ProjMjrs!D27</f>
        <v>0</v>
      </c>
      <c r="E51" s="518">
        <f>+E27-FY16ProjMjrs!E27</f>
        <v>0</v>
      </c>
      <c r="F51" s="518">
        <f>+F27-FY16ProjMjrs!F27</f>
        <v>0</v>
      </c>
      <c r="G51" s="518">
        <f>+G27-FY16ProjMjrs!G27</f>
        <v>0</v>
      </c>
      <c r="H51" s="518">
        <f>+H27-FY16ProjMjrs!H27</f>
        <v>0</v>
      </c>
      <c r="I51" s="518">
        <f>+I27-FY16ProjMjrs!I27</f>
        <v>0</v>
      </c>
      <c r="J51" s="518">
        <f>+J27-FY16ProjMjrs!J27</f>
        <v>0</v>
      </c>
      <c r="K51" s="518">
        <f>+K27-FY16ProjMjrs!K27</f>
        <v>0</v>
      </c>
      <c r="L51" s="518">
        <f>+L27-FY16ProjMjrs!L27</f>
        <v>0</v>
      </c>
      <c r="M51" s="518">
        <f>+M27-FY16ProjMjrs!M27</f>
        <v>0</v>
      </c>
      <c r="N51" s="518">
        <f>+N27-FY16ProjMjrs!N27</f>
        <v>0</v>
      </c>
      <c r="O51" s="518">
        <f>+O27-FY16ProjMjrs!O27</f>
        <v>0</v>
      </c>
      <c r="P51" s="518">
        <f>+P27-FY16ProjMjrs!P27</f>
        <v>0</v>
      </c>
      <c r="Q51" s="518">
        <f>+Q27-FY16ProjMjrs!Q27</f>
        <v>0</v>
      </c>
      <c r="R51" s="519">
        <f>+R27-FY16ProjMjrs!R27</f>
        <v>0</v>
      </c>
      <c r="S51" s="518">
        <f>+S27-FY16ProjMjrs!S27</f>
        <v>0</v>
      </c>
      <c r="T51" s="520">
        <f t="shared" si="6"/>
        <v>0</v>
      </c>
    </row>
    <row r="52" spans="2:20" ht="24" customHeight="1">
      <c r="B52" s="534" t="s">
        <v>36</v>
      </c>
      <c r="C52" s="519">
        <f>+C28-FY16ProjMjrs!C28</f>
        <v>0</v>
      </c>
      <c r="D52" s="518">
        <f>+D28-FY16ProjMjrs!D28</f>
        <v>0</v>
      </c>
      <c r="E52" s="519">
        <f>+E28-FY16ProjMjrs!E28</f>
        <v>0</v>
      </c>
      <c r="F52" s="518">
        <f>+F28-FY16ProjMjrs!F28</f>
        <v>0</v>
      </c>
      <c r="G52" s="519">
        <f>+G28-FY16ProjMjrs!G28</f>
        <v>0</v>
      </c>
      <c r="H52" s="518">
        <f>+H28-FY16ProjMjrs!H28</f>
        <v>0</v>
      </c>
      <c r="I52" s="518">
        <f>+I28-FY16ProjMjrs!I28</f>
        <v>0</v>
      </c>
      <c r="J52" s="519">
        <f>+J28-FY16ProjMjrs!J28</f>
        <v>0</v>
      </c>
      <c r="K52" s="518">
        <f>+K28-FY16ProjMjrs!K28</f>
        <v>0</v>
      </c>
      <c r="L52" s="518">
        <f>+L28-FY16ProjMjrs!L28</f>
        <v>0</v>
      </c>
      <c r="M52" s="518">
        <f>+M28-FY16ProjMjrs!M28</f>
        <v>0</v>
      </c>
      <c r="N52" s="518">
        <f>+N28-FY16ProjMjrs!N28</f>
        <v>0</v>
      </c>
      <c r="O52" s="518">
        <f>+O28-FY16ProjMjrs!O28</f>
        <v>0</v>
      </c>
      <c r="P52" s="518">
        <f>+P28-FY16ProjMjrs!P28</f>
        <v>0</v>
      </c>
      <c r="Q52" s="518">
        <f>+Q28-FY16ProjMjrs!Q28</f>
        <v>0</v>
      </c>
      <c r="R52" s="519">
        <f>+R28-FY16ProjMjrs!R28</f>
        <v>0</v>
      </c>
      <c r="S52" s="518">
        <f>+S28-FY16ProjMjrs!S28</f>
        <v>0</v>
      </c>
      <c r="T52" s="520">
        <f t="shared" si="6"/>
        <v>0</v>
      </c>
    </row>
    <row r="53" spans="2:20" ht="24" customHeight="1">
      <c r="B53" s="534" t="s">
        <v>37</v>
      </c>
      <c r="C53" s="518">
        <f>+C29-FY16ProjMjrs!C29</f>
        <v>0</v>
      </c>
      <c r="D53" s="518">
        <f>+D29-FY16ProjMjrs!D29</f>
        <v>0</v>
      </c>
      <c r="E53" s="518">
        <f>+E29-FY16ProjMjrs!E29</f>
        <v>0</v>
      </c>
      <c r="F53" s="518">
        <f>+F29-FY16ProjMjrs!F29</f>
        <v>0</v>
      </c>
      <c r="G53" s="518">
        <f>+G29-FY16ProjMjrs!G29</f>
        <v>0</v>
      </c>
      <c r="H53" s="518">
        <f>+H29-FY16ProjMjrs!H29</f>
        <v>0</v>
      </c>
      <c r="I53" s="518">
        <f>+I29-FY16ProjMjrs!I29</f>
        <v>0</v>
      </c>
      <c r="J53" s="518">
        <f>+J29-FY16ProjMjrs!J29</f>
        <v>0</v>
      </c>
      <c r="K53" s="518">
        <f>+K29-FY16ProjMjrs!K29</f>
        <v>0</v>
      </c>
      <c r="L53" s="518">
        <f>+L29-FY16ProjMjrs!L29</f>
        <v>0</v>
      </c>
      <c r="M53" s="518">
        <f>+M29-FY16ProjMjrs!M29</f>
        <v>0</v>
      </c>
      <c r="N53" s="518">
        <f>+N29-FY16ProjMjrs!N29</f>
        <v>0</v>
      </c>
      <c r="O53" s="518">
        <f>+O29-FY16ProjMjrs!O29</f>
        <v>0</v>
      </c>
      <c r="P53" s="518">
        <f>+P29-FY16ProjMjrs!P29</f>
        <v>0</v>
      </c>
      <c r="Q53" s="518">
        <f>+Q29-FY16ProjMjrs!Q29</f>
        <v>0</v>
      </c>
      <c r="R53" s="519">
        <f>+R29-FY16ProjMjrs!R29</f>
        <v>0</v>
      </c>
      <c r="S53" s="518">
        <f>+S29-FY16ProjMjrs!S29</f>
        <v>0</v>
      </c>
      <c r="T53" s="520">
        <f t="shared" si="6"/>
        <v>0</v>
      </c>
    </row>
    <row r="54" spans="2:20" ht="24" customHeight="1">
      <c r="B54" s="534" t="s">
        <v>141</v>
      </c>
      <c r="C54" s="518">
        <f>+C30-FY16ProjMjrs!C30</f>
        <v>0</v>
      </c>
      <c r="D54" s="518">
        <f>+D30-FY16ProjMjrs!D30</f>
        <v>0</v>
      </c>
      <c r="E54" s="518">
        <f>+E30-FY16ProjMjrs!E30</f>
        <v>0</v>
      </c>
      <c r="F54" s="518">
        <f>+F30-FY16ProjMjrs!F30</f>
        <v>0</v>
      </c>
      <c r="G54" s="518">
        <f>+G30-FY16ProjMjrs!G30</f>
        <v>0</v>
      </c>
      <c r="H54" s="518">
        <f>+H30-FY16ProjMjrs!H30</f>
        <v>0</v>
      </c>
      <c r="I54" s="519">
        <f>+I30-FY16ProjMjrs!I30</f>
        <v>0</v>
      </c>
      <c r="J54" s="518">
        <f>+J30-FY16ProjMjrs!J30</f>
        <v>0</v>
      </c>
      <c r="K54" s="518">
        <f>+K30-FY16ProjMjrs!K30</f>
        <v>0</v>
      </c>
      <c r="L54" s="519">
        <f>+L30-FY16ProjMjrs!L30</f>
        <v>0</v>
      </c>
      <c r="M54" s="519">
        <f>+M30-FY16ProjMjrs!M30</f>
        <v>0</v>
      </c>
      <c r="N54" s="519">
        <f>+N30-FY16ProjMjrs!N30</f>
        <v>0</v>
      </c>
      <c r="O54" s="519">
        <f>+O30-FY16ProjMjrs!O30</f>
        <v>0</v>
      </c>
      <c r="P54" s="519">
        <f>+P30-FY16ProjMjrs!P30</f>
        <v>0</v>
      </c>
      <c r="Q54" s="518">
        <f>+Q30-FY16ProjMjrs!Q30</f>
        <v>0</v>
      </c>
      <c r="R54" s="519">
        <f>+R30-FY16ProjMjrs!R30</f>
        <v>0</v>
      </c>
      <c r="S54" s="519">
        <f>+S30-FY16ProjMjrs!S30</f>
        <v>0</v>
      </c>
      <c r="T54" s="520">
        <f t="shared" si="6"/>
        <v>0</v>
      </c>
    </row>
    <row r="55" spans="2:20" ht="24" customHeight="1">
      <c r="B55" s="508" t="s">
        <v>206</v>
      </c>
      <c r="C55" s="519">
        <f>+C31-FY16ProjMjrs!C31</f>
        <v>0</v>
      </c>
      <c r="D55" s="519">
        <f>+D31-FY16ProjMjrs!D31</f>
        <v>0</v>
      </c>
      <c r="E55" s="519">
        <f>+E31-FY16ProjMjrs!E31</f>
        <v>0</v>
      </c>
      <c r="F55" s="519">
        <f>+F31-FY16ProjMjrs!F31</f>
        <v>0</v>
      </c>
      <c r="G55" s="519">
        <f>+G31-FY16ProjMjrs!G31</f>
        <v>0</v>
      </c>
      <c r="H55" s="519">
        <f>+H31-FY16ProjMjrs!H31</f>
        <v>0</v>
      </c>
      <c r="I55" s="519">
        <f>+I31-FY16ProjMjrs!I31</f>
        <v>0</v>
      </c>
      <c r="J55" s="519">
        <f>+J31-FY16ProjMjrs!J31</f>
        <v>0</v>
      </c>
      <c r="K55" s="519">
        <f>+K31-FY16ProjMjrs!K31</f>
        <v>0</v>
      </c>
      <c r="L55" s="519">
        <f>+L31-FY16ProjMjrs!L31</f>
        <v>0</v>
      </c>
      <c r="M55" s="519">
        <f>+M31-FY16ProjMjrs!M31</f>
        <v>0</v>
      </c>
      <c r="N55" s="519">
        <f>+N31-FY16ProjMjrs!N31</f>
        <v>0</v>
      </c>
      <c r="O55" s="519">
        <f>+O31-FY16ProjMjrs!O31</f>
        <v>0</v>
      </c>
      <c r="P55" s="519">
        <f>+P31-FY16ProjMjrs!P31</f>
        <v>0</v>
      </c>
      <c r="Q55" s="519">
        <f>+Q31-FY16ProjMjrs!Q31</f>
        <v>0</v>
      </c>
      <c r="R55" s="519">
        <f>+R31-FY16ProjMjrs!R31</f>
        <v>0</v>
      </c>
      <c r="S55" s="519">
        <f>+S31-FY16ProjMjrs!S31</f>
        <v>0</v>
      </c>
      <c r="T55" s="520">
        <f t="shared" si="6"/>
        <v>0</v>
      </c>
    </row>
    <row r="56" spans="2:20" ht="24" customHeight="1">
      <c r="B56" s="534" t="s">
        <v>40</v>
      </c>
      <c r="C56" s="518">
        <f>+C32-FY16ProjMjrs!C32</f>
        <v>0</v>
      </c>
      <c r="D56" s="518">
        <f>+D32-FY16ProjMjrs!D32</f>
        <v>0</v>
      </c>
      <c r="E56" s="518">
        <f>+E32-FY16ProjMjrs!E32</f>
        <v>0</v>
      </c>
      <c r="F56" s="518">
        <f>+F32-FY16ProjMjrs!F32</f>
        <v>0</v>
      </c>
      <c r="G56" s="518">
        <f>+G32-FY16ProjMjrs!G32</f>
        <v>0</v>
      </c>
      <c r="H56" s="518">
        <f>+H32-FY16ProjMjrs!H32</f>
        <v>0</v>
      </c>
      <c r="I56" s="519">
        <f>+I32-FY16ProjMjrs!I32</f>
        <v>0</v>
      </c>
      <c r="J56" s="519">
        <f>+J32-FY16ProjMjrs!J32</f>
        <v>0</v>
      </c>
      <c r="K56" s="518">
        <f>+K32-FY16ProjMjrs!K32</f>
        <v>0</v>
      </c>
      <c r="L56" s="518">
        <f>+L32-FY16ProjMjrs!L32</f>
        <v>0</v>
      </c>
      <c r="M56" s="519">
        <f>+M32-FY16ProjMjrs!M32</f>
        <v>0</v>
      </c>
      <c r="N56" s="518">
        <f>+N32-FY16ProjMjrs!N32</f>
        <v>0</v>
      </c>
      <c r="O56" s="519">
        <f>+O32-FY16ProjMjrs!O32</f>
        <v>0</v>
      </c>
      <c r="P56" s="519">
        <f>+P32-FY16ProjMjrs!P32</f>
        <v>0</v>
      </c>
      <c r="Q56" s="518">
        <f>+Q32-FY16ProjMjrs!Q32</f>
        <v>0</v>
      </c>
      <c r="R56" s="519">
        <f>+R32-FY16ProjMjrs!R32</f>
        <v>0</v>
      </c>
      <c r="S56" s="519">
        <f>+S32-FY16ProjMjrs!S32</f>
        <v>0</v>
      </c>
      <c r="T56" s="520">
        <f t="shared" si="6"/>
        <v>0</v>
      </c>
    </row>
    <row r="57" spans="2:20" ht="24" customHeight="1">
      <c r="B57" s="534" t="s">
        <v>70</v>
      </c>
      <c r="C57" s="518">
        <f>+C33-FY16ProjMjrs!C33</f>
        <v>0</v>
      </c>
      <c r="D57" s="518">
        <f>+D33-FY16ProjMjrs!D33</f>
        <v>0</v>
      </c>
      <c r="E57" s="519">
        <f>+E33-FY16ProjMjrs!E33</f>
        <v>0</v>
      </c>
      <c r="F57" s="518">
        <f>+F33-FY16ProjMjrs!F33</f>
        <v>0</v>
      </c>
      <c r="G57" s="519">
        <f>+G33-FY16ProjMjrs!G33</f>
        <v>0</v>
      </c>
      <c r="H57" s="518">
        <f>+H33-FY16ProjMjrs!H33</f>
        <v>0</v>
      </c>
      <c r="I57" s="518">
        <f>+I33-FY16ProjMjrs!I33</f>
        <v>0</v>
      </c>
      <c r="J57" s="519">
        <f>+J33-FY16ProjMjrs!J33</f>
        <v>0</v>
      </c>
      <c r="K57" s="518">
        <f>+K33-FY16ProjMjrs!K33</f>
        <v>0</v>
      </c>
      <c r="L57" s="518">
        <f>+L33-FY16ProjMjrs!L33</f>
        <v>0</v>
      </c>
      <c r="M57" s="519">
        <f>+M33-FY16ProjMjrs!M33</f>
        <v>0</v>
      </c>
      <c r="N57" s="518">
        <f>+N33-FY16ProjMjrs!N33</f>
        <v>0</v>
      </c>
      <c r="O57" s="518">
        <f>+O33-FY16ProjMjrs!O33</f>
        <v>0</v>
      </c>
      <c r="P57" s="518">
        <f>+P33-FY16ProjMjrs!P33</f>
        <v>0</v>
      </c>
      <c r="Q57" s="518">
        <f>+Q33-FY16ProjMjrs!Q33</f>
        <v>0</v>
      </c>
      <c r="R57" s="519">
        <f>+R33-FY16ProjMjrs!R33</f>
        <v>0</v>
      </c>
      <c r="S57" s="519">
        <f>+S33-FY16ProjMjrs!S33</f>
        <v>0</v>
      </c>
      <c r="T57" s="520">
        <f t="shared" si="6"/>
        <v>0</v>
      </c>
    </row>
    <row r="58" spans="2:20" ht="24" customHeight="1">
      <c r="B58" s="534" t="s">
        <v>144</v>
      </c>
      <c r="C58" s="519">
        <f>+C34-FY16ProjMjrs!C34</f>
        <v>0</v>
      </c>
      <c r="D58" s="518">
        <f>+D34-FY16ProjMjrs!D34</f>
        <v>0</v>
      </c>
      <c r="E58" s="519">
        <f>+E34-FY16ProjMjrs!E34</f>
        <v>0</v>
      </c>
      <c r="F58" s="519">
        <f>+F34-FY16ProjMjrs!F34</f>
        <v>0</v>
      </c>
      <c r="G58" s="518">
        <f>+G34-FY16ProjMjrs!G34</f>
        <v>0</v>
      </c>
      <c r="H58" s="518">
        <f>+H34-FY16ProjMjrs!H34</f>
        <v>0</v>
      </c>
      <c r="I58" s="519">
        <f>+I34-FY16ProjMjrs!I34</f>
        <v>0</v>
      </c>
      <c r="J58" s="519">
        <f>+J34-FY16ProjMjrs!J34</f>
        <v>0</v>
      </c>
      <c r="K58" s="519">
        <f>+K34-FY16ProjMjrs!K34</f>
        <v>0</v>
      </c>
      <c r="L58" s="519">
        <f>+L34-FY16ProjMjrs!L34</f>
        <v>0</v>
      </c>
      <c r="M58" s="519">
        <f>+M34-FY16ProjMjrs!M34</f>
        <v>0</v>
      </c>
      <c r="N58" s="518">
        <f>+N34-FY16ProjMjrs!N34</f>
        <v>0</v>
      </c>
      <c r="O58" s="518">
        <f>+O34-FY16ProjMjrs!O34</f>
        <v>0</v>
      </c>
      <c r="P58" s="518">
        <f>+P34-FY16ProjMjrs!P34</f>
        <v>0</v>
      </c>
      <c r="Q58" s="518">
        <f>+Q34-FY16ProjMjrs!Q34</f>
        <v>0</v>
      </c>
      <c r="R58" s="519">
        <f>+R34-FY16ProjMjrs!R34</f>
        <v>0</v>
      </c>
      <c r="S58" s="519">
        <f>+S34-FY16ProjMjrs!S34</f>
        <v>0</v>
      </c>
      <c r="T58" s="520">
        <f t="shared" si="6"/>
        <v>0</v>
      </c>
    </row>
    <row r="59" spans="2:20" ht="24" customHeight="1">
      <c r="B59" s="534" t="s">
        <v>49</v>
      </c>
      <c r="C59" s="518">
        <f>+C35-FY16ProjMjrs!C35</f>
        <v>0</v>
      </c>
      <c r="D59" s="518">
        <f>+D35-FY16ProjMjrs!D35</f>
        <v>0</v>
      </c>
      <c r="E59" s="518">
        <f>+E35-FY16ProjMjrs!E35</f>
        <v>0</v>
      </c>
      <c r="F59" s="518">
        <f>+F35-FY16ProjMjrs!F35</f>
        <v>0</v>
      </c>
      <c r="G59" s="519">
        <f>+G35-FY16ProjMjrs!G35</f>
        <v>0</v>
      </c>
      <c r="H59" s="519">
        <f>+H35-FY16ProjMjrs!H35</f>
        <v>0</v>
      </c>
      <c r="I59" s="518">
        <f>+I35-FY16ProjMjrs!I35</f>
        <v>0</v>
      </c>
      <c r="J59" s="518">
        <f>+J35-FY16ProjMjrs!J35</f>
        <v>0</v>
      </c>
      <c r="K59" s="518">
        <f>+K35-FY16ProjMjrs!K35</f>
        <v>0</v>
      </c>
      <c r="L59" s="519">
        <f>+L35-FY16ProjMjrs!L35</f>
        <v>0</v>
      </c>
      <c r="M59" s="519">
        <f>+M35-FY16ProjMjrs!M35</f>
        <v>0</v>
      </c>
      <c r="N59" s="518">
        <f>+N35-FY16ProjMjrs!N35</f>
        <v>0</v>
      </c>
      <c r="O59" s="519">
        <f>+O35-FY16ProjMjrs!O35</f>
        <v>0</v>
      </c>
      <c r="P59" s="519">
        <f>+P35-FY16ProjMjrs!P35</f>
        <v>0</v>
      </c>
      <c r="Q59" s="518">
        <f>+Q35-FY16ProjMjrs!Q35</f>
        <v>0</v>
      </c>
      <c r="R59" s="519">
        <f>+R35-FY16ProjMjrs!R35</f>
        <v>0</v>
      </c>
      <c r="S59" s="519">
        <f>+S35-FY16ProjMjrs!S35</f>
        <v>0</v>
      </c>
      <c r="T59" s="520">
        <f t="shared" si="6"/>
        <v>0</v>
      </c>
    </row>
    <row r="60" spans="2:20" ht="24" customHeight="1">
      <c r="B60" s="508" t="s">
        <v>207</v>
      </c>
      <c r="C60" s="519">
        <f>+C36-FY16ProjMjrs!C36</f>
        <v>0</v>
      </c>
      <c r="D60" s="519">
        <f>+D36-FY16ProjMjrs!D36</f>
        <v>0</v>
      </c>
      <c r="E60" s="519">
        <f>+E36-FY16ProjMjrs!E36</f>
        <v>0</v>
      </c>
      <c r="F60" s="519">
        <f>+F36-FY16ProjMjrs!F36</f>
        <v>0</v>
      </c>
      <c r="G60" s="519">
        <f>+G36-FY16ProjMjrs!G36</f>
        <v>0</v>
      </c>
      <c r="H60" s="519">
        <f>+H36-FY16ProjMjrs!H36</f>
        <v>0</v>
      </c>
      <c r="I60" s="519">
        <f>+I36-FY16ProjMjrs!I36</f>
        <v>0</v>
      </c>
      <c r="J60" s="519">
        <f>+J36-FY16ProjMjrs!J36</f>
        <v>0</v>
      </c>
      <c r="K60" s="519">
        <f>+K36-FY16ProjMjrs!K36</f>
        <v>0</v>
      </c>
      <c r="L60" s="519">
        <f>+L36-FY16ProjMjrs!L36</f>
        <v>0</v>
      </c>
      <c r="M60" s="518">
        <f>+M36-FY16ProjMjrs!M36</f>
        <v>0</v>
      </c>
      <c r="N60" s="518">
        <f>+N36-FY16ProjMjrs!N36</f>
        <v>0</v>
      </c>
      <c r="O60" s="519">
        <f>+O36-FY16ProjMjrs!O36</f>
        <v>0</v>
      </c>
      <c r="P60" s="519">
        <f>+P36-FY16ProjMjrs!P36</f>
        <v>0</v>
      </c>
      <c r="Q60" s="518">
        <f>+Q36-FY16ProjMjrs!Q36</f>
        <v>0</v>
      </c>
      <c r="R60" s="519">
        <f>+R36-FY16ProjMjrs!R36</f>
        <v>0</v>
      </c>
      <c r="S60" s="519">
        <f>+S36-FY16ProjMjrs!S36</f>
        <v>0</v>
      </c>
      <c r="T60" s="520">
        <f t="shared" si="6"/>
        <v>0</v>
      </c>
    </row>
    <row r="61" spans="2:20" ht="24" customHeight="1">
      <c r="B61" s="508" t="s">
        <v>208</v>
      </c>
      <c r="C61" s="519">
        <f>+C37-FY16ProjMjrs!C37</f>
        <v>0</v>
      </c>
      <c r="D61" s="518">
        <f>+D37-FY16ProjMjrs!D37</f>
        <v>0</v>
      </c>
      <c r="E61" s="518">
        <f>+E37-FY16ProjMjrs!E37</f>
        <v>0</v>
      </c>
      <c r="F61" s="519">
        <f>+F37-FY16ProjMjrs!F37</f>
        <v>0</v>
      </c>
      <c r="G61" s="519">
        <f>+G37-FY16ProjMjrs!G37</f>
        <v>0</v>
      </c>
      <c r="H61" s="519">
        <f>+H37-FY16ProjMjrs!H37</f>
        <v>0</v>
      </c>
      <c r="I61" s="519">
        <f>+I37-FY16ProjMjrs!I37</f>
        <v>0</v>
      </c>
      <c r="J61" s="518">
        <f>+J37-FY16ProjMjrs!J37</f>
        <v>0</v>
      </c>
      <c r="K61" s="518">
        <f>+K37-FY16ProjMjrs!K37</f>
        <v>0</v>
      </c>
      <c r="L61" s="519">
        <f>+L37-FY16ProjMjrs!L37</f>
        <v>0</v>
      </c>
      <c r="M61" s="519">
        <f>+M37-FY16ProjMjrs!M37</f>
        <v>0</v>
      </c>
      <c r="N61" s="519">
        <f>+N37-FY16ProjMjrs!N37</f>
        <v>0</v>
      </c>
      <c r="O61" s="519">
        <f>+O37-FY16ProjMjrs!O37</f>
        <v>0</v>
      </c>
      <c r="P61" s="519">
        <f>+P37-FY16ProjMjrs!P37</f>
        <v>0</v>
      </c>
      <c r="Q61" s="518">
        <f>+Q37-FY16ProjMjrs!Q37</f>
        <v>0</v>
      </c>
      <c r="R61" s="519">
        <f>+R37-FY16ProjMjrs!R37</f>
        <v>0</v>
      </c>
      <c r="S61" s="519">
        <f>+S37-FY16ProjMjrs!S37</f>
        <v>0</v>
      </c>
      <c r="T61" s="520">
        <f t="shared" si="6"/>
        <v>0</v>
      </c>
    </row>
    <row r="62" spans="2:20" ht="24" customHeight="1">
      <c r="B62" s="535" t="s">
        <v>39</v>
      </c>
      <c r="C62" s="518">
        <f>+C38-FY16ProjMjrs!C38</f>
        <v>0</v>
      </c>
      <c r="D62" s="518">
        <f>+D38-FY16ProjMjrs!D38</f>
        <v>0</v>
      </c>
      <c r="E62" s="518">
        <f>+E38-FY16ProjMjrs!E38</f>
        <v>0</v>
      </c>
      <c r="F62" s="518">
        <f>+F38-FY16ProjMjrs!F38</f>
        <v>0</v>
      </c>
      <c r="G62" s="518">
        <f>+G38-FY16ProjMjrs!G38</f>
        <v>0</v>
      </c>
      <c r="H62" s="518">
        <f>+H38-FY16ProjMjrs!H38</f>
        <v>0</v>
      </c>
      <c r="I62" s="518">
        <f>+I38-FY16ProjMjrs!I38</f>
        <v>0</v>
      </c>
      <c r="J62" s="518">
        <f>+J38-FY16ProjMjrs!J38</f>
        <v>0</v>
      </c>
      <c r="K62" s="518">
        <f>+K38-FY16ProjMjrs!K38</f>
        <v>0</v>
      </c>
      <c r="L62" s="518">
        <f>+L38-FY16ProjMjrs!L38</f>
        <v>0</v>
      </c>
      <c r="M62" s="519">
        <f>+M38-FY16ProjMjrs!M38</f>
        <v>0</v>
      </c>
      <c r="N62" s="518">
        <f>+N38-FY16ProjMjrs!N38</f>
        <v>0</v>
      </c>
      <c r="O62" s="519">
        <f>+O38-FY16ProjMjrs!O38</f>
        <v>0</v>
      </c>
      <c r="P62" s="518">
        <f>+P38-FY16ProjMjrs!P38</f>
        <v>0</v>
      </c>
      <c r="Q62" s="518">
        <f>+Q38-FY16ProjMjrs!Q38</f>
        <v>0</v>
      </c>
      <c r="R62" s="519">
        <f>+R38-FY16ProjMjrs!R38</f>
        <v>0</v>
      </c>
      <c r="S62" s="518">
        <f>+S38-FY16ProjMjrs!S38</f>
        <v>0</v>
      </c>
      <c r="T62" s="520">
        <f t="shared" si="6"/>
        <v>0</v>
      </c>
    </row>
    <row r="63" spans="2:20" ht="24" customHeight="1">
      <c r="B63" s="535" t="s">
        <v>38</v>
      </c>
      <c r="C63" s="519">
        <f>+C39-FY16ProjMjrs!C39</f>
        <v>0</v>
      </c>
      <c r="D63" s="518">
        <f>+D39-FY16ProjMjrs!D39</f>
        <v>0</v>
      </c>
      <c r="E63" s="519">
        <f>+E39-FY16ProjMjrs!E39</f>
        <v>0</v>
      </c>
      <c r="F63" s="518">
        <f>+F39-FY16ProjMjrs!F39</f>
        <v>0</v>
      </c>
      <c r="G63" s="519">
        <f>+G39-FY16ProjMjrs!G39</f>
        <v>0</v>
      </c>
      <c r="H63" s="519">
        <f>+H39-FY16ProjMjrs!H39</f>
        <v>0</v>
      </c>
      <c r="I63" s="519">
        <f>+I39-FY16ProjMjrs!I39</f>
        <v>0</v>
      </c>
      <c r="J63" s="519">
        <f>+J39-FY16ProjMjrs!J39</f>
        <v>0</v>
      </c>
      <c r="K63" s="518">
        <f>+K39-FY16ProjMjrs!K39</f>
        <v>0</v>
      </c>
      <c r="L63" s="519">
        <f>+L39-FY16ProjMjrs!L39</f>
        <v>0</v>
      </c>
      <c r="M63" s="519">
        <f>+M39-FY16ProjMjrs!M39</f>
        <v>0</v>
      </c>
      <c r="N63" s="519">
        <f>+N39-FY16ProjMjrs!N39</f>
        <v>0</v>
      </c>
      <c r="O63" s="519">
        <f>+O39-FY16ProjMjrs!O39</f>
        <v>0</v>
      </c>
      <c r="P63" s="519">
        <f>+P39-FY16ProjMjrs!P39</f>
        <v>0</v>
      </c>
      <c r="Q63" s="519">
        <f>+Q39-FY16ProjMjrs!Q39</f>
        <v>0</v>
      </c>
      <c r="R63" s="519">
        <f>+R39-FY16ProjMjrs!R39</f>
        <v>0</v>
      </c>
      <c r="S63" s="519">
        <f>+S39-FY16ProjMjrs!S39</f>
        <v>0</v>
      </c>
      <c r="T63" s="520">
        <f t="shared" si="6"/>
        <v>0</v>
      </c>
    </row>
    <row r="64" spans="2:20" ht="24" customHeight="1">
      <c r="B64" s="535" t="s">
        <v>31</v>
      </c>
      <c r="C64" s="519">
        <f>+C40-FY16ProjMjrs!C40</f>
        <v>0</v>
      </c>
      <c r="D64" s="519">
        <f>+D40-FY16ProjMjrs!D40</f>
        <v>0</v>
      </c>
      <c r="E64" s="519">
        <f>+E40-FY16ProjMjrs!E40</f>
        <v>0</v>
      </c>
      <c r="F64" s="519">
        <f>+F40-FY16ProjMjrs!F40</f>
        <v>0</v>
      </c>
      <c r="G64" s="518">
        <f>+G40-FY16ProjMjrs!G40</f>
        <v>0</v>
      </c>
      <c r="H64" s="519">
        <f>+H40-FY16ProjMjrs!H40</f>
        <v>0</v>
      </c>
      <c r="I64" s="519">
        <f>+I40-FY16ProjMjrs!I40</f>
        <v>0</v>
      </c>
      <c r="J64" s="519">
        <f>+J40-FY16ProjMjrs!J40</f>
        <v>0</v>
      </c>
      <c r="K64" s="519">
        <f>+K40-FY16ProjMjrs!K40</f>
        <v>0</v>
      </c>
      <c r="L64" s="519">
        <f>+L40-FY16ProjMjrs!L40</f>
        <v>0</v>
      </c>
      <c r="M64" s="519">
        <f>+M40-FY16ProjMjrs!M40</f>
        <v>0</v>
      </c>
      <c r="N64" s="518">
        <f>+N40-FY16ProjMjrs!N40</f>
        <v>0</v>
      </c>
      <c r="O64" s="519">
        <f>+O40-FY16ProjMjrs!O40</f>
        <v>0</v>
      </c>
      <c r="P64" s="519">
        <f>+P40-FY16ProjMjrs!P40</f>
        <v>0</v>
      </c>
      <c r="Q64" s="519">
        <f>+Q40-FY16ProjMjrs!Q40</f>
        <v>0</v>
      </c>
      <c r="R64" s="519">
        <f>+R40-FY16ProjMjrs!R40</f>
        <v>0</v>
      </c>
      <c r="S64" s="519">
        <f>+S40-FY16ProjMjrs!S40</f>
        <v>0</v>
      </c>
      <c r="T64" s="520">
        <f t="shared" si="6"/>
        <v>0</v>
      </c>
    </row>
    <row r="65" spans="2:20" ht="24" customHeight="1">
      <c r="B65" s="508" t="s">
        <v>209</v>
      </c>
      <c r="C65" s="519">
        <f>+C41-FY16ProjMjrs!C41</f>
        <v>0</v>
      </c>
      <c r="D65" s="519">
        <f>+D41-FY16ProjMjrs!D41</f>
        <v>0</v>
      </c>
      <c r="E65" s="519">
        <f>+E41-FY16ProjMjrs!E41</f>
        <v>0</v>
      </c>
      <c r="F65" s="519">
        <f>+F41-FY16ProjMjrs!F41</f>
        <v>0</v>
      </c>
      <c r="G65" s="519">
        <f>+G41-FY16ProjMjrs!G41</f>
        <v>0</v>
      </c>
      <c r="H65" s="519">
        <f>+H41-FY16ProjMjrs!H41</f>
        <v>0</v>
      </c>
      <c r="I65" s="519">
        <f>+I41-FY16ProjMjrs!I41</f>
        <v>0</v>
      </c>
      <c r="J65" s="519">
        <f>+J41-FY16ProjMjrs!J41</f>
        <v>0</v>
      </c>
      <c r="K65" s="519">
        <f>+K41-FY16ProjMjrs!K41</f>
        <v>0</v>
      </c>
      <c r="L65" s="519">
        <f>+L41-FY16ProjMjrs!L41</f>
        <v>0</v>
      </c>
      <c r="M65" s="519">
        <f>+M41-FY16ProjMjrs!M41</f>
        <v>0</v>
      </c>
      <c r="N65" s="519">
        <f>+N41-FY16ProjMjrs!N41</f>
        <v>0</v>
      </c>
      <c r="O65" s="519">
        <f>+O41-FY16ProjMjrs!O41</f>
        <v>0</v>
      </c>
      <c r="P65" s="519">
        <f>+P41-FY16ProjMjrs!P41</f>
        <v>0</v>
      </c>
      <c r="Q65" s="519">
        <f>+Q41-FY16ProjMjrs!Q41</f>
        <v>0</v>
      </c>
      <c r="R65" s="519">
        <f>+R41-FY16ProjMjrs!R41</f>
        <v>0</v>
      </c>
      <c r="S65" s="519">
        <f>+S41-FY16ProjMjrs!S41</f>
        <v>0</v>
      </c>
      <c r="T65" s="520">
        <f t="shared" si="6"/>
        <v>0</v>
      </c>
    </row>
    <row r="66" spans="2:20" ht="24" customHeight="1">
      <c r="B66" s="535" t="s">
        <v>210</v>
      </c>
      <c r="C66" s="518">
        <f>+C42-FY16ProjMjrs!C42</f>
        <v>0</v>
      </c>
      <c r="D66" s="518">
        <f>+D42-FY16ProjMjrs!D42</f>
        <v>0</v>
      </c>
      <c r="E66" s="518">
        <f>+E42-FY16ProjMjrs!E42</f>
        <v>0</v>
      </c>
      <c r="F66" s="518">
        <f>+F42-FY16ProjMjrs!F42</f>
        <v>0</v>
      </c>
      <c r="G66" s="518">
        <f>+G42-FY16ProjMjrs!G42</f>
        <v>0</v>
      </c>
      <c r="H66" s="518">
        <f>+H42-FY16ProjMjrs!H42</f>
        <v>0</v>
      </c>
      <c r="I66" s="518">
        <f>+I42-FY16ProjMjrs!I42</f>
        <v>0</v>
      </c>
      <c r="J66" s="518">
        <f>+J42-FY16ProjMjrs!J42</f>
        <v>0</v>
      </c>
      <c r="K66" s="518">
        <f>+K42-FY16ProjMjrs!K42</f>
        <v>0</v>
      </c>
      <c r="L66" s="518">
        <f>+L42-FY16ProjMjrs!L42</f>
        <v>0</v>
      </c>
      <c r="M66" s="519">
        <f>+M42-FY16ProjMjrs!M42</f>
        <v>0</v>
      </c>
      <c r="N66" s="518">
        <f>+N42-FY16ProjMjrs!N42</f>
        <v>0</v>
      </c>
      <c r="O66" s="519">
        <f>+O42-FY16ProjMjrs!O42</f>
        <v>0</v>
      </c>
      <c r="P66" s="518">
        <f>+P42-FY16ProjMjrs!P42</f>
        <v>0</v>
      </c>
      <c r="Q66" s="518">
        <f>+Q42-FY16ProjMjrs!Q42</f>
        <v>0</v>
      </c>
      <c r="R66" s="519">
        <f>+R42-FY16ProjMjrs!R42</f>
        <v>0</v>
      </c>
      <c r="S66" s="518">
        <f>+S42-FY16ProjMjrs!S42</f>
        <v>0</v>
      </c>
      <c r="T66" s="520">
        <f t="shared" si="6"/>
        <v>0</v>
      </c>
    </row>
    <row r="67" spans="2:20" ht="24" customHeight="1">
      <c r="B67" s="535" t="s">
        <v>42</v>
      </c>
      <c r="C67" s="518">
        <f>+C43-FY16ProjMjrs!C43</f>
        <v>0</v>
      </c>
      <c r="D67" s="518">
        <f>+D43-FY16ProjMjrs!D43</f>
        <v>0</v>
      </c>
      <c r="E67" s="518">
        <f>+E43-FY16ProjMjrs!E43</f>
        <v>0</v>
      </c>
      <c r="F67" s="518">
        <f>+F43-FY16ProjMjrs!F43</f>
        <v>0</v>
      </c>
      <c r="G67" s="519">
        <f>+G43-FY16ProjMjrs!G43</f>
        <v>0</v>
      </c>
      <c r="H67" s="518">
        <f>+H43-FY16ProjMjrs!H43</f>
        <v>0</v>
      </c>
      <c r="I67" s="518">
        <f>+I43-FY16ProjMjrs!I43</f>
        <v>0</v>
      </c>
      <c r="J67" s="518">
        <f>+J43-FY16ProjMjrs!J43</f>
        <v>0</v>
      </c>
      <c r="K67" s="518">
        <f>+K43-FY16ProjMjrs!K43</f>
        <v>0</v>
      </c>
      <c r="L67" s="518">
        <f>+L43-FY16ProjMjrs!L43</f>
        <v>0</v>
      </c>
      <c r="M67" s="519">
        <f>+M43-FY16ProjMjrs!M43</f>
        <v>0</v>
      </c>
      <c r="N67" s="518">
        <f>+N43-FY16ProjMjrs!N43</f>
        <v>0</v>
      </c>
      <c r="O67" s="518">
        <f>+O43-FY16ProjMjrs!O43</f>
        <v>0</v>
      </c>
      <c r="P67" s="519">
        <f>+P43-FY16ProjMjrs!P43</f>
        <v>0</v>
      </c>
      <c r="Q67" s="519">
        <f>+Q43-FY16ProjMjrs!Q43</f>
        <v>0</v>
      </c>
      <c r="R67" s="519">
        <f>+R43-FY16ProjMjrs!R43</f>
        <v>0</v>
      </c>
      <c r="S67" s="518">
        <f>+S43-FY16ProjMjrs!S43</f>
        <v>0</v>
      </c>
      <c r="T67" s="520">
        <f t="shared" si="6"/>
        <v>0</v>
      </c>
    </row>
    <row r="68" spans="2:20" ht="24" customHeight="1">
      <c r="B68" s="535" t="s">
        <v>76</v>
      </c>
      <c r="C68" s="519">
        <f>+C44-FY16ProjMjrs!C44</f>
        <v>0</v>
      </c>
      <c r="D68" s="518">
        <f>+D44-FY16ProjMjrs!D44</f>
        <v>0</v>
      </c>
      <c r="E68" s="519">
        <f>+E44-FY16ProjMjrs!E44</f>
        <v>0</v>
      </c>
      <c r="F68" s="518">
        <f>+F44-FY16ProjMjrs!F44</f>
        <v>0</v>
      </c>
      <c r="G68" s="519">
        <f>+G44-FY16ProjMjrs!G44</f>
        <v>0</v>
      </c>
      <c r="H68" s="519">
        <f>+H44-FY16ProjMjrs!H44</f>
        <v>0</v>
      </c>
      <c r="I68" s="519">
        <f>+I44-FY16ProjMjrs!I44</f>
        <v>0</v>
      </c>
      <c r="J68" s="519">
        <f>+J44-FY16ProjMjrs!J44</f>
        <v>0</v>
      </c>
      <c r="K68" s="518">
        <f>+K44-FY16ProjMjrs!K44</f>
        <v>0</v>
      </c>
      <c r="L68" s="519">
        <f>+L44-FY16ProjMjrs!L44</f>
        <v>0</v>
      </c>
      <c r="M68" s="519">
        <f>+M44-FY16ProjMjrs!M44</f>
        <v>0</v>
      </c>
      <c r="N68" s="519">
        <f>+N44-FY16ProjMjrs!N44</f>
        <v>0</v>
      </c>
      <c r="O68" s="519">
        <f>+O44-FY16ProjMjrs!O44</f>
        <v>0</v>
      </c>
      <c r="P68" s="519">
        <f>+P44-FY16ProjMjrs!P44</f>
        <v>0</v>
      </c>
      <c r="Q68" s="519">
        <f>+Q44-FY16ProjMjrs!Q44</f>
        <v>0</v>
      </c>
      <c r="R68" s="519">
        <f>+R44-FY16ProjMjrs!R44</f>
        <v>0</v>
      </c>
      <c r="S68" s="519">
        <f>+S44-FY16ProjMjrs!S44</f>
        <v>0</v>
      </c>
      <c r="T68" s="520">
        <f t="shared" si="6"/>
        <v>0</v>
      </c>
    </row>
    <row r="69" spans="2:20" ht="24" customHeight="1">
      <c r="B69" s="535" t="s">
        <v>77</v>
      </c>
      <c r="C69" s="519">
        <f>+C45-FY16ProjMjrs!C45</f>
        <v>0</v>
      </c>
      <c r="D69" s="519">
        <f>+D45-FY16ProjMjrs!D45</f>
        <v>0</v>
      </c>
      <c r="E69" s="519">
        <f>+E45-FY16ProjMjrs!E45</f>
        <v>0</v>
      </c>
      <c r="F69" s="519">
        <f>+F45-FY16ProjMjrs!F45</f>
        <v>0</v>
      </c>
      <c r="G69" s="518">
        <f>+G45-FY16ProjMjrs!G45</f>
        <v>0</v>
      </c>
      <c r="H69" s="519">
        <f>+H45-FY16ProjMjrs!H45</f>
        <v>0</v>
      </c>
      <c r="I69" s="519">
        <f>+I45-FY16ProjMjrs!I45</f>
        <v>0</v>
      </c>
      <c r="J69" s="519">
        <f>+J45-FY16ProjMjrs!J45</f>
        <v>0</v>
      </c>
      <c r="K69" s="519">
        <f>+K45-FY16ProjMjrs!K45</f>
        <v>0</v>
      </c>
      <c r="L69" s="519">
        <f>+L45-FY16ProjMjrs!L45</f>
        <v>0</v>
      </c>
      <c r="M69" s="519">
        <f>+M45-FY16ProjMjrs!M45</f>
        <v>0</v>
      </c>
      <c r="N69" s="518">
        <f>+N45-FY16ProjMjrs!N45</f>
        <v>0</v>
      </c>
      <c r="O69" s="519">
        <f>+O45-FY16ProjMjrs!O45</f>
        <v>0</v>
      </c>
      <c r="P69" s="519">
        <f>+P45-FY16ProjMjrs!P45</f>
        <v>0</v>
      </c>
      <c r="Q69" s="519">
        <f>+Q45-FY16ProjMjrs!Q45</f>
        <v>0</v>
      </c>
      <c r="R69" s="519">
        <f>+R45-FY16ProjMjrs!R45</f>
        <v>0</v>
      </c>
      <c r="S69" s="519">
        <f>+S45-FY16ProjMjrs!S45</f>
        <v>0</v>
      </c>
      <c r="T69" s="520">
        <f t="shared" si="6"/>
        <v>0</v>
      </c>
    </row>
    <row r="70" spans="2:20" ht="24" customHeight="1">
      <c r="B70" s="536" t="s">
        <v>212</v>
      </c>
      <c r="C70" s="521">
        <f>+C46-FY16ProjMjrs!C46</f>
        <v>0</v>
      </c>
      <c r="D70" s="522">
        <f>+D46-FY16ProjMjrs!D46</f>
        <v>0</v>
      </c>
      <c r="E70" s="521">
        <f>+E46-FY16ProjMjrs!E46</f>
        <v>0</v>
      </c>
      <c r="F70" s="521">
        <f>+F46-FY16ProjMjrs!F46</f>
        <v>0</v>
      </c>
      <c r="G70" s="522">
        <f>+G46-FY16ProjMjrs!G46</f>
        <v>0</v>
      </c>
      <c r="H70" s="521">
        <f>+H46-FY16ProjMjrs!H46</f>
        <v>0</v>
      </c>
      <c r="I70" s="521">
        <f>+I46-FY16ProjMjrs!I46</f>
        <v>0</v>
      </c>
      <c r="J70" s="521">
        <f>+J46-FY16ProjMjrs!J46</f>
        <v>0</v>
      </c>
      <c r="K70" s="521">
        <f>+K46-FY16ProjMjrs!K46</f>
        <v>0</v>
      </c>
      <c r="L70" s="521">
        <f>+L46-FY16ProjMjrs!L46</f>
        <v>0</v>
      </c>
      <c r="M70" s="521">
        <f>+M46-FY16ProjMjrs!M46</f>
        <v>0</v>
      </c>
      <c r="N70" s="522">
        <f>+N46-FY16ProjMjrs!N46</f>
        <v>0</v>
      </c>
      <c r="O70" s="521">
        <f>+O46-FY16ProjMjrs!O46</f>
        <v>0</v>
      </c>
      <c r="P70" s="521">
        <f>+P46-FY16ProjMjrs!P46</f>
        <v>0</v>
      </c>
      <c r="Q70" s="521">
        <f>+Q46-FY16ProjMjrs!Q46</f>
        <v>0</v>
      </c>
      <c r="R70" s="521">
        <f>+R46-FY16ProjMjrs!R46</f>
        <v>0</v>
      </c>
      <c r="S70" s="521">
        <f>+S46-FY16ProjMjrs!S46</f>
        <v>0</v>
      </c>
      <c r="T70" s="523">
        <f t="shared" si="6"/>
        <v>0</v>
      </c>
    </row>
    <row r="71" spans="2:20" ht="24" customHeight="1">
      <c r="B71" s="539" t="s">
        <v>17</v>
      </c>
      <c r="C71" s="524">
        <f t="shared" ref="C71:S71" si="7">SUM(C50:C70)</f>
        <v>30</v>
      </c>
      <c r="D71" s="525">
        <f t="shared" si="7"/>
        <v>-77</v>
      </c>
      <c r="E71" s="524">
        <f t="shared" si="7"/>
        <v>-7</v>
      </c>
      <c r="F71" s="524">
        <f t="shared" si="7"/>
        <v>51</v>
      </c>
      <c r="G71" s="525">
        <f t="shared" si="7"/>
        <v>-9</v>
      </c>
      <c r="H71" s="524">
        <f t="shared" si="7"/>
        <v>-11</v>
      </c>
      <c r="I71" s="524">
        <f t="shared" si="7"/>
        <v>25</v>
      </c>
      <c r="J71" s="524">
        <f t="shared" si="7"/>
        <v>0</v>
      </c>
      <c r="K71" s="524">
        <f t="shared" si="7"/>
        <v>0</v>
      </c>
      <c r="L71" s="524">
        <f t="shared" si="7"/>
        <v>-1</v>
      </c>
      <c r="M71" s="524">
        <f t="shared" si="7"/>
        <v>0</v>
      </c>
      <c r="N71" s="525">
        <f t="shared" si="7"/>
        <v>43</v>
      </c>
      <c r="O71" s="524">
        <f t="shared" si="7"/>
        <v>-4</v>
      </c>
      <c r="P71" s="524">
        <f t="shared" si="7"/>
        <v>0</v>
      </c>
      <c r="Q71" s="524">
        <f t="shared" si="7"/>
        <v>-8</v>
      </c>
      <c r="R71" s="524">
        <f t="shared" si="7"/>
        <v>-1</v>
      </c>
      <c r="S71" s="524">
        <f t="shared" si="7"/>
        <v>0</v>
      </c>
      <c r="T71" s="526">
        <f t="shared" ref="T71" si="8">SUM(T50:T70)</f>
        <v>31</v>
      </c>
    </row>
    <row r="72" spans="2:20" s="32" customFormat="1" ht="50.25" customHeight="1"/>
    <row r="73" spans="2:20" s="32" customFormat="1" ht="50.25" customHeight="1">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s="32" customFormat="1" ht="24" customHeight="1">
      <c r="B74" s="533" t="s">
        <v>173</v>
      </c>
      <c r="C74" s="506">
        <f>+C3-FY16ProjMjrs!C3</f>
        <v>3.4404688536372099E-3</v>
      </c>
      <c r="D74" s="506">
        <f>+D3-FY16ProjMjrs!D3</f>
        <v>-1.124925268971344E-2</v>
      </c>
      <c r="E74" s="506">
        <f>+E3-FY16ProjMjrs!E3</f>
        <v>-1.2090021690885355E-3</v>
      </c>
      <c r="F74" s="506">
        <f>+F3-FY16ProjMjrs!F3</f>
        <v>5.8863867009517259E-3</v>
      </c>
      <c r="G74" s="506">
        <f>+G3-FY16ProjMjrs!G3</f>
        <v>-1.4574839413907387E-3</v>
      </c>
      <c r="H74" s="506">
        <f>+H3-FY16ProjMjrs!H3</f>
        <v>-1.4028098134349493E-3</v>
      </c>
      <c r="I74" s="506">
        <f>+I3-FY16ProjMjrs!I3</f>
        <v>2.8642542721571476E-3</v>
      </c>
      <c r="J74" s="506">
        <f>+J3-FY16ProjMjrs!J3</f>
        <v>0</v>
      </c>
      <c r="K74" s="506">
        <f>+K3-FY16ProjMjrs!K3</f>
        <v>0</v>
      </c>
      <c r="L74" s="506">
        <f>+L3-FY16ProjMjrs!L3</f>
        <v>-1.334911355348441E-4</v>
      </c>
      <c r="M74" s="506">
        <f>+M3-FY16ProjMjrs!M3</f>
        <v>0</v>
      </c>
      <c r="N74" s="506">
        <f>+N3-FY16ProjMjrs!N3</f>
        <v>4.9126419740346851E-3</v>
      </c>
      <c r="O74" s="506">
        <f>+O3-FY16ProjMjrs!O3</f>
        <v>-5.2471429275563475E-4</v>
      </c>
      <c r="P74" s="506">
        <f>+P3-FY16ProjMjrs!P3</f>
        <v>0</v>
      </c>
      <c r="Q74" s="506">
        <f>+Q3-FY16ProjMjrs!Q3</f>
        <v>-1.0052796679979707E-3</v>
      </c>
      <c r="R74" s="506">
        <f>+R3-FY16ProjMjrs!R3</f>
        <v>-1.217180908646301E-4</v>
      </c>
      <c r="S74" s="506">
        <f>+S3-FY16ProjMjrs!S3</f>
        <v>0</v>
      </c>
    </row>
    <row r="75" spans="2:20" s="32" customFormat="1" ht="24" customHeight="1">
      <c r="B75" s="534" t="s">
        <v>35</v>
      </c>
      <c r="C75" s="560">
        <f>+C4-FY16ProjMjrs!C4</f>
        <v>0</v>
      </c>
      <c r="D75" s="560">
        <f>+D4-FY16ProjMjrs!D4</f>
        <v>0</v>
      </c>
      <c r="E75" s="560">
        <f>+E4-FY16ProjMjrs!E4</f>
        <v>0</v>
      </c>
      <c r="F75" s="560">
        <f>+F4-FY16ProjMjrs!F4</f>
        <v>0</v>
      </c>
      <c r="G75" s="560">
        <f>+G4-FY16ProjMjrs!G4</f>
        <v>0</v>
      </c>
      <c r="H75" s="560">
        <f>+H4-FY16ProjMjrs!H4</f>
        <v>0</v>
      </c>
      <c r="I75" s="560">
        <f>+I4-FY16ProjMjrs!I4</f>
        <v>0</v>
      </c>
      <c r="J75" s="560">
        <f>+J4-FY16ProjMjrs!J4</f>
        <v>0</v>
      </c>
      <c r="K75" s="560">
        <f>+K4-FY16ProjMjrs!K4</f>
        <v>0</v>
      </c>
      <c r="L75" s="560">
        <f>+L4-FY16ProjMjrs!L4</f>
        <v>0</v>
      </c>
      <c r="M75" s="560">
        <f>+M4-FY16ProjMjrs!M4</f>
        <v>0</v>
      </c>
      <c r="N75" s="560">
        <f>+N4-FY16ProjMjrs!N4</f>
        <v>0</v>
      </c>
      <c r="O75" s="560">
        <f>+O4-FY16ProjMjrs!O4</f>
        <v>0</v>
      </c>
      <c r="P75" s="560">
        <f>+P4-FY16ProjMjrs!P4</f>
        <v>0</v>
      </c>
      <c r="Q75" s="560">
        <f>+Q4-FY16ProjMjrs!Q4</f>
        <v>0</v>
      </c>
      <c r="R75" s="561">
        <f>+R4-FY16ProjMjrs!R4</f>
        <v>0</v>
      </c>
      <c r="S75" s="560">
        <f>+S4-FY16ProjMjrs!S4</f>
        <v>0</v>
      </c>
    </row>
    <row r="76" spans="2:20" s="32" customFormat="1" ht="24" customHeight="1">
      <c r="B76" s="534" t="s">
        <v>36</v>
      </c>
      <c r="C76" s="561">
        <f>+C5-FY16ProjMjrs!C5</f>
        <v>0</v>
      </c>
      <c r="D76" s="560">
        <f>+D5-FY16ProjMjrs!D5</f>
        <v>0</v>
      </c>
      <c r="E76" s="561">
        <f>+E5-FY16ProjMjrs!E5</f>
        <v>0</v>
      </c>
      <c r="F76" s="560">
        <f>+F5-FY16ProjMjrs!F5</f>
        <v>0</v>
      </c>
      <c r="G76" s="561">
        <f>+G5-FY16ProjMjrs!G5</f>
        <v>0</v>
      </c>
      <c r="H76" s="560">
        <f>+H5-FY16ProjMjrs!H5</f>
        <v>0</v>
      </c>
      <c r="I76" s="560">
        <f>+I5-FY16ProjMjrs!I5</f>
        <v>0</v>
      </c>
      <c r="J76" s="561">
        <f>+J5-FY16ProjMjrs!J5</f>
        <v>0</v>
      </c>
      <c r="K76" s="560">
        <f>+K5-FY16ProjMjrs!K5</f>
        <v>0</v>
      </c>
      <c r="L76" s="560">
        <f>+L5-FY16ProjMjrs!L5</f>
        <v>0</v>
      </c>
      <c r="M76" s="560">
        <f>+M5-FY16ProjMjrs!M5</f>
        <v>0</v>
      </c>
      <c r="N76" s="560">
        <f>+N5-FY16ProjMjrs!N5</f>
        <v>0</v>
      </c>
      <c r="O76" s="560">
        <f>+O5-FY16ProjMjrs!O5</f>
        <v>0</v>
      </c>
      <c r="P76" s="560">
        <f>+P5-FY16ProjMjrs!P5</f>
        <v>0</v>
      </c>
      <c r="Q76" s="560">
        <f>+Q5-FY16ProjMjrs!Q5</f>
        <v>0</v>
      </c>
      <c r="R76" s="561">
        <f>+R5-FY16ProjMjrs!R5</f>
        <v>0</v>
      </c>
      <c r="S76" s="560">
        <f>+S5-FY16ProjMjrs!S5</f>
        <v>0</v>
      </c>
    </row>
    <row r="77" spans="2:20" s="32" customFormat="1" ht="24" customHeight="1">
      <c r="B77" s="534" t="s">
        <v>37</v>
      </c>
      <c r="C77" s="560">
        <f>+C6-FY16ProjMjrs!C6</f>
        <v>0</v>
      </c>
      <c r="D77" s="560">
        <f>+D6-FY16ProjMjrs!D6</f>
        <v>0</v>
      </c>
      <c r="E77" s="560">
        <f>+E6-FY16ProjMjrs!E6</f>
        <v>0</v>
      </c>
      <c r="F77" s="560">
        <f>+F6-FY16ProjMjrs!F6</f>
        <v>0</v>
      </c>
      <c r="G77" s="560">
        <f>+G6-FY16ProjMjrs!G6</f>
        <v>0</v>
      </c>
      <c r="H77" s="560">
        <f>+H6-FY16ProjMjrs!H6</f>
        <v>0</v>
      </c>
      <c r="I77" s="560">
        <f>+I6-FY16ProjMjrs!I6</f>
        <v>0</v>
      </c>
      <c r="J77" s="560">
        <f>+J6-FY16ProjMjrs!J6</f>
        <v>0</v>
      </c>
      <c r="K77" s="560">
        <f>+K6-FY16ProjMjrs!K6</f>
        <v>0</v>
      </c>
      <c r="L77" s="560">
        <f>+L6-FY16ProjMjrs!L6</f>
        <v>0</v>
      </c>
      <c r="M77" s="560">
        <f>+M6-FY16ProjMjrs!M6</f>
        <v>0</v>
      </c>
      <c r="N77" s="560">
        <f>+N6-FY16ProjMjrs!N6</f>
        <v>0</v>
      </c>
      <c r="O77" s="560">
        <f>+O6-FY16ProjMjrs!O6</f>
        <v>0</v>
      </c>
      <c r="P77" s="560">
        <f>+P6-FY16ProjMjrs!P6</f>
        <v>0</v>
      </c>
      <c r="Q77" s="560">
        <f>+Q6-FY16ProjMjrs!Q6</f>
        <v>0</v>
      </c>
      <c r="R77" s="561">
        <f>+R6-FY16ProjMjrs!R6</f>
        <v>0</v>
      </c>
      <c r="S77" s="560">
        <f>+S6-FY16ProjMjrs!S6</f>
        <v>0</v>
      </c>
    </row>
    <row r="78" spans="2:20" s="32" customFormat="1" ht="24" customHeight="1">
      <c r="B78" s="534" t="s">
        <v>141</v>
      </c>
      <c r="C78" s="560">
        <f>+C7-FY16ProjMjrs!C7</f>
        <v>0</v>
      </c>
      <c r="D78" s="560">
        <f>+D7-FY16ProjMjrs!D7</f>
        <v>0</v>
      </c>
      <c r="E78" s="560">
        <f>+E7-FY16ProjMjrs!E7</f>
        <v>0</v>
      </c>
      <c r="F78" s="560">
        <f>+F7-FY16ProjMjrs!F7</f>
        <v>0</v>
      </c>
      <c r="G78" s="560">
        <f>+G7-FY16ProjMjrs!G7</f>
        <v>0</v>
      </c>
      <c r="H78" s="560">
        <f>+H7-FY16ProjMjrs!H7</f>
        <v>0</v>
      </c>
      <c r="I78" s="561">
        <f>+I7-FY16ProjMjrs!I7</f>
        <v>0</v>
      </c>
      <c r="J78" s="560">
        <f>+J7-FY16ProjMjrs!J7</f>
        <v>0</v>
      </c>
      <c r="K78" s="560">
        <f>+K7-FY16ProjMjrs!K7</f>
        <v>0</v>
      </c>
      <c r="L78" s="561">
        <f>+L7-FY16ProjMjrs!L7</f>
        <v>0</v>
      </c>
      <c r="M78" s="561">
        <f>+M7-FY16ProjMjrs!M7</f>
        <v>0</v>
      </c>
      <c r="N78" s="561">
        <f>+N7-FY16ProjMjrs!N7</f>
        <v>0</v>
      </c>
      <c r="O78" s="561">
        <f>+O7-FY16ProjMjrs!O7</f>
        <v>0</v>
      </c>
      <c r="P78" s="561">
        <f>+P7-FY16ProjMjrs!P7</f>
        <v>0</v>
      </c>
      <c r="Q78" s="560">
        <f>+Q7-FY16ProjMjrs!Q7</f>
        <v>0</v>
      </c>
      <c r="R78" s="561">
        <f>+R7-FY16ProjMjrs!R7</f>
        <v>0</v>
      </c>
      <c r="S78" s="561">
        <f>+S7-FY16ProjMjrs!S7</f>
        <v>0</v>
      </c>
    </row>
    <row r="79" spans="2:20" s="32" customFormat="1" ht="24" customHeight="1">
      <c r="B79" s="508" t="s">
        <v>206</v>
      </c>
      <c r="C79" s="561">
        <f>+C8-FY16ProjMjrs!C8</f>
        <v>0</v>
      </c>
      <c r="D79" s="561">
        <f>+D8-FY16ProjMjrs!D8</f>
        <v>0</v>
      </c>
      <c r="E79" s="561">
        <f>+E8-FY16ProjMjrs!E8</f>
        <v>0</v>
      </c>
      <c r="F79" s="561">
        <f>+F8-FY16ProjMjrs!F8</f>
        <v>0</v>
      </c>
      <c r="G79" s="561">
        <f>+G8-FY16ProjMjrs!G8</f>
        <v>0</v>
      </c>
      <c r="H79" s="561">
        <f>+H8-FY16ProjMjrs!H8</f>
        <v>0</v>
      </c>
      <c r="I79" s="561">
        <f>+I8-FY16ProjMjrs!I8</f>
        <v>0</v>
      </c>
      <c r="J79" s="561">
        <f>+J8-FY16ProjMjrs!J8</f>
        <v>0</v>
      </c>
      <c r="K79" s="561">
        <f>+K8-FY16ProjMjrs!K8</f>
        <v>0</v>
      </c>
      <c r="L79" s="561">
        <f>+L8-FY16ProjMjrs!L8</f>
        <v>0</v>
      </c>
      <c r="M79" s="561">
        <f>+M8-FY16ProjMjrs!M8</f>
        <v>0</v>
      </c>
      <c r="N79" s="561">
        <f>+N8-FY16ProjMjrs!N8</f>
        <v>0</v>
      </c>
      <c r="O79" s="561">
        <f>+O8-FY16ProjMjrs!O8</f>
        <v>0</v>
      </c>
      <c r="P79" s="561">
        <f>+P8-FY16ProjMjrs!P8</f>
        <v>0</v>
      </c>
      <c r="Q79" s="561">
        <f>+Q8-FY16ProjMjrs!Q8</f>
        <v>0</v>
      </c>
      <c r="R79" s="561">
        <f>+R8-FY16ProjMjrs!R8</f>
        <v>0</v>
      </c>
      <c r="S79" s="561">
        <f>+S8-FY16ProjMjrs!S8</f>
        <v>0</v>
      </c>
    </row>
    <row r="80" spans="2:20" s="32" customFormat="1" ht="24" customHeight="1">
      <c r="B80" s="534" t="s">
        <v>40</v>
      </c>
      <c r="C80" s="560">
        <f>+C9-FY16ProjMjrs!C9</f>
        <v>0</v>
      </c>
      <c r="D80" s="560">
        <f>+D9-FY16ProjMjrs!D9</f>
        <v>0</v>
      </c>
      <c r="E80" s="560">
        <f>+E9-FY16ProjMjrs!E9</f>
        <v>0</v>
      </c>
      <c r="F80" s="560">
        <f>+F9-FY16ProjMjrs!F9</f>
        <v>0</v>
      </c>
      <c r="G80" s="560">
        <f>+G9-FY16ProjMjrs!G9</f>
        <v>0</v>
      </c>
      <c r="H80" s="560">
        <f>+H9-FY16ProjMjrs!H9</f>
        <v>0</v>
      </c>
      <c r="I80" s="561">
        <f>+I9-FY16ProjMjrs!I9</f>
        <v>0</v>
      </c>
      <c r="J80" s="561">
        <f>+J9-FY16ProjMjrs!J9</f>
        <v>0</v>
      </c>
      <c r="K80" s="560">
        <f>+K9-FY16ProjMjrs!K9</f>
        <v>0</v>
      </c>
      <c r="L80" s="560">
        <f>+L9-FY16ProjMjrs!L9</f>
        <v>0</v>
      </c>
      <c r="M80" s="561">
        <f>+M9-FY16ProjMjrs!M9</f>
        <v>0</v>
      </c>
      <c r="N80" s="560">
        <f>+N9-FY16ProjMjrs!N9</f>
        <v>0</v>
      </c>
      <c r="O80" s="561">
        <f>+O9-FY16ProjMjrs!O9</f>
        <v>0</v>
      </c>
      <c r="P80" s="561">
        <f>+P9-FY16ProjMjrs!P9</f>
        <v>0</v>
      </c>
      <c r="Q80" s="560">
        <f>+Q9-FY16ProjMjrs!Q9</f>
        <v>0</v>
      </c>
      <c r="R80" s="561">
        <f>+R9-FY16ProjMjrs!R9</f>
        <v>0</v>
      </c>
      <c r="S80" s="561">
        <f>+S9-FY16ProjMjrs!S9</f>
        <v>0</v>
      </c>
    </row>
    <row r="81" spans="2:19" s="32" customFormat="1" ht="24" customHeight="1">
      <c r="B81" s="534" t="s">
        <v>70</v>
      </c>
      <c r="C81" s="560">
        <f>+C10-FY16ProjMjrs!C10</f>
        <v>0</v>
      </c>
      <c r="D81" s="560">
        <f>+D10-FY16ProjMjrs!D10</f>
        <v>0</v>
      </c>
      <c r="E81" s="561">
        <f>+E10-FY16ProjMjrs!E10</f>
        <v>0</v>
      </c>
      <c r="F81" s="560">
        <f>+F10-FY16ProjMjrs!F10</f>
        <v>0</v>
      </c>
      <c r="G81" s="561">
        <f>+G10-FY16ProjMjrs!G10</f>
        <v>0</v>
      </c>
      <c r="H81" s="560">
        <f>+H10-FY16ProjMjrs!H10</f>
        <v>0</v>
      </c>
      <c r="I81" s="560">
        <f>+I10-FY16ProjMjrs!I10</f>
        <v>0</v>
      </c>
      <c r="J81" s="561">
        <f>+J10-FY16ProjMjrs!J10</f>
        <v>0</v>
      </c>
      <c r="K81" s="560">
        <f>+K10-FY16ProjMjrs!K10</f>
        <v>0</v>
      </c>
      <c r="L81" s="560">
        <f>+L10-FY16ProjMjrs!L10</f>
        <v>0</v>
      </c>
      <c r="M81" s="561">
        <f>+M10-FY16ProjMjrs!M10</f>
        <v>0</v>
      </c>
      <c r="N81" s="560">
        <f>+N10-FY16ProjMjrs!N10</f>
        <v>0</v>
      </c>
      <c r="O81" s="560">
        <f>+O10-FY16ProjMjrs!O10</f>
        <v>0</v>
      </c>
      <c r="P81" s="560">
        <f>+P10-FY16ProjMjrs!P10</f>
        <v>0</v>
      </c>
      <c r="Q81" s="560">
        <f>+Q10-FY16ProjMjrs!Q10</f>
        <v>0</v>
      </c>
      <c r="R81" s="561">
        <f>+R10-FY16ProjMjrs!R10</f>
        <v>0</v>
      </c>
      <c r="S81" s="561">
        <f>+S10-FY16ProjMjrs!S10</f>
        <v>0</v>
      </c>
    </row>
    <row r="82" spans="2:19" s="32" customFormat="1" ht="24" customHeight="1">
      <c r="B82" s="534" t="s">
        <v>144</v>
      </c>
      <c r="C82" s="561">
        <f>+C11-FY16ProjMjrs!C11</f>
        <v>0</v>
      </c>
      <c r="D82" s="560">
        <f>+D11-FY16ProjMjrs!D11</f>
        <v>0</v>
      </c>
      <c r="E82" s="561">
        <f>+E11-FY16ProjMjrs!E11</f>
        <v>0</v>
      </c>
      <c r="F82" s="561">
        <f>+F11-FY16ProjMjrs!F11</f>
        <v>0</v>
      </c>
      <c r="G82" s="560">
        <f>+G11-FY16ProjMjrs!G11</f>
        <v>0</v>
      </c>
      <c r="H82" s="560">
        <f>+H11-FY16ProjMjrs!H11</f>
        <v>0</v>
      </c>
      <c r="I82" s="561">
        <f>+I11-FY16ProjMjrs!I11</f>
        <v>0</v>
      </c>
      <c r="J82" s="561">
        <f>+J11-FY16ProjMjrs!J11</f>
        <v>0</v>
      </c>
      <c r="K82" s="561">
        <f>+K11-FY16ProjMjrs!K11</f>
        <v>0</v>
      </c>
      <c r="L82" s="561">
        <f>+L11-FY16ProjMjrs!L11</f>
        <v>0</v>
      </c>
      <c r="M82" s="561">
        <f>+M11-FY16ProjMjrs!M11</f>
        <v>0</v>
      </c>
      <c r="N82" s="560">
        <f>+N11-FY16ProjMjrs!N11</f>
        <v>0</v>
      </c>
      <c r="O82" s="560">
        <f>+O11-FY16ProjMjrs!O11</f>
        <v>0</v>
      </c>
      <c r="P82" s="560">
        <f>+P11-FY16ProjMjrs!P11</f>
        <v>0</v>
      </c>
      <c r="Q82" s="560">
        <f>+Q11-FY16ProjMjrs!Q11</f>
        <v>0</v>
      </c>
      <c r="R82" s="561">
        <f>+R11-FY16ProjMjrs!R11</f>
        <v>0</v>
      </c>
      <c r="S82" s="561">
        <f>+S11-FY16ProjMjrs!S11</f>
        <v>0</v>
      </c>
    </row>
    <row r="83" spans="2:19" s="32" customFormat="1" ht="24" customHeight="1">
      <c r="B83" s="534" t="s">
        <v>49</v>
      </c>
      <c r="C83" s="560">
        <f>+C12-FY16ProjMjrs!C12</f>
        <v>0</v>
      </c>
      <c r="D83" s="560">
        <f>+D12-FY16ProjMjrs!D12</f>
        <v>0</v>
      </c>
      <c r="E83" s="560">
        <f>+E12-FY16ProjMjrs!E12</f>
        <v>0</v>
      </c>
      <c r="F83" s="560">
        <f>+F12-FY16ProjMjrs!F12</f>
        <v>0</v>
      </c>
      <c r="G83" s="561">
        <f>+G12-FY16ProjMjrs!G12</f>
        <v>0</v>
      </c>
      <c r="H83" s="561">
        <f>+H12-FY16ProjMjrs!H12</f>
        <v>0</v>
      </c>
      <c r="I83" s="560">
        <f>+I12-FY16ProjMjrs!I12</f>
        <v>0</v>
      </c>
      <c r="J83" s="560">
        <f>+J12-FY16ProjMjrs!J12</f>
        <v>0</v>
      </c>
      <c r="K83" s="560">
        <f>+K12-FY16ProjMjrs!K12</f>
        <v>0</v>
      </c>
      <c r="L83" s="561">
        <f>+L12-FY16ProjMjrs!L12</f>
        <v>0</v>
      </c>
      <c r="M83" s="561">
        <f>+M12-FY16ProjMjrs!M12</f>
        <v>0</v>
      </c>
      <c r="N83" s="560">
        <f>+N12-FY16ProjMjrs!N12</f>
        <v>0</v>
      </c>
      <c r="O83" s="561">
        <f>+O12-FY16ProjMjrs!O12</f>
        <v>0</v>
      </c>
      <c r="P83" s="561">
        <f>+P12-FY16ProjMjrs!P12</f>
        <v>0</v>
      </c>
      <c r="Q83" s="560">
        <f>+Q12-FY16ProjMjrs!Q12</f>
        <v>0</v>
      </c>
      <c r="R83" s="561">
        <f>+R12-FY16ProjMjrs!R12</f>
        <v>0</v>
      </c>
      <c r="S83" s="561">
        <f>+S12-FY16ProjMjrs!S12</f>
        <v>0</v>
      </c>
    </row>
    <row r="84" spans="2:19" s="32" customFormat="1" ht="24" customHeight="1">
      <c r="B84" s="508" t="s">
        <v>207</v>
      </c>
      <c r="C84" s="561">
        <f>+C13-FY16ProjMjrs!C13</f>
        <v>0</v>
      </c>
      <c r="D84" s="561">
        <f>+D13-FY16ProjMjrs!D13</f>
        <v>0</v>
      </c>
      <c r="E84" s="561">
        <f>+E13-FY16ProjMjrs!E13</f>
        <v>0</v>
      </c>
      <c r="F84" s="561">
        <f>+F13-FY16ProjMjrs!F13</f>
        <v>0</v>
      </c>
      <c r="G84" s="561">
        <f>+G13-FY16ProjMjrs!G13</f>
        <v>0</v>
      </c>
      <c r="H84" s="561">
        <f>+H13-FY16ProjMjrs!H13</f>
        <v>0</v>
      </c>
      <c r="I84" s="561">
        <f>+I13-FY16ProjMjrs!I13</f>
        <v>0</v>
      </c>
      <c r="J84" s="561">
        <f>+J13-FY16ProjMjrs!J13</f>
        <v>0</v>
      </c>
      <c r="K84" s="561">
        <f>+K13-FY16ProjMjrs!K13</f>
        <v>0</v>
      </c>
      <c r="L84" s="561">
        <f>+L13-FY16ProjMjrs!L13</f>
        <v>0</v>
      </c>
      <c r="M84" s="560">
        <f>+M13-FY16ProjMjrs!M13</f>
        <v>0</v>
      </c>
      <c r="N84" s="560">
        <f>+N13-FY16ProjMjrs!N13</f>
        <v>0</v>
      </c>
      <c r="O84" s="561">
        <f>+O13-FY16ProjMjrs!O13</f>
        <v>0</v>
      </c>
      <c r="P84" s="561">
        <f>+P13-FY16ProjMjrs!P13</f>
        <v>0</v>
      </c>
      <c r="Q84" s="560">
        <f>+Q13-FY16ProjMjrs!Q13</f>
        <v>0</v>
      </c>
      <c r="R84" s="561">
        <f>+R13-FY16ProjMjrs!R13</f>
        <v>0</v>
      </c>
      <c r="S84" s="561">
        <f>+S13-FY16ProjMjrs!S13</f>
        <v>0</v>
      </c>
    </row>
    <row r="85" spans="2:19" s="32" customFormat="1" ht="24" customHeight="1">
      <c r="B85" s="508" t="s">
        <v>208</v>
      </c>
      <c r="C85" s="561">
        <f>+C14-FY16ProjMjrs!C14</f>
        <v>0</v>
      </c>
      <c r="D85" s="560">
        <f>+D14-FY16ProjMjrs!D14</f>
        <v>0</v>
      </c>
      <c r="E85" s="560">
        <f>+E14-FY16ProjMjrs!E14</f>
        <v>0</v>
      </c>
      <c r="F85" s="561">
        <f>+F14-FY16ProjMjrs!F14</f>
        <v>0</v>
      </c>
      <c r="G85" s="561">
        <f>+G14-FY16ProjMjrs!G14</f>
        <v>0</v>
      </c>
      <c r="H85" s="561">
        <f>+H14-FY16ProjMjrs!H14</f>
        <v>0</v>
      </c>
      <c r="I85" s="561">
        <f>+I14-FY16ProjMjrs!I14</f>
        <v>0</v>
      </c>
      <c r="J85" s="560">
        <f>+J14-FY16ProjMjrs!J14</f>
        <v>0</v>
      </c>
      <c r="K85" s="560">
        <f>+K14-FY16ProjMjrs!K14</f>
        <v>0</v>
      </c>
      <c r="L85" s="561">
        <f>+L14-FY16ProjMjrs!L14</f>
        <v>0</v>
      </c>
      <c r="M85" s="561">
        <f>+M14-FY16ProjMjrs!M14</f>
        <v>0</v>
      </c>
      <c r="N85" s="561">
        <f>+N14-FY16ProjMjrs!N14</f>
        <v>0</v>
      </c>
      <c r="O85" s="561">
        <f>+O14-FY16ProjMjrs!O14</f>
        <v>0</v>
      </c>
      <c r="P85" s="561">
        <f>+P14-FY16ProjMjrs!P14</f>
        <v>0</v>
      </c>
      <c r="Q85" s="560">
        <f>+Q14-FY16ProjMjrs!Q14</f>
        <v>0</v>
      </c>
      <c r="R85" s="561">
        <f>+R14-FY16ProjMjrs!R14</f>
        <v>0</v>
      </c>
      <c r="S85" s="561">
        <f>+S14-FY16ProjMjrs!S14</f>
        <v>0</v>
      </c>
    </row>
    <row r="86" spans="2:19" s="32" customFormat="1" ht="24" customHeight="1">
      <c r="B86" s="535" t="s">
        <v>39</v>
      </c>
      <c r="C86" s="560">
        <f>+C15-FY16ProjMjrs!C15</f>
        <v>0</v>
      </c>
      <c r="D86" s="560">
        <f>+D15-FY16ProjMjrs!D15</f>
        <v>0</v>
      </c>
      <c r="E86" s="560">
        <f>+E15-FY16ProjMjrs!E15</f>
        <v>0</v>
      </c>
      <c r="F86" s="560">
        <f>+F15-FY16ProjMjrs!F15</f>
        <v>0</v>
      </c>
      <c r="G86" s="560">
        <f>+G15-FY16ProjMjrs!G15</f>
        <v>0</v>
      </c>
      <c r="H86" s="560">
        <f>+H15-FY16ProjMjrs!H15</f>
        <v>0</v>
      </c>
      <c r="I86" s="560">
        <f>+I15-FY16ProjMjrs!I15</f>
        <v>0</v>
      </c>
      <c r="J86" s="560">
        <f>+J15-FY16ProjMjrs!J15</f>
        <v>0</v>
      </c>
      <c r="K86" s="560">
        <f>+K15-FY16ProjMjrs!K15</f>
        <v>0</v>
      </c>
      <c r="L86" s="560">
        <f>+L15-FY16ProjMjrs!L15</f>
        <v>0</v>
      </c>
      <c r="M86" s="561">
        <f>+M15-FY16ProjMjrs!M15</f>
        <v>0</v>
      </c>
      <c r="N86" s="560">
        <f>+N15-FY16ProjMjrs!N15</f>
        <v>0</v>
      </c>
      <c r="O86" s="561">
        <f>+O15-FY16ProjMjrs!O15</f>
        <v>0</v>
      </c>
      <c r="P86" s="560">
        <f>+P15-FY16ProjMjrs!P15</f>
        <v>0</v>
      </c>
      <c r="Q86" s="560">
        <f>+Q15-FY16ProjMjrs!Q15</f>
        <v>0</v>
      </c>
      <c r="R86" s="561">
        <f>+R15-FY16ProjMjrs!R15</f>
        <v>0</v>
      </c>
      <c r="S86" s="560">
        <f>+S15-FY16ProjMjrs!S15</f>
        <v>0</v>
      </c>
    </row>
    <row r="87" spans="2:19" s="32" customFormat="1" ht="24" customHeight="1">
      <c r="B87" s="535" t="s">
        <v>38</v>
      </c>
      <c r="C87" s="561">
        <f>+C16-FY16ProjMjrs!C16</f>
        <v>0</v>
      </c>
      <c r="D87" s="560">
        <f>+D16-FY16ProjMjrs!D16</f>
        <v>0</v>
      </c>
      <c r="E87" s="561">
        <f>+E16-FY16ProjMjrs!E16</f>
        <v>0</v>
      </c>
      <c r="F87" s="560">
        <f>+F16-FY16ProjMjrs!F16</f>
        <v>0</v>
      </c>
      <c r="G87" s="561">
        <f>+G16-FY16ProjMjrs!G16</f>
        <v>0</v>
      </c>
      <c r="H87" s="561">
        <f>+H16-FY16ProjMjrs!H16</f>
        <v>0</v>
      </c>
      <c r="I87" s="561">
        <f>+I16-FY16ProjMjrs!I16</f>
        <v>0</v>
      </c>
      <c r="J87" s="561">
        <f>+J16-FY16ProjMjrs!J16</f>
        <v>0</v>
      </c>
      <c r="K87" s="560">
        <f>+K16-FY16ProjMjrs!K16</f>
        <v>0</v>
      </c>
      <c r="L87" s="561">
        <f>+L16-FY16ProjMjrs!L16</f>
        <v>0</v>
      </c>
      <c r="M87" s="561">
        <f>+M16-FY16ProjMjrs!M16</f>
        <v>0</v>
      </c>
      <c r="N87" s="561">
        <f>+N16-FY16ProjMjrs!N16</f>
        <v>0</v>
      </c>
      <c r="O87" s="561">
        <f>+O16-FY16ProjMjrs!O16</f>
        <v>0</v>
      </c>
      <c r="P87" s="561">
        <f>+P16-FY16ProjMjrs!P16</f>
        <v>0</v>
      </c>
      <c r="Q87" s="561">
        <f>+Q16-FY16ProjMjrs!Q16</f>
        <v>0</v>
      </c>
      <c r="R87" s="561">
        <f>+R16-FY16ProjMjrs!R16</f>
        <v>0</v>
      </c>
      <c r="S87" s="561">
        <f>+S16-FY16ProjMjrs!S16</f>
        <v>0</v>
      </c>
    </row>
    <row r="88" spans="2:19" ht="24" customHeight="1">
      <c r="B88" s="535" t="s">
        <v>31</v>
      </c>
      <c r="C88" s="561">
        <f>+C17-FY16ProjMjrs!C17</f>
        <v>0</v>
      </c>
      <c r="D88" s="561">
        <f>+D17-FY16ProjMjrs!D17</f>
        <v>0</v>
      </c>
      <c r="E88" s="561">
        <f>+E17-FY16ProjMjrs!E17</f>
        <v>0</v>
      </c>
      <c r="F88" s="561">
        <f>+F17-FY16ProjMjrs!F17</f>
        <v>0</v>
      </c>
      <c r="G88" s="560">
        <f>+G17-FY16ProjMjrs!G17</f>
        <v>0</v>
      </c>
      <c r="H88" s="561">
        <f>+H17-FY16ProjMjrs!H17</f>
        <v>0</v>
      </c>
      <c r="I88" s="561">
        <f>+I17-FY16ProjMjrs!I17</f>
        <v>0</v>
      </c>
      <c r="J88" s="561">
        <f>+J17-FY16ProjMjrs!J17</f>
        <v>0</v>
      </c>
      <c r="K88" s="561">
        <f>+K17-FY16ProjMjrs!K17</f>
        <v>0</v>
      </c>
      <c r="L88" s="561">
        <f>+L17-FY16ProjMjrs!L17</f>
        <v>0</v>
      </c>
      <c r="M88" s="561">
        <f>+M17-FY16ProjMjrs!M17</f>
        <v>0</v>
      </c>
      <c r="N88" s="560">
        <f>+N17-FY16ProjMjrs!N17</f>
        <v>0</v>
      </c>
      <c r="O88" s="561">
        <f>+O17-FY16ProjMjrs!O17</f>
        <v>0</v>
      </c>
      <c r="P88" s="561">
        <f>+P17-FY16ProjMjrs!P17</f>
        <v>0</v>
      </c>
      <c r="Q88" s="561">
        <f>+Q17-FY16ProjMjrs!Q17</f>
        <v>0</v>
      </c>
      <c r="R88" s="561">
        <f>+R17-FY16ProjMjrs!R17</f>
        <v>0</v>
      </c>
      <c r="S88" s="561">
        <f>+S17-FY16ProjMjrs!S17</f>
        <v>0</v>
      </c>
    </row>
    <row r="89" spans="2:19" ht="24" customHeight="1">
      <c r="B89" s="508" t="s">
        <v>209</v>
      </c>
      <c r="C89" s="561">
        <f>+C18-FY16ProjMjrs!C18</f>
        <v>0</v>
      </c>
      <c r="D89" s="561">
        <f>+D18-FY16ProjMjrs!D18</f>
        <v>0</v>
      </c>
      <c r="E89" s="561">
        <f>+E18-FY16ProjMjrs!E18</f>
        <v>0</v>
      </c>
      <c r="F89" s="561">
        <f>+F18-FY16ProjMjrs!F18</f>
        <v>0</v>
      </c>
      <c r="G89" s="561">
        <f>+G18-FY16ProjMjrs!G18</f>
        <v>0</v>
      </c>
      <c r="H89" s="561">
        <f>+H18-FY16ProjMjrs!H18</f>
        <v>0</v>
      </c>
      <c r="I89" s="561">
        <f>+I18-FY16ProjMjrs!I18</f>
        <v>0</v>
      </c>
      <c r="J89" s="561">
        <f>+J18-FY16ProjMjrs!J18</f>
        <v>0</v>
      </c>
      <c r="K89" s="561">
        <f>+K18-FY16ProjMjrs!K18</f>
        <v>0</v>
      </c>
      <c r="L89" s="561">
        <f>+L18-FY16ProjMjrs!L18</f>
        <v>0</v>
      </c>
      <c r="M89" s="561">
        <f>+M18-FY16ProjMjrs!M18</f>
        <v>0</v>
      </c>
      <c r="N89" s="561">
        <f>+N18-FY16ProjMjrs!N18</f>
        <v>0</v>
      </c>
      <c r="O89" s="561">
        <f>+O18-FY16ProjMjrs!O18</f>
        <v>0</v>
      </c>
      <c r="P89" s="561">
        <f>+P18-FY16ProjMjrs!P18</f>
        <v>0</v>
      </c>
      <c r="Q89" s="561">
        <f>+Q18-FY16ProjMjrs!Q18</f>
        <v>0</v>
      </c>
      <c r="R89" s="561">
        <f>+R18-FY16ProjMjrs!R18</f>
        <v>0</v>
      </c>
      <c r="S89" s="561">
        <f>+S18-FY16ProjMjrs!S18</f>
        <v>0</v>
      </c>
    </row>
    <row r="90" spans="2:19" ht="24" customHeight="1">
      <c r="B90" s="535" t="s">
        <v>210</v>
      </c>
      <c r="C90" s="560">
        <f>+C19-FY16ProjMjrs!C19</f>
        <v>0</v>
      </c>
      <c r="D90" s="560">
        <f>+D19-FY16ProjMjrs!D19</f>
        <v>0</v>
      </c>
      <c r="E90" s="560">
        <f>+E19-FY16ProjMjrs!E19</f>
        <v>0</v>
      </c>
      <c r="F90" s="560">
        <f>+F19-FY16ProjMjrs!F19</f>
        <v>0</v>
      </c>
      <c r="G90" s="560">
        <f>+G19-FY16ProjMjrs!G19</f>
        <v>0</v>
      </c>
      <c r="H90" s="560">
        <f>+H19-FY16ProjMjrs!H19</f>
        <v>0</v>
      </c>
      <c r="I90" s="560">
        <f>+I19-FY16ProjMjrs!I19</f>
        <v>0</v>
      </c>
      <c r="J90" s="560">
        <f>+J19-FY16ProjMjrs!J19</f>
        <v>0</v>
      </c>
      <c r="K90" s="560">
        <f>+K19-FY16ProjMjrs!K19</f>
        <v>0</v>
      </c>
      <c r="L90" s="560">
        <f>+L19-FY16ProjMjrs!L19</f>
        <v>0</v>
      </c>
      <c r="M90" s="561">
        <f>+M19-FY16ProjMjrs!M19</f>
        <v>0</v>
      </c>
      <c r="N90" s="560">
        <f>+N19-FY16ProjMjrs!N19</f>
        <v>0</v>
      </c>
      <c r="O90" s="561">
        <f>+O19-FY16ProjMjrs!O19</f>
        <v>0</v>
      </c>
      <c r="P90" s="560">
        <f>+P19-FY16ProjMjrs!P19</f>
        <v>0</v>
      </c>
      <c r="Q90" s="560">
        <f>+Q19-FY16ProjMjrs!Q19</f>
        <v>0</v>
      </c>
      <c r="R90" s="561">
        <f>+R19-FY16ProjMjrs!R19</f>
        <v>0</v>
      </c>
      <c r="S90" s="560">
        <f>+S19-FY16ProjMjrs!S19</f>
        <v>0</v>
      </c>
    </row>
    <row r="91" spans="2:19" ht="24" customHeight="1">
      <c r="B91" s="535" t="s">
        <v>42</v>
      </c>
      <c r="C91" s="560">
        <f>+C20-FY16ProjMjrs!C20</f>
        <v>0</v>
      </c>
      <c r="D91" s="560">
        <f>+D20-FY16ProjMjrs!D20</f>
        <v>0</v>
      </c>
      <c r="E91" s="560">
        <f>+E20-FY16ProjMjrs!E20</f>
        <v>0</v>
      </c>
      <c r="F91" s="560">
        <f>+F20-FY16ProjMjrs!F20</f>
        <v>0</v>
      </c>
      <c r="G91" s="561">
        <f>+G20-FY16ProjMjrs!G20</f>
        <v>0</v>
      </c>
      <c r="H91" s="560">
        <f>+H20-FY16ProjMjrs!H20</f>
        <v>0</v>
      </c>
      <c r="I91" s="560">
        <f>+I20-FY16ProjMjrs!I20</f>
        <v>0</v>
      </c>
      <c r="J91" s="560">
        <f>+J20-FY16ProjMjrs!J20</f>
        <v>0</v>
      </c>
      <c r="K91" s="560">
        <f>+K20-FY16ProjMjrs!K20</f>
        <v>0</v>
      </c>
      <c r="L91" s="560">
        <f>+L20-FY16ProjMjrs!L20</f>
        <v>0</v>
      </c>
      <c r="M91" s="561">
        <f>+M20-FY16ProjMjrs!M20</f>
        <v>0</v>
      </c>
      <c r="N91" s="560">
        <f>+N20-FY16ProjMjrs!N20</f>
        <v>0</v>
      </c>
      <c r="O91" s="560">
        <f>+O20-FY16ProjMjrs!O20</f>
        <v>0</v>
      </c>
      <c r="P91" s="561">
        <f>+P20-FY16ProjMjrs!P20</f>
        <v>0</v>
      </c>
      <c r="Q91" s="561">
        <f>+Q20-FY16ProjMjrs!Q20</f>
        <v>0</v>
      </c>
      <c r="R91" s="561">
        <f>+R20-FY16ProjMjrs!R20</f>
        <v>0</v>
      </c>
      <c r="S91" s="560">
        <f>+S20-FY16ProjMjrs!S20</f>
        <v>0</v>
      </c>
    </row>
    <row r="92" spans="2:19" ht="24" customHeight="1">
      <c r="B92" s="535" t="s">
        <v>76</v>
      </c>
      <c r="C92" s="561">
        <f>+C21-FY16ProjMjrs!C21</f>
        <v>0</v>
      </c>
      <c r="D92" s="560">
        <f>+D21-FY16ProjMjrs!D21</f>
        <v>0</v>
      </c>
      <c r="E92" s="561">
        <f>+E21-FY16ProjMjrs!E21</f>
        <v>0</v>
      </c>
      <c r="F92" s="560">
        <f>+F21-FY16ProjMjrs!F21</f>
        <v>0</v>
      </c>
      <c r="G92" s="561">
        <f>+G21-FY16ProjMjrs!G21</f>
        <v>0</v>
      </c>
      <c r="H92" s="561">
        <f>+H21-FY16ProjMjrs!H21</f>
        <v>0</v>
      </c>
      <c r="I92" s="561">
        <f>+I21-FY16ProjMjrs!I21</f>
        <v>0</v>
      </c>
      <c r="J92" s="561">
        <f>+J21-FY16ProjMjrs!J21</f>
        <v>0</v>
      </c>
      <c r="K92" s="560">
        <f>+K21-FY16ProjMjrs!K21</f>
        <v>0</v>
      </c>
      <c r="L92" s="561">
        <f>+L21-FY16ProjMjrs!L21</f>
        <v>0</v>
      </c>
      <c r="M92" s="561">
        <f>+M21-FY16ProjMjrs!M21</f>
        <v>0</v>
      </c>
      <c r="N92" s="561">
        <f>+N21-FY16ProjMjrs!N21</f>
        <v>0</v>
      </c>
      <c r="O92" s="561">
        <f>+O21-FY16ProjMjrs!O21</f>
        <v>0</v>
      </c>
      <c r="P92" s="561">
        <f>+P21-FY16ProjMjrs!P21</f>
        <v>0</v>
      </c>
      <c r="Q92" s="561">
        <f>+Q21-FY16ProjMjrs!Q21</f>
        <v>0</v>
      </c>
      <c r="R92" s="561">
        <f>+R21-FY16ProjMjrs!R21</f>
        <v>0</v>
      </c>
      <c r="S92" s="561">
        <f>+S21-FY16ProjMjrs!S21</f>
        <v>0</v>
      </c>
    </row>
    <row r="93" spans="2:19" ht="24" customHeight="1">
      <c r="B93" s="535" t="s">
        <v>77</v>
      </c>
      <c r="C93" s="561">
        <f>+C22-FY16ProjMjrs!C22</f>
        <v>0</v>
      </c>
      <c r="D93" s="561">
        <f>+D22-FY16ProjMjrs!D22</f>
        <v>0</v>
      </c>
      <c r="E93" s="561">
        <f>+E22-FY16ProjMjrs!E22</f>
        <v>0</v>
      </c>
      <c r="F93" s="561">
        <f>+F22-FY16ProjMjrs!F22</f>
        <v>0</v>
      </c>
      <c r="G93" s="560">
        <f>+G22-FY16ProjMjrs!G22</f>
        <v>0</v>
      </c>
      <c r="H93" s="561">
        <f>+H22-FY16ProjMjrs!H22</f>
        <v>0</v>
      </c>
      <c r="I93" s="561">
        <f>+I22-FY16ProjMjrs!I22</f>
        <v>0</v>
      </c>
      <c r="J93" s="561">
        <f>+J22-FY16ProjMjrs!J22</f>
        <v>0</v>
      </c>
      <c r="K93" s="561">
        <f>+K22-FY16ProjMjrs!K22</f>
        <v>0</v>
      </c>
      <c r="L93" s="561">
        <f>+L22-FY16ProjMjrs!L22</f>
        <v>0</v>
      </c>
      <c r="M93" s="561">
        <f>+M22-FY16ProjMjrs!M22</f>
        <v>0</v>
      </c>
      <c r="N93" s="560">
        <f>+N22-FY16ProjMjrs!N22</f>
        <v>0</v>
      </c>
      <c r="O93" s="561">
        <f>+O22-FY16ProjMjrs!O22</f>
        <v>0</v>
      </c>
      <c r="P93" s="561">
        <f>+P22-FY16ProjMjrs!P22</f>
        <v>0</v>
      </c>
      <c r="Q93" s="561">
        <f>+Q22-FY16ProjMjrs!Q22</f>
        <v>0</v>
      </c>
      <c r="R93" s="561">
        <f>+R22-FY16ProjMjrs!R22</f>
        <v>0</v>
      </c>
      <c r="S93" s="561">
        <f>+S22-FY16ProjMjrs!S22</f>
        <v>0</v>
      </c>
    </row>
    <row r="94" spans="2:19" ht="24" customHeight="1">
      <c r="B94" s="536" t="s">
        <v>212</v>
      </c>
      <c r="C94" s="562">
        <f>+C23-FY16ProjMjrs!C23</f>
        <v>0</v>
      </c>
      <c r="D94" s="563">
        <f>+D23-FY16ProjMjrs!D23</f>
        <v>0</v>
      </c>
      <c r="E94" s="562">
        <f>+E23-FY16ProjMjrs!E23</f>
        <v>0</v>
      </c>
      <c r="F94" s="562">
        <f>+F23-FY16ProjMjrs!F23</f>
        <v>0</v>
      </c>
      <c r="G94" s="563">
        <f>+G23-FY16ProjMjrs!G23</f>
        <v>0</v>
      </c>
      <c r="H94" s="562">
        <f>+H23-FY16ProjMjrs!H23</f>
        <v>0</v>
      </c>
      <c r="I94" s="562">
        <f>+I23-FY16ProjMjrs!I23</f>
        <v>0</v>
      </c>
      <c r="J94" s="562">
        <f>+J23-FY16ProjMjrs!J23</f>
        <v>0</v>
      </c>
      <c r="K94" s="562">
        <f>+K23-FY16ProjMjrs!K23</f>
        <v>0</v>
      </c>
      <c r="L94" s="562">
        <f>+L23-FY16ProjMjrs!L23</f>
        <v>0</v>
      </c>
      <c r="M94" s="562">
        <f>+M23-FY16ProjMjrs!M23</f>
        <v>0</v>
      </c>
      <c r="N94" s="563">
        <f>+N23-FY16ProjMjrs!N23</f>
        <v>0</v>
      </c>
      <c r="O94" s="562">
        <f>+O23-FY16ProjMjrs!O23</f>
        <v>0</v>
      </c>
      <c r="P94" s="562">
        <f>+P23-FY16ProjMjrs!P23</f>
        <v>0</v>
      </c>
      <c r="Q94" s="562">
        <f>+Q23-FY16ProjMjrs!Q23</f>
        <v>0</v>
      </c>
      <c r="R94" s="562">
        <f>+R23-FY16ProjMjrs!R23</f>
        <v>0</v>
      </c>
      <c r="S94" s="562">
        <f>+S23-FY16ProjMjrs!S23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2" sqref="B2"/>
    </sheetView>
  </sheetViews>
  <sheetFormatPr defaultColWidth="8.85546875" defaultRowHeight="15"/>
  <cols>
    <col min="1" max="1" width="8.28515625" style="32" hidden="1" customWidth="1"/>
    <col min="2" max="2" width="41.85546875" style="32" customWidth="1"/>
    <col min="3" max="20" width="16.71093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c r="B1" s="639" t="s">
        <v>429</v>
      </c>
      <c r="C1" s="639"/>
      <c r="D1" s="639"/>
      <c r="E1" s="639"/>
      <c r="F1" s="639"/>
    </row>
    <row r="2" spans="1:24" ht="48.75" customHeight="1">
      <c r="A2" s="629"/>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c r="A3" s="630"/>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c r="T3" s="431"/>
    </row>
    <row r="4" spans="1:24" ht="33.75" customHeight="1">
      <c r="A4" s="400"/>
      <c r="B4" s="631" t="s">
        <v>111</v>
      </c>
      <c r="C4" s="631"/>
      <c r="D4" s="631"/>
      <c r="E4" s="631"/>
      <c r="F4" s="631"/>
      <c r="G4" s="631"/>
      <c r="H4" s="631"/>
      <c r="I4" s="631"/>
      <c r="J4" s="631"/>
      <c r="K4" s="631"/>
      <c r="L4" s="631"/>
      <c r="M4" s="631"/>
      <c r="N4" s="631"/>
      <c r="O4" s="631"/>
      <c r="P4" s="631"/>
      <c r="Q4" s="631"/>
      <c r="R4" s="631"/>
      <c r="S4" s="631"/>
      <c r="T4" s="631"/>
    </row>
    <row r="5" spans="1:24" ht="20.100000000000001" customHeight="1">
      <c r="A5" s="411" t="s">
        <v>128</v>
      </c>
      <c r="B5" s="412" t="s">
        <v>21</v>
      </c>
      <c r="C5" s="413">
        <f t="shared" ref="C5:S19" si="0">+C29+C53</f>
        <v>-135170.8405000288</v>
      </c>
      <c r="D5" s="413">
        <f t="shared" si="0"/>
        <v>-4770467.0504049063</v>
      </c>
      <c r="E5" s="413">
        <f t="shared" si="0"/>
        <v>-604631.99105374143</v>
      </c>
      <c r="F5" s="413">
        <f t="shared" si="0"/>
        <v>-95078.31319028954</v>
      </c>
      <c r="G5" s="413">
        <f t="shared" si="0"/>
        <v>-751939.64737553149</v>
      </c>
      <c r="H5" s="413">
        <f t="shared" si="0"/>
        <v>-353741.04278744105</v>
      </c>
      <c r="I5" s="413">
        <f t="shared" si="0"/>
        <v>-95003.465724110836</v>
      </c>
      <c r="J5" s="413">
        <f t="shared" si="0"/>
        <v>-2580.4224551687948</v>
      </c>
      <c r="K5" s="413">
        <f t="shared" si="0"/>
        <v>-760.23777716021141</v>
      </c>
      <c r="L5" s="413">
        <f t="shared" si="0"/>
        <v>-27739.923977894709</v>
      </c>
      <c r="M5" s="413">
        <f t="shared" si="0"/>
        <v>-259.50424124218807</v>
      </c>
      <c r="N5" s="413">
        <f t="shared" si="0"/>
        <v>-195392.15912760841</v>
      </c>
      <c r="O5" s="413">
        <f t="shared" si="0"/>
        <v>-86483.988404964563</v>
      </c>
      <c r="P5" s="413">
        <f t="shared" si="0"/>
        <v>-1494.8906291275343</v>
      </c>
      <c r="Q5" s="413">
        <f t="shared" si="0"/>
        <v>-134436.32254421804</v>
      </c>
      <c r="R5" s="413">
        <f t="shared" si="0"/>
        <v>-64719.685673067463</v>
      </c>
      <c r="S5" s="413">
        <f t="shared" si="0"/>
        <v>-1056.2919115351033</v>
      </c>
      <c r="T5" s="413">
        <f t="shared" ref="T5:T26" si="1">SUM(C5:S5)</f>
        <v>-7320955.7777780378</v>
      </c>
      <c r="X5" s="495"/>
    </row>
    <row r="6" spans="1:24" ht="20.100000000000001" customHeight="1">
      <c r="A6" s="401" t="s">
        <v>129</v>
      </c>
      <c r="B6" s="408" t="s">
        <v>35</v>
      </c>
      <c r="C6" s="410">
        <f t="shared" si="0"/>
        <v>0</v>
      </c>
      <c r="D6" s="410">
        <f t="shared" si="0"/>
        <v>0</v>
      </c>
      <c r="E6" s="410">
        <f t="shared" si="0"/>
        <v>0</v>
      </c>
      <c r="F6" s="410">
        <f t="shared" si="0"/>
        <v>0</v>
      </c>
      <c r="G6" s="410">
        <f t="shared" si="0"/>
        <v>0</v>
      </c>
      <c r="H6" s="410">
        <f t="shared" si="0"/>
        <v>0</v>
      </c>
      <c r="I6" s="410">
        <f t="shared" si="0"/>
        <v>0</v>
      </c>
      <c r="J6" s="410">
        <f t="shared" si="0"/>
        <v>0</v>
      </c>
      <c r="K6" s="410">
        <f t="shared" si="0"/>
        <v>0</v>
      </c>
      <c r="L6" s="410">
        <f t="shared" si="0"/>
        <v>0</v>
      </c>
      <c r="M6" s="410">
        <f t="shared" si="0"/>
        <v>0</v>
      </c>
      <c r="N6" s="410">
        <f t="shared" si="0"/>
        <v>0</v>
      </c>
      <c r="O6" s="410">
        <f t="shared" si="0"/>
        <v>0</v>
      </c>
      <c r="P6" s="410">
        <f t="shared" si="0"/>
        <v>0</v>
      </c>
      <c r="Q6" s="410">
        <f t="shared" si="0"/>
        <v>0</v>
      </c>
      <c r="R6" s="410">
        <f t="shared" si="0"/>
        <v>0</v>
      </c>
      <c r="S6" s="410">
        <f t="shared" si="0"/>
        <v>0</v>
      </c>
      <c r="T6" s="410">
        <f t="shared" si="1"/>
        <v>0</v>
      </c>
      <c r="W6" s="497"/>
      <c r="X6" s="495"/>
    </row>
    <row r="7" spans="1:24" ht="20.100000000000001" customHeight="1">
      <c r="A7" s="401" t="s">
        <v>140</v>
      </c>
      <c r="B7" s="414" t="s">
        <v>36</v>
      </c>
      <c r="C7" s="415">
        <f t="shared" si="0"/>
        <v>0</v>
      </c>
      <c r="D7" s="415">
        <f t="shared" si="0"/>
        <v>0</v>
      </c>
      <c r="E7" s="415">
        <f t="shared" si="0"/>
        <v>0</v>
      </c>
      <c r="F7" s="415">
        <f t="shared" si="0"/>
        <v>0</v>
      </c>
      <c r="G7" s="415">
        <f t="shared" si="0"/>
        <v>0</v>
      </c>
      <c r="H7" s="415">
        <f t="shared" si="0"/>
        <v>0</v>
      </c>
      <c r="I7" s="415">
        <f t="shared" si="0"/>
        <v>0</v>
      </c>
      <c r="J7" s="415">
        <f t="shared" si="0"/>
        <v>0</v>
      </c>
      <c r="K7" s="415">
        <f t="shared" si="0"/>
        <v>0</v>
      </c>
      <c r="L7" s="415">
        <f t="shared" si="0"/>
        <v>0</v>
      </c>
      <c r="M7" s="415">
        <f t="shared" si="0"/>
        <v>0</v>
      </c>
      <c r="N7" s="415">
        <f t="shared" si="0"/>
        <v>0</v>
      </c>
      <c r="O7" s="415">
        <f t="shared" si="0"/>
        <v>0</v>
      </c>
      <c r="P7" s="415">
        <f t="shared" si="0"/>
        <v>0</v>
      </c>
      <c r="Q7" s="415">
        <f t="shared" si="0"/>
        <v>0</v>
      </c>
      <c r="R7" s="415">
        <f t="shared" si="0"/>
        <v>0</v>
      </c>
      <c r="S7" s="415">
        <f t="shared" si="0"/>
        <v>0</v>
      </c>
      <c r="T7" s="415">
        <f t="shared" si="1"/>
        <v>0</v>
      </c>
    </row>
    <row r="8" spans="1:24" ht="20.100000000000001" customHeight="1">
      <c r="A8" s="401" t="s">
        <v>130</v>
      </c>
      <c r="B8" s="408" t="s">
        <v>37</v>
      </c>
      <c r="C8" s="410">
        <f t="shared" si="0"/>
        <v>0</v>
      </c>
      <c r="D8" s="410">
        <f t="shared" si="0"/>
        <v>0</v>
      </c>
      <c r="E8" s="410">
        <f t="shared" si="0"/>
        <v>0</v>
      </c>
      <c r="F8" s="410">
        <f t="shared" si="0"/>
        <v>0</v>
      </c>
      <c r="G8" s="410">
        <f t="shared" si="0"/>
        <v>0</v>
      </c>
      <c r="H8" s="410">
        <f t="shared" si="0"/>
        <v>0</v>
      </c>
      <c r="I8" s="410">
        <f t="shared" si="0"/>
        <v>0</v>
      </c>
      <c r="J8" s="410">
        <f t="shared" si="0"/>
        <v>0</v>
      </c>
      <c r="K8" s="410">
        <f t="shared" si="0"/>
        <v>0</v>
      </c>
      <c r="L8" s="410">
        <f t="shared" si="0"/>
        <v>0</v>
      </c>
      <c r="M8" s="410">
        <f t="shared" si="0"/>
        <v>0</v>
      </c>
      <c r="N8" s="410">
        <f t="shared" si="0"/>
        <v>0</v>
      </c>
      <c r="O8" s="410">
        <f t="shared" si="0"/>
        <v>0</v>
      </c>
      <c r="P8" s="410">
        <f t="shared" si="0"/>
        <v>0</v>
      </c>
      <c r="Q8" s="410">
        <f t="shared" si="0"/>
        <v>0</v>
      </c>
      <c r="R8" s="410">
        <f t="shared" si="0"/>
        <v>0</v>
      </c>
      <c r="S8" s="410">
        <f t="shared" si="0"/>
        <v>0</v>
      </c>
      <c r="T8" s="410">
        <f t="shared" si="1"/>
        <v>0</v>
      </c>
    </row>
    <row r="9" spans="1:24" ht="20.100000000000001" customHeight="1">
      <c r="A9" s="416" t="s">
        <v>131</v>
      </c>
      <c r="B9" s="414" t="s">
        <v>141</v>
      </c>
      <c r="C9" s="415">
        <f t="shared" si="0"/>
        <v>0</v>
      </c>
      <c r="D9" s="415">
        <f t="shared" si="0"/>
        <v>0</v>
      </c>
      <c r="E9" s="415">
        <f t="shared" si="0"/>
        <v>0</v>
      </c>
      <c r="F9" s="415">
        <f t="shared" si="0"/>
        <v>0</v>
      </c>
      <c r="G9" s="415">
        <f t="shared" si="0"/>
        <v>0</v>
      </c>
      <c r="H9" s="415">
        <f t="shared" si="0"/>
        <v>0</v>
      </c>
      <c r="I9" s="415">
        <f t="shared" si="0"/>
        <v>0</v>
      </c>
      <c r="J9" s="415">
        <f t="shared" si="0"/>
        <v>0</v>
      </c>
      <c r="K9" s="415">
        <f t="shared" si="0"/>
        <v>0</v>
      </c>
      <c r="L9" s="415">
        <f t="shared" si="0"/>
        <v>0</v>
      </c>
      <c r="M9" s="415">
        <f t="shared" si="0"/>
        <v>0</v>
      </c>
      <c r="N9" s="415">
        <f t="shared" si="0"/>
        <v>0</v>
      </c>
      <c r="O9" s="415">
        <f t="shared" si="0"/>
        <v>0</v>
      </c>
      <c r="P9" s="415">
        <f t="shared" si="0"/>
        <v>0</v>
      </c>
      <c r="Q9" s="415">
        <f t="shared" si="0"/>
        <v>0</v>
      </c>
      <c r="R9" s="415">
        <f t="shared" si="0"/>
        <v>0</v>
      </c>
      <c r="S9" s="415">
        <f t="shared" si="0"/>
        <v>0</v>
      </c>
      <c r="T9" s="415">
        <f t="shared" si="1"/>
        <v>0</v>
      </c>
    </row>
    <row r="10" spans="1:24" ht="20.100000000000001" customHeight="1">
      <c r="A10" s="401" t="s">
        <v>132</v>
      </c>
      <c r="B10" s="408" t="s">
        <v>206</v>
      </c>
      <c r="C10" s="410">
        <f t="shared" si="0"/>
        <v>0</v>
      </c>
      <c r="D10" s="410">
        <f t="shared" si="0"/>
        <v>0</v>
      </c>
      <c r="E10" s="410">
        <f t="shared" si="0"/>
        <v>0</v>
      </c>
      <c r="F10" s="410">
        <f t="shared" si="0"/>
        <v>0</v>
      </c>
      <c r="G10" s="410">
        <f t="shared" si="0"/>
        <v>0</v>
      </c>
      <c r="H10" s="410">
        <f t="shared" si="0"/>
        <v>0</v>
      </c>
      <c r="I10" s="410">
        <f t="shared" si="0"/>
        <v>0</v>
      </c>
      <c r="J10" s="410">
        <f t="shared" si="0"/>
        <v>0</v>
      </c>
      <c r="K10" s="410">
        <f t="shared" si="0"/>
        <v>0</v>
      </c>
      <c r="L10" s="410">
        <f t="shared" si="0"/>
        <v>0</v>
      </c>
      <c r="M10" s="410">
        <f t="shared" si="0"/>
        <v>0</v>
      </c>
      <c r="N10" s="410">
        <f t="shared" si="0"/>
        <v>0</v>
      </c>
      <c r="O10" s="410">
        <f t="shared" si="0"/>
        <v>0</v>
      </c>
      <c r="P10" s="410">
        <f t="shared" si="0"/>
        <v>0</v>
      </c>
      <c r="Q10" s="410">
        <f t="shared" si="0"/>
        <v>0</v>
      </c>
      <c r="R10" s="410">
        <f t="shared" si="0"/>
        <v>0</v>
      </c>
      <c r="S10" s="410">
        <f t="shared" si="0"/>
        <v>0</v>
      </c>
      <c r="T10" s="410">
        <f t="shared" si="1"/>
        <v>0</v>
      </c>
    </row>
    <row r="11" spans="1:24" ht="20.100000000000001" customHeight="1">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c r="A12" s="401" t="s">
        <v>135</v>
      </c>
      <c r="B12" s="408" t="s">
        <v>70</v>
      </c>
      <c r="C12" s="410">
        <f t="shared" si="0"/>
        <v>0</v>
      </c>
      <c r="D12" s="410">
        <f t="shared" si="0"/>
        <v>0</v>
      </c>
      <c r="E12" s="410">
        <f t="shared" si="0"/>
        <v>0</v>
      </c>
      <c r="F12" s="410">
        <f t="shared" si="0"/>
        <v>0</v>
      </c>
      <c r="G12" s="410">
        <f t="shared" si="0"/>
        <v>0</v>
      </c>
      <c r="H12" s="410">
        <f t="shared" si="0"/>
        <v>0</v>
      </c>
      <c r="I12" s="410">
        <f t="shared" si="0"/>
        <v>0</v>
      </c>
      <c r="J12" s="410">
        <f t="shared" si="0"/>
        <v>0</v>
      </c>
      <c r="K12" s="410">
        <f t="shared" si="0"/>
        <v>0</v>
      </c>
      <c r="L12" s="410">
        <f t="shared" si="0"/>
        <v>0</v>
      </c>
      <c r="M12" s="410">
        <f t="shared" si="0"/>
        <v>0</v>
      </c>
      <c r="N12" s="410">
        <f t="shared" si="0"/>
        <v>0</v>
      </c>
      <c r="O12" s="410">
        <f t="shared" si="0"/>
        <v>0</v>
      </c>
      <c r="P12" s="410">
        <f t="shared" si="0"/>
        <v>0</v>
      </c>
      <c r="Q12" s="410">
        <f t="shared" si="0"/>
        <v>0</v>
      </c>
      <c r="R12" s="410">
        <f t="shared" si="0"/>
        <v>0</v>
      </c>
      <c r="S12" s="410">
        <f t="shared" si="0"/>
        <v>0</v>
      </c>
      <c r="T12" s="410">
        <f t="shared" si="1"/>
        <v>0</v>
      </c>
    </row>
    <row r="13" spans="1:24" ht="20.100000000000001" customHeight="1">
      <c r="A13" s="416" t="s">
        <v>136</v>
      </c>
      <c r="B13" s="414" t="s">
        <v>144</v>
      </c>
      <c r="C13" s="415">
        <f t="shared" si="0"/>
        <v>0</v>
      </c>
      <c r="D13" s="415">
        <f t="shared" si="0"/>
        <v>0</v>
      </c>
      <c r="E13" s="415">
        <f t="shared" si="0"/>
        <v>0</v>
      </c>
      <c r="F13" s="415">
        <f t="shared" si="0"/>
        <v>0</v>
      </c>
      <c r="G13" s="415">
        <f t="shared" si="0"/>
        <v>0</v>
      </c>
      <c r="H13" s="415">
        <f t="shared" si="0"/>
        <v>0</v>
      </c>
      <c r="I13" s="415">
        <f t="shared" si="0"/>
        <v>0</v>
      </c>
      <c r="J13" s="415">
        <f t="shared" si="0"/>
        <v>0</v>
      </c>
      <c r="K13" s="415">
        <f t="shared" si="0"/>
        <v>0</v>
      </c>
      <c r="L13" s="415">
        <f t="shared" si="0"/>
        <v>0</v>
      </c>
      <c r="M13" s="415">
        <f t="shared" si="0"/>
        <v>0</v>
      </c>
      <c r="N13" s="415">
        <f t="shared" si="0"/>
        <v>0</v>
      </c>
      <c r="O13" s="415">
        <f t="shared" si="0"/>
        <v>0</v>
      </c>
      <c r="P13" s="415">
        <f t="shared" si="0"/>
        <v>0</v>
      </c>
      <c r="Q13" s="415">
        <f t="shared" si="0"/>
        <v>0</v>
      </c>
      <c r="R13" s="415">
        <f t="shared" si="0"/>
        <v>0</v>
      </c>
      <c r="S13" s="415">
        <f t="shared" si="0"/>
        <v>0</v>
      </c>
      <c r="T13" s="415">
        <f t="shared" si="1"/>
        <v>0</v>
      </c>
    </row>
    <row r="14" spans="1:24" ht="20.100000000000001" customHeight="1">
      <c r="A14" s="401" t="s">
        <v>137</v>
      </c>
      <c r="B14" s="408" t="s">
        <v>49</v>
      </c>
      <c r="C14" s="410">
        <f t="shared" si="0"/>
        <v>0</v>
      </c>
      <c r="D14" s="410">
        <f t="shared" si="0"/>
        <v>0</v>
      </c>
      <c r="E14" s="410">
        <f t="shared" si="0"/>
        <v>0</v>
      </c>
      <c r="F14" s="410">
        <f t="shared" si="0"/>
        <v>0</v>
      </c>
      <c r="G14" s="410">
        <f t="shared" si="0"/>
        <v>0</v>
      </c>
      <c r="H14" s="410">
        <f t="shared" si="0"/>
        <v>0</v>
      </c>
      <c r="I14" s="410">
        <f t="shared" si="0"/>
        <v>0</v>
      </c>
      <c r="J14" s="410">
        <f t="shared" si="0"/>
        <v>0</v>
      </c>
      <c r="K14" s="410">
        <f t="shared" si="0"/>
        <v>0</v>
      </c>
      <c r="L14" s="410">
        <f t="shared" si="0"/>
        <v>0</v>
      </c>
      <c r="M14" s="410">
        <f t="shared" si="0"/>
        <v>0</v>
      </c>
      <c r="N14" s="410">
        <f t="shared" si="0"/>
        <v>0</v>
      </c>
      <c r="O14" s="410">
        <f t="shared" si="0"/>
        <v>0</v>
      </c>
      <c r="P14" s="410">
        <f t="shared" si="0"/>
        <v>0</v>
      </c>
      <c r="Q14" s="410">
        <f t="shared" si="0"/>
        <v>0</v>
      </c>
      <c r="R14" s="410">
        <f t="shared" si="0"/>
        <v>0</v>
      </c>
      <c r="S14" s="410">
        <f t="shared" si="0"/>
        <v>0</v>
      </c>
      <c r="T14" s="410">
        <f t="shared" si="1"/>
        <v>0</v>
      </c>
    </row>
    <row r="15" spans="1:24" ht="20.100000000000001" customHeight="1">
      <c r="A15" s="401">
        <v>25</v>
      </c>
      <c r="B15" s="414" t="s">
        <v>207</v>
      </c>
      <c r="C15" s="415">
        <f t="shared" si="0"/>
        <v>0</v>
      </c>
      <c r="D15" s="415">
        <f t="shared" si="0"/>
        <v>0</v>
      </c>
      <c r="E15" s="415">
        <f t="shared" si="0"/>
        <v>0</v>
      </c>
      <c r="F15" s="415">
        <f t="shared" si="0"/>
        <v>0</v>
      </c>
      <c r="G15" s="415">
        <f t="shared" si="0"/>
        <v>0</v>
      </c>
      <c r="H15" s="415">
        <f t="shared" si="0"/>
        <v>0</v>
      </c>
      <c r="I15" s="415">
        <f t="shared" si="0"/>
        <v>0</v>
      </c>
      <c r="J15" s="415">
        <f t="shared" si="0"/>
        <v>0</v>
      </c>
      <c r="K15" s="415">
        <f t="shared" si="0"/>
        <v>0</v>
      </c>
      <c r="L15" s="415">
        <f t="shared" si="0"/>
        <v>0</v>
      </c>
      <c r="M15" s="415">
        <f t="shared" si="0"/>
        <v>0</v>
      </c>
      <c r="N15" s="415">
        <f t="shared" si="0"/>
        <v>0</v>
      </c>
      <c r="O15" s="415">
        <f t="shared" si="0"/>
        <v>0</v>
      </c>
      <c r="P15" s="415">
        <f t="shared" si="0"/>
        <v>0</v>
      </c>
      <c r="Q15" s="415">
        <f t="shared" si="0"/>
        <v>0</v>
      </c>
      <c r="R15" s="415">
        <f t="shared" si="0"/>
        <v>0</v>
      </c>
      <c r="S15" s="415">
        <f t="shared" si="0"/>
        <v>0</v>
      </c>
      <c r="T15" s="415">
        <f t="shared" si="1"/>
        <v>0</v>
      </c>
    </row>
    <row r="16" spans="1:24" ht="20.100000000000001" customHeight="1">
      <c r="A16" s="401" t="s">
        <v>147</v>
      </c>
      <c r="B16" s="408" t="s">
        <v>208</v>
      </c>
      <c r="C16" s="410">
        <f t="shared" si="0"/>
        <v>0</v>
      </c>
      <c r="D16" s="410">
        <f t="shared" si="0"/>
        <v>0</v>
      </c>
      <c r="E16" s="410">
        <f t="shared" si="0"/>
        <v>0</v>
      </c>
      <c r="F16" s="410">
        <f t="shared" si="0"/>
        <v>0</v>
      </c>
      <c r="G16" s="410">
        <f t="shared" si="0"/>
        <v>0</v>
      </c>
      <c r="H16" s="410">
        <f t="shared" si="0"/>
        <v>0</v>
      </c>
      <c r="I16" s="410">
        <f t="shared" si="0"/>
        <v>0</v>
      </c>
      <c r="J16" s="410">
        <f t="shared" si="0"/>
        <v>0</v>
      </c>
      <c r="K16" s="410">
        <f t="shared" si="0"/>
        <v>0</v>
      </c>
      <c r="L16" s="410">
        <f t="shared" si="0"/>
        <v>0</v>
      </c>
      <c r="M16" s="410">
        <f t="shared" si="0"/>
        <v>0</v>
      </c>
      <c r="N16" s="410">
        <f t="shared" si="0"/>
        <v>0</v>
      </c>
      <c r="O16" s="410">
        <f t="shared" si="0"/>
        <v>0</v>
      </c>
      <c r="P16" s="410">
        <f t="shared" si="0"/>
        <v>0</v>
      </c>
      <c r="Q16" s="410">
        <f t="shared" si="0"/>
        <v>0</v>
      </c>
      <c r="R16" s="410">
        <f t="shared" si="0"/>
        <v>0</v>
      </c>
      <c r="S16" s="410">
        <f t="shared" si="0"/>
        <v>0</v>
      </c>
      <c r="T16" s="410">
        <f t="shared" si="1"/>
        <v>0</v>
      </c>
    </row>
    <row r="17" spans="1:91" ht="20.100000000000001" customHeight="1">
      <c r="A17" s="416" t="s">
        <v>148</v>
      </c>
      <c r="B17" s="414" t="s">
        <v>39</v>
      </c>
      <c r="C17" s="415">
        <f t="shared" si="0"/>
        <v>0</v>
      </c>
      <c r="D17" s="415">
        <f t="shared" si="0"/>
        <v>0</v>
      </c>
      <c r="E17" s="415">
        <f t="shared" si="0"/>
        <v>0</v>
      </c>
      <c r="F17" s="415">
        <f t="shared" si="0"/>
        <v>0</v>
      </c>
      <c r="G17" s="415">
        <f t="shared" si="0"/>
        <v>0</v>
      </c>
      <c r="H17" s="415">
        <f t="shared" si="0"/>
        <v>0</v>
      </c>
      <c r="I17" s="415">
        <f t="shared" si="0"/>
        <v>0</v>
      </c>
      <c r="J17" s="415">
        <f t="shared" si="0"/>
        <v>0</v>
      </c>
      <c r="K17" s="415">
        <f t="shared" si="0"/>
        <v>0</v>
      </c>
      <c r="L17" s="415">
        <f t="shared" si="0"/>
        <v>0</v>
      </c>
      <c r="M17" s="415">
        <f t="shared" si="0"/>
        <v>0</v>
      </c>
      <c r="N17" s="415">
        <f t="shared" si="0"/>
        <v>0</v>
      </c>
      <c r="O17" s="415">
        <f t="shared" si="0"/>
        <v>0</v>
      </c>
      <c r="P17" s="415">
        <f t="shared" si="0"/>
        <v>0</v>
      </c>
      <c r="Q17" s="415">
        <f t="shared" si="0"/>
        <v>0</v>
      </c>
      <c r="R17" s="415">
        <f t="shared" si="0"/>
        <v>0</v>
      </c>
      <c r="S17" s="415">
        <f t="shared" si="0"/>
        <v>0</v>
      </c>
      <c r="T17" s="415">
        <f t="shared" si="1"/>
        <v>0</v>
      </c>
    </row>
    <row r="18" spans="1:91" ht="20.100000000000001" customHeight="1">
      <c r="A18" s="401" t="s">
        <v>149</v>
      </c>
      <c r="B18" s="408" t="s">
        <v>38</v>
      </c>
      <c r="C18" s="410">
        <f t="shared" si="0"/>
        <v>0</v>
      </c>
      <c r="D18" s="410">
        <f t="shared" si="0"/>
        <v>0</v>
      </c>
      <c r="E18" s="410">
        <f t="shared" si="0"/>
        <v>0</v>
      </c>
      <c r="F18" s="410">
        <f t="shared" si="0"/>
        <v>0</v>
      </c>
      <c r="G18" s="410">
        <f t="shared" si="0"/>
        <v>0</v>
      </c>
      <c r="H18" s="410">
        <f t="shared" si="0"/>
        <v>0</v>
      </c>
      <c r="I18" s="410">
        <f t="shared" si="0"/>
        <v>0</v>
      </c>
      <c r="J18" s="410">
        <f t="shared" si="0"/>
        <v>0</v>
      </c>
      <c r="K18" s="410">
        <f t="shared" si="0"/>
        <v>0</v>
      </c>
      <c r="L18" s="410">
        <f t="shared" si="0"/>
        <v>0</v>
      </c>
      <c r="M18" s="410">
        <f t="shared" si="0"/>
        <v>0</v>
      </c>
      <c r="N18" s="410">
        <f t="shared" si="0"/>
        <v>0</v>
      </c>
      <c r="O18" s="410">
        <f t="shared" si="0"/>
        <v>0</v>
      </c>
      <c r="P18" s="410">
        <f t="shared" si="0"/>
        <v>0</v>
      </c>
      <c r="Q18" s="410">
        <f t="shared" si="0"/>
        <v>0</v>
      </c>
      <c r="R18" s="410">
        <f t="shared" si="0"/>
        <v>0</v>
      </c>
      <c r="S18" s="410">
        <f t="shared" si="0"/>
        <v>0</v>
      </c>
      <c r="T18" s="410">
        <f t="shared" si="1"/>
        <v>0</v>
      </c>
    </row>
    <row r="19" spans="1:91" ht="20.100000000000001" customHeight="1">
      <c r="A19" s="401" t="s">
        <v>150</v>
      </c>
      <c r="B19" s="414" t="s">
        <v>31</v>
      </c>
      <c r="C19" s="415">
        <f t="shared" si="0"/>
        <v>0</v>
      </c>
      <c r="D19" s="415">
        <f t="shared" si="0"/>
        <v>0</v>
      </c>
      <c r="E19" s="415">
        <f t="shared" si="0"/>
        <v>0</v>
      </c>
      <c r="F19" s="415">
        <f t="shared" si="0"/>
        <v>0</v>
      </c>
      <c r="G19" s="415">
        <f t="shared" si="0"/>
        <v>0</v>
      </c>
      <c r="H19" s="415">
        <f t="shared" si="0"/>
        <v>0</v>
      </c>
      <c r="I19" s="415">
        <f t="shared" si="0"/>
        <v>0</v>
      </c>
      <c r="J19" s="415">
        <f t="shared" si="0"/>
        <v>0</v>
      </c>
      <c r="K19" s="415">
        <f t="shared" si="0"/>
        <v>0</v>
      </c>
      <c r="L19" s="415">
        <f t="shared" si="0"/>
        <v>0</v>
      </c>
      <c r="M19" s="415">
        <f t="shared" si="0"/>
        <v>0</v>
      </c>
      <c r="N19" s="415">
        <f t="shared" si="0"/>
        <v>0</v>
      </c>
      <c r="O19" s="415">
        <f t="shared" si="0"/>
        <v>0</v>
      </c>
      <c r="P19" s="415">
        <f t="shared" si="0"/>
        <v>0</v>
      </c>
      <c r="Q19" s="415">
        <f t="shared" si="0"/>
        <v>0</v>
      </c>
      <c r="R19" s="415">
        <f t="shared" si="0"/>
        <v>0</v>
      </c>
      <c r="S19" s="415">
        <f t="shared" si="0"/>
        <v>0</v>
      </c>
      <c r="T19" s="415">
        <f t="shared" si="1"/>
        <v>0</v>
      </c>
    </row>
    <row r="20" spans="1:91" ht="20.100000000000001" customHeight="1">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c r="A21" s="416" t="s">
        <v>153</v>
      </c>
      <c r="B21" s="414" t="s">
        <v>210</v>
      </c>
      <c r="C21" s="415">
        <f t="shared" si="2"/>
        <v>0</v>
      </c>
      <c r="D21" s="415">
        <f t="shared" si="2"/>
        <v>0</v>
      </c>
      <c r="E21" s="415">
        <f t="shared" si="2"/>
        <v>0</v>
      </c>
      <c r="F21" s="415">
        <f t="shared" si="2"/>
        <v>0</v>
      </c>
      <c r="G21" s="415">
        <f t="shared" si="2"/>
        <v>0</v>
      </c>
      <c r="H21" s="415">
        <f t="shared" si="2"/>
        <v>0</v>
      </c>
      <c r="I21" s="415">
        <f t="shared" si="2"/>
        <v>0</v>
      </c>
      <c r="J21" s="415">
        <f t="shared" si="2"/>
        <v>0</v>
      </c>
      <c r="K21" s="415">
        <f t="shared" si="2"/>
        <v>0</v>
      </c>
      <c r="L21" s="415">
        <f t="shared" si="2"/>
        <v>0</v>
      </c>
      <c r="M21" s="415">
        <f t="shared" si="2"/>
        <v>0</v>
      </c>
      <c r="N21" s="415">
        <f t="shared" si="2"/>
        <v>0</v>
      </c>
      <c r="O21" s="415">
        <f t="shared" si="2"/>
        <v>0</v>
      </c>
      <c r="P21" s="415">
        <f t="shared" si="2"/>
        <v>0</v>
      </c>
      <c r="Q21" s="415">
        <f t="shared" si="2"/>
        <v>0</v>
      </c>
      <c r="R21" s="415">
        <f t="shared" si="2"/>
        <v>0</v>
      </c>
      <c r="S21" s="415">
        <f t="shared" si="2"/>
        <v>0</v>
      </c>
      <c r="T21" s="415">
        <f t="shared" si="1"/>
        <v>0</v>
      </c>
    </row>
    <row r="22" spans="1:91" ht="20.100000000000001" customHeight="1">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c r="A23" s="401" t="s">
        <v>162</v>
      </c>
      <c r="B23" s="414" t="s">
        <v>76</v>
      </c>
      <c r="C23" s="415">
        <f t="shared" si="2"/>
        <v>0</v>
      </c>
      <c r="D23" s="415">
        <f t="shared" si="2"/>
        <v>0</v>
      </c>
      <c r="E23" s="415">
        <f t="shared" si="2"/>
        <v>0</v>
      </c>
      <c r="F23" s="415">
        <f t="shared" si="2"/>
        <v>0</v>
      </c>
      <c r="G23" s="415">
        <f t="shared" si="2"/>
        <v>0</v>
      </c>
      <c r="H23" s="415">
        <f t="shared" si="2"/>
        <v>0</v>
      </c>
      <c r="I23" s="415">
        <f t="shared" si="2"/>
        <v>0</v>
      </c>
      <c r="J23" s="415">
        <f t="shared" si="2"/>
        <v>0</v>
      </c>
      <c r="K23" s="415">
        <f t="shared" si="2"/>
        <v>0</v>
      </c>
      <c r="L23" s="415">
        <f t="shared" si="2"/>
        <v>0</v>
      </c>
      <c r="M23" s="415">
        <f t="shared" si="2"/>
        <v>0</v>
      </c>
      <c r="N23" s="415">
        <f t="shared" si="2"/>
        <v>0</v>
      </c>
      <c r="O23" s="415">
        <f t="shared" si="2"/>
        <v>0</v>
      </c>
      <c r="P23" s="415">
        <f t="shared" si="2"/>
        <v>0</v>
      </c>
      <c r="Q23" s="415">
        <f t="shared" si="2"/>
        <v>0</v>
      </c>
      <c r="R23" s="415">
        <f t="shared" si="2"/>
        <v>0</v>
      </c>
      <c r="S23" s="415">
        <f t="shared" si="2"/>
        <v>0</v>
      </c>
      <c r="T23" s="415">
        <f t="shared" si="1"/>
        <v>0</v>
      </c>
    </row>
    <row r="24" spans="1:91" ht="20.100000000000001" customHeight="1">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c r="A26" s="402"/>
      <c r="B26" s="421" t="s">
        <v>17</v>
      </c>
      <c r="C26" s="577">
        <f t="shared" ref="C26:S26" si="3">SUM(C5:C25)</f>
        <v>-135170.8405000288</v>
      </c>
      <c r="D26" s="577">
        <f t="shared" si="3"/>
        <v>-4770467.0504049063</v>
      </c>
      <c r="E26" s="577">
        <f t="shared" si="3"/>
        <v>-604631.99105374143</v>
      </c>
      <c r="F26" s="577">
        <f t="shared" si="3"/>
        <v>-95078.31319028954</v>
      </c>
      <c r="G26" s="577">
        <f t="shared" si="3"/>
        <v>-751939.64737553149</v>
      </c>
      <c r="H26" s="577">
        <f t="shared" si="3"/>
        <v>-353741.04278744105</v>
      </c>
      <c r="I26" s="577">
        <f t="shared" si="3"/>
        <v>-95003.465724110836</v>
      </c>
      <c r="J26" s="577">
        <f t="shared" si="3"/>
        <v>-2580.4224551687948</v>
      </c>
      <c r="K26" s="577">
        <f t="shared" si="3"/>
        <v>-760.23777716021141</v>
      </c>
      <c r="L26" s="577">
        <f t="shared" si="3"/>
        <v>-27739.923977894709</v>
      </c>
      <c r="M26" s="577">
        <f t="shared" si="3"/>
        <v>-259.50424124218807</v>
      </c>
      <c r="N26" s="577">
        <f t="shared" si="3"/>
        <v>-195392.15912760841</v>
      </c>
      <c r="O26" s="577">
        <f t="shared" si="3"/>
        <v>-86483.988404964563</v>
      </c>
      <c r="P26" s="577">
        <f t="shared" si="3"/>
        <v>-1494.8906291275343</v>
      </c>
      <c r="Q26" s="577">
        <f t="shared" si="3"/>
        <v>-134436.32254421804</v>
      </c>
      <c r="R26" s="570">
        <f t="shared" si="3"/>
        <v>-64719.685673067463</v>
      </c>
      <c r="S26" s="570">
        <f t="shared" si="3"/>
        <v>-1056.2919115351033</v>
      </c>
      <c r="T26" s="569">
        <f t="shared" si="1"/>
        <v>-7320955.7777780378</v>
      </c>
      <c r="U26" s="495"/>
    </row>
    <row r="27" spans="1:91" s="18" customFormat="1" ht="22.5" customHeight="1">
      <c r="A27" s="292"/>
      <c r="B27" s="632" t="s">
        <v>202</v>
      </c>
      <c r="C27" s="633"/>
      <c r="D27" s="633"/>
      <c r="E27" s="633"/>
      <c r="F27" s="633"/>
      <c r="G27" s="633"/>
      <c r="H27" s="633"/>
      <c r="I27" s="633"/>
      <c r="J27" s="633"/>
      <c r="K27" s="633"/>
      <c r="L27" s="633"/>
      <c r="M27" s="633"/>
      <c r="N27" s="633"/>
      <c r="O27" s="633"/>
      <c r="P27" s="633"/>
      <c r="Q27" s="633"/>
      <c r="R27" s="633"/>
      <c r="S27" s="633"/>
      <c r="T27" s="633"/>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c r="A29" s="403" t="s">
        <v>128</v>
      </c>
      <c r="B29" s="437" t="s">
        <v>21</v>
      </c>
      <c r="C29" s="438">
        <f>+FY16ProjRevToColl!C29-FY16ProjRevToColl0!C29</f>
        <v>-96904.731662733946</v>
      </c>
      <c r="D29" s="438">
        <f>+FY16ProjRevToColl!D29-FY16ProjRevToColl0!D29</f>
        <v>-2903285.9361565262</v>
      </c>
      <c r="E29" s="438">
        <f>+FY16ProjRevToColl!E29-FY16ProjRevToColl0!E29</f>
        <v>-283470.00616930053</v>
      </c>
      <c r="F29" s="438">
        <f>+FY16ProjRevToColl!F29-FY16ProjRevToColl0!F29</f>
        <v>-60570.482899514493</v>
      </c>
      <c r="G29" s="438">
        <f>+FY16ProjRevToColl!G29-FY16ProjRevToColl0!G29</f>
        <v>-417794.51842129603</v>
      </c>
      <c r="H29" s="438">
        <f>+FY16ProjRevToColl!H29-FY16ProjRevToColl0!H29</f>
        <v>-252950.84540349431</v>
      </c>
      <c r="I29" s="438">
        <f>+FY16ProjRevToColl!I29-FY16ProjRevToColl0!I29</f>
        <v>-60837.297119383235</v>
      </c>
      <c r="J29" s="438">
        <f>+FY16ProjRevToColl!J29-FY16ProjRevToColl0!J29</f>
        <v>-2580.4224551687948</v>
      </c>
      <c r="K29" s="438">
        <f>+FY16ProjRevToColl!K29-FY16ProjRevToColl0!K29</f>
        <v>-760.23777716021141</v>
      </c>
      <c r="L29" s="438">
        <f>+FY16ProjRevToColl!L29-FY16ProjRevToColl0!L29</f>
        <v>-13731.794849956408</v>
      </c>
      <c r="M29" s="438">
        <f>+FY16ProjRevToColl!M29-FY16ProjRevToColl0!M29</f>
        <v>-259.50424124218807</v>
      </c>
      <c r="N29" s="438">
        <f>+FY16ProjRevToColl!N29-FY16ProjRevToColl0!N29</f>
        <v>-125351.51348791644</v>
      </c>
      <c r="O29" s="438">
        <f>+FY16ProjRevToColl!O29-FY16ProjRevToColl0!O29</f>
        <v>-37968.028986251215</v>
      </c>
      <c r="P29" s="438">
        <f>+FY16ProjRevToColl!P29-FY16ProjRevToColl0!P29</f>
        <v>-1494.8906291275343</v>
      </c>
      <c r="Q29" s="438">
        <f>+FY16ProjRevToColl!Q29-FY16ProjRevToColl0!Q29</f>
        <v>-73278.880741755478</v>
      </c>
      <c r="R29" s="438">
        <f>+FY16ProjRevToColl!R29-FY16ProjRevToColl0!R29</f>
        <v>-60278.083754452877</v>
      </c>
      <c r="S29" s="438">
        <f>+FY16ProjRevToColl!S29-FY16ProjRevToColl0!S29</f>
        <v>-1056.2919115351033</v>
      </c>
      <c r="T29" s="439">
        <f t="shared" ref="T29:T49" si="4">SUM(C29:Q29)+R29+S29</f>
        <v>-4392573.4666668139</v>
      </c>
    </row>
    <row r="30" spans="1:91" s="18" customFormat="1" ht="20.100000000000001" customHeight="1">
      <c r="A30" s="404" t="s">
        <v>129</v>
      </c>
      <c r="B30" s="440" t="s">
        <v>35</v>
      </c>
      <c r="C30" s="410">
        <f>+FY16ProjRevToColl!C30-FY16ProjRevToColl0!C30</f>
        <v>0</v>
      </c>
      <c r="D30" s="410">
        <f>+FY16ProjRevToColl!D30-FY16ProjRevToColl0!D30</f>
        <v>0</v>
      </c>
      <c r="E30" s="410">
        <f>+FY16ProjRevToColl!E30-FY16ProjRevToColl0!E30</f>
        <v>0</v>
      </c>
      <c r="F30" s="410">
        <f>+FY16ProjRevToColl!F30-FY16ProjRevToColl0!F30</f>
        <v>0</v>
      </c>
      <c r="G30" s="410">
        <f>+FY16ProjRevToColl!G30-FY16ProjRevToColl0!G30</f>
        <v>0</v>
      </c>
      <c r="H30" s="410">
        <f>+FY16ProjRevToColl!H30-FY16ProjRevToColl0!H30</f>
        <v>0</v>
      </c>
      <c r="I30" s="410">
        <f>+FY16ProjRevToColl!I30-FY16ProjRevToColl0!I30</f>
        <v>0</v>
      </c>
      <c r="J30" s="410">
        <f>+FY16ProjRevToColl!J30-FY16ProjRevToColl0!J30</f>
        <v>0</v>
      </c>
      <c r="K30" s="410">
        <f>+FY16ProjRevToColl!K30-FY16ProjRevToColl0!K30</f>
        <v>0</v>
      </c>
      <c r="L30" s="410">
        <f>+FY16ProjRevToColl!L30-FY16ProjRevToColl0!L30</f>
        <v>0</v>
      </c>
      <c r="M30" s="410">
        <f>+FY16ProjRevToColl!M30-FY16ProjRevToColl0!M30</f>
        <v>0</v>
      </c>
      <c r="N30" s="410">
        <f>+FY16ProjRevToColl!N30-FY16ProjRevToColl0!N30</f>
        <v>0</v>
      </c>
      <c r="O30" s="410">
        <f>+FY16ProjRevToColl!O30-FY16ProjRevToColl0!O30</f>
        <v>0</v>
      </c>
      <c r="P30" s="410">
        <f>+FY16ProjRevToColl!P30-FY16ProjRevToColl0!P30</f>
        <v>0</v>
      </c>
      <c r="Q30" s="410">
        <f>+FY16ProjRevToColl!Q30-FY16ProjRevToColl0!Q30</f>
        <v>0</v>
      </c>
      <c r="R30" s="410">
        <f>+FY16ProjRevToColl!R30-FY16ProjRevToColl0!R30</f>
        <v>0</v>
      </c>
      <c r="S30" s="410">
        <f>+FY16ProjRevToColl!S30-FY16ProjRevToColl0!S30</f>
        <v>0</v>
      </c>
      <c r="T30" s="441">
        <f t="shared" si="4"/>
        <v>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c r="A31" s="404" t="s">
        <v>140</v>
      </c>
      <c r="B31" s="442" t="s">
        <v>36</v>
      </c>
      <c r="C31" s="443">
        <f>+FY16ProjRevToColl!C31-FY16ProjRevToColl0!C31</f>
        <v>0</v>
      </c>
      <c r="D31" s="443">
        <f>+FY16ProjRevToColl!D31-FY16ProjRevToColl0!D31</f>
        <v>0</v>
      </c>
      <c r="E31" s="443">
        <f>+FY16ProjRevToColl!E31-FY16ProjRevToColl0!E31</f>
        <v>0</v>
      </c>
      <c r="F31" s="443">
        <f>+FY16ProjRevToColl!F31-FY16ProjRevToColl0!F31</f>
        <v>0</v>
      </c>
      <c r="G31" s="443">
        <f>+FY16ProjRevToColl!G31-FY16ProjRevToColl0!G31</f>
        <v>0</v>
      </c>
      <c r="H31" s="443">
        <f>+FY16ProjRevToColl!H31-FY16ProjRevToColl0!H31</f>
        <v>0</v>
      </c>
      <c r="I31" s="443">
        <f>+FY16ProjRevToColl!I31-FY16ProjRevToColl0!I31</f>
        <v>0</v>
      </c>
      <c r="J31" s="443">
        <f>+FY16ProjRevToColl!J31-FY16ProjRevToColl0!J31</f>
        <v>0</v>
      </c>
      <c r="K31" s="443">
        <f>+FY16ProjRevToColl!K31-FY16ProjRevToColl0!K31</f>
        <v>0</v>
      </c>
      <c r="L31" s="443">
        <f>+FY16ProjRevToColl!L31-FY16ProjRevToColl0!L31</f>
        <v>0</v>
      </c>
      <c r="M31" s="443">
        <f>+FY16ProjRevToColl!M31-FY16ProjRevToColl0!M31</f>
        <v>0</v>
      </c>
      <c r="N31" s="443">
        <f>+FY16ProjRevToColl!N31-FY16ProjRevToColl0!N31</f>
        <v>0</v>
      </c>
      <c r="O31" s="443">
        <f>+FY16ProjRevToColl!O31-FY16ProjRevToColl0!O31</f>
        <v>0</v>
      </c>
      <c r="P31" s="443">
        <f>+FY16ProjRevToColl!P31-FY16ProjRevToColl0!P31</f>
        <v>0</v>
      </c>
      <c r="Q31" s="443">
        <f>+FY16ProjRevToColl!Q31-FY16ProjRevToColl0!Q31</f>
        <v>0</v>
      </c>
      <c r="R31" s="443">
        <f>+FY16ProjRevToColl!R31-FY16ProjRevToColl0!R31</f>
        <v>0</v>
      </c>
      <c r="S31" s="443">
        <f>+FY16ProjRevToColl!S31-FY16ProjRevToColl0!S31</f>
        <v>0</v>
      </c>
      <c r="T31" s="444">
        <f t="shared" si="4"/>
        <v>0</v>
      </c>
    </row>
    <row r="32" spans="1:91" s="18" customFormat="1" ht="20.100000000000001" customHeight="1">
      <c r="A32" s="404" t="s">
        <v>130</v>
      </c>
      <c r="B32" s="440" t="s">
        <v>37</v>
      </c>
      <c r="C32" s="410">
        <f>+FY16ProjRevToColl!C32-FY16ProjRevToColl0!C32</f>
        <v>0</v>
      </c>
      <c r="D32" s="410">
        <f>+FY16ProjRevToColl!D32-FY16ProjRevToColl0!D32</f>
        <v>0</v>
      </c>
      <c r="E32" s="410">
        <f>+FY16ProjRevToColl!E32-FY16ProjRevToColl0!E32</f>
        <v>0</v>
      </c>
      <c r="F32" s="410">
        <f>+FY16ProjRevToColl!F32-FY16ProjRevToColl0!F32</f>
        <v>0</v>
      </c>
      <c r="G32" s="410">
        <f>+FY16ProjRevToColl!G32-FY16ProjRevToColl0!G32</f>
        <v>0</v>
      </c>
      <c r="H32" s="410">
        <f>+FY16ProjRevToColl!H32-FY16ProjRevToColl0!H32</f>
        <v>0</v>
      </c>
      <c r="I32" s="410">
        <f>+FY16ProjRevToColl!I32-FY16ProjRevToColl0!I32</f>
        <v>0</v>
      </c>
      <c r="J32" s="410">
        <f>+FY16ProjRevToColl!J32-FY16ProjRevToColl0!J32</f>
        <v>0</v>
      </c>
      <c r="K32" s="410">
        <f>+FY16ProjRevToColl!K32-FY16ProjRevToColl0!K32</f>
        <v>0</v>
      </c>
      <c r="L32" s="410">
        <f>+FY16ProjRevToColl!L32-FY16ProjRevToColl0!L32</f>
        <v>0</v>
      </c>
      <c r="M32" s="410">
        <f>+FY16ProjRevToColl!M32-FY16ProjRevToColl0!M32</f>
        <v>0</v>
      </c>
      <c r="N32" s="410">
        <f>+FY16ProjRevToColl!N32-FY16ProjRevToColl0!N32</f>
        <v>0</v>
      </c>
      <c r="O32" s="410">
        <f>+FY16ProjRevToColl!O32-FY16ProjRevToColl0!O32</f>
        <v>0</v>
      </c>
      <c r="P32" s="410">
        <f>+FY16ProjRevToColl!P32-FY16ProjRevToColl0!P32</f>
        <v>0</v>
      </c>
      <c r="Q32" s="410">
        <f>+FY16ProjRevToColl!Q32-FY16ProjRevToColl0!Q32</f>
        <v>0</v>
      </c>
      <c r="R32" s="410">
        <f>+FY16ProjRevToColl!R32-FY16ProjRevToColl0!R32</f>
        <v>0</v>
      </c>
      <c r="S32" s="410">
        <f>+FY16ProjRevToColl!S32-FY16ProjRevToColl0!S32</f>
        <v>0</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c r="A33" s="404" t="s">
        <v>131</v>
      </c>
      <c r="B33" s="442" t="s">
        <v>141</v>
      </c>
      <c r="C33" s="443">
        <f>+FY16ProjRevToColl!C33-FY16ProjRevToColl0!C33</f>
        <v>0</v>
      </c>
      <c r="D33" s="443">
        <f>+FY16ProjRevToColl!D33-FY16ProjRevToColl0!D33</f>
        <v>0</v>
      </c>
      <c r="E33" s="443">
        <f>+FY16ProjRevToColl!E33-FY16ProjRevToColl0!E33</f>
        <v>0</v>
      </c>
      <c r="F33" s="443">
        <f>+FY16ProjRevToColl!F33-FY16ProjRevToColl0!F33</f>
        <v>0</v>
      </c>
      <c r="G33" s="443">
        <f>+FY16ProjRevToColl!G33-FY16ProjRevToColl0!G33</f>
        <v>0</v>
      </c>
      <c r="H33" s="443">
        <f>+FY16ProjRevToColl!H33-FY16ProjRevToColl0!H33</f>
        <v>0</v>
      </c>
      <c r="I33" s="443">
        <f>+FY16ProjRevToColl!I33-FY16ProjRevToColl0!I33</f>
        <v>0</v>
      </c>
      <c r="J33" s="443">
        <f>+FY16ProjRevToColl!J33-FY16ProjRevToColl0!J33</f>
        <v>0</v>
      </c>
      <c r="K33" s="443">
        <f>+FY16ProjRevToColl!K33-FY16ProjRevToColl0!K33</f>
        <v>0</v>
      </c>
      <c r="L33" s="443">
        <f>+FY16ProjRevToColl!L33-FY16ProjRevToColl0!L33</f>
        <v>0</v>
      </c>
      <c r="M33" s="443">
        <f>+FY16ProjRevToColl!M33-FY16ProjRevToColl0!M33</f>
        <v>0</v>
      </c>
      <c r="N33" s="443">
        <f>+FY16ProjRevToColl!N33-FY16ProjRevToColl0!N33</f>
        <v>0</v>
      </c>
      <c r="O33" s="443">
        <f>+FY16ProjRevToColl!O33-FY16ProjRevToColl0!O33</f>
        <v>0</v>
      </c>
      <c r="P33" s="443">
        <f>+FY16ProjRevToColl!P33-FY16ProjRevToColl0!P33</f>
        <v>0</v>
      </c>
      <c r="Q33" s="443">
        <f>+FY16ProjRevToColl!Q33-FY16ProjRevToColl0!Q33</f>
        <v>0</v>
      </c>
      <c r="R33" s="443">
        <f>+FY16ProjRevToColl!R33-FY16ProjRevToColl0!R33</f>
        <v>0</v>
      </c>
      <c r="S33" s="443">
        <f>+FY16ProjRevToColl!S33-FY16ProjRevToColl0!S33</f>
        <v>0</v>
      </c>
      <c r="T33" s="444">
        <f t="shared" si="4"/>
        <v>0</v>
      </c>
    </row>
    <row r="34" spans="1:91" s="18" customFormat="1" ht="20.100000000000001" customHeight="1">
      <c r="A34" s="404" t="s">
        <v>132</v>
      </c>
      <c r="B34" s="440" t="s">
        <v>206</v>
      </c>
      <c r="C34" s="410">
        <f>+FY16ProjRevToColl!C34-FY16ProjRevToColl0!C34</f>
        <v>0</v>
      </c>
      <c r="D34" s="410">
        <f>+FY16ProjRevToColl!D34-FY16ProjRevToColl0!D34</f>
        <v>0</v>
      </c>
      <c r="E34" s="410">
        <f>+FY16ProjRevToColl!E34-FY16ProjRevToColl0!E34</f>
        <v>0</v>
      </c>
      <c r="F34" s="410">
        <f>+FY16ProjRevToColl!F34-FY16ProjRevToColl0!F34</f>
        <v>0</v>
      </c>
      <c r="G34" s="410">
        <f>+FY16ProjRevToColl!G34-FY16ProjRevToColl0!G34</f>
        <v>0</v>
      </c>
      <c r="H34" s="410">
        <f>+FY16ProjRevToColl!H34-FY16ProjRevToColl0!H34</f>
        <v>0</v>
      </c>
      <c r="I34" s="410">
        <f>+FY16ProjRevToColl!I34-FY16ProjRevToColl0!I34</f>
        <v>0</v>
      </c>
      <c r="J34" s="410">
        <f>+FY16ProjRevToColl!J34-FY16ProjRevToColl0!J34</f>
        <v>0</v>
      </c>
      <c r="K34" s="410">
        <f>+FY16ProjRevToColl!K34-FY16ProjRevToColl0!K34</f>
        <v>0</v>
      </c>
      <c r="L34" s="410">
        <f>+FY16ProjRevToColl!L34-FY16ProjRevToColl0!L34</f>
        <v>0</v>
      </c>
      <c r="M34" s="410">
        <f>+FY16ProjRevToColl!M34-FY16ProjRevToColl0!M34</f>
        <v>0</v>
      </c>
      <c r="N34" s="410">
        <f>+FY16ProjRevToColl!N34-FY16ProjRevToColl0!N34</f>
        <v>0</v>
      </c>
      <c r="O34" s="410">
        <f>+FY16ProjRevToColl!O34-FY16ProjRevToColl0!O34</f>
        <v>0</v>
      </c>
      <c r="P34" s="410">
        <f>+FY16ProjRevToColl!P34-FY16ProjRevToColl0!P34</f>
        <v>0</v>
      </c>
      <c r="Q34" s="410">
        <f>+FY16ProjRevToColl!Q34-FY16ProjRevToColl0!Q34</f>
        <v>0</v>
      </c>
      <c r="R34" s="410">
        <f>+FY16ProjRevToColl!R34-FY16ProjRevToColl0!R34</f>
        <v>0</v>
      </c>
      <c r="S34" s="410">
        <f>+FY16ProjRevToColl!S34-FY16ProjRevToColl0!S34</f>
        <v>0</v>
      </c>
      <c r="T34" s="441">
        <f t="shared" si="4"/>
        <v>0</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c r="A35" s="404" t="s">
        <v>134</v>
      </c>
      <c r="B35" s="442" t="s">
        <v>40</v>
      </c>
      <c r="C35" s="443">
        <f>+FY16ProjRevToColl!C35-FY16ProjRevToColl0!C35</f>
        <v>0</v>
      </c>
      <c r="D35" s="443">
        <f>+FY16ProjRevToColl!D35-FY16ProjRevToColl0!D35</f>
        <v>0</v>
      </c>
      <c r="E35" s="443">
        <f>+FY16ProjRevToColl!E35-FY16ProjRevToColl0!E35</f>
        <v>0</v>
      </c>
      <c r="F35" s="443">
        <f>+FY16ProjRevToColl!F35-FY16ProjRevToColl0!F35</f>
        <v>0</v>
      </c>
      <c r="G35" s="443">
        <f>+FY16ProjRevToColl!G35-FY16ProjRevToColl0!G35</f>
        <v>0</v>
      </c>
      <c r="H35" s="443">
        <f>+FY16ProjRevToColl!H35-FY16ProjRevToColl0!H35</f>
        <v>0</v>
      </c>
      <c r="I35" s="443">
        <f>+FY16ProjRevToColl!I35-FY16ProjRevToColl0!I35</f>
        <v>0</v>
      </c>
      <c r="J35" s="443">
        <f>+FY16ProjRevToColl!J35-FY16ProjRevToColl0!J35</f>
        <v>0</v>
      </c>
      <c r="K35" s="443">
        <f>+FY16ProjRevToColl!K35-FY16ProjRevToColl0!K35</f>
        <v>0</v>
      </c>
      <c r="L35" s="443">
        <f>+FY16ProjRevToColl!L35-FY16ProjRevToColl0!L35</f>
        <v>0</v>
      </c>
      <c r="M35" s="443">
        <f>+FY16ProjRevToColl!M35-FY16ProjRevToColl0!M35</f>
        <v>0</v>
      </c>
      <c r="N35" s="443">
        <f>+FY16ProjRevToColl!N35-FY16ProjRevToColl0!N35</f>
        <v>0</v>
      </c>
      <c r="O35" s="443">
        <f>+FY16ProjRevToColl!O35-FY16ProjRevToColl0!O35</f>
        <v>0</v>
      </c>
      <c r="P35" s="443">
        <f>+FY16ProjRevToColl!P35-FY16ProjRevToColl0!P35</f>
        <v>0</v>
      </c>
      <c r="Q35" s="443">
        <f>+FY16ProjRevToColl!Q35-FY16ProjRevToColl0!Q35</f>
        <v>0</v>
      </c>
      <c r="R35" s="443">
        <f>+FY16ProjRevToColl!R35-FY16ProjRevToColl0!R35</f>
        <v>0</v>
      </c>
      <c r="S35" s="443">
        <f>+FY16ProjRevToColl!S35-FY16ProjRevToColl0!S35</f>
        <v>0</v>
      </c>
      <c r="T35" s="444">
        <f t="shared" si="4"/>
        <v>0</v>
      </c>
    </row>
    <row r="36" spans="1:91" s="18" customFormat="1" ht="20.100000000000001" customHeight="1">
      <c r="A36" s="404" t="s">
        <v>135</v>
      </c>
      <c r="B36" s="440" t="s">
        <v>70</v>
      </c>
      <c r="C36" s="410">
        <f>+FY16ProjRevToColl!C36-FY16ProjRevToColl0!C36</f>
        <v>0</v>
      </c>
      <c r="D36" s="410">
        <f>+FY16ProjRevToColl!D36-FY16ProjRevToColl0!D36</f>
        <v>0</v>
      </c>
      <c r="E36" s="410">
        <f>+FY16ProjRevToColl!E36-FY16ProjRevToColl0!E36</f>
        <v>0</v>
      </c>
      <c r="F36" s="410">
        <f>+FY16ProjRevToColl!F36-FY16ProjRevToColl0!F36</f>
        <v>0</v>
      </c>
      <c r="G36" s="410">
        <f>+FY16ProjRevToColl!G36-FY16ProjRevToColl0!G36</f>
        <v>0</v>
      </c>
      <c r="H36" s="410">
        <f>+FY16ProjRevToColl!H36-FY16ProjRevToColl0!H36</f>
        <v>0</v>
      </c>
      <c r="I36" s="410">
        <f>+FY16ProjRevToColl!I36-FY16ProjRevToColl0!I36</f>
        <v>0</v>
      </c>
      <c r="J36" s="410">
        <f>+FY16ProjRevToColl!J36-FY16ProjRevToColl0!J36</f>
        <v>0</v>
      </c>
      <c r="K36" s="410">
        <f>+FY16ProjRevToColl!K36-FY16ProjRevToColl0!K36</f>
        <v>0</v>
      </c>
      <c r="L36" s="410">
        <f>+FY16ProjRevToColl!L36-FY16ProjRevToColl0!L36</f>
        <v>0</v>
      </c>
      <c r="M36" s="410">
        <f>+FY16ProjRevToColl!M36-FY16ProjRevToColl0!M36</f>
        <v>0</v>
      </c>
      <c r="N36" s="410">
        <f>+FY16ProjRevToColl!N36-FY16ProjRevToColl0!N36</f>
        <v>0</v>
      </c>
      <c r="O36" s="410">
        <f>+FY16ProjRevToColl!O36-FY16ProjRevToColl0!O36</f>
        <v>0</v>
      </c>
      <c r="P36" s="410">
        <f>+FY16ProjRevToColl!P36-FY16ProjRevToColl0!P36</f>
        <v>0</v>
      </c>
      <c r="Q36" s="410">
        <f>+FY16ProjRevToColl!Q36-FY16ProjRevToColl0!Q36</f>
        <v>0</v>
      </c>
      <c r="R36" s="410">
        <f>+FY16ProjRevToColl!R36-FY16ProjRevToColl0!R36</f>
        <v>0</v>
      </c>
      <c r="S36" s="410">
        <f>+FY16ProjRevToColl!S36-FY16ProjRevToColl0!S36</f>
        <v>0</v>
      </c>
      <c r="T36" s="441">
        <f t="shared" si="4"/>
        <v>0</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c r="A37" s="404" t="s">
        <v>136</v>
      </c>
      <c r="B37" s="442" t="s">
        <v>144</v>
      </c>
      <c r="C37" s="443">
        <f>+FY16ProjRevToColl!C37-FY16ProjRevToColl0!C37</f>
        <v>0</v>
      </c>
      <c r="D37" s="443">
        <f>+FY16ProjRevToColl!D37-FY16ProjRevToColl0!D37</f>
        <v>0</v>
      </c>
      <c r="E37" s="443">
        <f>+FY16ProjRevToColl!E37-FY16ProjRevToColl0!E37</f>
        <v>0</v>
      </c>
      <c r="F37" s="443">
        <f>+FY16ProjRevToColl!F37-FY16ProjRevToColl0!F37</f>
        <v>0</v>
      </c>
      <c r="G37" s="443">
        <f>+FY16ProjRevToColl!G37-FY16ProjRevToColl0!G37</f>
        <v>0</v>
      </c>
      <c r="H37" s="443">
        <f>+FY16ProjRevToColl!H37-FY16ProjRevToColl0!H37</f>
        <v>0</v>
      </c>
      <c r="I37" s="443">
        <f>+FY16ProjRevToColl!I37-FY16ProjRevToColl0!I37</f>
        <v>0</v>
      </c>
      <c r="J37" s="443">
        <f>+FY16ProjRevToColl!J37-FY16ProjRevToColl0!J37</f>
        <v>0</v>
      </c>
      <c r="K37" s="443">
        <f>+FY16ProjRevToColl!K37-FY16ProjRevToColl0!K37</f>
        <v>0</v>
      </c>
      <c r="L37" s="443">
        <f>+FY16ProjRevToColl!L37-FY16ProjRevToColl0!L37</f>
        <v>0</v>
      </c>
      <c r="M37" s="443">
        <f>+FY16ProjRevToColl!M37-FY16ProjRevToColl0!M37</f>
        <v>0</v>
      </c>
      <c r="N37" s="443">
        <f>+FY16ProjRevToColl!N37-FY16ProjRevToColl0!N37</f>
        <v>0</v>
      </c>
      <c r="O37" s="443">
        <f>+FY16ProjRevToColl!O37-FY16ProjRevToColl0!O37</f>
        <v>0</v>
      </c>
      <c r="P37" s="443">
        <f>+FY16ProjRevToColl!P37-FY16ProjRevToColl0!P37</f>
        <v>0</v>
      </c>
      <c r="Q37" s="443">
        <f>+FY16ProjRevToColl!Q37-FY16ProjRevToColl0!Q37</f>
        <v>0</v>
      </c>
      <c r="R37" s="443">
        <f>+FY16ProjRevToColl!R37-FY16ProjRevToColl0!R37</f>
        <v>0</v>
      </c>
      <c r="S37" s="443">
        <f>+FY16ProjRevToColl!S37-FY16ProjRevToColl0!S37</f>
        <v>0</v>
      </c>
      <c r="T37" s="444">
        <f t="shared" si="4"/>
        <v>0</v>
      </c>
    </row>
    <row r="38" spans="1:91" s="18" customFormat="1" ht="20.100000000000001" customHeight="1">
      <c r="A38" s="404" t="s">
        <v>137</v>
      </c>
      <c r="B38" s="440" t="s">
        <v>49</v>
      </c>
      <c r="C38" s="410">
        <f>+FY16ProjRevToColl!C38-FY16ProjRevToColl0!C38</f>
        <v>0</v>
      </c>
      <c r="D38" s="410">
        <f>+FY16ProjRevToColl!D38-FY16ProjRevToColl0!D38</f>
        <v>0</v>
      </c>
      <c r="E38" s="410">
        <f>+FY16ProjRevToColl!E38-FY16ProjRevToColl0!E38</f>
        <v>0</v>
      </c>
      <c r="F38" s="410">
        <f>+FY16ProjRevToColl!F38-FY16ProjRevToColl0!F38</f>
        <v>0</v>
      </c>
      <c r="G38" s="410">
        <f>+FY16ProjRevToColl!G38-FY16ProjRevToColl0!G38</f>
        <v>0</v>
      </c>
      <c r="H38" s="410">
        <f>+FY16ProjRevToColl!H38-FY16ProjRevToColl0!H38</f>
        <v>0</v>
      </c>
      <c r="I38" s="410">
        <f>+FY16ProjRevToColl!I38-FY16ProjRevToColl0!I38</f>
        <v>0</v>
      </c>
      <c r="J38" s="410">
        <f>+FY16ProjRevToColl!J38-FY16ProjRevToColl0!J38</f>
        <v>0</v>
      </c>
      <c r="K38" s="410">
        <f>+FY16ProjRevToColl!K38-FY16ProjRevToColl0!K38</f>
        <v>0</v>
      </c>
      <c r="L38" s="410">
        <f>+FY16ProjRevToColl!L38-FY16ProjRevToColl0!L38</f>
        <v>0</v>
      </c>
      <c r="M38" s="410">
        <f>+FY16ProjRevToColl!M38-FY16ProjRevToColl0!M38</f>
        <v>0</v>
      </c>
      <c r="N38" s="410">
        <f>+FY16ProjRevToColl!N38-FY16ProjRevToColl0!N38</f>
        <v>0</v>
      </c>
      <c r="O38" s="410">
        <f>+FY16ProjRevToColl!O38-FY16ProjRevToColl0!O38</f>
        <v>0</v>
      </c>
      <c r="P38" s="410">
        <f>+FY16ProjRevToColl!P38-FY16ProjRevToColl0!P38</f>
        <v>0</v>
      </c>
      <c r="Q38" s="410">
        <f>+FY16ProjRevToColl!Q38-FY16ProjRevToColl0!Q38</f>
        <v>0</v>
      </c>
      <c r="R38" s="410">
        <f>+FY16ProjRevToColl!R38-FY16ProjRevToColl0!R38</f>
        <v>0</v>
      </c>
      <c r="S38" s="410">
        <f>+FY16ProjRevToColl!S38-FY16ProjRevToColl0!S38</f>
        <v>0</v>
      </c>
      <c r="T38" s="441">
        <f t="shared" si="4"/>
        <v>0</v>
      </c>
    </row>
    <row r="39" spans="1:91" ht="20.100000000000001" customHeight="1">
      <c r="A39" s="553" t="s">
        <v>145</v>
      </c>
      <c r="B39" s="442" t="s">
        <v>207</v>
      </c>
      <c r="C39" s="443">
        <f>+FY16ProjRevToColl!C39-FY16ProjRevToColl0!C39</f>
        <v>0</v>
      </c>
      <c r="D39" s="443">
        <f>+FY16ProjRevToColl!D39-FY16ProjRevToColl0!D39</f>
        <v>0</v>
      </c>
      <c r="E39" s="443">
        <f>+FY16ProjRevToColl!E39-FY16ProjRevToColl0!E39</f>
        <v>0</v>
      </c>
      <c r="F39" s="443">
        <f>+FY16ProjRevToColl!F39-FY16ProjRevToColl0!F39</f>
        <v>0</v>
      </c>
      <c r="G39" s="443">
        <f>+FY16ProjRevToColl!G39-FY16ProjRevToColl0!G39</f>
        <v>0</v>
      </c>
      <c r="H39" s="443">
        <f>+FY16ProjRevToColl!H39-FY16ProjRevToColl0!H39</f>
        <v>0</v>
      </c>
      <c r="I39" s="443">
        <f>+FY16ProjRevToColl!I39-FY16ProjRevToColl0!I39</f>
        <v>0</v>
      </c>
      <c r="J39" s="443">
        <f>+FY16ProjRevToColl!J39-FY16ProjRevToColl0!J39</f>
        <v>0</v>
      </c>
      <c r="K39" s="443">
        <f>+FY16ProjRevToColl!K39-FY16ProjRevToColl0!K39</f>
        <v>0</v>
      </c>
      <c r="L39" s="443">
        <f>+FY16ProjRevToColl!L39-FY16ProjRevToColl0!L39</f>
        <v>0</v>
      </c>
      <c r="M39" s="443">
        <f>+FY16ProjRevToColl!M39-FY16ProjRevToColl0!M39</f>
        <v>0</v>
      </c>
      <c r="N39" s="443">
        <f>+FY16ProjRevToColl!N39-FY16ProjRevToColl0!N39</f>
        <v>0</v>
      </c>
      <c r="O39" s="443">
        <f>+FY16ProjRevToColl!O39-FY16ProjRevToColl0!O39</f>
        <v>0</v>
      </c>
      <c r="P39" s="443">
        <f>+FY16ProjRevToColl!P39-FY16ProjRevToColl0!P39</f>
        <v>0</v>
      </c>
      <c r="Q39" s="443">
        <f>+FY16ProjRevToColl!Q39-FY16ProjRevToColl0!Q39</f>
        <v>0</v>
      </c>
      <c r="R39" s="443">
        <f>+FY16ProjRevToColl!R39-FY16ProjRevToColl0!R39</f>
        <v>0</v>
      </c>
      <c r="S39" s="443">
        <f>+FY16ProjRevToColl!S39-FY16ProjRevToColl0!S39</f>
        <v>0</v>
      </c>
      <c r="T39" s="444">
        <f t="shared" si="4"/>
        <v>0</v>
      </c>
    </row>
    <row r="40" spans="1:91" s="18" customFormat="1" ht="20.100000000000001" customHeight="1">
      <c r="A40" s="404" t="s">
        <v>147</v>
      </c>
      <c r="B40" s="440" t="s">
        <v>208</v>
      </c>
      <c r="C40" s="410">
        <f>+FY16ProjRevToColl!C40-FY16ProjRevToColl0!C40</f>
        <v>0</v>
      </c>
      <c r="D40" s="410">
        <f>+FY16ProjRevToColl!D40-FY16ProjRevToColl0!D40</f>
        <v>0</v>
      </c>
      <c r="E40" s="410">
        <f>+FY16ProjRevToColl!E40-FY16ProjRevToColl0!E40</f>
        <v>0</v>
      </c>
      <c r="F40" s="410">
        <f>+FY16ProjRevToColl!F40-FY16ProjRevToColl0!F40</f>
        <v>0</v>
      </c>
      <c r="G40" s="410">
        <f>+FY16ProjRevToColl!G40-FY16ProjRevToColl0!G40</f>
        <v>0</v>
      </c>
      <c r="H40" s="410">
        <f>+FY16ProjRevToColl!H40-FY16ProjRevToColl0!H40</f>
        <v>0</v>
      </c>
      <c r="I40" s="410">
        <f>+FY16ProjRevToColl!I40-FY16ProjRevToColl0!I40</f>
        <v>0</v>
      </c>
      <c r="J40" s="410">
        <f>+FY16ProjRevToColl!J40-FY16ProjRevToColl0!J40</f>
        <v>0</v>
      </c>
      <c r="K40" s="410">
        <f>+FY16ProjRevToColl!K40-FY16ProjRevToColl0!K40</f>
        <v>0</v>
      </c>
      <c r="L40" s="410">
        <f>+FY16ProjRevToColl!L40-FY16ProjRevToColl0!L40</f>
        <v>0</v>
      </c>
      <c r="M40" s="410">
        <f>+FY16ProjRevToColl!M40-FY16ProjRevToColl0!M40</f>
        <v>0</v>
      </c>
      <c r="N40" s="410">
        <f>+FY16ProjRevToColl!N40-FY16ProjRevToColl0!N40</f>
        <v>0</v>
      </c>
      <c r="O40" s="410">
        <f>+FY16ProjRevToColl!O40-FY16ProjRevToColl0!O40</f>
        <v>0</v>
      </c>
      <c r="P40" s="410">
        <f>+FY16ProjRevToColl!P40-FY16ProjRevToColl0!P40</f>
        <v>0</v>
      </c>
      <c r="Q40" s="410">
        <f>+FY16ProjRevToColl!Q40-FY16ProjRevToColl0!Q40</f>
        <v>0</v>
      </c>
      <c r="R40" s="410">
        <f>+FY16ProjRevToColl!R40-FY16ProjRevToColl0!R40</f>
        <v>0</v>
      </c>
      <c r="S40" s="410">
        <f>+FY16ProjRevToColl!S40-FY16ProjRevToColl0!S40</f>
        <v>0</v>
      </c>
      <c r="T40" s="441">
        <f t="shared" si="4"/>
        <v>0</v>
      </c>
    </row>
    <row r="41" spans="1:91" ht="20.100000000000001" customHeight="1">
      <c r="A41" s="404" t="s">
        <v>148</v>
      </c>
      <c r="B41" s="442" t="s">
        <v>39</v>
      </c>
      <c r="C41" s="443">
        <f>+FY16ProjRevToColl!C41-FY16ProjRevToColl0!C41</f>
        <v>0</v>
      </c>
      <c r="D41" s="443">
        <f>+FY16ProjRevToColl!D41-FY16ProjRevToColl0!D41</f>
        <v>0</v>
      </c>
      <c r="E41" s="443">
        <f>+FY16ProjRevToColl!E41-FY16ProjRevToColl0!E41</f>
        <v>0</v>
      </c>
      <c r="F41" s="443">
        <f>+FY16ProjRevToColl!F41-FY16ProjRevToColl0!F41</f>
        <v>0</v>
      </c>
      <c r="G41" s="443">
        <f>+FY16ProjRevToColl!G41-FY16ProjRevToColl0!G41</f>
        <v>0</v>
      </c>
      <c r="H41" s="443">
        <f>+FY16ProjRevToColl!H41-FY16ProjRevToColl0!H41</f>
        <v>0</v>
      </c>
      <c r="I41" s="443">
        <f>+FY16ProjRevToColl!I41-FY16ProjRevToColl0!I41</f>
        <v>0</v>
      </c>
      <c r="J41" s="443">
        <f>+FY16ProjRevToColl!J41-FY16ProjRevToColl0!J41</f>
        <v>0</v>
      </c>
      <c r="K41" s="443">
        <f>+FY16ProjRevToColl!K41-FY16ProjRevToColl0!K41</f>
        <v>0</v>
      </c>
      <c r="L41" s="443">
        <f>+FY16ProjRevToColl!L41-FY16ProjRevToColl0!L41</f>
        <v>0</v>
      </c>
      <c r="M41" s="443">
        <f>+FY16ProjRevToColl!M41-FY16ProjRevToColl0!M41</f>
        <v>0</v>
      </c>
      <c r="N41" s="443">
        <f>+FY16ProjRevToColl!N41-FY16ProjRevToColl0!N41</f>
        <v>0</v>
      </c>
      <c r="O41" s="443">
        <f>+FY16ProjRevToColl!O41-FY16ProjRevToColl0!O41</f>
        <v>0</v>
      </c>
      <c r="P41" s="443">
        <f>+FY16ProjRevToColl!P41-FY16ProjRevToColl0!P41</f>
        <v>0</v>
      </c>
      <c r="Q41" s="443">
        <f>+FY16ProjRevToColl!Q41-FY16ProjRevToColl0!Q41</f>
        <v>0</v>
      </c>
      <c r="R41" s="443">
        <f>+FY16ProjRevToColl!R41-FY16ProjRevToColl0!R41</f>
        <v>0</v>
      </c>
      <c r="S41" s="443">
        <f>+FY16ProjRevToColl!S41-FY16ProjRevToColl0!S41</f>
        <v>0</v>
      </c>
      <c r="T41" s="444">
        <f t="shared" si="4"/>
        <v>0</v>
      </c>
    </row>
    <row r="42" spans="1:91" s="18" customFormat="1" ht="20.100000000000001" customHeight="1">
      <c r="A42" s="404" t="s">
        <v>149</v>
      </c>
      <c r="B42" s="440" t="s">
        <v>38</v>
      </c>
      <c r="C42" s="410">
        <f>+FY16ProjRevToColl!C42-FY16ProjRevToColl0!C42</f>
        <v>0</v>
      </c>
      <c r="D42" s="410">
        <f>+FY16ProjRevToColl!D42-FY16ProjRevToColl0!D42</f>
        <v>0</v>
      </c>
      <c r="E42" s="410">
        <f>+FY16ProjRevToColl!E42-FY16ProjRevToColl0!E42</f>
        <v>0</v>
      </c>
      <c r="F42" s="410">
        <f>+FY16ProjRevToColl!F42-FY16ProjRevToColl0!F42</f>
        <v>0</v>
      </c>
      <c r="G42" s="410">
        <f>+FY16ProjRevToColl!G42-FY16ProjRevToColl0!G42</f>
        <v>0</v>
      </c>
      <c r="H42" s="410">
        <f>+FY16ProjRevToColl!H42-FY16ProjRevToColl0!H42</f>
        <v>0</v>
      </c>
      <c r="I42" s="410">
        <f>+FY16ProjRevToColl!I42-FY16ProjRevToColl0!I42</f>
        <v>0</v>
      </c>
      <c r="J42" s="410">
        <f>+FY16ProjRevToColl!J42-FY16ProjRevToColl0!J42</f>
        <v>0</v>
      </c>
      <c r="K42" s="410">
        <f>+FY16ProjRevToColl!K42-FY16ProjRevToColl0!K42</f>
        <v>0</v>
      </c>
      <c r="L42" s="410">
        <f>+FY16ProjRevToColl!L42-FY16ProjRevToColl0!L42</f>
        <v>0</v>
      </c>
      <c r="M42" s="410">
        <f>+FY16ProjRevToColl!M42-FY16ProjRevToColl0!M42</f>
        <v>0</v>
      </c>
      <c r="N42" s="410">
        <f>+FY16ProjRevToColl!N42-FY16ProjRevToColl0!N42</f>
        <v>0</v>
      </c>
      <c r="O42" s="410">
        <f>+FY16ProjRevToColl!O42-FY16ProjRevToColl0!O42</f>
        <v>0</v>
      </c>
      <c r="P42" s="410">
        <f>+FY16ProjRevToColl!P42-FY16ProjRevToColl0!P42</f>
        <v>0</v>
      </c>
      <c r="Q42" s="410">
        <f>+FY16ProjRevToColl!Q42-FY16ProjRevToColl0!Q42</f>
        <v>0</v>
      </c>
      <c r="R42" s="410">
        <f>+FY16ProjRevToColl!R42-FY16ProjRevToColl0!R42</f>
        <v>0</v>
      </c>
      <c r="S42" s="410">
        <f>+FY16ProjRevToColl!S42-FY16ProjRevToColl0!S42</f>
        <v>0</v>
      </c>
      <c r="T42" s="441">
        <f t="shared" si="4"/>
        <v>0</v>
      </c>
    </row>
    <row r="43" spans="1:91" ht="20.100000000000001" customHeight="1">
      <c r="A43" s="404" t="s">
        <v>150</v>
      </c>
      <c r="B43" s="442" t="s">
        <v>31</v>
      </c>
      <c r="C43" s="443">
        <f>+FY16ProjRevToColl!C43-FY16ProjRevToColl0!C43</f>
        <v>0</v>
      </c>
      <c r="D43" s="443">
        <f>+FY16ProjRevToColl!D43-FY16ProjRevToColl0!D43</f>
        <v>0</v>
      </c>
      <c r="E43" s="443">
        <f>+FY16ProjRevToColl!E43-FY16ProjRevToColl0!E43</f>
        <v>0</v>
      </c>
      <c r="F43" s="443">
        <f>+FY16ProjRevToColl!F43-FY16ProjRevToColl0!F43</f>
        <v>0</v>
      </c>
      <c r="G43" s="443">
        <f>+FY16ProjRevToColl!G43-FY16ProjRevToColl0!G43</f>
        <v>0</v>
      </c>
      <c r="H43" s="443">
        <f>+FY16ProjRevToColl!H43-FY16ProjRevToColl0!H43</f>
        <v>0</v>
      </c>
      <c r="I43" s="443">
        <f>+FY16ProjRevToColl!I43-FY16ProjRevToColl0!I43</f>
        <v>0</v>
      </c>
      <c r="J43" s="443">
        <f>+FY16ProjRevToColl!J43-FY16ProjRevToColl0!J43</f>
        <v>0</v>
      </c>
      <c r="K43" s="443">
        <f>+FY16ProjRevToColl!K43-FY16ProjRevToColl0!K43</f>
        <v>0</v>
      </c>
      <c r="L43" s="443">
        <f>+FY16ProjRevToColl!L43-FY16ProjRevToColl0!L43</f>
        <v>0</v>
      </c>
      <c r="M43" s="443">
        <f>+FY16ProjRevToColl!M43-FY16ProjRevToColl0!M43</f>
        <v>0</v>
      </c>
      <c r="N43" s="443">
        <f>+FY16ProjRevToColl!N43-FY16ProjRevToColl0!N43</f>
        <v>0</v>
      </c>
      <c r="O43" s="443">
        <f>+FY16ProjRevToColl!O43-FY16ProjRevToColl0!O43</f>
        <v>0</v>
      </c>
      <c r="P43" s="443">
        <f>+FY16ProjRevToColl!P43-FY16ProjRevToColl0!P43</f>
        <v>0</v>
      </c>
      <c r="Q43" s="443">
        <f>+FY16ProjRevToColl!Q43-FY16ProjRevToColl0!Q43</f>
        <v>0</v>
      </c>
      <c r="R43" s="443">
        <f>+FY16ProjRevToColl!R43-FY16ProjRevToColl0!R43</f>
        <v>0</v>
      </c>
      <c r="S43" s="443">
        <f>+FY16ProjRevToColl!S43-FY16ProjRevToColl0!S43</f>
        <v>0</v>
      </c>
      <c r="T43" s="444">
        <f t="shared" si="4"/>
        <v>0</v>
      </c>
    </row>
    <row r="44" spans="1:91" s="18" customFormat="1" ht="20.100000000000001" customHeight="1">
      <c r="A44" s="404" t="s">
        <v>151</v>
      </c>
      <c r="B44" s="440" t="s">
        <v>209</v>
      </c>
      <c r="C44" s="410">
        <f>+FY16ProjRevToColl!C44-FY16ProjRevToColl0!C44</f>
        <v>0</v>
      </c>
      <c r="D44" s="410">
        <f>+FY16ProjRevToColl!D44-FY16ProjRevToColl0!D44</f>
        <v>0</v>
      </c>
      <c r="E44" s="410">
        <f>+FY16ProjRevToColl!E44-FY16ProjRevToColl0!E44</f>
        <v>0</v>
      </c>
      <c r="F44" s="410">
        <f>+FY16ProjRevToColl!F44-FY16ProjRevToColl0!F44</f>
        <v>0</v>
      </c>
      <c r="G44" s="410">
        <f>+FY16ProjRevToColl!G44-FY16ProjRevToColl0!G44</f>
        <v>0</v>
      </c>
      <c r="H44" s="410">
        <f>+FY16ProjRevToColl!H44-FY16ProjRevToColl0!H44</f>
        <v>0</v>
      </c>
      <c r="I44" s="410">
        <f>+FY16ProjRevToColl!I44-FY16ProjRevToColl0!I44</f>
        <v>0</v>
      </c>
      <c r="J44" s="410">
        <f>+FY16ProjRevToColl!J44-FY16ProjRevToColl0!J44</f>
        <v>0</v>
      </c>
      <c r="K44" s="410">
        <f>+FY16ProjRevToColl!K44-FY16ProjRevToColl0!K44</f>
        <v>0</v>
      </c>
      <c r="L44" s="410">
        <f>+FY16ProjRevToColl!L44-FY16ProjRevToColl0!L44</f>
        <v>0</v>
      </c>
      <c r="M44" s="410">
        <f>+FY16ProjRevToColl!M44-FY16ProjRevToColl0!M44</f>
        <v>0</v>
      </c>
      <c r="N44" s="410">
        <f>+FY16ProjRevToColl!N44-FY16ProjRevToColl0!N44</f>
        <v>0</v>
      </c>
      <c r="O44" s="410">
        <f>+FY16ProjRevToColl!O44-FY16ProjRevToColl0!O44</f>
        <v>0</v>
      </c>
      <c r="P44" s="410">
        <f>+FY16ProjRevToColl!P44-FY16ProjRevToColl0!P44</f>
        <v>0</v>
      </c>
      <c r="Q44" s="410">
        <f>+FY16ProjRevToColl!Q44-FY16ProjRevToColl0!Q44</f>
        <v>0</v>
      </c>
      <c r="R44" s="410">
        <f>+FY16ProjRevToColl!R44-FY16ProjRevToColl0!R44</f>
        <v>0</v>
      </c>
      <c r="S44" s="410">
        <f>+FY16ProjRevToColl!S44-FY16ProjRevToColl0!S44</f>
        <v>0</v>
      </c>
      <c r="T44" s="441">
        <f t="shared" si="4"/>
        <v>0</v>
      </c>
    </row>
    <row r="45" spans="1:91" ht="20.100000000000001" customHeight="1">
      <c r="A45" s="404" t="s">
        <v>153</v>
      </c>
      <c r="B45" s="442" t="s">
        <v>100</v>
      </c>
      <c r="C45" s="443">
        <f>+FY16ProjRevToColl!C45-FY16ProjRevToColl0!C45</f>
        <v>0</v>
      </c>
      <c r="D45" s="443">
        <f>+FY16ProjRevToColl!D45-FY16ProjRevToColl0!D45</f>
        <v>0</v>
      </c>
      <c r="E45" s="443">
        <f>+FY16ProjRevToColl!E45-FY16ProjRevToColl0!E45</f>
        <v>0</v>
      </c>
      <c r="F45" s="443">
        <f>+FY16ProjRevToColl!F45-FY16ProjRevToColl0!F45</f>
        <v>0</v>
      </c>
      <c r="G45" s="443">
        <f>+FY16ProjRevToColl!G45-FY16ProjRevToColl0!G45</f>
        <v>0</v>
      </c>
      <c r="H45" s="443">
        <f>+FY16ProjRevToColl!H45-FY16ProjRevToColl0!H45</f>
        <v>0</v>
      </c>
      <c r="I45" s="443">
        <f>+FY16ProjRevToColl!I45-FY16ProjRevToColl0!I45</f>
        <v>0</v>
      </c>
      <c r="J45" s="443">
        <f>+FY16ProjRevToColl!J45-FY16ProjRevToColl0!J45</f>
        <v>0</v>
      </c>
      <c r="K45" s="443">
        <f>+FY16ProjRevToColl!K45-FY16ProjRevToColl0!K45</f>
        <v>0</v>
      </c>
      <c r="L45" s="443">
        <f>+FY16ProjRevToColl!L45-FY16ProjRevToColl0!L45</f>
        <v>0</v>
      </c>
      <c r="M45" s="443">
        <f>+FY16ProjRevToColl!M45-FY16ProjRevToColl0!M45</f>
        <v>0</v>
      </c>
      <c r="N45" s="443">
        <f>+FY16ProjRevToColl!N45-FY16ProjRevToColl0!N45</f>
        <v>0</v>
      </c>
      <c r="O45" s="443">
        <f>+FY16ProjRevToColl!O45-FY16ProjRevToColl0!O45</f>
        <v>0</v>
      </c>
      <c r="P45" s="443">
        <f>+FY16ProjRevToColl!P45-FY16ProjRevToColl0!P45</f>
        <v>0</v>
      </c>
      <c r="Q45" s="443">
        <f>+FY16ProjRevToColl!Q45-FY16ProjRevToColl0!Q45</f>
        <v>0</v>
      </c>
      <c r="R45" s="443">
        <f>+FY16ProjRevToColl!R45-FY16ProjRevToColl0!R45</f>
        <v>0</v>
      </c>
      <c r="S45" s="443">
        <f>+FY16ProjRevToColl!S45-FY16ProjRevToColl0!S45</f>
        <v>0</v>
      </c>
      <c r="T45" s="444">
        <f t="shared" si="4"/>
        <v>0</v>
      </c>
    </row>
    <row r="46" spans="1:91" s="18" customFormat="1" ht="20.100000000000001" customHeight="1">
      <c r="A46" s="404" t="s">
        <v>155</v>
      </c>
      <c r="B46" s="440" t="s">
        <v>42</v>
      </c>
      <c r="C46" s="410">
        <f>+FY16ProjRevToColl!C46-FY16ProjRevToColl0!C46</f>
        <v>0</v>
      </c>
      <c r="D46" s="410">
        <f>+FY16ProjRevToColl!D46-FY16ProjRevToColl0!D46</f>
        <v>0</v>
      </c>
      <c r="E46" s="410">
        <f>+FY16ProjRevToColl!E46-FY16ProjRevToColl0!E46</f>
        <v>0</v>
      </c>
      <c r="F46" s="410">
        <f>+FY16ProjRevToColl!F46-FY16ProjRevToColl0!F46</f>
        <v>0</v>
      </c>
      <c r="G46" s="410">
        <f>+FY16ProjRevToColl!G46-FY16ProjRevToColl0!G46</f>
        <v>0</v>
      </c>
      <c r="H46" s="410">
        <f>+FY16ProjRevToColl!H46-FY16ProjRevToColl0!H46</f>
        <v>0</v>
      </c>
      <c r="I46" s="410">
        <f>+FY16ProjRevToColl!I46-FY16ProjRevToColl0!I46</f>
        <v>0</v>
      </c>
      <c r="J46" s="410">
        <f>+FY16ProjRevToColl!J46-FY16ProjRevToColl0!J46</f>
        <v>0</v>
      </c>
      <c r="K46" s="410">
        <f>+FY16ProjRevToColl!K46-FY16ProjRevToColl0!K46</f>
        <v>0</v>
      </c>
      <c r="L46" s="410">
        <f>+FY16ProjRevToColl!L46-FY16ProjRevToColl0!L46</f>
        <v>0</v>
      </c>
      <c r="M46" s="410">
        <f>+FY16ProjRevToColl!M46-FY16ProjRevToColl0!M46</f>
        <v>0</v>
      </c>
      <c r="N46" s="410">
        <f>+FY16ProjRevToColl!N46-FY16ProjRevToColl0!N46</f>
        <v>0</v>
      </c>
      <c r="O46" s="410">
        <f>+FY16ProjRevToColl!O46-FY16ProjRevToColl0!O46</f>
        <v>0</v>
      </c>
      <c r="P46" s="410">
        <f>+FY16ProjRevToColl!P46-FY16ProjRevToColl0!P46</f>
        <v>0</v>
      </c>
      <c r="Q46" s="410">
        <f>+FY16ProjRevToColl!Q46-FY16ProjRevToColl0!Q46</f>
        <v>0</v>
      </c>
      <c r="R46" s="410">
        <f>+FY16ProjRevToColl!R46-FY16ProjRevToColl0!R46</f>
        <v>0</v>
      </c>
      <c r="S46" s="410">
        <f>+FY16ProjRevToColl!S46-FY16ProjRevToColl0!S46</f>
        <v>0</v>
      </c>
      <c r="T46" s="441">
        <f t="shared" si="4"/>
        <v>0</v>
      </c>
    </row>
    <row r="47" spans="1:91" ht="20.100000000000001" customHeight="1">
      <c r="A47" s="404" t="s">
        <v>162</v>
      </c>
      <c r="B47" s="442" t="s">
        <v>76</v>
      </c>
      <c r="C47" s="443">
        <f>+FY16ProjRevToColl!C47-FY16ProjRevToColl0!C47</f>
        <v>0</v>
      </c>
      <c r="D47" s="443">
        <f>+FY16ProjRevToColl!D47-FY16ProjRevToColl0!D47</f>
        <v>0</v>
      </c>
      <c r="E47" s="443">
        <f>+FY16ProjRevToColl!E47-FY16ProjRevToColl0!E47</f>
        <v>0</v>
      </c>
      <c r="F47" s="443">
        <f>+FY16ProjRevToColl!F47-FY16ProjRevToColl0!F47</f>
        <v>0</v>
      </c>
      <c r="G47" s="443">
        <f>+FY16ProjRevToColl!G47-FY16ProjRevToColl0!G47</f>
        <v>0</v>
      </c>
      <c r="H47" s="443">
        <f>+FY16ProjRevToColl!H47-FY16ProjRevToColl0!H47</f>
        <v>0</v>
      </c>
      <c r="I47" s="443">
        <f>+FY16ProjRevToColl!I47-FY16ProjRevToColl0!I47</f>
        <v>0</v>
      </c>
      <c r="J47" s="443">
        <f>+FY16ProjRevToColl!J47-FY16ProjRevToColl0!J47</f>
        <v>0</v>
      </c>
      <c r="K47" s="443">
        <f>+FY16ProjRevToColl!K47-FY16ProjRevToColl0!K47</f>
        <v>0</v>
      </c>
      <c r="L47" s="443">
        <f>+FY16ProjRevToColl!L47-FY16ProjRevToColl0!L47</f>
        <v>0</v>
      </c>
      <c r="M47" s="443">
        <f>+FY16ProjRevToColl!M47-FY16ProjRevToColl0!M47</f>
        <v>0</v>
      </c>
      <c r="N47" s="443">
        <f>+FY16ProjRevToColl!N47-FY16ProjRevToColl0!N47</f>
        <v>0</v>
      </c>
      <c r="O47" s="443">
        <f>+FY16ProjRevToColl!O47-FY16ProjRevToColl0!O47</f>
        <v>0</v>
      </c>
      <c r="P47" s="443">
        <f>+FY16ProjRevToColl!P47-FY16ProjRevToColl0!P47</f>
        <v>0</v>
      </c>
      <c r="Q47" s="443">
        <f>+FY16ProjRevToColl!Q47-FY16ProjRevToColl0!Q47</f>
        <v>0</v>
      </c>
      <c r="R47" s="443">
        <f>+FY16ProjRevToColl!R47-FY16ProjRevToColl0!R47</f>
        <v>0</v>
      </c>
      <c r="S47" s="443">
        <f>+FY16ProjRevToColl!S47-FY16ProjRevToColl0!S47</f>
        <v>0</v>
      </c>
      <c r="T47" s="444">
        <f t="shared" si="4"/>
        <v>0</v>
      </c>
    </row>
    <row r="48" spans="1:91" s="18" customFormat="1" ht="20.100000000000001" customHeight="1">
      <c r="A48" s="404" t="s">
        <v>156</v>
      </c>
      <c r="B48" s="440" t="s">
        <v>77</v>
      </c>
      <c r="C48" s="410">
        <f>+FY16ProjRevToColl!C48-FY16ProjRevToColl0!C48</f>
        <v>0</v>
      </c>
      <c r="D48" s="410">
        <f>+FY16ProjRevToColl!D48-FY16ProjRevToColl0!D48</f>
        <v>0</v>
      </c>
      <c r="E48" s="410">
        <f>+FY16ProjRevToColl!E48-FY16ProjRevToColl0!E48</f>
        <v>0</v>
      </c>
      <c r="F48" s="410">
        <f>+FY16ProjRevToColl!F48-FY16ProjRevToColl0!F48</f>
        <v>0</v>
      </c>
      <c r="G48" s="410">
        <f>+FY16ProjRevToColl!G48-FY16ProjRevToColl0!G48</f>
        <v>0</v>
      </c>
      <c r="H48" s="410">
        <f>+FY16ProjRevToColl!H48-FY16ProjRevToColl0!H48</f>
        <v>0</v>
      </c>
      <c r="I48" s="410">
        <f>+FY16ProjRevToColl!I48-FY16ProjRevToColl0!I48</f>
        <v>0</v>
      </c>
      <c r="J48" s="410">
        <f>+FY16ProjRevToColl!J48-FY16ProjRevToColl0!J48</f>
        <v>0</v>
      </c>
      <c r="K48" s="410">
        <f>+FY16ProjRevToColl!K48-FY16ProjRevToColl0!K48</f>
        <v>0</v>
      </c>
      <c r="L48" s="410">
        <f>+FY16ProjRevToColl!L48-FY16ProjRevToColl0!L48</f>
        <v>0</v>
      </c>
      <c r="M48" s="410">
        <f>+FY16ProjRevToColl!M48-FY16ProjRevToColl0!M48</f>
        <v>0</v>
      </c>
      <c r="N48" s="410">
        <f>+FY16ProjRevToColl!N48-FY16ProjRevToColl0!N48</f>
        <v>0</v>
      </c>
      <c r="O48" s="410">
        <f>+FY16ProjRevToColl!O48-FY16ProjRevToColl0!O48</f>
        <v>0</v>
      </c>
      <c r="P48" s="410">
        <f>+FY16ProjRevToColl!P48-FY16ProjRevToColl0!P48</f>
        <v>0</v>
      </c>
      <c r="Q48" s="410">
        <f>+FY16ProjRevToColl!Q48-FY16ProjRevToColl0!Q48</f>
        <v>0</v>
      </c>
      <c r="R48" s="410">
        <f>+FY16ProjRevToColl!R48-FY16ProjRevToColl0!R48</f>
        <v>0</v>
      </c>
      <c r="S48" s="410">
        <f>+FY16ProjRevToColl!S48-FY16ProjRevToColl0!S48</f>
        <v>0</v>
      </c>
      <c r="T48" s="441">
        <f t="shared" si="4"/>
        <v>0</v>
      </c>
    </row>
    <row r="49" spans="1:20" ht="20.100000000000001" customHeight="1">
      <c r="A49" s="404" t="s">
        <v>163</v>
      </c>
      <c r="B49" s="445" t="s">
        <v>164</v>
      </c>
      <c r="C49" s="443">
        <f>+FY16ProjRevToColl!C49-FY16ProjRevToColl0!C49</f>
        <v>0</v>
      </c>
      <c r="D49" s="443">
        <f>+FY16ProjRevToColl!D49-FY16ProjRevToColl0!D49</f>
        <v>0</v>
      </c>
      <c r="E49" s="443">
        <f>+FY16ProjRevToColl!E49-FY16ProjRevToColl0!E49</f>
        <v>0</v>
      </c>
      <c r="F49" s="443">
        <f>+FY16ProjRevToColl!F49-FY16ProjRevToColl0!F49</f>
        <v>0</v>
      </c>
      <c r="G49" s="443">
        <f>+FY16ProjRevToColl!G49-FY16ProjRevToColl0!G49</f>
        <v>0</v>
      </c>
      <c r="H49" s="443">
        <f>+FY16ProjRevToColl!H49-FY16ProjRevToColl0!H49</f>
        <v>0</v>
      </c>
      <c r="I49" s="443">
        <f>+FY16ProjRevToColl!I49-FY16ProjRevToColl0!I49</f>
        <v>0</v>
      </c>
      <c r="J49" s="443">
        <f>+FY16ProjRevToColl!J49-FY16ProjRevToColl0!J49</f>
        <v>0</v>
      </c>
      <c r="K49" s="443">
        <f>+FY16ProjRevToColl!K49-FY16ProjRevToColl0!K49</f>
        <v>0</v>
      </c>
      <c r="L49" s="443">
        <f>+FY16ProjRevToColl!L49-FY16ProjRevToColl0!L49</f>
        <v>0</v>
      </c>
      <c r="M49" s="443">
        <f>+FY16ProjRevToColl!M49-FY16ProjRevToColl0!M49</f>
        <v>0</v>
      </c>
      <c r="N49" s="443">
        <f>+FY16ProjRevToColl!N49-FY16ProjRevToColl0!N49</f>
        <v>0</v>
      </c>
      <c r="O49" s="443">
        <f>+FY16ProjRevToColl!O49-FY16ProjRevToColl0!O49</f>
        <v>0</v>
      </c>
      <c r="P49" s="443">
        <f>+FY16ProjRevToColl!P49-FY16ProjRevToColl0!P49</f>
        <v>0</v>
      </c>
      <c r="Q49" s="443">
        <f>+FY16ProjRevToColl!Q49-FY16ProjRevToColl0!Q49</f>
        <v>0</v>
      </c>
      <c r="R49" s="443">
        <f>+FY16ProjRevToColl!R49-FY16ProjRevToColl0!R49</f>
        <v>0</v>
      </c>
      <c r="S49" s="443">
        <f>+FY16ProjRevToColl!S49-FY16ProjRevToColl0!S49</f>
        <v>0</v>
      </c>
      <c r="T49" s="446">
        <f t="shared" si="4"/>
        <v>0</v>
      </c>
    </row>
    <row r="50" spans="1:20" ht="20.100000000000001" customHeight="1">
      <c r="A50" s="405"/>
      <c r="B50" s="447" t="s">
        <v>17</v>
      </c>
      <c r="C50" s="448">
        <f t="shared" ref="C50:S50" si="5">SUM(C29:C49)</f>
        <v>-96904.731662733946</v>
      </c>
      <c r="D50" s="448">
        <f t="shared" si="5"/>
        <v>-2903285.9361565262</v>
      </c>
      <c r="E50" s="448">
        <f t="shared" si="5"/>
        <v>-283470.00616930053</v>
      </c>
      <c r="F50" s="448">
        <f t="shared" si="5"/>
        <v>-60570.482899514493</v>
      </c>
      <c r="G50" s="448">
        <f t="shared" si="5"/>
        <v>-417794.51842129603</v>
      </c>
      <c r="H50" s="448">
        <f t="shared" si="5"/>
        <v>-252950.84540349431</v>
      </c>
      <c r="I50" s="448">
        <f t="shared" si="5"/>
        <v>-60837.297119383235</v>
      </c>
      <c r="J50" s="448">
        <f t="shared" si="5"/>
        <v>-2580.4224551687948</v>
      </c>
      <c r="K50" s="448">
        <f t="shared" si="5"/>
        <v>-760.23777716021141</v>
      </c>
      <c r="L50" s="448">
        <f t="shared" si="5"/>
        <v>-13731.794849956408</v>
      </c>
      <c r="M50" s="448">
        <f t="shared" si="5"/>
        <v>-259.50424124218807</v>
      </c>
      <c r="N50" s="448">
        <f t="shared" si="5"/>
        <v>-125351.51348791644</v>
      </c>
      <c r="O50" s="448">
        <f t="shared" si="5"/>
        <v>-37968.028986251215</v>
      </c>
      <c r="P50" s="448">
        <f t="shared" si="5"/>
        <v>-1494.8906291275343</v>
      </c>
      <c r="Q50" s="448">
        <f t="shared" si="5"/>
        <v>-73278.880741755478</v>
      </c>
      <c r="R50" s="448">
        <f t="shared" si="5"/>
        <v>-60278.083754452877</v>
      </c>
      <c r="S50" s="448">
        <f t="shared" si="5"/>
        <v>-1056.2919115351033</v>
      </c>
      <c r="T50" s="448">
        <f>SUM(C50:S50)</f>
        <v>-4392573.4666668139</v>
      </c>
    </row>
    <row r="51" spans="1:20" ht="27.75" customHeight="1">
      <c r="B51" s="634" t="s">
        <v>216</v>
      </c>
      <c r="C51" s="634"/>
      <c r="D51" s="634"/>
      <c r="E51" s="634"/>
      <c r="F51" s="634"/>
      <c r="G51" s="634"/>
      <c r="H51" s="634"/>
      <c r="I51" s="634"/>
      <c r="J51" s="634"/>
      <c r="K51" s="634"/>
      <c r="L51" s="634"/>
      <c r="M51" s="634"/>
      <c r="N51" s="634"/>
      <c r="O51" s="634"/>
      <c r="P51" s="634"/>
      <c r="Q51" s="634"/>
      <c r="R51" s="634"/>
      <c r="S51" s="634"/>
      <c r="T51" s="634"/>
    </row>
    <row r="52" spans="1:20" ht="39" hidden="1" customHeight="1">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c r="A53" s="403" t="s">
        <v>128</v>
      </c>
      <c r="B53" s="454" t="s">
        <v>21</v>
      </c>
      <c r="C53" s="455">
        <f>+FY16ProjRevToColl!C53-FY16ProjRevToColl0!C53</f>
        <v>-38266.108837294858</v>
      </c>
      <c r="D53" s="455">
        <f>+FY16ProjRevToColl!D53-FY16ProjRevToColl0!D53</f>
        <v>-1867181.1142483801</v>
      </c>
      <c r="E53" s="455">
        <f>+FY16ProjRevToColl!E53-FY16ProjRevToColl0!E53</f>
        <v>-321161.9848844409</v>
      </c>
      <c r="F53" s="455">
        <f>+FY16ProjRevToColl!F53-FY16ProjRevToColl0!F53</f>
        <v>-34507.830290775048</v>
      </c>
      <c r="G53" s="455">
        <f>+FY16ProjRevToColl!G53-FY16ProjRevToColl0!G53</f>
        <v>-334145.12895423546</v>
      </c>
      <c r="H53" s="455">
        <f>+FY16ProjRevToColl!H53-FY16ProjRevToColl0!H53</f>
        <v>-100790.19738394674</v>
      </c>
      <c r="I53" s="455">
        <f>+FY16ProjRevToColl!I53-FY16ProjRevToColl0!I53</f>
        <v>-34166.168604727602</v>
      </c>
      <c r="J53" s="455">
        <f>+FY16ProjRevToColl!J53-FY16ProjRevToColl0!J53</f>
        <v>0</v>
      </c>
      <c r="K53" s="455">
        <f>+FY16ProjRevToColl!K53-FY16ProjRevToColl0!K53</f>
        <v>0</v>
      </c>
      <c r="L53" s="455">
        <f>+FY16ProjRevToColl!L53-FY16ProjRevToColl0!L53</f>
        <v>-14008.1291279383</v>
      </c>
      <c r="M53" s="455">
        <f>+FY16ProjRevToColl!M53-FY16ProjRevToColl0!M53</f>
        <v>0</v>
      </c>
      <c r="N53" s="455">
        <f>+FY16ProjRevToColl!N53-FY16ProjRevToColl0!N53</f>
        <v>-70040.645639691968</v>
      </c>
      <c r="O53" s="455">
        <f>+FY16ProjRevToColl!O53-FY16ProjRevToColl0!O53</f>
        <v>-48515.959418713348</v>
      </c>
      <c r="P53" s="455">
        <f>+FY16ProjRevToColl!P53-FY16ProjRevToColl0!P53</f>
        <v>0</v>
      </c>
      <c r="Q53" s="455">
        <f>+FY16ProjRevToColl!Q53-FY16ProjRevToColl0!Q53</f>
        <v>-61157.441802462563</v>
      </c>
      <c r="R53" s="455">
        <f>+FY16ProjRevToColl!R53-FY16ProjRevToColl0!R53</f>
        <v>-4441.6019186145859</v>
      </c>
      <c r="S53" s="455">
        <f>+FY16ProjRevToColl!S53-FY16ProjRevToColl0!S53</f>
        <v>0</v>
      </c>
      <c r="T53" s="455">
        <f t="shared" ref="T53:T74" si="6">SUM(C53:Q53)+R53+S53</f>
        <v>-2928382.311111222</v>
      </c>
    </row>
    <row r="54" spans="1:20" s="18" customFormat="1" ht="20.100000000000001" customHeight="1">
      <c r="A54" s="404" t="s">
        <v>129</v>
      </c>
      <c r="B54" s="440" t="s">
        <v>35</v>
      </c>
      <c r="C54" s="410">
        <f>+FY16ProjRevToColl!C54-FY16ProjRevToColl0!C54</f>
        <v>0</v>
      </c>
      <c r="D54" s="410">
        <f>+FY16ProjRevToColl!D54-FY16ProjRevToColl0!D54</f>
        <v>0</v>
      </c>
      <c r="E54" s="410">
        <f>+FY16ProjRevToColl!E54-FY16ProjRevToColl0!E54</f>
        <v>0</v>
      </c>
      <c r="F54" s="410">
        <f>+FY16ProjRevToColl!F54-FY16ProjRevToColl0!F54</f>
        <v>0</v>
      </c>
      <c r="G54" s="410">
        <f>+FY16ProjRevToColl!G54-FY16ProjRevToColl0!G54</f>
        <v>0</v>
      </c>
      <c r="H54" s="410">
        <f>+FY16ProjRevToColl!H54-FY16ProjRevToColl0!H54</f>
        <v>0</v>
      </c>
      <c r="I54" s="410">
        <f>+FY16ProjRevToColl!I54-FY16ProjRevToColl0!I54</f>
        <v>0</v>
      </c>
      <c r="J54" s="410">
        <f>+FY16ProjRevToColl!J54-FY16ProjRevToColl0!J54</f>
        <v>0</v>
      </c>
      <c r="K54" s="410">
        <f>+FY16ProjRevToColl!K54-FY16ProjRevToColl0!K54</f>
        <v>0</v>
      </c>
      <c r="L54" s="410">
        <f>+FY16ProjRevToColl!L54-FY16ProjRevToColl0!L54</f>
        <v>0</v>
      </c>
      <c r="M54" s="410">
        <f>+FY16ProjRevToColl!M54-FY16ProjRevToColl0!M54</f>
        <v>0</v>
      </c>
      <c r="N54" s="410">
        <f>+FY16ProjRevToColl!N54-FY16ProjRevToColl0!N54</f>
        <v>0</v>
      </c>
      <c r="O54" s="410">
        <f>+FY16ProjRevToColl!O54-FY16ProjRevToColl0!O54</f>
        <v>0</v>
      </c>
      <c r="P54" s="410">
        <f>+FY16ProjRevToColl!P54-FY16ProjRevToColl0!P54</f>
        <v>0</v>
      </c>
      <c r="Q54" s="410">
        <f>+FY16ProjRevToColl!Q54-FY16ProjRevToColl0!Q54</f>
        <v>0</v>
      </c>
      <c r="R54" s="410">
        <f>+FY16ProjRevToColl!R54-FY16ProjRevToColl0!R54</f>
        <v>0</v>
      </c>
      <c r="S54" s="410">
        <f>+FY16ProjRevToColl!S54-FY16ProjRevToColl0!S54</f>
        <v>0</v>
      </c>
      <c r="T54" s="410">
        <f t="shared" si="6"/>
        <v>0</v>
      </c>
    </row>
    <row r="55" spans="1:20" ht="20.100000000000001" customHeight="1">
      <c r="A55" s="404" t="s">
        <v>140</v>
      </c>
      <c r="B55" s="456" t="s">
        <v>36</v>
      </c>
      <c r="C55" s="457">
        <f>+FY16ProjRevToColl!C55-FY16ProjRevToColl0!C55</f>
        <v>0</v>
      </c>
      <c r="D55" s="457">
        <f>+FY16ProjRevToColl!D55-FY16ProjRevToColl0!D55</f>
        <v>0</v>
      </c>
      <c r="E55" s="457">
        <f>+FY16ProjRevToColl!E55-FY16ProjRevToColl0!E55</f>
        <v>0</v>
      </c>
      <c r="F55" s="457">
        <f>+FY16ProjRevToColl!F55-FY16ProjRevToColl0!F55</f>
        <v>0</v>
      </c>
      <c r="G55" s="457">
        <f>+FY16ProjRevToColl!G55-FY16ProjRevToColl0!G55</f>
        <v>0</v>
      </c>
      <c r="H55" s="457">
        <f>+FY16ProjRevToColl!H55-FY16ProjRevToColl0!H55</f>
        <v>0</v>
      </c>
      <c r="I55" s="457">
        <f>+FY16ProjRevToColl!I55-FY16ProjRevToColl0!I55</f>
        <v>0</v>
      </c>
      <c r="J55" s="457">
        <f>+FY16ProjRevToColl!J55-FY16ProjRevToColl0!J55</f>
        <v>0</v>
      </c>
      <c r="K55" s="457">
        <f>+FY16ProjRevToColl!K55-FY16ProjRevToColl0!K55</f>
        <v>0</v>
      </c>
      <c r="L55" s="457">
        <f>+FY16ProjRevToColl!L55-FY16ProjRevToColl0!L55</f>
        <v>0</v>
      </c>
      <c r="M55" s="457">
        <f>+FY16ProjRevToColl!M55-FY16ProjRevToColl0!M55</f>
        <v>0</v>
      </c>
      <c r="N55" s="457">
        <f>+FY16ProjRevToColl!N55-FY16ProjRevToColl0!N55</f>
        <v>0</v>
      </c>
      <c r="O55" s="457">
        <f>+FY16ProjRevToColl!O55-FY16ProjRevToColl0!O55</f>
        <v>0</v>
      </c>
      <c r="P55" s="457">
        <f>+FY16ProjRevToColl!P55-FY16ProjRevToColl0!P55</f>
        <v>0</v>
      </c>
      <c r="Q55" s="457">
        <f>+FY16ProjRevToColl!Q55-FY16ProjRevToColl0!Q55</f>
        <v>0</v>
      </c>
      <c r="R55" s="457">
        <f>+FY16ProjRevToColl!R55-FY16ProjRevToColl0!R55</f>
        <v>0</v>
      </c>
      <c r="S55" s="457">
        <f>+FY16ProjRevToColl!S55-FY16ProjRevToColl0!S55</f>
        <v>0</v>
      </c>
      <c r="T55" s="457">
        <f t="shared" si="6"/>
        <v>0</v>
      </c>
    </row>
    <row r="56" spans="1:20" s="18" customFormat="1" ht="20.100000000000001" customHeight="1">
      <c r="A56" s="404" t="s">
        <v>130</v>
      </c>
      <c r="B56" s="440" t="s">
        <v>37</v>
      </c>
      <c r="C56" s="410">
        <f>+FY16ProjRevToColl!C56-FY16ProjRevToColl0!C56</f>
        <v>0</v>
      </c>
      <c r="D56" s="410">
        <f>+FY16ProjRevToColl!D56-FY16ProjRevToColl0!D56</f>
        <v>0</v>
      </c>
      <c r="E56" s="410">
        <f>+FY16ProjRevToColl!E56-FY16ProjRevToColl0!E56</f>
        <v>0</v>
      </c>
      <c r="F56" s="410">
        <f>+FY16ProjRevToColl!F56-FY16ProjRevToColl0!F56</f>
        <v>0</v>
      </c>
      <c r="G56" s="410">
        <f>+FY16ProjRevToColl!G56-FY16ProjRevToColl0!G56</f>
        <v>0</v>
      </c>
      <c r="H56" s="410">
        <f>+FY16ProjRevToColl!H56-FY16ProjRevToColl0!H56</f>
        <v>0</v>
      </c>
      <c r="I56" s="410">
        <f>+FY16ProjRevToColl!I56-FY16ProjRevToColl0!I56</f>
        <v>0</v>
      </c>
      <c r="J56" s="410">
        <f>+FY16ProjRevToColl!J56-FY16ProjRevToColl0!J56</f>
        <v>0</v>
      </c>
      <c r="K56" s="410">
        <f>+FY16ProjRevToColl!K56-FY16ProjRevToColl0!K56</f>
        <v>0</v>
      </c>
      <c r="L56" s="410">
        <f>+FY16ProjRevToColl!L56-FY16ProjRevToColl0!L56</f>
        <v>0</v>
      </c>
      <c r="M56" s="410">
        <f>+FY16ProjRevToColl!M56-FY16ProjRevToColl0!M56</f>
        <v>0</v>
      </c>
      <c r="N56" s="410">
        <f>+FY16ProjRevToColl!N56-FY16ProjRevToColl0!N56</f>
        <v>0</v>
      </c>
      <c r="O56" s="410">
        <f>+FY16ProjRevToColl!O56-FY16ProjRevToColl0!O56</f>
        <v>0</v>
      </c>
      <c r="P56" s="410">
        <f>+FY16ProjRevToColl!P56-FY16ProjRevToColl0!P56</f>
        <v>0</v>
      </c>
      <c r="Q56" s="410">
        <f>+FY16ProjRevToColl!Q56-FY16ProjRevToColl0!Q56</f>
        <v>0</v>
      </c>
      <c r="R56" s="410">
        <f>+FY16ProjRevToColl!R56-FY16ProjRevToColl0!R56</f>
        <v>0</v>
      </c>
      <c r="S56" s="410">
        <f>+FY16ProjRevToColl!S56-FY16ProjRevToColl0!S56</f>
        <v>0</v>
      </c>
      <c r="T56" s="410">
        <f t="shared" si="6"/>
        <v>0</v>
      </c>
    </row>
    <row r="57" spans="1:20" ht="20.100000000000001" customHeight="1">
      <c r="A57" s="404" t="s">
        <v>131</v>
      </c>
      <c r="B57" s="456" t="s">
        <v>141</v>
      </c>
      <c r="C57" s="457">
        <f>+FY16ProjRevToColl!C57-FY16ProjRevToColl0!C57</f>
        <v>0</v>
      </c>
      <c r="D57" s="457">
        <f>+FY16ProjRevToColl!D57-FY16ProjRevToColl0!D57</f>
        <v>0</v>
      </c>
      <c r="E57" s="457">
        <f>+FY16ProjRevToColl!E57-FY16ProjRevToColl0!E57</f>
        <v>0</v>
      </c>
      <c r="F57" s="457">
        <f>+FY16ProjRevToColl!F57-FY16ProjRevToColl0!F57</f>
        <v>0</v>
      </c>
      <c r="G57" s="457">
        <f>+FY16ProjRevToColl!G57-FY16ProjRevToColl0!G57</f>
        <v>0</v>
      </c>
      <c r="H57" s="457">
        <f>+FY16ProjRevToColl!H57-FY16ProjRevToColl0!H57</f>
        <v>0</v>
      </c>
      <c r="I57" s="457">
        <f>+FY16ProjRevToColl!I57-FY16ProjRevToColl0!I57</f>
        <v>0</v>
      </c>
      <c r="J57" s="457">
        <f>+FY16ProjRevToColl!J57-FY16ProjRevToColl0!J57</f>
        <v>0</v>
      </c>
      <c r="K57" s="457">
        <f>+FY16ProjRevToColl!K57-FY16ProjRevToColl0!K57</f>
        <v>0</v>
      </c>
      <c r="L57" s="457">
        <f>+FY16ProjRevToColl!L57-FY16ProjRevToColl0!L57</f>
        <v>0</v>
      </c>
      <c r="M57" s="457">
        <f>+FY16ProjRevToColl!M57-FY16ProjRevToColl0!M57</f>
        <v>0</v>
      </c>
      <c r="N57" s="457">
        <f>+FY16ProjRevToColl!N57-FY16ProjRevToColl0!N57</f>
        <v>0</v>
      </c>
      <c r="O57" s="457">
        <f>+FY16ProjRevToColl!O57-FY16ProjRevToColl0!O57</f>
        <v>0</v>
      </c>
      <c r="P57" s="457">
        <f>+FY16ProjRevToColl!P57-FY16ProjRevToColl0!P57</f>
        <v>0</v>
      </c>
      <c r="Q57" s="457">
        <f>+FY16ProjRevToColl!Q57-FY16ProjRevToColl0!Q57</f>
        <v>0</v>
      </c>
      <c r="R57" s="457">
        <f>+FY16ProjRevToColl!R57-FY16ProjRevToColl0!R57</f>
        <v>0</v>
      </c>
      <c r="S57" s="457">
        <f>+FY16ProjRevToColl!S57-FY16ProjRevToColl0!S57</f>
        <v>0</v>
      </c>
      <c r="T57" s="457">
        <f t="shared" si="6"/>
        <v>0</v>
      </c>
    </row>
    <row r="58" spans="1:20" s="18" customFormat="1" ht="20.100000000000001" customHeight="1">
      <c r="A58" s="404" t="s">
        <v>132</v>
      </c>
      <c r="B58" s="440" t="s">
        <v>206</v>
      </c>
      <c r="C58" s="410">
        <f>+FY16ProjRevToColl!C58-FY16ProjRevToColl0!C58</f>
        <v>0</v>
      </c>
      <c r="D58" s="410">
        <f>+FY16ProjRevToColl!D58-FY16ProjRevToColl0!D58</f>
        <v>0</v>
      </c>
      <c r="E58" s="410">
        <f>+FY16ProjRevToColl!E58-FY16ProjRevToColl0!E58</f>
        <v>0</v>
      </c>
      <c r="F58" s="410">
        <f>+FY16ProjRevToColl!F58-FY16ProjRevToColl0!F58</f>
        <v>0</v>
      </c>
      <c r="G58" s="410">
        <f>+FY16ProjRevToColl!G58-FY16ProjRevToColl0!G58</f>
        <v>0</v>
      </c>
      <c r="H58" s="410">
        <f>+FY16ProjRevToColl!H58-FY16ProjRevToColl0!H58</f>
        <v>0</v>
      </c>
      <c r="I58" s="410">
        <f>+FY16ProjRevToColl!I58-FY16ProjRevToColl0!I58</f>
        <v>0</v>
      </c>
      <c r="J58" s="410">
        <f>+FY16ProjRevToColl!J58-FY16ProjRevToColl0!J58</f>
        <v>0</v>
      </c>
      <c r="K58" s="410">
        <f>+FY16ProjRevToColl!K58-FY16ProjRevToColl0!K58</f>
        <v>0</v>
      </c>
      <c r="L58" s="410">
        <f>+FY16ProjRevToColl!L58-FY16ProjRevToColl0!L58</f>
        <v>0</v>
      </c>
      <c r="M58" s="410">
        <f>+FY16ProjRevToColl!M58-FY16ProjRevToColl0!M58</f>
        <v>0</v>
      </c>
      <c r="N58" s="410">
        <f>+FY16ProjRevToColl!N58-FY16ProjRevToColl0!N58</f>
        <v>0</v>
      </c>
      <c r="O58" s="410">
        <f>+FY16ProjRevToColl!O58-FY16ProjRevToColl0!O58</f>
        <v>0</v>
      </c>
      <c r="P58" s="410">
        <f>+FY16ProjRevToColl!P58-FY16ProjRevToColl0!P58</f>
        <v>0</v>
      </c>
      <c r="Q58" s="410">
        <f>+FY16ProjRevToColl!Q58-FY16ProjRevToColl0!Q58</f>
        <v>0</v>
      </c>
      <c r="R58" s="410">
        <f>+FY16ProjRevToColl!R58-FY16ProjRevToColl0!R58</f>
        <v>0</v>
      </c>
      <c r="S58" s="410">
        <f>+FY16ProjRevToColl!S58-FY16ProjRevToColl0!S58</f>
        <v>0</v>
      </c>
      <c r="T58" s="410">
        <f t="shared" si="6"/>
        <v>0</v>
      </c>
    </row>
    <row r="59" spans="1:20" ht="20.100000000000001" customHeight="1">
      <c r="A59" s="404" t="s">
        <v>134</v>
      </c>
      <c r="B59" s="456" t="s">
        <v>40</v>
      </c>
      <c r="C59" s="457">
        <f>+FY16ProjRevToColl!C59-FY16ProjRevToColl0!C59</f>
        <v>0</v>
      </c>
      <c r="D59" s="457">
        <f>+FY16ProjRevToColl!D59-FY16ProjRevToColl0!D59</f>
        <v>0</v>
      </c>
      <c r="E59" s="457">
        <f>+FY16ProjRevToColl!E59-FY16ProjRevToColl0!E59</f>
        <v>0</v>
      </c>
      <c r="F59" s="457">
        <f>+FY16ProjRevToColl!F59-FY16ProjRevToColl0!F59</f>
        <v>0</v>
      </c>
      <c r="G59" s="457">
        <f>+FY16ProjRevToColl!G59-FY16ProjRevToColl0!G59</f>
        <v>0</v>
      </c>
      <c r="H59" s="457">
        <f>+FY16ProjRevToColl!H59-FY16ProjRevToColl0!H59</f>
        <v>0</v>
      </c>
      <c r="I59" s="457">
        <f>+FY16ProjRevToColl!I59-FY16ProjRevToColl0!I59</f>
        <v>0</v>
      </c>
      <c r="J59" s="457">
        <f>+FY16ProjRevToColl!J59-FY16ProjRevToColl0!J59</f>
        <v>0</v>
      </c>
      <c r="K59" s="457">
        <f>+FY16ProjRevToColl!K59-FY16ProjRevToColl0!K59</f>
        <v>0</v>
      </c>
      <c r="L59" s="457">
        <f>+FY16ProjRevToColl!L59-FY16ProjRevToColl0!L59</f>
        <v>0</v>
      </c>
      <c r="M59" s="457">
        <f>+FY16ProjRevToColl!M59-FY16ProjRevToColl0!M59</f>
        <v>0</v>
      </c>
      <c r="N59" s="457">
        <f>+FY16ProjRevToColl!N59-FY16ProjRevToColl0!N59</f>
        <v>0</v>
      </c>
      <c r="O59" s="457">
        <f>+FY16ProjRevToColl!O59-FY16ProjRevToColl0!O59</f>
        <v>0</v>
      </c>
      <c r="P59" s="457">
        <f>+FY16ProjRevToColl!P59-FY16ProjRevToColl0!P59</f>
        <v>0</v>
      </c>
      <c r="Q59" s="457">
        <f>+FY16ProjRevToColl!Q59-FY16ProjRevToColl0!Q59</f>
        <v>0</v>
      </c>
      <c r="R59" s="457">
        <f>+FY16ProjRevToColl!R59-FY16ProjRevToColl0!R59</f>
        <v>0</v>
      </c>
      <c r="S59" s="457">
        <f>+FY16ProjRevToColl!S59-FY16ProjRevToColl0!S59</f>
        <v>0</v>
      </c>
      <c r="T59" s="457">
        <f t="shared" si="6"/>
        <v>0</v>
      </c>
    </row>
    <row r="60" spans="1:20" s="18" customFormat="1" ht="20.100000000000001" customHeight="1">
      <c r="A60" s="404" t="s">
        <v>135</v>
      </c>
      <c r="B60" s="440" t="s">
        <v>70</v>
      </c>
      <c r="C60" s="410">
        <f>+FY16ProjRevToColl!C60-FY16ProjRevToColl0!C60</f>
        <v>0</v>
      </c>
      <c r="D60" s="410">
        <f>+FY16ProjRevToColl!D60-FY16ProjRevToColl0!D60</f>
        <v>0</v>
      </c>
      <c r="E60" s="410">
        <f>+FY16ProjRevToColl!E60-FY16ProjRevToColl0!E60</f>
        <v>0</v>
      </c>
      <c r="F60" s="410">
        <f>+FY16ProjRevToColl!F60-FY16ProjRevToColl0!F60</f>
        <v>0</v>
      </c>
      <c r="G60" s="410">
        <f>+FY16ProjRevToColl!G60-FY16ProjRevToColl0!G60</f>
        <v>0</v>
      </c>
      <c r="H60" s="410">
        <f>+FY16ProjRevToColl!H60-FY16ProjRevToColl0!H60</f>
        <v>0</v>
      </c>
      <c r="I60" s="410">
        <f>+FY16ProjRevToColl!I60-FY16ProjRevToColl0!I60</f>
        <v>0</v>
      </c>
      <c r="J60" s="410">
        <f>+FY16ProjRevToColl!J60-FY16ProjRevToColl0!J60</f>
        <v>0</v>
      </c>
      <c r="K60" s="410">
        <f>+FY16ProjRevToColl!K60-FY16ProjRevToColl0!K60</f>
        <v>0</v>
      </c>
      <c r="L60" s="410">
        <f>+FY16ProjRevToColl!L60-FY16ProjRevToColl0!L60</f>
        <v>0</v>
      </c>
      <c r="M60" s="410">
        <f>+FY16ProjRevToColl!M60-FY16ProjRevToColl0!M60</f>
        <v>0</v>
      </c>
      <c r="N60" s="410">
        <f>+FY16ProjRevToColl!N60-FY16ProjRevToColl0!N60</f>
        <v>0</v>
      </c>
      <c r="O60" s="410">
        <f>+FY16ProjRevToColl!O60-FY16ProjRevToColl0!O60</f>
        <v>0</v>
      </c>
      <c r="P60" s="410">
        <f>+FY16ProjRevToColl!P60-FY16ProjRevToColl0!P60</f>
        <v>0</v>
      </c>
      <c r="Q60" s="410">
        <f>+FY16ProjRevToColl!Q60-FY16ProjRevToColl0!Q60</f>
        <v>0</v>
      </c>
      <c r="R60" s="410">
        <f>+FY16ProjRevToColl!R60-FY16ProjRevToColl0!R60</f>
        <v>0</v>
      </c>
      <c r="S60" s="410">
        <f>+FY16ProjRevToColl!S60-FY16ProjRevToColl0!S60</f>
        <v>0</v>
      </c>
      <c r="T60" s="410">
        <f t="shared" si="6"/>
        <v>0</v>
      </c>
    </row>
    <row r="61" spans="1:20" ht="20.100000000000001" customHeight="1">
      <c r="A61" s="404" t="s">
        <v>136</v>
      </c>
      <c r="B61" s="456" t="s">
        <v>144</v>
      </c>
      <c r="C61" s="457">
        <f>+FY16ProjRevToColl!C61-FY16ProjRevToColl0!C61</f>
        <v>0</v>
      </c>
      <c r="D61" s="457">
        <f>+FY16ProjRevToColl!D61-FY16ProjRevToColl0!D61</f>
        <v>0</v>
      </c>
      <c r="E61" s="457">
        <f>+FY16ProjRevToColl!E61-FY16ProjRevToColl0!E61</f>
        <v>0</v>
      </c>
      <c r="F61" s="457">
        <f>+FY16ProjRevToColl!F61-FY16ProjRevToColl0!F61</f>
        <v>0</v>
      </c>
      <c r="G61" s="457">
        <f>+FY16ProjRevToColl!G61-FY16ProjRevToColl0!G61</f>
        <v>0</v>
      </c>
      <c r="H61" s="457">
        <f>+FY16ProjRevToColl!H61-FY16ProjRevToColl0!H61</f>
        <v>0</v>
      </c>
      <c r="I61" s="457">
        <f>+FY16ProjRevToColl!I61-FY16ProjRevToColl0!I61</f>
        <v>0</v>
      </c>
      <c r="J61" s="457">
        <f>+FY16ProjRevToColl!J61-FY16ProjRevToColl0!J61</f>
        <v>0</v>
      </c>
      <c r="K61" s="457">
        <f>+FY16ProjRevToColl!K61-FY16ProjRevToColl0!K61</f>
        <v>0</v>
      </c>
      <c r="L61" s="457">
        <f>+FY16ProjRevToColl!L61-FY16ProjRevToColl0!L61</f>
        <v>0</v>
      </c>
      <c r="M61" s="457">
        <f>+FY16ProjRevToColl!M61-FY16ProjRevToColl0!M61</f>
        <v>0</v>
      </c>
      <c r="N61" s="457">
        <f>+FY16ProjRevToColl!N61-FY16ProjRevToColl0!N61</f>
        <v>0</v>
      </c>
      <c r="O61" s="457">
        <f>+FY16ProjRevToColl!O61-FY16ProjRevToColl0!O61</f>
        <v>0</v>
      </c>
      <c r="P61" s="457">
        <f>+FY16ProjRevToColl!P61-FY16ProjRevToColl0!P61</f>
        <v>0</v>
      </c>
      <c r="Q61" s="457">
        <f>+FY16ProjRevToColl!Q61-FY16ProjRevToColl0!Q61</f>
        <v>0</v>
      </c>
      <c r="R61" s="457">
        <f>+FY16ProjRevToColl!R61-FY16ProjRevToColl0!R61</f>
        <v>0</v>
      </c>
      <c r="S61" s="457">
        <f>+FY16ProjRevToColl!S61-FY16ProjRevToColl0!S61</f>
        <v>0</v>
      </c>
      <c r="T61" s="457">
        <f t="shared" si="6"/>
        <v>0</v>
      </c>
    </row>
    <row r="62" spans="1:20" s="18" customFormat="1" ht="20.100000000000001" customHeight="1">
      <c r="A62" s="404" t="s">
        <v>137</v>
      </c>
      <c r="B62" s="440" t="s">
        <v>49</v>
      </c>
      <c r="C62" s="410">
        <f>+FY16ProjRevToColl!C62-FY16ProjRevToColl0!C62</f>
        <v>0</v>
      </c>
      <c r="D62" s="410">
        <f>+FY16ProjRevToColl!D62-FY16ProjRevToColl0!D62</f>
        <v>0</v>
      </c>
      <c r="E62" s="410">
        <f>+FY16ProjRevToColl!E62-FY16ProjRevToColl0!E62</f>
        <v>0</v>
      </c>
      <c r="F62" s="410">
        <f>+FY16ProjRevToColl!F62-FY16ProjRevToColl0!F62</f>
        <v>0</v>
      </c>
      <c r="G62" s="410">
        <f>+FY16ProjRevToColl!G62-FY16ProjRevToColl0!G62</f>
        <v>0</v>
      </c>
      <c r="H62" s="410">
        <f>+FY16ProjRevToColl!H62-FY16ProjRevToColl0!H62</f>
        <v>0</v>
      </c>
      <c r="I62" s="410">
        <f>+FY16ProjRevToColl!I62-FY16ProjRevToColl0!I62</f>
        <v>0</v>
      </c>
      <c r="J62" s="410">
        <f>+FY16ProjRevToColl!J62-FY16ProjRevToColl0!J62</f>
        <v>0</v>
      </c>
      <c r="K62" s="410">
        <f>+FY16ProjRevToColl!K62-FY16ProjRevToColl0!K62</f>
        <v>0</v>
      </c>
      <c r="L62" s="410">
        <f>+FY16ProjRevToColl!L62-FY16ProjRevToColl0!L62</f>
        <v>0</v>
      </c>
      <c r="M62" s="410">
        <f>+FY16ProjRevToColl!M62-FY16ProjRevToColl0!M62</f>
        <v>0</v>
      </c>
      <c r="N62" s="410">
        <f>+FY16ProjRevToColl!N62-FY16ProjRevToColl0!N62</f>
        <v>0</v>
      </c>
      <c r="O62" s="410">
        <f>+FY16ProjRevToColl!O62-FY16ProjRevToColl0!O62</f>
        <v>0</v>
      </c>
      <c r="P62" s="410">
        <f>+FY16ProjRevToColl!P62-FY16ProjRevToColl0!P62</f>
        <v>0</v>
      </c>
      <c r="Q62" s="410">
        <f>+FY16ProjRevToColl!Q62-FY16ProjRevToColl0!Q62</f>
        <v>0</v>
      </c>
      <c r="R62" s="410">
        <f>+FY16ProjRevToColl!R62-FY16ProjRevToColl0!R62</f>
        <v>0</v>
      </c>
      <c r="S62" s="410">
        <f>+FY16ProjRevToColl!S62-FY16ProjRevToColl0!S62</f>
        <v>0</v>
      </c>
      <c r="T62" s="410">
        <f t="shared" si="6"/>
        <v>0</v>
      </c>
    </row>
    <row r="63" spans="1:20" ht="20.100000000000001" customHeight="1">
      <c r="A63" s="553" t="s">
        <v>145</v>
      </c>
      <c r="B63" s="456" t="s">
        <v>207</v>
      </c>
      <c r="C63" s="457">
        <f>+FY16ProjRevToColl!C63-FY16ProjRevToColl0!C63</f>
        <v>0</v>
      </c>
      <c r="D63" s="457">
        <f>+FY16ProjRevToColl!D63-FY16ProjRevToColl0!D63</f>
        <v>0</v>
      </c>
      <c r="E63" s="457">
        <f>+FY16ProjRevToColl!E63-FY16ProjRevToColl0!E63</f>
        <v>0</v>
      </c>
      <c r="F63" s="457">
        <f>+FY16ProjRevToColl!F63-FY16ProjRevToColl0!F63</f>
        <v>0</v>
      </c>
      <c r="G63" s="457">
        <f>+FY16ProjRevToColl!G63-FY16ProjRevToColl0!G63</f>
        <v>0</v>
      </c>
      <c r="H63" s="457">
        <f>+FY16ProjRevToColl!H63-FY16ProjRevToColl0!H63</f>
        <v>0</v>
      </c>
      <c r="I63" s="457">
        <f>+FY16ProjRevToColl!I63-FY16ProjRevToColl0!I63</f>
        <v>0</v>
      </c>
      <c r="J63" s="457">
        <f>+FY16ProjRevToColl!J63-FY16ProjRevToColl0!J63</f>
        <v>0</v>
      </c>
      <c r="K63" s="457">
        <f>+FY16ProjRevToColl!K63-FY16ProjRevToColl0!K63</f>
        <v>0</v>
      </c>
      <c r="L63" s="457">
        <f>+FY16ProjRevToColl!L63-FY16ProjRevToColl0!L63</f>
        <v>0</v>
      </c>
      <c r="M63" s="457">
        <f>+FY16ProjRevToColl!M63-FY16ProjRevToColl0!M63</f>
        <v>0</v>
      </c>
      <c r="N63" s="457">
        <f>+FY16ProjRevToColl!N63-FY16ProjRevToColl0!N63</f>
        <v>0</v>
      </c>
      <c r="O63" s="457">
        <f>+FY16ProjRevToColl!O63-FY16ProjRevToColl0!O63</f>
        <v>0</v>
      </c>
      <c r="P63" s="457">
        <f>+FY16ProjRevToColl!P63-FY16ProjRevToColl0!P63</f>
        <v>0</v>
      </c>
      <c r="Q63" s="457">
        <f>+FY16ProjRevToColl!Q63-FY16ProjRevToColl0!Q63</f>
        <v>0</v>
      </c>
      <c r="R63" s="457">
        <f>+FY16ProjRevToColl!R63-FY16ProjRevToColl0!R63</f>
        <v>0</v>
      </c>
      <c r="S63" s="457">
        <f>+FY16ProjRevToColl!S63-FY16ProjRevToColl0!S63</f>
        <v>0</v>
      </c>
      <c r="T63" s="457">
        <f t="shared" si="6"/>
        <v>0</v>
      </c>
    </row>
    <row r="64" spans="1:20" s="18" customFormat="1" ht="20.100000000000001" customHeight="1">
      <c r="A64" s="404" t="s">
        <v>147</v>
      </c>
      <c r="B64" s="440" t="s">
        <v>208</v>
      </c>
      <c r="C64" s="410">
        <f>+FY16ProjRevToColl!C64-FY16ProjRevToColl0!C64</f>
        <v>0</v>
      </c>
      <c r="D64" s="410">
        <f>+FY16ProjRevToColl!D64-FY16ProjRevToColl0!D64</f>
        <v>0</v>
      </c>
      <c r="E64" s="410">
        <f>+FY16ProjRevToColl!E64-FY16ProjRevToColl0!E64</f>
        <v>0</v>
      </c>
      <c r="F64" s="410">
        <f>+FY16ProjRevToColl!F64-FY16ProjRevToColl0!F64</f>
        <v>0</v>
      </c>
      <c r="G64" s="410">
        <f>+FY16ProjRevToColl!G64-FY16ProjRevToColl0!G64</f>
        <v>0</v>
      </c>
      <c r="H64" s="410">
        <f>+FY16ProjRevToColl!H64-FY16ProjRevToColl0!H64</f>
        <v>0</v>
      </c>
      <c r="I64" s="410">
        <f>+FY16ProjRevToColl!I64-FY16ProjRevToColl0!I64</f>
        <v>0</v>
      </c>
      <c r="J64" s="410">
        <f>+FY16ProjRevToColl!J64-FY16ProjRevToColl0!J64</f>
        <v>0</v>
      </c>
      <c r="K64" s="410">
        <f>+FY16ProjRevToColl!K64-FY16ProjRevToColl0!K64</f>
        <v>0</v>
      </c>
      <c r="L64" s="410">
        <f>+FY16ProjRevToColl!L64-FY16ProjRevToColl0!L64</f>
        <v>0</v>
      </c>
      <c r="M64" s="410">
        <f>+FY16ProjRevToColl!M64-FY16ProjRevToColl0!M64</f>
        <v>0</v>
      </c>
      <c r="N64" s="410">
        <f>+FY16ProjRevToColl!N64-FY16ProjRevToColl0!N64</f>
        <v>0</v>
      </c>
      <c r="O64" s="410">
        <f>+FY16ProjRevToColl!O64-FY16ProjRevToColl0!O64</f>
        <v>0</v>
      </c>
      <c r="P64" s="410">
        <f>+FY16ProjRevToColl!P64-FY16ProjRevToColl0!P64</f>
        <v>0</v>
      </c>
      <c r="Q64" s="410">
        <f>+FY16ProjRevToColl!Q64-FY16ProjRevToColl0!Q64</f>
        <v>0</v>
      </c>
      <c r="R64" s="410">
        <f>+FY16ProjRevToColl!R64-FY16ProjRevToColl0!R64</f>
        <v>0</v>
      </c>
      <c r="S64" s="410">
        <f>+FY16ProjRevToColl!S64-FY16ProjRevToColl0!S64</f>
        <v>0</v>
      </c>
      <c r="T64" s="410">
        <f t="shared" si="6"/>
        <v>0</v>
      </c>
    </row>
    <row r="65" spans="1:20" ht="20.100000000000001" customHeight="1">
      <c r="A65" s="404" t="s">
        <v>148</v>
      </c>
      <c r="B65" s="456" t="s">
        <v>39</v>
      </c>
      <c r="C65" s="457">
        <f>+FY16ProjRevToColl!C65-FY16ProjRevToColl0!C65</f>
        <v>0</v>
      </c>
      <c r="D65" s="457">
        <f>+FY16ProjRevToColl!D65-FY16ProjRevToColl0!D65</f>
        <v>0</v>
      </c>
      <c r="E65" s="457">
        <f>+FY16ProjRevToColl!E65-FY16ProjRevToColl0!E65</f>
        <v>0</v>
      </c>
      <c r="F65" s="457">
        <f>+FY16ProjRevToColl!F65-FY16ProjRevToColl0!F65</f>
        <v>0</v>
      </c>
      <c r="G65" s="457">
        <f>+FY16ProjRevToColl!G65-FY16ProjRevToColl0!G65</f>
        <v>0</v>
      </c>
      <c r="H65" s="457">
        <f>+FY16ProjRevToColl!H65-FY16ProjRevToColl0!H65</f>
        <v>0</v>
      </c>
      <c r="I65" s="457">
        <f>+FY16ProjRevToColl!I65-FY16ProjRevToColl0!I65</f>
        <v>0</v>
      </c>
      <c r="J65" s="457">
        <f>+FY16ProjRevToColl!J65-FY16ProjRevToColl0!J65</f>
        <v>0</v>
      </c>
      <c r="K65" s="457">
        <f>+FY16ProjRevToColl!K65-FY16ProjRevToColl0!K65</f>
        <v>0</v>
      </c>
      <c r="L65" s="457">
        <f>+FY16ProjRevToColl!L65-FY16ProjRevToColl0!L65</f>
        <v>0</v>
      </c>
      <c r="M65" s="457">
        <f>+FY16ProjRevToColl!M65-FY16ProjRevToColl0!M65</f>
        <v>0</v>
      </c>
      <c r="N65" s="457">
        <f>+FY16ProjRevToColl!N65-FY16ProjRevToColl0!N65</f>
        <v>0</v>
      </c>
      <c r="O65" s="457">
        <f>+FY16ProjRevToColl!O65-FY16ProjRevToColl0!O65</f>
        <v>0</v>
      </c>
      <c r="P65" s="457">
        <f>+FY16ProjRevToColl!P65-FY16ProjRevToColl0!P65</f>
        <v>0</v>
      </c>
      <c r="Q65" s="457">
        <f>+FY16ProjRevToColl!Q65-FY16ProjRevToColl0!Q65</f>
        <v>0</v>
      </c>
      <c r="R65" s="457">
        <f>+FY16ProjRevToColl!R65-FY16ProjRevToColl0!R65</f>
        <v>0</v>
      </c>
      <c r="S65" s="457">
        <f>+FY16ProjRevToColl!S65-FY16ProjRevToColl0!S65</f>
        <v>0</v>
      </c>
      <c r="T65" s="457">
        <f t="shared" si="6"/>
        <v>0</v>
      </c>
    </row>
    <row r="66" spans="1:20" s="18" customFormat="1" ht="20.100000000000001" customHeight="1">
      <c r="A66" s="404" t="s">
        <v>149</v>
      </c>
      <c r="B66" s="440" t="s">
        <v>38</v>
      </c>
      <c r="C66" s="410">
        <f>+FY16ProjRevToColl!C66-FY16ProjRevToColl0!C66</f>
        <v>0</v>
      </c>
      <c r="D66" s="410">
        <f>+FY16ProjRevToColl!D66-FY16ProjRevToColl0!D66</f>
        <v>0</v>
      </c>
      <c r="E66" s="410">
        <f>+FY16ProjRevToColl!E66-FY16ProjRevToColl0!E66</f>
        <v>0</v>
      </c>
      <c r="F66" s="410">
        <f>+FY16ProjRevToColl!F66-FY16ProjRevToColl0!F66</f>
        <v>0</v>
      </c>
      <c r="G66" s="410">
        <f>+FY16ProjRevToColl!G66-FY16ProjRevToColl0!G66</f>
        <v>0</v>
      </c>
      <c r="H66" s="410">
        <f>+FY16ProjRevToColl!H66-FY16ProjRevToColl0!H66</f>
        <v>0</v>
      </c>
      <c r="I66" s="410">
        <f>+FY16ProjRevToColl!I66-FY16ProjRevToColl0!I66</f>
        <v>0</v>
      </c>
      <c r="J66" s="410">
        <f>+FY16ProjRevToColl!J66-FY16ProjRevToColl0!J66</f>
        <v>0</v>
      </c>
      <c r="K66" s="410">
        <f>+FY16ProjRevToColl!K66-FY16ProjRevToColl0!K66</f>
        <v>0</v>
      </c>
      <c r="L66" s="410">
        <f>+FY16ProjRevToColl!L66-FY16ProjRevToColl0!L66</f>
        <v>0</v>
      </c>
      <c r="M66" s="410">
        <f>+FY16ProjRevToColl!M66-FY16ProjRevToColl0!M66</f>
        <v>0</v>
      </c>
      <c r="N66" s="410">
        <f>+FY16ProjRevToColl!N66-FY16ProjRevToColl0!N66</f>
        <v>0</v>
      </c>
      <c r="O66" s="410">
        <f>+FY16ProjRevToColl!O66-FY16ProjRevToColl0!O66</f>
        <v>0</v>
      </c>
      <c r="P66" s="410">
        <f>+FY16ProjRevToColl!P66-FY16ProjRevToColl0!P66</f>
        <v>0</v>
      </c>
      <c r="Q66" s="410">
        <f>+FY16ProjRevToColl!Q66-FY16ProjRevToColl0!Q66</f>
        <v>0</v>
      </c>
      <c r="R66" s="410">
        <f>+FY16ProjRevToColl!R66-FY16ProjRevToColl0!R66</f>
        <v>0</v>
      </c>
      <c r="S66" s="410">
        <f>+FY16ProjRevToColl!S66-FY16ProjRevToColl0!S66</f>
        <v>0</v>
      </c>
      <c r="T66" s="410">
        <f t="shared" si="6"/>
        <v>0</v>
      </c>
    </row>
    <row r="67" spans="1:20" ht="20.100000000000001" customHeight="1">
      <c r="A67" s="404" t="s">
        <v>150</v>
      </c>
      <c r="B67" s="456" t="s">
        <v>31</v>
      </c>
      <c r="C67" s="457">
        <f>+FY16ProjRevToColl!C67-FY16ProjRevToColl0!C67</f>
        <v>0</v>
      </c>
      <c r="D67" s="457">
        <f>+FY16ProjRevToColl!D67-FY16ProjRevToColl0!D67</f>
        <v>0</v>
      </c>
      <c r="E67" s="457">
        <f>+FY16ProjRevToColl!E67-FY16ProjRevToColl0!E67</f>
        <v>0</v>
      </c>
      <c r="F67" s="457">
        <f>+FY16ProjRevToColl!F67-FY16ProjRevToColl0!F67</f>
        <v>0</v>
      </c>
      <c r="G67" s="457">
        <f>+FY16ProjRevToColl!G67-FY16ProjRevToColl0!G67</f>
        <v>0</v>
      </c>
      <c r="H67" s="457">
        <f>+FY16ProjRevToColl!H67-FY16ProjRevToColl0!H67</f>
        <v>0</v>
      </c>
      <c r="I67" s="457">
        <f>+FY16ProjRevToColl!I67-FY16ProjRevToColl0!I67</f>
        <v>0</v>
      </c>
      <c r="J67" s="457">
        <f>+FY16ProjRevToColl!J67-FY16ProjRevToColl0!J67</f>
        <v>0</v>
      </c>
      <c r="K67" s="457">
        <f>+FY16ProjRevToColl!K67-FY16ProjRevToColl0!K67</f>
        <v>0</v>
      </c>
      <c r="L67" s="457">
        <f>+FY16ProjRevToColl!L67-FY16ProjRevToColl0!L67</f>
        <v>0</v>
      </c>
      <c r="M67" s="457">
        <f>+FY16ProjRevToColl!M67-FY16ProjRevToColl0!M67</f>
        <v>0</v>
      </c>
      <c r="N67" s="457">
        <f>+FY16ProjRevToColl!N67-FY16ProjRevToColl0!N67</f>
        <v>0</v>
      </c>
      <c r="O67" s="457">
        <f>+FY16ProjRevToColl!O67-FY16ProjRevToColl0!O67</f>
        <v>0</v>
      </c>
      <c r="P67" s="457">
        <f>+FY16ProjRevToColl!P67-FY16ProjRevToColl0!P67</f>
        <v>0</v>
      </c>
      <c r="Q67" s="457">
        <f>+FY16ProjRevToColl!Q67-FY16ProjRevToColl0!Q67</f>
        <v>0</v>
      </c>
      <c r="R67" s="457">
        <f>+FY16ProjRevToColl!R67-FY16ProjRevToColl0!R67</f>
        <v>0</v>
      </c>
      <c r="S67" s="457">
        <f>+FY16ProjRevToColl!S67-FY16ProjRevToColl0!S67</f>
        <v>0</v>
      </c>
      <c r="T67" s="457">
        <f t="shared" si="6"/>
        <v>0</v>
      </c>
    </row>
    <row r="68" spans="1:20" s="18" customFormat="1" ht="20.100000000000001" customHeight="1">
      <c r="A68" s="404" t="s">
        <v>151</v>
      </c>
      <c r="B68" s="440" t="s">
        <v>209</v>
      </c>
      <c r="C68" s="410">
        <f>+FY16ProjRevToColl!C68-FY16ProjRevToColl0!C68</f>
        <v>0</v>
      </c>
      <c r="D68" s="410">
        <f>+FY16ProjRevToColl!D68-FY16ProjRevToColl0!D68</f>
        <v>0</v>
      </c>
      <c r="E68" s="410">
        <f>+FY16ProjRevToColl!E68-FY16ProjRevToColl0!E68</f>
        <v>0</v>
      </c>
      <c r="F68" s="410">
        <f>+FY16ProjRevToColl!F68-FY16ProjRevToColl0!F68</f>
        <v>0</v>
      </c>
      <c r="G68" s="410">
        <f>+FY16ProjRevToColl!G68-FY16ProjRevToColl0!G68</f>
        <v>0</v>
      </c>
      <c r="H68" s="410">
        <f>+FY16ProjRevToColl!H68-FY16ProjRevToColl0!H68</f>
        <v>0</v>
      </c>
      <c r="I68" s="410">
        <f>+FY16ProjRevToColl!I68-FY16ProjRevToColl0!I68</f>
        <v>0</v>
      </c>
      <c r="J68" s="410">
        <f>+FY16ProjRevToColl!J68-FY16ProjRevToColl0!J68</f>
        <v>0</v>
      </c>
      <c r="K68" s="410">
        <f>+FY16ProjRevToColl!K68-FY16ProjRevToColl0!K68</f>
        <v>0</v>
      </c>
      <c r="L68" s="410">
        <f>+FY16ProjRevToColl!L68-FY16ProjRevToColl0!L68</f>
        <v>0</v>
      </c>
      <c r="M68" s="410">
        <f>+FY16ProjRevToColl!M68-FY16ProjRevToColl0!M68</f>
        <v>0</v>
      </c>
      <c r="N68" s="410">
        <f>+FY16ProjRevToColl!N68-FY16ProjRevToColl0!N68</f>
        <v>0</v>
      </c>
      <c r="O68" s="410">
        <f>+FY16ProjRevToColl!O68-FY16ProjRevToColl0!O68</f>
        <v>0</v>
      </c>
      <c r="P68" s="410">
        <f>+FY16ProjRevToColl!P68-FY16ProjRevToColl0!P68</f>
        <v>0</v>
      </c>
      <c r="Q68" s="410">
        <f>+FY16ProjRevToColl!Q68-FY16ProjRevToColl0!Q68</f>
        <v>0</v>
      </c>
      <c r="R68" s="410">
        <f>+FY16ProjRevToColl!R68-FY16ProjRevToColl0!R68</f>
        <v>0</v>
      </c>
      <c r="S68" s="410">
        <f>+FY16ProjRevToColl!S68-FY16ProjRevToColl0!S68</f>
        <v>0</v>
      </c>
      <c r="T68" s="410">
        <f t="shared" si="6"/>
        <v>0</v>
      </c>
    </row>
    <row r="69" spans="1:20" ht="20.100000000000001" customHeight="1">
      <c r="A69" s="404" t="s">
        <v>153</v>
      </c>
      <c r="B69" s="456" t="s">
        <v>100</v>
      </c>
      <c r="C69" s="457">
        <f>+FY16ProjRevToColl!C69-FY16ProjRevToColl0!C69</f>
        <v>0</v>
      </c>
      <c r="D69" s="457">
        <f>+FY16ProjRevToColl!D69-FY16ProjRevToColl0!D69</f>
        <v>0</v>
      </c>
      <c r="E69" s="457">
        <f>+FY16ProjRevToColl!E69-FY16ProjRevToColl0!E69</f>
        <v>0</v>
      </c>
      <c r="F69" s="457">
        <f>+FY16ProjRevToColl!F69-FY16ProjRevToColl0!F69</f>
        <v>0</v>
      </c>
      <c r="G69" s="457">
        <f>+FY16ProjRevToColl!G69-FY16ProjRevToColl0!G69</f>
        <v>0</v>
      </c>
      <c r="H69" s="457">
        <f>+FY16ProjRevToColl!H69-FY16ProjRevToColl0!H69</f>
        <v>0</v>
      </c>
      <c r="I69" s="457">
        <f>+FY16ProjRevToColl!I69-FY16ProjRevToColl0!I69</f>
        <v>0</v>
      </c>
      <c r="J69" s="457">
        <f>+FY16ProjRevToColl!J69-FY16ProjRevToColl0!J69</f>
        <v>0</v>
      </c>
      <c r="K69" s="457">
        <f>+FY16ProjRevToColl!K69-FY16ProjRevToColl0!K69</f>
        <v>0</v>
      </c>
      <c r="L69" s="457">
        <f>+FY16ProjRevToColl!L69-FY16ProjRevToColl0!L69</f>
        <v>0</v>
      </c>
      <c r="M69" s="457">
        <f>+FY16ProjRevToColl!M69-FY16ProjRevToColl0!M69</f>
        <v>0</v>
      </c>
      <c r="N69" s="457">
        <f>+FY16ProjRevToColl!N69-FY16ProjRevToColl0!N69</f>
        <v>0</v>
      </c>
      <c r="O69" s="457">
        <f>+FY16ProjRevToColl!O69-FY16ProjRevToColl0!O69</f>
        <v>0</v>
      </c>
      <c r="P69" s="457">
        <f>+FY16ProjRevToColl!P69-FY16ProjRevToColl0!P69</f>
        <v>0</v>
      </c>
      <c r="Q69" s="457">
        <f>+FY16ProjRevToColl!Q69-FY16ProjRevToColl0!Q69</f>
        <v>0</v>
      </c>
      <c r="R69" s="457">
        <f>+FY16ProjRevToColl!R69-FY16ProjRevToColl0!R69</f>
        <v>0</v>
      </c>
      <c r="S69" s="457">
        <f>+FY16ProjRevToColl!S69-FY16ProjRevToColl0!S69</f>
        <v>0</v>
      </c>
      <c r="T69" s="457">
        <f t="shared" si="6"/>
        <v>0</v>
      </c>
    </row>
    <row r="70" spans="1:20" s="18" customFormat="1" ht="20.100000000000001" customHeight="1">
      <c r="A70" s="404" t="s">
        <v>155</v>
      </c>
      <c r="B70" s="440" t="s">
        <v>42</v>
      </c>
      <c r="C70" s="410">
        <f>+FY16ProjRevToColl!C70-FY16ProjRevToColl0!C70</f>
        <v>0</v>
      </c>
      <c r="D70" s="410">
        <f>+FY16ProjRevToColl!D70-FY16ProjRevToColl0!D70</f>
        <v>0</v>
      </c>
      <c r="E70" s="410">
        <f>+FY16ProjRevToColl!E70-FY16ProjRevToColl0!E70</f>
        <v>0</v>
      </c>
      <c r="F70" s="410">
        <f>+FY16ProjRevToColl!F70-FY16ProjRevToColl0!F70</f>
        <v>0</v>
      </c>
      <c r="G70" s="410">
        <f>+FY16ProjRevToColl!G70-FY16ProjRevToColl0!G70</f>
        <v>0</v>
      </c>
      <c r="H70" s="410">
        <f>+FY16ProjRevToColl!H70-FY16ProjRevToColl0!H70</f>
        <v>0</v>
      </c>
      <c r="I70" s="410">
        <f>+FY16ProjRevToColl!I70-FY16ProjRevToColl0!I70</f>
        <v>0</v>
      </c>
      <c r="J70" s="410">
        <f>+FY16ProjRevToColl!J70-FY16ProjRevToColl0!J70</f>
        <v>0</v>
      </c>
      <c r="K70" s="410">
        <f>+FY16ProjRevToColl!K70-FY16ProjRevToColl0!K70</f>
        <v>0</v>
      </c>
      <c r="L70" s="410">
        <f>+FY16ProjRevToColl!L70-FY16ProjRevToColl0!L70</f>
        <v>0</v>
      </c>
      <c r="M70" s="410">
        <f>+FY16ProjRevToColl!M70-FY16ProjRevToColl0!M70</f>
        <v>0</v>
      </c>
      <c r="N70" s="410">
        <f>+FY16ProjRevToColl!N70-FY16ProjRevToColl0!N70</f>
        <v>0</v>
      </c>
      <c r="O70" s="410">
        <f>+FY16ProjRevToColl!O70-FY16ProjRevToColl0!O70</f>
        <v>0</v>
      </c>
      <c r="P70" s="410">
        <f>+FY16ProjRevToColl!P70-FY16ProjRevToColl0!P70</f>
        <v>0</v>
      </c>
      <c r="Q70" s="410">
        <f>+FY16ProjRevToColl!Q70-FY16ProjRevToColl0!Q70</f>
        <v>0</v>
      </c>
      <c r="R70" s="410">
        <f>+FY16ProjRevToColl!R70-FY16ProjRevToColl0!R70</f>
        <v>0</v>
      </c>
      <c r="S70" s="410">
        <f>+FY16ProjRevToColl!S70-FY16ProjRevToColl0!S70</f>
        <v>0</v>
      </c>
      <c r="T70" s="410">
        <f t="shared" si="6"/>
        <v>0</v>
      </c>
    </row>
    <row r="71" spans="1:20" ht="20.100000000000001" customHeight="1">
      <c r="A71" s="404" t="s">
        <v>162</v>
      </c>
      <c r="B71" s="456" t="s">
        <v>76</v>
      </c>
      <c r="C71" s="457">
        <f>+FY16ProjRevToColl!C71-FY16ProjRevToColl0!C71</f>
        <v>0</v>
      </c>
      <c r="D71" s="457">
        <f>+FY16ProjRevToColl!D71-FY16ProjRevToColl0!D71</f>
        <v>0</v>
      </c>
      <c r="E71" s="457">
        <f>+FY16ProjRevToColl!E71-FY16ProjRevToColl0!E71</f>
        <v>0</v>
      </c>
      <c r="F71" s="457">
        <f>+FY16ProjRevToColl!F71-FY16ProjRevToColl0!F71</f>
        <v>0</v>
      </c>
      <c r="G71" s="457">
        <f>+FY16ProjRevToColl!G71-FY16ProjRevToColl0!G71</f>
        <v>0</v>
      </c>
      <c r="H71" s="457">
        <f>+FY16ProjRevToColl!H71-FY16ProjRevToColl0!H71</f>
        <v>0</v>
      </c>
      <c r="I71" s="457">
        <f>+FY16ProjRevToColl!I71-FY16ProjRevToColl0!I71</f>
        <v>0</v>
      </c>
      <c r="J71" s="457">
        <f>+FY16ProjRevToColl!J71-FY16ProjRevToColl0!J71</f>
        <v>0</v>
      </c>
      <c r="K71" s="457">
        <f>+FY16ProjRevToColl!K71-FY16ProjRevToColl0!K71</f>
        <v>0</v>
      </c>
      <c r="L71" s="457">
        <f>+FY16ProjRevToColl!L71-FY16ProjRevToColl0!L71</f>
        <v>0</v>
      </c>
      <c r="M71" s="457">
        <f>+FY16ProjRevToColl!M71-FY16ProjRevToColl0!M71</f>
        <v>0</v>
      </c>
      <c r="N71" s="457">
        <f>+FY16ProjRevToColl!N71-FY16ProjRevToColl0!N71</f>
        <v>0</v>
      </c>
      <c r="O71" s="457">
        <f>+FY16ProjRevToColl!O71-FY16ProjRevToColl0!O71</f>
        <v>0</v>
      </c>
      <c r="P71" s="457">
        <f>+FY16ProjRevToColl!P71-FY16ProjRevToColl0!P71</f>
        <v>0</v>
      </c>
      <c r="Q71" s="457">
        <f>+FY16ProjRevToColl!Q71-FY16ProjRevToColl0!Q71</f>
        <v>0</v>
      </c>
      <c r="R71" s="457">
        <f>+FY16ProjRevToColl!R71-FY16ProjRevToColl0!R71</f>
        <v>0</v>
      </c>
      <c r="S71" s="457">
        <f>+FY16ProjRevToColl!S71-FY16ProjRevToColl0!S71</f>
        <v>0</v>
      </c>
      <c r="T71" s="457">
        <f t="shared" si="6"/>
        <v>0</v>
      </c>
    </row>
    <row r="72" spans="1:20" s="18" customFormat="1" ht="20.100000000000001" customHeight="1">
      <c r="A72" s="404" t="s">
        <v>156</v>
      </c>
      <c r="B72" s="440" t="s">
        <v>77</v>
      </c>
      <c r="C72" s="410">
        <f>+FY16ProjRevToColl!C72-FY16ProjRevToColl0!C72</f>
        <v>0</v>
      </c>
      <c r="D72" s="410">
        <f>+FY16ProjRevToColl!D72-FY16ProjRevToColl0!D72</f>
        <v>0</v>
      </c>
      <c r="E72" s="410">
        <f>+FY16ProjRevToColl!E72-FY16ProjRevToColl0!E72</f>
        <v>0</v>
      </c>
      <c r="F72" s="410">
        <f>+FY16ProjRevToColl!F72-FY16ProjRevToColl0!F72</f>
        <v>0</v>
      </c>
      <c r="G72" s="410">
        <f>+FY16ProjRevToColl!G72-FY16ProjRevToColl0!G72</f>
        <v>0</v>
      </c>
      <c r="H72" s="410">
        <f>+FY16ProjRevToColl!H72-FY16ProjRevToColl0!H72</f>
        <v>0</v>
      </c>
      <c r="I72" s="410">
        <f>+FY16ProjRevToColl!I72-FY16ProjRevToColl0!I72</f>
        <v>0</v>
      </c>
      <c r="J72" s="410">
        <f>+FY16ProjRevToColl!J72-FY16ProjRevToColl0!J72</f>
        <v>0</v>
      </c>
      <c r="K72" s="410">
        <f>+FY16ProjRevToColl!K72-FY16ProjRevToColl0!K72</f>
        <v>0</v>
      </c>
      <c r="L72" s="410">
        <f>+FY16ProjRevToColl!L72-FY16ProjRevToColl0!L72</f>
        <v>0</v>
      </c>
      <c r="M72" s="410">
        <f>+FY16ProjRevToColl!M72-FY16ProjRevToColl0!M72</f>
        <v>0</v>
      </c>
      <c r="N72" s="410">
        <f>+FY16ProjRevToColl!N72-FY16ProjRevToColl0!N72</f>
        <v>0</v>
      </c>
      <c r="O72" s="410">
        <f>+FY16ProjRevToColl!O72-FY16ProjRevToColl0!O72</f>
        <v>0</v>
      </c>
      <c r="P72" s="410">
        <f>+FY16ProjRevToColl!P72-FY16ProjRevToColl0!P72</f>
        <v>0</v>
      </c>
      <c r="Q72" s="410">
        <f>+FY16ProjRevToColl!Q72-FY16ProjRevToColl0!Q72</f>
        <v>0</v>
      </c>
      <c r="R72" s="410">
        <f>+FY16ProjRevToColl!R72-FY16ProjRevToColl0!R72</f>
        <v>0</v>
      </c>
      <c r="S72" s="410">
        <f>+FY16ProjRevToColl!S72-FY16ProjRevToColl0!S72</f>
        <v>0</v>
      </c>
      <c r="T72" s="410">
        <f t="shared" si="6"/>
        <v>0</v>
      </c>
    </row>
    <row r="73" spans="1:20" ht="20.100000000000001" customHeight="1">
      <c r="A73" s="406" t="s">
        <v>163</v>
      </c>
      <c r="B73" s="458" t="s">
        <v>164</v>
      </c>
      <c r="C73" s="457">
        <f>+FY16ProjRevToColl!C73-FY16ProjRevToColl0!C73</f>
        <v>0</v>
      </c>
      <c r="D73" s="457">
        <f>+FY16ProjRevToColl!D73-FY16ProjRevToColl0!D73</f>
        <v>0</v>
      </c>
      <c r="E73" s="457">
        <f>+FY16ProjRevToColl!E73-FY16ProjRevToColl0!E73</f>
        <v>0</v>
      </c>
      <c r="F73" s="457">
        <f>+FY16ProjRevToColl!F73-FY16ProjRevToColl0!F73</f>
        <v>0</v>
      </c>
      <c r="G73" s="457">
        <f>+FY16ProjRevToColl!G73-FY16ProjRevToColl0!G73</f>
        <v>0</v>
      </c>
      <c r="H73" s="457">
        <f>+FY16ProjRevToColl!H73-FY16ProjRevToColl0!H73</f>
        <v>0</v>
      </c>
      <c r="I73" s="457">
        <f>+FY16ProjRevToColl!I73-FY16ProjRevToColl0!I73</f>
        <v>0</v>
      </c>
      <c r="J73" s="457">
        <f>+FY16ProjRevToColl!J73-FY16ProjRevToColl0!J73</f>
        <v>0</v>
      </c>
      <c r="K73" s="457">
        <f>+FY16ProjRevToColl!K73-FY16ProjRevToColl0!K73</f>
        <v>0</v>
      </c>
      <c r="L73" s="457">
        <f>+FY16ProjRevToColl!L73-FY16ProjRevToColl0!L73</f>
        <v>0</v>
      </c>
      <c r="M73" s="457">
        <f>+FY16ProjRevToColl!M73-FY16ProjRevToColl0!M73</f>
        <v>0</v>
      </c>
      <c r="N73" s="457">
        <f>+FY16ProjRevToColl!N73-FY16ProjRevToColl0!N73</f>
        <v>0</v>
      </c>
      <c r="O73" s="457">
        <f>+FY16ProjRevToColl!O73-FY16ProjRevToColl0!O73</f>
        <v>0</v>
      </c>
      <c r="P73" s="457">
        <f>+FY16ProjRevToColl!P73-FY16ProjRevToColl0!P73</f>
        <v>0</v>
      </c>
      <c r="Q73" s="457">
        <f>+FY16ProjRevToColl!Q73-FY16ProjRevToColl0!Q73</f>
        <v>0</v>
      </c>
      <c r="R73" s="457">
        <f>+FY16ProjRevToColl!R73-FY16ProjRevToColl0!R73</f>
        <v>0</v>
      </c>
      <c r="S73" s="457">
        <f>+FY16ProjRevToColl!S73-FY16ProjRevToColl0!S73</f>
        <v>0</v>
      </c>
      <c r="T73" s="457">
        <f t="shared" si="6"/>
        <v>0</v>
      </c>
    </row>
    <row r="74" spans="1:20" ht="20.100000000000001" customHeight="1">
      <c r="B74" s="459" t="s">
        <v>17</v>
      </c>
      <c r="C74" s="460">
        <f t="shared" ref="C74:S74" si="7">SUM(C53:C73)</f>
        <v>-38266.108837294858</v>
      </c>
      <c r="D74" s="460">
        <f t="shared" si="7"/>
        <v>-1867181.1142483801</v>
      </c>
      <c r="E74" s="460">
        <f t="shared" si="7"/>
        <v>-321161.9848844409</v>
      </c>
      <c r="F74" s="460">
        <f t="shared" si="7"/>
        <v>-34507.830290775048</v>
      </c>
      <c r="G74" s="460">
        <f t="shared" si="7"/>
        <v>-334145.12895423546</v>
      </c>
      <c r="H74" s="460">
        <f t="shared" si="7"/>
        <v>-100790.19738394674</v>
      </c>
      <c r="I74" s="460">
        <f t="shared" si="7"/>
        <v>-34166.168604727602</v>
      </c>
      <c r="J74" s="460">
        <f t="shared" si="7"/>
        <v>0</v>
      </c>
      <c r="K74" s="460">
        <f t="shared" si="7"/>
        <v>0</v>
      </c>
      <c r="L74" s="460">
        <f t="shared" si="7"/>
        <v>-14008.1291279383</v>
      </c>
      <c r="M74" s="460">
        <f t="shared" si="7"/>
        <v>0</v>
      </c>
      <c r="N74" s="460">
        <f t="shared" si="7"/>
        <v>-70040.645639691968</v>
      </c>
      <c r="O74" s="460">
        <f t="shared" si="7"/>
        <v>-48515.959418713348</v>
      </c>
      <c r="P74" s="460">
        <f t="shared" si="7"/>
        <v>0</v>
      </c>
      <c r="Q74" s="460">
        <f t="shared" si="7"/>
        <v>-61157.441802462563</v>
      </c>
      <c r="R74" s="460">
        <f t="shared" si="7"/>
        <v>-4441.6019186145859</v>
      </c>
      <c r="S74" s="460">
        <f t="shared" si="7"/>
        <v>0</v>
      </c>
      <c r="T74" s="460">
        <f t="shared" si="6"/>
        <v>-2928382.311111222</v>
      </c>
    </row>
    <row r="75" spans="1:20" ht="15.95" customHeight="1"/>
    <row r="76" spans="1:20" ht="15.95" customHeight="1"/>
    <row r="77" spans="1:20" ht="15.95" customHeight="1"/>
    <row r="78" spans="1:20" ht="15.95" customHeight="1"/>
    <row r="79" spans="1:20" ht="15.95" customHeight="1"/>
    <row r="80" spans="1:2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sheetData>
  <mergeCells count="5">
    <mergeCell ref="B1:F1"/>
    <mergeCell ref="A2:A3"/>
    <mergeCell ref="B4:T4"/>
    <mergeCell ref="B27:T27"/>
    <mergeCell ref="B51:T5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62</vt:i4>
      </vt:variant>
    </vt:vector>
  </HeadingPairs>
  <TitlesOfParts>
    <vt:vector size="121" baseType="lpstr">
      <vt:lpstr>TuitRev</vt:lpstr>
      <vt:lpstr>Reference</vt:lpstr>
      <vt:lpstr>Summary</vt:lpstr>
      <vt:lpstr>Autumn15Diff</vt:lpstr>
      <vt:lpstr>FY16ProjRevToCollAut15</vt:lpstr>
      <vt:lpstr>FY16ProjRevAut15</vt:lpstr>
      <vt:lpstr>FY16ProjRev0Aut15</vt:lpstr>
      <vt:lpstr>FY16ProjMjrsActDegs</vt:lpstr>
      <vt:lpstr>FY16EffectReduction</vt:lpstr>
      <vt:lpstr>FY16ProjRevToColl</vt:lpstr>
      <vt:lpstr>FY16ProjRev</vt:lpstr>
      <vt:lpstr>FY16Incremental</vt:lpstr>
      <vt:lpstr>FY16ProjRevToColl0</vt:lpstr>
      <vt:lpstr>FY16ProjRev0</vt:lpstr>
      <vt:lpstr>FY16ProjSCH</vt:lpstr>
      <vt:lpstr>FY16ProjMjrs</vt:lpstr>
      <vt:lpstr>FY15MappingChg</vt:lpstr>
      <vt:lpstr>FY15RevToColl</vt:lpstr>
      <vt:lpstr>FY15Revenue</vt:lpstr>
      <vt:lpstr>FY15SCH</vt:lpstr>
      <vt:lpstr>FY15Majors</vt:lpstr>
      <vt:lpstr>FY15TrueUp</vt:lpstr>
      <vt:lpstr>FY15RevToCollwoMapChg</vt:lpstr>
      <vt:lpstr>FY15SCHwoMapChg</vt:lpstr>
      <vt:lpstr>FY15MajorswoMapChg</vt:lpstr>
      <vt:lpstr>FY14_15_3%</vt:lpstr>
      <vt:lpstr>FY15Incremental</vt:lpstr>
      <vt:lpstr>FY15ProjRevToColl</vt:lpstr>
      <vt:lpstr>FY15ProjRev</vt:lpstr>
      <vt:lpstr>FY15ProjSCH</vt:lpstr>
      <vt:lpstr>FY15ProjMajors</vt:lpstr>
      <vt:lpstr>FY14TrueUp</vt:lpstr>
      <vt:lpstr>FY14RevToColl</vt:lpstr>
      <vt:lpstr>FY14Revenue</vt:lpstr>
      <vt:lpstr>FY14Majors</vt:lpstr>
      <vt:lpstr>FY14SCH</vt:lpstr>
      <vt:lpstr>FY14ProjRevToColl</vt:lpstr>
      <vt:lpstr>FY14ProjRevenueToCollege</vt:lpstr>
      <vt:lpstr>FY14ProjRev</vt:lpstr>
      <vt:lpstr>FY14ProjSCH</vt:lpstr>
      <vt:lpstr>FY14ProjMajors</vt:lpstr>
      <vt:lpstr>FY13TrueUp</vt:lpstr>
      <vt:lpstr>FY13RevToColl</vt:lpstr>
      <vt:lpstr>FY13Revenue</vt:lpstr>
      <vt:lpstr>FY13SCH</vt:lpstr>
      <vt:lpstr>FY13Majors</vt:lpstr>
      <vt:lpstr>FY13ProjRevToColl</vt:lpstr>
      <vt:lpstr>FY13ProjRev</vt:lpstr>
      <vt:lpstr>FY13ProjSCH</vt:lpstr>
      <vt:lpstr>FY13ProjMajors</vt:lpstr>
      <vt:lpstr>FY12TrueUp</vt:lpstr>
      <vt:lpstr>FY12RevToColl</vt:lpstr>
      <vt:lpstr>FY12Revenue</vt:lpstr>
      <vt:lpstr>FY12Majors</vt:lpstr>
      <vt:lpstr>FY12SCH</vt:lpstr>
      <vt:lpstr>FY12ProjRevToColl</vt:lpstr>
      <vt:lpstr>FY12ProjRev</vt:lpstr>
      <vt:lpstr>FY12ProjMajors</vt:lpstr>
      <vt:lpstr>FY12ProjSCH</vt:lpstr>
      <vt:lpstr>GPpcntDeg</vt:lpstr>
      <vt:lpstr>GPpcntMjr</vt:lpstr>
      <vt:lpstr>GPpcntSCH</vt:lpstr>
      <vt:lpstr>PcntIncr</vt:lpstr>
      <vt:lpstr>FY12Majors!Print_Area</vt:lpstr>
      <vt:lpstr>FY12ProjMajors!Print_Area</vt:lpstr>
      <vt:lpstr>FY12ProjRev!Print_Area</vt:lpstr>
      <vt:lpstr>FY12ProjRevToColl!Print_Area</vt:lpstr>
      <vt:lpstr>FY12Revenue!Print_Area</vt:lpstr>
      <vt:lpstr>FY12RevToColl!Print_Area</vt:lpstr>
      <vt:lpstr>FY12SCH!Print_Area</vt:lpstr>
      <vt:lpstr>FY13Majors!Print_Area</vt:lpstr>
      <vt:lpstr>FY13ProjMajors!Print_Area</vt:lpstr>
      <vt:lpstr>FY13ProjRev!Print_Area</vt:lpstr>
      <vt:lpstr>FY13ProjRevToColl!Print_Area</vt:lpstr>
      <vt:lpstr>FY13ProjSCH!Print_Area</vt:lpstr>
      <vt:lpstr>FY13Revenue!Print_Area</vt:lpstr>
      <vt:lpstr>FY13RevToColl!Print_Area</vt:lpstr>
      <vt:lpstr>FY13SCH!Print_Area</vt:lpstr>
      <vt:lpstr>FY13TrueUp!Print_Area</vt:lpstr>
      <vt:lpstr>FY14Majors!Print_Area</vt:lpstr>
      <vt:lpstr>FY14ProjMajors!Print_Area</vt:lpstr>
      <vt:lpstr>FY14ProjRev!Print_Area</vt:lpstr>
      <vt:lpstr>FY14ProjRevenueToCollege!Print_Area</vt:lpstr>
      <vt:lpstr>FY14ProjRevToColl!Print_Area</vt:lpstr>
      <vt:lpstr>FY14ProjSCH!Print_Area</vt:lpstr>
      <vt:lpstr>FY14Revenue!Print_Area</vt:lpstr>
      <vt:lpstr>FY14RevToColl!Print_Area</vt:lpstr>
      <vt:lpstr>FY14SCH!Print_Area</vt:lpstr>
      <vt:lpstr>FY15Majors!Print_Area</vt:lpstr>
      <vt:lpstr>FY15MajorswoMapChg!Print_Area</vt:lpstr>
      <vt:lpstr>FY15MappingChg!Print_Area</vt:lpstr>
      <vt:lpstr>FY15ProjMajors!Print_Area</vt:lpstr>
      <vt:lpstr>FY15ProjRev!Print_Area</vt:lpstr>
      <vt:lpstr>FY15ProjRevToColl!Print_Area</vt:lpstr>
      <vt:lpstr>FY15ProjSCH!Print_Area</vt:lpstr>
      <vt:lpstr>FY15Revenue!Print_Area</vt:lpstr>
      <vt:lpstr>FY15RevToColl!Print_Area</vt:lpstr>
      <vt:lpstr>FY15RevToCollwoMapChg!Print_Area</vt:lpstr>
      <vt:lpstr>FY15SCH!Print_Area</vt:lpstr>
      <vt:lpstr>FY15SCHwoMapChg!Print_Area</vt:lpstr>
      <vt:lpstr>FY15TrueUp!Print_Area</vt:lpstr>
      <vt:lpstr>FY16Incremental!Print_Area</vt:lpstr>
      <vt:lpstr>FY16ProjMjrs!Print_Area</vt:lpstr>
      <vt:lpstr>FY16ProjMjrsActDegs!Print_Area</vt:lpstr>
      <vt:lpstr>FY16ProjRev!Print_Area</vt:lpstr>
      <vt:lpstr>FY16ProjRev0!Print_Area</vt:lpstr>
      <vt:lpstr>FY16ProjRevToColl!Print_Area</vt:lpstr>
      <vt:lpstr>FY16ProjRevToColl0!Print_Area</vt:lpstr>
      <vt:lpstr>FY16ProjSCH!Print_Area</vt:lpstr>
      <vt:lpstr>FY14RevToColl!Print_Titles</vt:lpstr>
      <vt:lpstr>FY15MappingChg!Print_Titles</vt:lpstr>
      <vt:lpstr>FY15ProjRevToColl!Print_Titles</vt:lpstr>
      <vt:lpstr>FY15RevToColl!Print_Titles</vt:lpstr>
      <vt:lpstr>FY15RevToCollwoMapChg!Print_Titles</vt:lpstr>
      <vt:lpstr>FY15TrueUp!Print_Titles</vt:lpstr>
      <vt:lpstr>FY16Incremental!Print_Titles</vt:lpstr>
      <vt:lpstr>FY16ProjRevToColl!Print_Titles</vt:lpstr>
      <vt:lpstr>FY16ProjRevToColl0!Print_Titles</vt:lpstr>
      <vt:lpstr>UGpcntDeg</vt:lpstr>
      <vt:lpstr>UGpcntMjr</vt:lpstr>
      <vt:lpstr>UGpcntSCH</vt:lpstr>
    </vt:vector>
  </TitlesOfParts>
  <Company>University of Washington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Carol Diem</cp:lastModifiedBy>
  <cp:lastPrinted>2015-04-24T21:24:54Z</cp:lastPrinted>
  <dcterms:created xsi:type="dcterms:W3CDTF">2010-12-09T21:41:09Z</dcterms:created>
  <dcterms:modified xsi:type="dcterms:W3CDTF">2015-11-10T18:39:52Z</dcterms:modified>
</cp:coreProperties>
</file>