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iem.NETID\Downloads\"/>
    </mc:Choice>
  </mc:AlternateContent>
  <bookViews>
    <workbookView xWindow="0" yWindow="0" windowWidth="20490" windowHeight="7755"/>
  </bookViews>
  <sheets>
    <sheet name="Reference" sheetId="23" r:id="rId1"/>
    <sheet name="SalaryvRevenue" sheetId="12" r:id="rId2"/>
    <sheet name="OpFee" sheetId="2" r:id="rId3"/>
    <sheet name="FTE" sheetId="7" r:id="rId4"/>
    <sheet name="FY16Calc" sheetId="3" r:id="rId5"/>
    <sheet name="FY16Calc0" sheetId="17" r:id="rId6"/>
    <sheet name="FY17Calc" sheetId="5" r:id="rId7"/>
    <sheet name="FY17Calc0" sheetId="18" r:id="rId8"/>
    <sheet name="FY16Rev" sheetId="6" r:id="rId9"/>
    <sheet name="FY17Rev" sheetId="8" r:id="rId10"/>
    <sheet name="FY16Rev0" sheetId="19" r:id="rId11"/>
    <sheet name="FY17Rev0" sheetId="20" r:id="rId12"/>
    <sheet name="FY16ProjMjrsActDegs" sheetId="14" r:id="rId13"/>
    <sheet name="FY16ProjSCH" sheetId="15" r:id="rId14"/>
    <sheet name="FY16ProjRevToColl0" sheetId="16" r:id="rId15"/>
    <sheet name="FY17ProjRevToColl0" sheetId="21" r:id="rId16"/>
    <sheet name="TuitRev" sheetId="13" r:id="rId17"/>
    <sheet name="GOFSalbyUnitByEmpType" sheetId="9" r:id="rId18"/>
    <sheet name="DOFSalbyUnitbyEmpType" sheetId="10" r:id="rId19"/>
    <sheet name="LoadRates" sheetId="11" r:id="rId20"/>
  </sheets>
  <definedNames>
    <definedName name="GPpcntMjr">TuitRev!$K$6</definedName>
    <definedName name="GPpcntSCH">TuitRev!$K$4</definedName>
    <definedName name="_xlnm.Print_Area" localSheetId="1">SalaryvRevenue!$B$1:$Y$19</definedName>
    <definedName name="UGpcntDeg">TuitRev!$I$8</definedName>
    <definedName name="UGpcntSCH">TuitRev!$I$4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102" i="10" l="1"/>
  <c r="G102" i="10"/>
  <c r="H102" i="10"/>
  <c r="F101" i="10"/>
  <c r="G101" i="10"/>
  <c r="H101" i="10"/>
  <c r="F100" i="10"/>
  <c r="G100" i="10"/>
  <c r="H100" i="10"/>
  <c r="F99" i="10"/>
  <c r="G99" i="10"/>
  <c r="H99" i="10"/>
  <c r="F98" i="10"/>
  <c r="G98" i="10"/>
  <c r="H98" i="10"/>
  <c r="F97" i="10"/>
  <c r="G97" i="10"/>
  <c r="H97" i="10"/>
  <c r="F96" i="10"/>
  <c r="G96" i="10"/>
  <c r="H96" i="10"/>
  <c r="F95" i="10"/>
  <c r="G95" i="10"/>
  <c r="H95" i="10"/>
  <c r="F94" i="10"/>
  <c r="G94" i="10"/>
  <c r="H94" i="10"/>
  <c r="F93" i="10"/>
  <c r="G93" i="10"/>
  <c r="H93" i="10"/>
  <c r="F92" i="10"/>
  <c r="G92" i="10"/>
  <c r="H92" i="10"/>
  <c r="F91" i="10"/>
  <c r="G91" i="10"/>
  <c r="H91" i="10"/>
  <c r="F90" i="10"/>
  <c r="G90" i="10"/>
  <c r="H90" i="10"/>
  <c r="F89" i="10"/>
  <c r="G89" i="10"/>
  <c r="H89" i="10"/>
  <c r="F88" i="10"/>
  <c r="G88" i="10"/>
  <c r="H88" i="10"/>
  <c r="F87" i="10"/>
  <c r="G87" i="10"/>
  <c r="H87" i="10"/>
  <c r="F86" i="10"/>
  <c r="G86" i="10"/>
  <c r="H86" i="10"/>
  <c r="F85" i="10"/>
  <c r="G85" i="10"/>
  <c r="H85" i="10"/>
  <c r="F84" i="10"/>
  <c r="G84" i="10"/>
  <c r="H84" i="10"/>
  <c r="F83" i="10"/>
  <c r="G83" i="10"/>
  <c r="H83" i="10"/>
  <c r="F82" i="10"/>
  <c r="G82" i="10"/>
  <c r="H82" i="10"/>
  <c r="F81" i="10"/>
  <c r="G81" i="10"/>
  <c r="H81" i="10"/>
  <c r="F80" i="10"/>
  <c r="G80" i="10"/>
  <c r="H80" i="10"/>
  <c r="F79" i="10"/>
  <c r="G79" i="10"/>
  <c r="H79" i="10"/>
  <c r="F78" i="10"/>
  <c r="G78" i="10"/>
  <c r="H78" i="10"/>
  <c r="F77" i="10"/>
  <c r="G77" i="10"/>
  <c r="H77" i="10"/>
  <c r="F76" i="10"/>
  <c r="G76" i="10"/>
  <c r="H76" i="10"/>
  <c r="F75" i="10"/>
  <c r="G75" i="10"/>
  <c r="H75" i="10"/>
  <c r="F74" i="10"/>
  <c r="G74" i="10"/>
  <c r="H74" i="10"/>
  <c r="F73" i="10"/>
  <c r="G73" i="10"/>
  <c r="H73" i="10"/>
  <c r="F72" i="10"/>
  <c r="G72" i="10"/>
  <c r="H72" i="10"/>
  <c r="F71" i="10"/>
  <c r="G71" i="10"/>
  <c r="H71" i="10"/>
  <c r="F70" i="10"/>
  <c r="G70" i="10"/>
  <c r="H70" i="10"/>
  <c r="F69" i="10"/>
  <c r="G69" i="10"/>
  <c r="H69" i="10"/>
  <c r="F68" i="10"/>
  <c r="G68" i="10"/>
  <c r="H68" i="10"/>
  <c r="F67" i="10"/>
  <c r="G67" i="10"/>
  <c r="H67" i="10"/>
  <c r="F66" i="10"/>
  <c r="G66" i="10"/>
  <c r="H66" i="10"/>
  <c r="F65" i="10"/>
  <c r="G65" i="10"/>
  <c r="H65" i="10"/>
  <c r="F64" i="10"/>
  <c r="G64" i="10"/>
  <c r="H64" i="10"/>
  <c r="F63" i="10"/>
  <c r="G63" i="10"/>
  <c r="H63" i="10"/>
  <c r="F62" i="10"/>
  <c r="G62" i="10"/>
  <c r="H62" i="10"/>
  <c r="F61" i="10"/>
  <c r="G61" i="10"/>
  <c r="H61" i="10"/>
  <c r="F60" i="10"/>
  <c r="G60" i="10"/>
  <c r="H60" i="10"/>
  <c r="F59" i="10"/>
  <c r="G59" i="10"/>
  <c r="H59" i="10"/>
  <c r="F58" i="10"/>
  <c r="G58" i="10"/>
  <c r="H58" i="10"/>
  <c r="F57" i="10"/>
  <c r="G57" i="10"/>
  <c r="H57" i="10"/>
  <c r="F56" i="10"/>
  <c r="G56" i="10"/>
  <c r="H56" i="10"/>
  <c r="F55" i="10"/>
  <c r="G55" i="10"/>
  <c r="H55" i="10"/>
  <c r="F54" i="10"/>
  <c r="G54" i="10"/>
  <c r="H54" i="10"/>
  <c r="F53" i="10"/>
  <c r="G53" i="10"/>
  <c r="H53" i="10"/>
  <c r="F52" i="10"/>
  <c r="G52" i="10"/>
  <c r="H52" i="10"/>
  <c r="F51" i="10"/>
  <c r="G51" i="10"/>
  <c r="H51" i="10"/>
  <c r="F50" i="10"/>
  <c r="G50" i="10"/>
  <c r="H50" i="10"/>
  <c r="F49" i="10"/>
  <c r="G49" i="10"/>
  <c r="H49" i="10"/>
  <c r="F48" i="10"/>
  <c r="G48" i="10"/>
  <c r="H48" i="10"/>
  <c r="F47" i="10"/>
  <c r="G47" i="10"/>
  <c r="H47" i="10"/>
  <c r="F46" i="10"/>
  <c r="G46" i="10"/>
  <c r="H46" i="10"/>
  <c r="F45" i="10"/>
  <c r="G45" i="10"/>
  <c r="H45" i="10"/>
  <c r="F44" i="10"/>
  <c r="G44" i="10"/>
  <c r="H44" i="10"/>
  <c r="F43" i="10"/>
  <c r="G43" i="10"/>
  <c r="H43" i="10"/>
  <c r="F42" i="10"/>
  <c r="G42" i="10"/>
  <c r="H42" i="10"/>
  <c r="F41" i="10"/>
  <c r="G41" i="10"/>
  <c r="H41" i="10"/>
  <c r="F40" i="10"/>
  <c r="G40" i="10"/>
  <c r="H40" i="10"/>
  <c r="F39" i="10"/>
  <c r="G39" i="10"/>
  <c r="H39" i="10"/>
  <c r="F38" i="10"/>
  <c r="G38" i="10"/>
  <c r="H38" i="10"/>
  <c r="F37" i="10"/>
  <c r="G37" i="10"/>
  <c r="H37" i="10"/>
  <c r="F36" i="10"/>
  <c r="G36" i="10"/>
  <c r="H36" i="10"/>
  <c r="F35" i="10"/>
  <c r="G35" i="10"/>
  <c r="H35" i="10"/>
  <c r="F34" i="10"/>
  <c r="G34" i="10"/>
  <c r="H34" i="10"/>
  <c r="F33" i="10"/>
  <c r="G33" i="10"/>
  <c r="H33" i="10"/>
  <c r="F32" i="10"/>
  <c r="G32" i="10"/>
  <c r="H32" i="10"/>
  <c r="F31" i="10"/>
  <c r="G31" i="10"/>
  <c r="H31" i="10"/>
  <c r="F30" i="10"/>
  <c r="G30" i="10"/>
  <c r="H30" i="10"/>
  <c r="F29" i="10"/>
  <c r="G29" i="10"/>
  <c r="H29" i="10"/>
  <c r="F28" i="10"/>
  <c r="G28" i="10"/>
  <c r="H28" i="10"/>
  <c r="F27" i="10"/>
  <c r="G27" i="10"/>
  <c r="H27" i="10"/>
  <c r="F26" i="10"/>
  <c r="G26" i="10"/>
  <c r="H26" i="10"/>
  <c r="F25" i="10"/>
  <c r="G25" i="10"/>
  <c r="H25" i="10"/>
  <c r="F24" i="10"/>
  <c r="G24" i="10"/>
  <c r="H24" i="10"/>
  <c r="F23" i="10"/>
  <c r="G23" i="10"/>
  <c r="H23" i="10"/>
  <c r="F22" i="10"/>
  <c r="G22" i="10"/>
  <c r="H22" i="10"/>
  <c r="F21" i="10"/>
  <c r="G21" i="10"/>
  <c r="H21" i="10"/>
  <c r="F20" i="10"/>
  <c r="G20" i="10"/>
  <c r="H20" i="10"/>
  <c r="F19" i="10"/>
  <c r="G19" i="10"/>
  <c r="H19" i="10"/>
  <c r="F18" i="10"/>
  <c r="G18" i="10"/>
  <c r="H18" i="10"/>
  <c r="F17" i="10"/>
  <c r="G17" i="10"/>
  <c r="H17" i="10"/>
  <c r="F16" i="10"/>
  <c r="G16" i="10"/>
  <c r="H16" i="10"/>
  <c r="F15" i="10"/>
  <c r="G15" i="10"/>
  <c r="H15" i="10"/>
  <c r="F14" i="10"/>
  <c r="G14" i="10"/>
  <c r="H14" i="10"/>
  <c r="F13" i="10"/>
  <c r="G13" i="10"/>
  <c r="H13" i="10"/>
  <c r="F12" i="10"/>
  <c r="G12" i="10"/>
  <c r="H12" i="10"/>
  <c r="F11" i="10"/>
  <c r="G11" i="10"/>
  <c r="H11" i="10"/>
  <c r="F10" i="10"/>
  <c r="G10" i="10"/>
  <c r="H10" i="10"/>
  <c r="F9" i="10"/>
  <c r="G9" i="10"/>
  <c r="H9" i="10"/>
  <c r="F8" i="10"/>
  <c r="G8" i="10"/>
  <c r="H8" i="10"/>
  <c r="F7" i="10"/>
  <c r="G7" i="10"/>
  <c r="H7" i="10"/>
  <c r="F6" i="10"/>
  <c r="G6" i="10"/>
  <c r="H6" i="10"/>
  <c r="F5" i="10"/>
  <c r="G5" i="10"/>
  <c r="H5" i="10"/>
  <c r="F4" i="10"/>
  <c r="G4" i="10"/>
  <c r="H4" i="10"/>
  <c r="F3" i="10"/>
  <c r="G3" i="10"/>
  <c r="H3" i="10"/>
  <c r="F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G3" i="9"/>
  <c r="H3" i="9"/>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G82" i="9"/>
  <c r="I82" i="9"/>
  <c r="D21" i="12"/>
  <c r="G102" i="9"/>
  <c r="I102" i="9"/>
  <c r="E21" i="12"/>
  <c r="G22" i="9"/>
  <c r="I22" i="9"/>
  <c r="I42" i="9"/>
  <c r="I62" i="9"/>
  <c r="C21" i="12"/>
  <c r="F21" i="12"/>
  <c r="H21" i="12"/>
  <c r="I21" i="12"/>
  <c r="G21" i="12"/>
  <c r="J21" i="12"/>
  <c r="O21" i="12"/>
  <c r="O98" i="7"/>
  <c r="H98" i="7"/>
  <c r="J97" i="18"/>
  <c r="AA98" i="2"/>
  <c r="AB98" i="2"/>
  <c r="K97" i="18"/>
  <c r="L97" i="18"/>
  <c r="M97" i="18"/>
  <c r="N97" i="18"/>
  <c r="O97" i="18"/>
  <c r="P97" i="18"/>
  <c r="Q97" i="18"/>
  <c r="I97" i="18"/>
  <c r="S97" i="18"/>
  <c r="T97" i="18"/>
  <c r="O100" i="7"/>
  <c r="H100" i="7"/>
  <c r="J99" i="18"/>
  <c r="AA100" i="2"/>
  <c r="AB100" i="2"/>
  <c r="K99" i="18"/>
  <c r="L99" i="18"/>
  <c r="M99" i="18"/>
  <c r="N99" i="18"/>
  <c r="O99" i="18"/>
  <c r="P99" i="18"/>
  <c r="Q99" i="18"/>
  <c r="I99" i="18"/>
  <c r="S99" i="18"/>
  <c r="T99" i="18"/>
  <c r="T125" i="18"/>
  <c r="H98" i="2"/>
  <c r="J97" i="5"/>
  <c r="N98" i="2"/>
  <c r="S98" i="2"/>
  <c r="K97" i="5"/>
  <c r="L97" i="5"/>
  <c r="M97" i="5"/>
  <c r="N97" i="5"/>
  <c r="O97" i="5"/>
  <c r="P97" i="5"/>
  <c r="Q97" i="5"/>
  <c r="U3" i="5"/>
  <c r="I97" i="5"/>
  <c r="S97" i="5"/>
  <c r="T97" i="5"/>
  <c r="H6" i="2"/>
  <c r="H100" i="2"/>
  <c r="J99" i="5"/>
  <c r="N100" i="2"/>
  <c r="S100" i="2"/>
  <c r="K99" i="5"/>
  <c r="L99" i="5"/>
  <c r="M99" i="5"/>
  <c r="N99" i="5"/>
  <c r="O99" i="5"/>
  <c r="P99" i="5"/>
  <c r="Q99" i="5"/>
  <c r="I99" i="5"/>
  <c r="S99" i="5"/>
  <c r="T99" i="5"/>
  <c r="T125" i="5"/>
  <c r="V125" i="18"/>
  <c r="S97" i="17"/>
  <c r="T97" i="17"/>
  <c r="S99" i="17"/>
  <c r="T99" i="17"/>
  <c r="T125" i="17"/>
  <c r="U3" i="3"/>
  <c r="S97" i="3"/>
  <c r="T97" i="3"/>
  <c r="S99" i="3"/>
  <c r="T99" i="3"/>
  <c r="T125" i="3"/>
  <c r="V125" i="17"/>
  <c r="W125" i="18"/>
  <c r="U21" i="12"/>
  <c r="V21" i="12"/>
  <c r="H99" i="2"/>
  <c r="Y99" i="2"/>
  <c r="O99" i="7"/>
  <c r="H99" i="7"/>
  <c r="J98" i="18"/>
  <c r="AB99" i="2"/>
  <c r="K98" i="18"/>
  <c r="L98" i="18"/>
  <c r="M98" i="18"/>
  <c r="N98" i="18"/>
  <c r="AA99" i="2"/>
  <c r="AC99" i="2"/>
  <c r="O98" i="18"/>
  <c r="P98" i="18"/>
  <c r="Q98" i="18"/>
  <c r="T98" i="18"/>
  <c r="H7" i="2"/>
  <c r="H101" i="2"/>
  <c r="Y101" i="2"/>
  <c r="O101" i="7"/>
  <c r="H101" i="7"/>
  <c r="J100" i="18"/>
  <c r="AB101" i="2"/>
  <c r="K100" i="18"/>
  <c r="L100" i="18"/>
  <c r="M100" i="18"/>
  <c r="N100" i="18"/>
  <c r="AA101" i="2"/>
  <c r="AC101" i="2"/>
  <c r="O100" i="18"/>
  <c r="P100" i="18"/>
  <c r="Q100" i="18"/>
  <c r="T100" i="18"/>
  <c r="H102" i="2"/>
  <c r="Y102" i="2"/>
  <c r="O102" i="7"/>
  <c r="H102" i="7"/>
  <c r="J101" i="18"/>
  <c r="AA102" i="2"/>
  <c r="AB102" i="2"/>
  <c r="K101" i="18"/>
  <c r="L101" i="18"/>
  <c r="M101" i="18"/>
  <c r="N101" i="18"/>
  <c r="O101" i="18"/>
  <c r="P101" i="18"/>
  <c r="Q101" i="18"/>
  <c r="T101" i="18"/>
  <c r="H103" i="2"/>
  <c r="Y103" i="2"/>
  <c r="O103" i="7"/>
  <c r="H103" i="7"/>
  <c r="J102" i="18"/>
  <c r="AB103" i="2"/>
  <c r="K102" i="18"/>
  <c r="L102" i="18"/>
  <c r="M102" i="18"/>
  <c r="N102" i="18"/>
  <c r="AA103" i="2"/>
  <c r="AC103" i="2"/>
  <c r="O102" i="18"/>
  <c r="P102" i="18"/>
  <c r="Q102" i="18"/>
  <c r="T102" i="18"/>
  <c r="O80" i="7"/>
  <c r="H80" i="7"/>
  <c r="J79" i="18"/>
  <c r="AA80" i="2"/>
  <c r="AB80" i="2"/>
  <c r="K79" i="18"/>
  <c r="L79" i="18"/>
  <c r="M79" i="18"/>
  <c r="N79" i="18"/>
  <c r="O79" i="18"/>
  <c r="P79" i="18"/>
  <c r="Q79" i="18"/>
  <c r="I79" i="18"/>
  <c r="S79" i="18"/>
  <c r="T79" i="18"/>
  <c r="H81" i="2"/>
  <c r="Y81" i="2"/>
  <c r="O81" i="7"/>
  <c r="H81" i="7"/>
  <c r="J80" i="18"/>
  <c r="AB81" i="2"/>
  <c r="K80" i="18"/>
  <c r="L80" i="18"/>
  <c r="M80" i="18"/>
  <c r="N80" i="18"/>
  <c r="AA81" i="2"/>
  <c r="AC81" i="2"/>
  <c r="O80" i="18"/>
  <c r="P80" i="18"/>
  <c r="Q80" i="18"/>
  <c r="T80" i="18"/>
  <c r="O82" i="7"/>
  <c r="H82" i="7"/>
  <c r="J81" i="18"/>
  <c r="AA82" i="2"/>
  <c r="AB82" i="2"/>
  <c r="K81" i="18"/>
  <c r="L81" i="18"/>
  <c r="M81" i="18"/>
  <c r="N81" i="18"/>
  <c r="O81" i="18"/>
  <c r="P81" i="18"/>
  <c r="Q81" i="18"/>
  <c r="I81" i="18"/>
  <c r="S81" i="18"/>
  <c r="T81" i="18"/>
  <c r="H83" i="2"/>
  <c r="Y83" i="2"/>
  <c r="O83" i="7"/>
  <c r="H83" i="7"/>
  <c r="J82" i="18"/>
  <c r="AB83" i="2"/>
  <c r="K82" i="18"/>
  <c r="L82" i="18"/>
  <c r="M82" i="18"/>
  <c r="N82" i="18"/>
  <c r="AA83" i="2"/>
  <c r="AC83" i="2"/>
  <c r="O82" i="18"/>
  <c r="P82" i="18"/>
  <c r="Q82" i="18"/>
  <c r="T82" i="18"/>
  <c r="H84" i="2"/>
  <c r="Y84" i="2"/>
  <c r="O84" i="7"/>
  <c r="H84" i="7"/>
  <c r="J83" i="18"/>
  <c r="AA84" i="2"/>
  <c r="AB84" i="2"/>
  <c r="K83" i="18"/>
  <c r="L83" i="18"/>
  <c r="M83" i="18"/>
  <c r="N83" i="18"/>
  <c r="O83" i="18"/>
  <c r="P83" i="18"/>
  <c r="Q83" i="18"/>
  <c r="T83" i="18"/>
  <c r="H85" i="2"/>
  <c r="Y85" i="2"/>
  <c r="O85" i="7"/>
  <c r="H85" i="7"/>
  <c r="J84" i="18"/>
  <c r="AB85" i="2"/>
  <c r="K84" i="18"/>
  <c r="L84" i="18"/>
  <c r="M84" i="18"/>
  <c r="N84" i="18"/>
  <c r="AA85" i="2"/>
  <c r="AC85" i="2"/>
  <c r="O84" i="18"/>
  <c r="P84" i="18"/>
  <c r="Q84" i="18"/>
  <c r="T84" i="18"/>
  <c r="H86" i="2"/>
  <c r="Y86" i="2"/>
  <c r="O86" i="7"/>
  <c r="H86" i="7"/>
  <c r="J85" i="18"/>
  <c r="AA86" i="2"/>
  <c r="AB86" i="2"/>
  <c r="K85" i="18"/>
  <c r="L85" i="18"/>
  <c r="M85" i="18"/>
  <c r="N85" i="18"/>
  <c r="O85" i="18"/>
  <c r="P85" i="18"/>
  <c r="Q85" i="18"/>
  <c r="T85" i="18"/>
  <c r="H87" i="2"/>
  <c r="Y87" i="2"/>
  <c r="O87" i="7"/>
  <c r="H87" i="7"/>
  <c r="J86" i="18"/>
  <c r="AB87" i="2"/>
  <c r="K86" i="18"/>
  <c r="L86" i="18"/>
  <c r="M86" i="18"/>
  <c r="N86" i="18"/>
  <c r="AA87" i="2"/>
  <c r="AC87" i="2"/>
  <c r="O86" i="18"/>
  <c r="P86" i="18"/>
  <c r="Q86" i="18"/>
  <c r="T86" i="18"/>
  <c r="H12" i="2"/>
  <c r="H88" i="2"/>
  <c r="Y88" i="2"/>
  <c r="O88" i="7"/>
  <c r="H88" i="7"/>
  <c r="J87" i="18"/>
  <c r="AA88" i="2"/>
  <c r="AB88" i="2"/>
  <c r="K87" i="18"/>
  <c r="L87" i="18"/>
  <c r="M87" i="18"/>
  <c r="N87" i="18"/>
  <c r="O87" i="18"/>
  <c r="P87" i="18"/>
  <c r="Q87" i="18"/>
  <c r="T87" i="18"/>
  <c r="H13" i="2"/>
  <c r="H89" i="2"/>
  <c r="Y89" i="2"/>
  <c r="O89" i="7"/>
  <c r="H89" i="7"/>
  <c r="J88" i="18"/>
  <c r="AB89" i="2"/>
  <c r="K88" i="18"/>
  <c r="L88" i="18"/>
  <c r="M88" i="18"/>
  <c r="N88" i="18"/>
  <c r="AA89" i="2"/>
  <c r="AC89" i="2"/>
  <c r="O88" i="18"/>
  <c r="P88" i="18"/>
  <c r="Q88" i="18"/>
  <c r="T88" i="18"/>
  <c r="Y92" i="2"/>
  <c r="O92" i="7"/>
  <c r="H92" i="7"/>
  <c r="J91" i="18"/>
  <c r="AA92" i="2"/>
  <c r="AB92" i="2"/>
  <c r="K91" i="18"/>
  <c r="L91" i="18"/>
  <c r="M91" i="18"/>
  <c r="N91" i="18"/>
  <c r="O91" i="18"/>
  <c r="P91" i="18"/>
  <c r="Q91" i="18"/>
  <c r="T91" i="18"/>
  <c r="Y93" i="2"/>
  <c r="O93" i="7"/>
  <c r="H93" i="7"/>
  <c r="J92" i="18"/>
  <c r="AB93" i="2"/>
  <c r="K92" i="18"/>
  <c r="L92" i="18"/>
  <c r="M92" i="18"/>
  <c r="N92" i="18"/>
  <c r="AA93" i="2"/>
  <c r="AC93" i="2"/>
  <c r="O92" i="18"/>
  <c r="P92" i="18"/>
  <c r="Q92" i="18"/>
  <c r="T92" i="18"/>
  <c r="Y94" i="2"/>
  <c r="O94" i="7"/>
  <c r="H94" i="7"/>
  <c r="J93" i="18"/>
  <c r="AA94" i="2"/>
  <c r="AB94" i="2"/>
  <c r="K93" i="18"/>
  <c r="L93" i="18"/>
  <c r="M93" i="18"/>
  <c r="N93" i="18"/>
  <c r="O93" i="18"/>
  <c r="P93" i="18"/>
  <c r="Q93" i="18"/>
  <c r="T93" i="18"/>
  <c r="Y95" i="2"/>
  <c r="O95" i="7"/>
  <c r="H95" i="7"/>
  <c r="J94" i="18"/>
  <c r="AB95" i="2"/>
  <c r="K94" i="18"/>
  <c r="L94" i="18"/>
  <c r="M94" i="18"/>
  <c r="N94" i="18"/>
  <c r="AA95" i="2"/>
  <c r="AC95" i="2"/>
  <c r="O94" i="18"/>
  <c r="P94" i="18"/>
  <c r="Q94" i="18"/>
  <c r="T94" i="18"/>
  <c r="H96" i="2"/>
  <c r="Y96" i="2"/>
  <c r="O96" i="7"/>
  <c r="H96" i="7"/>
  <c r="J95" i="18"/>
  <c r="AA96" i="2"/>
  <c r="AB96" i="2"/>
  <c r="K95" i="18"/>
  <c r="L95" i="18"/>
  <c r="M95" i="18"/>
  <c r="N95" i="18"/>
  <c r="O95" i="18"/>
  <c r="P95" i="18"/>
  <c r="Q95" i="18"/>
  <c r="T95" i="18"/>
  <c r="H104" i="2"/>
  <c r="Y104" i="2"/>
  <c r="O104" i="7"/>
  <c r="H104" i="7"/>
  <c r="J103" i="18"/>
  <c r="AA104" i="2"/>
  <c r="AB104" i="2"/>
  <c r="K103" i="18"/>
  <c r="L103" i="18"/>
  <c r="M103" i="18"/>
  <c r="N103" i="18"/>
  <c r="O103" i="18"/>
  <c r="P103" i="18"/>
  <c r="Q103" i="18"/>
  <c r="T103" i="18"/>
  <c r="H105" i="2"/>
  <c r="Y105" i="2"/>
  <c r="O105" i="7"/>
  <c r="H105" i="7"/>
  <c r="J104" i="18"/>
  <c r="AB105" i="2"/>
  <c r="K104" i="18"/>
  <c r="L104" i="18"/>
  <c r="M104" i="18"/>
  <c r="N104" i="18"/>
  <c r="AA105" i="2"/>
  <c r="AC105" i="2"/>
  <c r="O104" i="18"/>
  <c r="P104" i="18"/>
  <c r="Q104" i="18"/>
  <c r="T104" i="18"/>
  <c r="H106" i="2"/>
  <c r="Y106" i="2"/>
  <c r="O106" i="7"/>
  <c r="H106" i="7"/>
  <c r="J105" i="18"/>
  <c r="AA106" i="2"/>
  <c r="AB106" i="2"/>
  <c r="K105" i="18"/>
  <c r="L105" i="18"/>
  <c r="M105" i="18"/>
  <c r="N105" i="18"/>
  <c r="O105" i="18"/>
  <c r="P105" i="18"/>
  <c r="Q105" i="18"/>
  <c r="T105" i="18"/>
  <c r="H108" i="2"/>
  <c r="Y108" i="2"/>
  <c r="O108" i="7"/>
  <c r="H108" i="7"/>
  <c r="J107" i="18"/>
  <c r="AA108" i="2"/>
  <c r="AB108" i="2"/>
  <c r="K107" i="18"/>
  <c r="L107" i="18"/>
  <c r="M107" i="18"/>
  <c r="N107" i="18"/>
  <c r="O107" i="18"/>
  <c r="P107" i="18"/>
  <c r="Q107" i="18"/>
  <c r="T107" i="18"/>
  <c r="H109" i="2"/>
  <c r="Y109" i="2"/>
  <c r="O109" i="7"/>
  <c r="H109" i="7"/>
  <c r="J108" i="18"/>
  <c r="AB109" i="2"/>
  <c r="K108" i="18"/>
  <c r="L108" i="18"/>
  <c r="M108" i="18"/>
  <c r="N108" i="18"/>
  <c r="AA109" i="2"/>
  <c r="AC109" i="2"/>
  <c r="O108" i="18"/>
  <c r="P108" i="18"/>
  <c r="Q108" i="18"/>
  <c r="T108" i="18"/>
  <c r="Y110" i="2"/>
  <c r="O110" i="7"/>
  <c r="H110" i="7"/>
  <c r="J109" i="18"/>
  <c r="AA110" i="2"/>
  <c r="AB110" i="2"/>
  <c r="K109" i="18"/>
  <c r="L109" i="18"/>
  <c r="M109" i="18"/>
  <c r="N109" i="18"/>
  <c r="O109" i="18"/>
  <c r="P109" i="18"/>
  <c r="Q109" i="18"/>
  <c r="T109" i="18"/>
  <c r="Y111" i="2"/>
  <c r="O111" i="7"/>
  <c r="H111" i="7"/>
  <c r="J110" i="18"/>
  <c r="AB111" i="2"/>
  <c r="K110" i="18"/>
  <c r="L110" i="18"/>
  <c r="M110" i="18"/>
  <c r="N110" i="18"/>
  <c r="AA111" i="2"/>
  <c r="AC111" i="2"/>
  <c r="O110" i="18"/>
  <c r="P110" i="18"/>
  <c r="Q110" i="18"/>
  <c r="T110" i="18"/>
  <c r="Y112" i="2"/>
  <c r="O112" i="7"/>
  <c r="H112" i="7"/>
  <c r="J111" i="18"/>
  <c r="AA112" i="2"/>
  <c r="AB112" i="2"/>
  <c r="K111" i="18"/>
  <c r="L111" i="18"/>
  <c r="M111" i="18"/>
  <c r="N111" i="18"/>
  <c r="O111" i="18"/>
  <c r="P111" i="18"/>
  <c r="Q111" i="18"/>
  <c r="T111" i="18"/>
  <c r="H114" i="2"/>
  <c r="Y114" i="2"/>
  <c r="O114" i="7"/>
  <c r="H114" i="7"/>
  <c r="J113" i="18"/>
  <c r="AA114" i="2"/>
  <c r="AB114" i="2"/>
  <c r="K113" i="18"/>
  <c r="L113" i="18"/>
  <c r="M113" i="18"/>
  <c r="N113" i="18"/>
  <c r="O113" i="18"/>
  <c r="P113" i="18"/>
  <c r="Q113" i="18"/>
  <c r="T113" i="18"/>
  <c r="H115" i="2"/>
  <c r="Y115" i="2"/>
  <c r="O115" i="7"/>
  <c r="H115" i="7"/>
  <c r="J114" i="18"/>
  <c r="AB115" i="2"/>
  <c r="K114" i="18"/>
  <c r="L114" i="18"/>
  <c r="M114" i="18"/>
  <c r="N114" i="18"/>
  <c r="AA115" i="2"/>
  <c r="AC115" i="2"/>
  <c r="O114" i="18"/>
  <c r="P114" i="18"/>
  <c r="Q114" i="18"/>
  <c r="T114" i="18"/>
  <c r="D27" i="20"/>
  <c r="E27" i="20"/>
  <c r="Q21" i="12"/>
  <c r="T98" i="17"/>
  <c r="T100" i="17"/>
  <c r="T101" i="17"/>
  <c r="T102" i="17"/>
  <c r="S79" i="17"/>
  <c r="T79" i="17"/>
  <c r="T80" i="17"/>
  <c r="S81" i="17"/>
  <c r="T81" i="17"/>
  <c r="T82" i="17"/>
  <c r="T83" i="17"/>
  <c r="T84" i="17"/>
  <c r="T85" i="17"/>
  <c r="T86" i="17"/>
  <c r="T87" i="17"/>
  <c r="T88" i="17"/>
  <c r="T91" i="17"/>
  <c r="T92" i="17"/>
  <c r="T93" i="17"/>
  <c r="T94" i="17"/>
  <c r="T95" i="17"/>
  <c r="T103" i="17"/>
  <c r="T104" i="17"/>
  <c r="T105" i="17"/>
  <c r="T107" i="17"/>
  <c r="T108" i="17"/>
  <c r="T109" i="17"/>
  <c r="T110" i="17"/>
  <c r="T111" i="17"/>
  <c r="T113" i="17"/>
  <c r="T114" i="17"/>
  <c r="D27" i="19"/>
  <c r="E27" i="19"/>
  <c r="R21" i="12"/>
  <c r="S21" i="12"/>
  <c r="W21" i="12"/>
  <c r="G81" i="9"/>
  <c r="I81" i="9"/>
  <c r="D20" i="12"/>
  <c r="G101" i="9"/>
  <c r="I101" i="9"/>
  <c r="E20" i="12"/>
  <c r="G21" i="9"/>
  <c r="I21" i="9"/>
  <c r="I41" i="9"/>
  <c r="I61" i="9"/>
  <c r="C20" i="12"/>
  <c r="F20" i="12"/>
  <c r="H20" i="12"/>
  <c r="I20" i="12"/>
  <c r="G20" i="12"/>
  <c r="J20" i="12"/>
  <c r="O20" i="12"/>
  <c r="T124" i="18"/>
  <c r="H80" i="2"/>
  <c r="J79" i="5"/>
  <c r="N80" i="2"/>
  <c r="S80" i="2"/>
  <c r="K79" i="5"/>
  <c r="L79" i="5"/>
  <c r="M79" i="5"/>
  <c r="N79" i="5"/>
  <c r="O79" i="5"/>
  <c r="P79" i="5"/>
  <c r="Q79" i="5"/>
  <c r="I79" i="5"/>
  <c r="S79" i="5"/>
  <c r="T79" i="5"/>
  <c r="H82" i="2"/>
  <c r="J81" i="5"/>
  <c r="N82" i="2"/>
  <c r="S82" i="2"/>
  <c r="K81" i="5"/>
  <c r="L81" i="5"/>
  <c r="M81" i="5"/>
  <c r="N81" i="5"/>
  <c r="O81" i="5"/>
  <c r="P81" i="5"/>
  <c r="Q81" i="5"/>
  <c r="I81" i="5"/>
  <c r="S81" i="5"/>
  <c r="T81" i="5"/>
  <c r="T124" i="5"/>
  <c r="V124" i="18"/>
  <c r="T124" i="17"/>
  <c r="S79" i="3"/>
  <c r="T79" i="3"/>
  <c r="S81" i="3"/>
  <c r="T81" i="3"/>
  <c r="T124" i="3"/>
  <c r="V124" i="17"/>
  <c r="W124" i="18"/>
  <c r="U20" i="12"/>
  <c r="V20" i="12"/>
  <c r="D26" i="20"/>
  <c r="E26" i="20"/>
  <c r="Q20" i="12"/>
  <c r="D26" i="19"/>
  <c r="E26" i="19"/>
  <c r="R20" i="12"/>
  <c r="S20" i="12"/>
  <c r="W20" i="12"/>
  <c r="G80" i="9"/>
  <c r="I80" i="9"/>
  <c r="D19" i="12"/>
  <c r="G100" i="9"/>
  <c r="I100" i="9"/>
  <c r="E19" i="12"/>
  <c r="G20" i="9"/>
  <c r="I20" i="9"/>
  <c r="I40" i="9"/>
  <c r="I60" i="9"/>
  <c r="C19" i="12"/>
  <c r="F19" i="12"/>
  <c r="H19" i="12"/>
  <c r="I19" i="12"/>
  <c r="G19" i="12"/>
  <c r="J19" i="12"/>
  <c r="O19" i="12"/>
  <c r="W19" i="12"/>
  <c r="G79" i="9"/>
  <c r="I79" i="9"/>
  <c r="D18" i="12"/>
  <c r="G99" i="9"/>
  <c r="I99" i="9"/>
  <c r="E18" i="12"/>
  <c r="G19" i="9"/>
  <c r="I19" i="9"/>
  <c r="I39" i="9"/>
  <c r="I59" i="9"/>
  <c r="C18" i="12"/>
  <c r="F18" i="12"/>
  <c r="H18" i="12"/>
  <c r="I18" i="12"/>
  <c r="G18" i="12"/>
  <c r="J18" i="12"/>
  <c r="O18" i="12"/>
  <c r="O4" i="7"/>
  <c r="H4" i="7"/>
  <c r="J3" i="18"/>
  <c r="AA4" i="2"/>
  <c r="AB4" i="2"/>
  <c r="K3" i="18"/>
  <c r="L3" i="18"/>
  <c r="M3" i="18"/>
  <c r="N3" i="18"/>
  <c r="O3" i="18"/>
  <c r="P3" i="18"/>
  <c r="Q3" i="18"/>
  <c r="I3" i="18"/>
  <c r="S3" i="18"/>
  <c r="T3" i="18"/>
  <c r="O6" i="7"/>
  <c r="H6" i="7"/>
  <c r="J5" i="18"/>
  <c r="AA6" i="2"/>
  <c r="AB6" i="2"/>
  <c r="K5" i="18"/>
  <c r="L5" i="18"/>
  <c r="M5" i="18"/>
  <c r="N5" i="18"/>
  <c r="O5" i="18"/>
  <c r="P5" i="18"/>
  <c r="Q5" i="18"/>
  <c r="I5" i="18"/>
  <c r="S5" i="18"/>
  <c r="T5" i="18"/>
  <c r="T123" i="18"/>
  <c r="J3" i="5"/>
  <c r="N4" i="2"/>
  <c r="S4" i="2"/>
  <c r="K3" i="5"/>
  <c r="L3" i="5"/>
  <c r="M3" i="5"/>
  <c r="N3" i="5"/>
  <c r="O3" i="5"/>
  <c r="P3" i="5"/>
  <c r="Q3" i="5"/>
  <c r="I3" i="5"/>
  <c r="S3" i="5"/>
  <c r="T3" i="5"/>
  <c r="J5" i="5"/>
  <c r="N6" i="2"/>
  <c r="S6" i="2"/>
  <c r="K5" i="5"/>
  <c r="L5" i="5"/>
  <c r="M5" i="5"/>
  <c r="N5" i="5"/>
  <c r="O5" i="5"/>
  <c r="P5" i="5"/>
  <c r="Q5" i="5"/>
  <c r="I5" i="5"/>
  <c r="S5" i="5"/>
  <c r="T5" i="5"/>
  <c r="T123" i="5"/>
  <c r="V123" i="18"/>
  <c r="S3" i="17"/>
  <c r="T3" i="17"/>
  <c r="S5" i="17"/>
  <c r="T5" i="17"/>
  <c r="T123" i="17"/>
  <c r="S3" i="3"/>
  <c r="T3" i="3"/>
  <c r="S5" i="3"/>
  <c r="T5" i="3"/>
  <c r="T123" i="3"/>
  <c r="V123" i="17"/>
  <c r="W123" i="18"/>
  <c r="U2" i="12"/>
  <c r="U18" i="12"/>
  <c r="V18" i="12"/>
  <c r="Y5" i="2"/>
  <c r="O5" i="7"/>
  <c r="H5" i="7"/>
  <c r="J4" i="18"/>
  <c r="AB5" i="2"/>
  <c r="K4" i="18"/>
  <c r="L4" i="18"/>
  <c r="M4" i="18"/>
  <c r="N4" i="18"/>
  <c r="AA5" i="2"/>
  <c r="AC5" i="2"/>
  <c r="O4" i="18"/>
  <c r="P4" i="18"/>
  <c r="Q4" i="18"/>
  <c r="T4" i="18"/>
  <c r="Y7" i="2"/>
  <c r="O7" i="7"/>
  <c r="H7" i="7"/>
  <c r="J6" i="18"/>
  <c r="AB7" i="2"/>
  <c r="K6" i="18"/>
  <c r="L6" i="18"/>
  <c r="M6" i="18"/>
  <c r="N6" i="18"/>
  <c r="AA7" i="2"/>
  <c r="AC7" i="2"/>
  <c r="O6" i="18"/>
  <c r="P6" i="18"/>
  <c r="Q6" i="18"/>
  <c r="T6" i="18"/>
  <c r="D4" i="20"/>
  <c r="E4" i="20"/>
  <c r="F4" i="20"/>
  <c r="T26" i="15"/>
  <c r="S3" i="15"/>
  <c r="S29" i="21"/>
  <c r="T26" i="14"/>
  <c r="S3" i="14"/>
  <c r="S53" i="21"/>
  <c r="S5" i="21"/>
  <c r="Y8" i="2"/>
  <c r="O8" i="7"/>
  <c r="H8" i="7"/>
  <c r="J7" i="18"/>
  <c r="AA8" i="2"/>
  <c r="AB8" i="2"/>
  <c r="K7" i="18"/>
  <c r="L7" i="18"/>
  <c r="M7" i="18"/>
  <c r="N7" i="18"/>
  <c r="O7" i="18"/>
  <c r="P7" i="18"/>
  <c r="Q7" i="18"/>
  <c r="T7" i="18"/>
  <c r="Y9" i="2"/>
  <c r="O9" i="7"/>
  <c r="H9" i="7"/>
  <c r="J8" i="18"/>
  <c r="AB9" i="2"/>
  <c r="K8" i="18"/>
  <c r="L8" i="18"/>
  <c r="M8" i="18"/>
  <c r="N8" i="18"/>
  <c r="AA9" i="2"/>
  <c r="AC9" i="2"/>
  <c r="O8" i="18"/>
  <c r="P8" i="18"/>
  <c r="Q8" i="18"/>
  <c r="T8" i="18"/>
  <c r="D5" i="20"/>
  <c r="E5" i="20"/>
  <c r="F5" i="20"/>
  <c r="T27" i="15"/>
  <c r="S4" i="15"/>
  <c r="S30" i="21"/>
  <c r="T27" i="14"/>
  <c r="S4" i="14"/>
  <c r="S54" i="21"/>
  <c r="S6" i="21"/>
  <c r="Y10" i="2"/>
  <c r="O10" i="7"/>
  <c r="H10" i="7"/>
  <c r="J9" i="18"/>
  <c r="AA10" i="2"/>
  <c r="AB10" i="2"/>
  <c r="K9" i="18"/>
  <c r="L9" i="18"/>
  <c r="M9" i="18"/>
  <c r="N9" i="18"/>
  <c r="O9" i="18"/>
  <c r="P9" i="18"/>
  <c r="Q9" i="18"/>
  <c r="T9" i="18"/>
  <c r="Y11" i="2"/>
  <c r="O11" i="7"/>
  <c r="H11" i="7"/>
  <c r="J10" i="18"/>
  <c r="AB11" i="2"/>
  <c r="K10" i="18"/>
  <c r="L10" i="18"/>
  <c r="M10" i="18"/>
  <c r="N10" i="18"/>
  <c r="AA11" i="2"/>
  <c r="AC11" i="2"/>
  <c r="O10" i="18"/>
  <c r="P10" i="18"/>
  <c r="Q10" i="18"/>
  <c r="T10" i="18"/>
  <c r="D6" i="20"/>
  <c r="E6" i="20"/>
  <c r="F6" i="20"/>
  <c r="T28" i="15"/>
  <c r="S5" i="15"/>
  <c r="S31" i="21"/>
  <c r="T28" i="14"/>
  <c r="S5" i="14"/>
  <c r="S55" i="21"/>
  <c r="S7" i="21"/>
  <c r="Y12" i="2"/>
  <c r="O12" i="7"/>
  <c r="H12" i="7"/>
  <c r="J11" i="18"/>
  <c r="AA12" i="2"/>
  <c r="AB12" i="2"/>
  <c r="K11" i="18"/>
  <c r="L11" i="18"/>
  <c r="M11" i="18"/>
  <c r="N11" i="18"/>
  <c r="O11" i="18"/>
  <c r="P11" i="18"/>
  <c r="Q11" i="18"/>
  <c r="T11" i="18"/>
  <c r="Y13" i="2"/>
  <c r="O13" i="7"/>
  <c r="H13" i="7"/>
  <c r="J12" i="18"/>
  <c r="AB13" i="2"/>
  <c r="K12" i="18"/>
  <c r="L12" i="18"/>
  <c r="M12" i="18"/>
  <c r="N12" i="18"/>
  <c r="AA13" i="2"/>
  <c r="AC13" i="2"/>
  <c r="O12" i="18"/>
  <c r="P12" i="18"/>
  <c r="Q12" i="18"/>
  <c r="T12" i="18"/>
  <c r="Y14" i="2"/>
  <c r="O14" i="7"/>
  <c r="H14" i="7"/>
  <c r="J13" i="18"/>
  <c r="AA14" i="2"/>
  <c r="AB14" i="2"/>
  <c r="K13" i="18"/>
  <c r="L13" i="18"/>
  <c r="M13" i="18"/>
  <c r="N13" i="18"/>
  <c r="O13" i="18"/>
  <c r="P13" i="18"/>
  <c r="Q13" i="18"/>
  <c r="T13" i="18"/>
  <c r="Y15" i="2"/>
  <c r="O15" i="7"/>
  <c r="H15" i="7"/>
  <c r="J14" i="18"/>
  <c r="AB15" i="2"/>
  <c r="K14" i="18"/>
  <c r="L14" i="18"/>
  <c r="M14" i="18"/>
  <c r="N14" i="18"/>
  <c r="AA15" i="2"/>
  <c r="AC15" i="2"/>
  <c r="O14" i="18"/>
  <c r="P14" i="18"/>
  <c r="Q14" i="18"/>
  <c r="T14" i="18"/>
  <c r="D7" i="20"/>
  <c r="E7" i="20"/>
  <c r="F7" i="20"/>
  <c r="T29" i="15"/>
  <c r="S6" i="15"/>
  <c r="S32" i="21"/>
  <c r="T29" i="14"/>
  <c r="S6" i="14"/>
  <c r="S56" i="21"/>
  <c r="S8" i="21"/>
  <c r="Y16" i="2"/>
  <c r="O16" i="7"/>
  <c r="H16" i="7"/>
  <c r="J15" i="18"/>
  <c r="AA16" i="2"/>
  <c r="AB16" i="2"/>
  <c r="K15" i="18"/>
  <c r="L15" i="18"/>
  <c r="M15" i="18"/>
  <c r="N15" i="18"/>
  <c r="O15" i="18"/>
  <c r="P15" i="18"/>
  <c r="Q15" i="18"/>
  <c r="T15" i="18"/>
  <c r="Y17" i="2"/>
  <c r="O17" i="7"/>
  <c r="H17" i="7"/>
  <c r="J16" i="18"/>
  <c r="AB17" i="2"/>
  <c r="K16" i="18"/>
  <c r="L16" i="18"/>
  <c r="M16" i="18"/>
  <c r="N16" i="18"/>
  <c r="AA17" i="2"/>
  <c r="AC17" i="2"/>
  <c r="O16" i="18"/>
  <c r="P16" i="18"/>
  <c r="Q16" i="18"/>
  <c r="T16" i="18"/>
  <c r="Y18" i="2"/>
  <c r="O18" i="7"/>
  <c r="H18" i="7"/>
  <c r="J17" i="18"/>
  <c r="AA18" i="2"/>
  <c r="AB18" i="2"/>
  <c r="K17" i="18"/>
  <c r="L17" i="18"/>
  <c r="M17" i="18"/>
  <c r="N17" i="18"/>
  <c r="O17" i="18"/>
  <c r="P17" i="18"/>
  <c r="Q17" i="18"/>
  <c r="T17" i="18"/>
  <c r="Y19" i="2"/>
  <c r="O19" i="7"/>
  <c r="H19" i="7"/>
  <c r="J18" i="18"/>
  <c r="AB19" i="2"/>
  <c r="K18" i="18"/>
  <c r="L18" i="18"/>
  <c r="M18" i="18"/>
  <c r="N18" i="18"/>
  <c r="AA19" i="2"/>
  <c r="AC19" i="2"/>
  <c r="O18" i="18"/>
  <c r="P18" i="18"/>
  <c r="Q18" i="18"/>
  <c r="T18" i="18"/>
  <c r="D8" i="20"/>
  <c r="E8" i="20"/>
  <c r="F8" i="20"/>
  <c r="T30" i="15"/>
  <c r="S7" i="15"/>
  <c r="S33" i="21"/>
  <c r="T30" i="14"/>
  <c r="S7" i="14"/>
  <c r="S57" i="21"/>
  <c r="S9" i="21"/>
  <c r="Y20" i="2"/>
  <c r="O20" i="7"/>
  <c r="H20" i="7"/>
  <c r="J19" i="18"/>
  <c r="AA20" i="2"/>
  <c r="AB20" i="2"/>
  <c r="K19" i="18"/>
  <c r="L19" i="18"/>
  <c r="M19" i="18"/>
  <c r="N19" i="18"/>
  <c r="O19" i="18"/>
  <c r="P19" i="18"/>
  <c r="Q19" i="18"/>
  <c r="T19" i="18"/>
  <c r="Y21" i="2"/>
  <c r="O21" i="7"/>
  <c r="H21" i="7"/>
  <c r="J20" i="18"/>
  <c r="AB21" i="2"/>
  <c r="K20" i="18"/>
  <c r="L20" i="18"/>
  <c r="M20" i="18"/>
  <c r="N20" i="18"/>
  <c r="AA21" i="2"/>
  <c r="AC21" i="2"/>
  <c r="O20" i="18"/>
  <c r="P20" i="18"/>
  <c r="Q20" i="18"/>
  <c r="T20" i="18"/>
  <c r="Y22" i="2"/>
  <c r="O22" i="7"/>
  <c r="H22" i="7"/>
  <c r="J21" i="18"/>
  <c r="AA22" i="2"/>
  <c r="AB22" i="2"/>
  <c r="K21" i="18"/>
  <c r="L21" i="18"/>
  <c r="M21" i="18"/>
  <c r="N21" i="18"/>
  <c r="O21" i="18"/>
  <c r="P21" i="18"/>
  <c r="Q21" i="18"/>
  <c r="T21" i="18"/>
  <c r="Y23" i="2"/>
  <c r="O23" i="7"/>
  <c r="H23" i="7"/>
  <c r="J22" i="18"/>
  <c r="AB23" i="2"/>
  <c r="K22" i="18"/>
  <c r="L22" i="18"/>
  <c r="M22" i="18"/>
  <c r="N22" i="18"/>
  <c r="AA23" i="2"/>
  <c r="AC23" i="2"/>
  <c r="O22" i="18"/>
  <c r="P22" i="18"/>
  <c r="Q22" i="18"/>
  <c r="T22" i="18"/>
  <c r="D9" i="20"/>
  <c r="E9" i="20"/>
  <c r="F9" i="20"/>
  <c r="T31" i="15"/>
  <c r="S8" i="15"/>
  <c r="S34" i="21"/>
  <c r="T31" i="14"/>
  <c r="S8" i="14"/>
  <c r="S58" i="21"/>
  <c r="S10" i="21"/>
  <c r="Y24" i="2"/>
  <c r="O24" i="7"/>
  <c r="H24" i="7"/>
  <c r="J23" i="18"/>
  <c r="AA24" i="2"/>
  <c r="AB24" i="2"/>
  <c r="K23" i="18"/>
  <c r="L23" i="18"/>
  <c r="M23" i="18"/>
  <c r="N23" i="18"/>
  <c r="O23" i="18"/>
  <c r="P23" i="18"/>
  <c r="Q23" i="18"/>
  <c r="T23" i="18"/>
  <c r="Y25" i="2"/>
  <c r="O25" i="7"/>
  <c r="H25" i="7"/>
  <c r="J24" i="18"/>
  <c r="AB25" i="2"/>
  <c r="K24" i="18"/>
  <c r="L24" i="18"/>
  <c r="M24" i="18"/>
  <c r="N24" i="18"/>
  <c r="AA25" i="2"/>
  <c r="AC25" i="2"/>
  <c r="O24" i="18"/>
  <c r="P24" i="18"/>
  <c r="Q24" i="18"/>
  <c r="T24" i="18"/>
  <c r="D11" i="20"/>
  <c r="E11" i="20"/>
  <c r="F11" i="20"/>
  <c r="T33" i="15"/>
  <c r="S10" i="15"/>
  <c r="S36" i="21"/>
  <c r="T33" i="14"/>
  <c r="S10" i="14"/>
  <c r="S60" i="21"/>
  <c r="S12" i="21"/>
  <c r="Y26" i="2"/>
  <c r="O26" i="7"/>
  <c r="H26" i="7"/>
  <c r="J25" i="18"/>
  <c r="AA26" i="2"/>
  <c r="AB26" i="2"/>
  <c r="K25" i="18"/>
  <c r="L25" i="18"/>
  <c r="M25" i="18"/>
  <c r="N25" i="18"/>
  <c r="O25" i="18"/>
  <c r="P25" i="18"/>
  <c r="Q25" i="18"/>
  <c r="T25" i="18"/>
  <c r="Y27" i="2"/>
  <c r="O27" i="7"/>
  <c r="H27" i="7"/>
  <c r="J26" i="18"/>
  <c r="AB27" i="2"/>
  <c r="K26" i="18"/>
  <c r="L26" i="18"/>
  <c r="M26" i="18"/>
  <c r="N26" i="18"/>
  <c r="AA27" i="2"/>
  <c r="AC27" i="2"/>
  <c r="O26" i="18"/>
  <c r="P26" i="18"/>
  <c r="Q26" i="18"/>
  <c r="T26" i="18"/>
  <c r="Y28" i="2"/>
  <c r="O28" i="7"/>
  <c r="H28" i="7"/>
  <c r="J27" i="18"/>
  <c r="AA28" i="2"/>
  <c r="AB28" i="2"/>
  <c r="K27" i="18"/>
  <c r="L27" i="18"/>
  <c r="M27" i="18"/>
  <c r="N27" i="18"/>
  <c r="O27" i="18"/>
  <c r="P27" i="18"/>
  <c r="Q27" i="18"/>
  <c r="T27" i="18"/>
  <c r="Y29" i="2"/>
  <c r="O29" i="7"/>
  <c r="H29" i="7"/>
  <c r="J28" i="18"/>
  <c r="AB29" i="2"/>
  <c r="K28" i="18"/>
  <c r="L28" i="18"/>
  <c r="M28" i="18"/>
  <c r="N28" i="18"/>
  <c r="AA29" i="2"/>
  <c r="AC29" i="2"/>
  <c r="O28" i="18"/>
  <c r="P28" i="18"/>
  <c r="Q28" i="18"/>
  <c r="T28" i="18"/>
  <c r="D12" i="20"/>
  <c r="E12" i="20"/>
  <c r="F12" i="20"/>
  <c r="T34" i="15"/>
  <c r="S11" i="15"/>
  <c r="S37" i="21"/>
  <c r="T34" i="14"/>
  <c r="S11" i="14"/>
  <c r="S61" i="21"/>
  <c r="S13" i="21"/>
  <c r="Y30" i="2"/>
  <c r="O30" i="7"/>
  <c r="H30" i="7"/>
  <c r="J29" i="18"/>
  <c r="AA30" i="2"/>
  <c r="AB30" i="2"/>
  <c r="K29" i="18"/>
  <c r="L29" i="18"/>
  <c r="M29" i="18"/>
  <c r="N29" i="18"/>
  <c r="O29" i="18"/>
  <c r="P29" i="18"/>
  <c r="Q29" i="18"/>
  <c r="T29" i="18"/>
  <c r="Y31" i="2"/>
  <c r="O31" i="7"/>
  <c r="H31" i="7"/>
  <c r="J30" i="18"/>
  <c r="AB31" i="2"/>
  <c r="K30" i="18"/>
  <c r="L30" i="18"/>
  <c r="M30" i="18"/>
  <c r="N30" i="18"/>
  <c r="AA31" i="2"/>
  <c r="AC31" i="2"/>
  <c r="O30" i="18"/>
  <c r="P30" i="18"/>
  <c r="Q30" i="18"/>
  <c r="T30" i="18"/>
  <c r="Y32" i="2"/>
  <c r="O32" i="7"/>
  <c r="H32" i="7"/>
  <c r="J31" i="18"/>
  <c r="AA32" i="2"/>
  <c r="AB32" i="2"/>
  <c r="K31" i="18"/>
  <c r="L31" i="18"/>
  <c r="M31" i="18"/>
  <c r="N31" i="18"/>
  <c r="O31" i="18"/>
  <c r="P31" i="18"/>
  <c r="Q31" i="18"/>
  <c r="T31" i="18"/>
  <c r="Y33" i="2"/>
  <c r="O33" i="7"/>
  <c r="H33" i="7"/>
  <c r="J32" i="18"/>
  <c r="AB33" i="2"/>
  <c r="K32" i="18"/>
  <c r="L32" i="18"/>
  <c r="M32" i="18"/>
  <c r="N32" i="18"/>
  <c r="AA33" i="2"/>
  <c r="AC33" i="2"/>
  <c r="O32" i="18"/>
  <c r="P32" i="18"/>
  <c r="Q32" i="18"/>
  <c r="T32" i="18"/>
  <c r="D13" i="20"/>
  <c r="E13" i="20"/>
  <c r="F13" i="20"/>
  <c r="T35" i="15"/>
  <c r="S12" i="15"/>
  <c r="S38" i="21"/>
  <c r="T35" i="14"/>
  <c r="S12" i="14"/>
  <c r="S62" i="21"/>
  <c r="S14" i="21"/>
  <c r="Y34" i="2"/>
  <c r="O34" i="7"/>
  <c r="H34" i="7"/>
  <c r="J33" i="18"/>
  <c r="AA34" i="2"/>
  <c r="AB34" i="2"/>
  <c r="K33" i="18"/>
  <c r="L33" i="18"/>
  <c r="M33" i="18"/>
  <c r="N33" i="18"/>
  <c r="O33" i="18"/>
  <c r="P33" i="18"/>
  <c r="Q33" i="18"/>
  <c r="T33" i="18"/>
  <c r="Y35" i="2"/>
  <c r="O35" i="7"/>
  <c r="H35" i="7"/>
  <c r="J34" i="18"/>
  <c r="AB35" i="2"/>
  <c r="K34" i="18"/>
  <c r="L34" i="18"/>
  <c r="M34" i="18"/>
  <c r="N34" i="18"/>
  <c r="AA35" i="2"/>
  <c r="AC35" i="2"/>
  <c r="O34" i="18"/>
  <c r="P34" i="18"/>
  <c r="Q34" i="18"/>
  <c r="T34" i="18"/>
  <c r="Y36" i="2"/>
  <c r="O36" i="7"/>
  <c r="H36" i="7"/>
  <c r="J35" i="18"/>
  <c r="AA36" i="2"/>
  <c r="AB36" i="2"/>
  <c r="K35" i="18"/>
  <c r="L35" i="18"/>
  <c r="M35" i="18"/>
  <c r="N35" i="18"/>
  <c r="O35" i="18"/>
  <c r="P35" i="18"/>
  <c r="Q35" i="18"/>
  <c r="T35" i="18"/>
  <c r="Y37" i="2"/>
  <c r="O37" i="7"/>
  <c r="H37" i="7"/>
  <c r="J36" i="18"/>
  <c r="AB37" i="2"/>
  <c r="K36" i="18"/>
  <c r="L36" i="18"/>
  <c r="M36" i="18"/>
  <c r="N36" i="18"/>
  <c r="AA37" i="2"/>
  <c r="AC37" i="2"/>
  <c r="O36" i="18"/>
  <c r="P36" i="18"/>
  <c r="Q36" i="18"/>
  <c r="T36" i="18"/>
  <c r="D14" i="20"/>
  <c r="E14" i="20"/>
  <c r="F14" i="20"/>
  <c r="T36" i="15"/>
  <c r="S13" i="15"/>
  <c r="S39" i="21"/>
  <c r="T36" i="14"/>
  <c r="S13" i="14"/>
  <c r="S63" i="21"/>
  <c r="S15" i="21"/>
  <c r="Y38" i="2"/>
  <c r="O38" i="7"/>
  <c r="H38" i="7"/>
  <c r="J37" i="18"/>
  <c r="AA38" i="2"/>
  <c r="AB38" i="2"/>
  <c r="K37" i="18"/>
  <c r="L37" i="18"/>
  <c r="M37" i="18"/>
  <c r="N37" i="18"/>
  <c r="O37" i="18"/>
  <c r="P37" i="18"/>
  <c r="Q37" i="18"/>
  <c r="T37" i="18"/>
  <c r="Y39" i="2"/>
  <c r="O39" i="7"/>
  <c r="H39" i="7"/>
  <c r="J38" i="18"/>
  <c r="AB39" i="2"/>
  <c r="K38" i="18"/>
  <c r="L38" i="18"/>
  <c r="M38" i="18"/>
  <c r="N38" i="18"/>
  <c r="AA39" i="2"/>
  <c r="AC39" i="2"/>
  <c r="O38" i="18"/>
  <c r="P38" i="18"/>
  <c r="Q38" i="18"/>
  <c r="T38" i="18"/>
  <c r="Y40" i="2"/>
  <c r="O40" i="7"/>
  <c r="H40" i="7"/>
  <c r="J39" i="18"/>
  <c r="AA40" i="2"/>
  <c r="AB40" i="2"/>
  <c r="K39" i="18"/>
  <c r="L39" i="18"/>
  <c r="M39" i="18"/>
  <c r="N39" i="18"/>
  <c r="O39" i="18"/>
  <c r="P39" i="18"/>
  <c r="Q39" i="18"/>
  <c r="T39" i="18"/>
  <c r="Y41" i="2"/>
  <c r="O41" i="7"/>
  <c r="H41" i="7"/>
  <c r="J40" i="18"/>
  <c r="AB41" i="2"/>
  <c r="K40" i="18"/>
  <c r="L40" i="18"/>
  <c r="M40" i="18"/>
  <c r="N40" i="18"/>
  <c r="AA41" i="2"/>
  <c r="AC41" i="2"/>
  <c r="O40" i="18"/>
  <c r="P40" i="18"/>
  <c r="Q40" i="18"/>
  <c r="T40" i="18"/>
  <c r="Y42" i="2"/>
  <c r="O42" i="7"/>
  <c r="H42" i="7"/>
  <c r="J41" i="18"/>
  <c r="AA42" i="2"/>
  <c r="AB42" i="2"/>
  <c r="K41" i="18"/>
  <c r="L41" i="18"/>
  <c r="M41" i="18"/>
  <c r="N41" i="18"/>
  <c r="O41" i="18"/>
  <c r="P41" i="18"/>
  <c r="Q41" i="18"/>
  <c r="T41" i="18"/>
  <c r="Y43" i="2"/>
  <c r="O43" i="7"/>
  <c r="H43" i="7"/>
  <c r="J42" i="18"/>
  <c r="AB43" i="2"/>
  <c r="K42" i="18"/>
  <c r="L42" i="18"/>
  <c r="M42" i="18"/>
  <c r="N42" i="18"/>
  <c r="AA43" i="2"/>
  <c r="AC43" i="2"/>
  <c r="O42" i="18"/>
  <c r="P42" i="18"/>
  <c r="Q42" i="18"/>
  <c r="T42" i="18"/>
  <c r="O44" i="7"/>
  <c r="I43" i="18"/>
  <c r="J43" i="18"/>
  <c r="K43" i="18"/>
  <c r="L43" i="18"/>
  <c r="N43" i="18"/>
  <c r="O43" i="18"/>
  <c r="P43" i="18"/>
  <c r="Q43" i="18"/>
  <c r="T43" i="18"/>
  <c r="O45" i="7"/>
  <c r="I44" i="18"/>
  <c r="J44" i="18"/>
  <c r="K44" i="18"/>
  <c r="L44" i="18"/>
  <c r="N44" i="18"/>
  <c r="O44" i="18"/>
  <c r="P44" i="18"/>
  <c r="Q44" i="18"/>
  <c r="T44" i="18"/>
  <c r="Y46" i="2"/>
  <c r="O46" i="7"/>
  <c r="H46" i="7"/>
  <c r="J45" i="18"/>
  <c r="AA46" i="2"/>
  <c r="AB46" i="2"/>
  <c r="K45" i="18"/>
  <c r="L45" i="18"/>
  <c r="M45" i="18"/>
  <c r="N45" i="18"/>
  <c r="O45" i="18"/>
  <c r="P45" i="18"/>
  <c r="Q45" i="18"/>
  <c r="T45" i="18"/>
  <c r="Y47" i="2"/>
  <c r="O47" i="7"/>
  <c r="H47" i="7"/>
  <c r="J46" i="18"/>
  <c r="AB47" i="2"/>
  <c r="K46" i="18"/>
  <c r="L46" i="18"/>
  <c r="M46" i="18"/>
  <c r="N46" i="18"/>
  <c r="AA47" i="2"/>
  <c r="AC47" i="2"/>
  <c r="O46" i="18"/>
  <c r="P46" i="18"/>
  <c r="Q46" i="18"/>
  <c r="T46" i="18"/>
  <c r="Y48" i="2"/>
  <c r="O48" i="7"/>
  <c r="H48" i="7"/>
  <c r="J47" i="18"/>
  <c r="AA48" i="2"/>
  <c r="AB48" i="2"/>
  <c r="K47" i="18"/>
  <c r="L47" i="18"/>
  <c r="M47" i="18"/>
  <c r="N47" i="18"/>
  <c r="O47" i="18"/>
  <c r="P47" i="18"/>
  <c r="Q47" i="18"/>
  <c r="T47" i="18"/>
  <c r="Y49" i="2"/>
  <c r="O49" i="7"/>
  <c r="H49" i="7"/>
  <c r="J48" i="18"/>
  <c r="AB49" i="2"/>
  <c r="K48" i="18"/>
  <c r="L48" i="18"/>
  <c r="M48" i="18"/>
  <c r="N48" i="18"/>
  <c r="AA49" i="2"/>
  <c r="AC49" i="2"/>
  <c r="O48" i="18"/>
  <c r="P48" i="18"/>
  <c r="Q48" i="18"/>
  <c r="T48" i="18"/>
  <c r="Y50" i="2"/>
  <c r="O50" i="7"/>
  <c r="H50" i="7"/>
  <c r="J49" i="18"/>
  <c r="AA50" i="2"/>
  <c r="AB50" i="2"/>
  <c r="K49" i="18"/>
  <c r="L49" i="18"/>
  <c r="M49" i="18"/>
  <c r="N49" i="18"/>
  <c r="O49" i="18"/>
  <c r="P49" i="18"/>
  <c r="Q49" i="18"/>
  <c r="T49" i="18"/>
  <c r="Y51" i="2"/>
  <c r="O51" i="7"/>
  <c r="H51" i="7"/>
  <c r="J50" i="18"/>
  <c r="AB51" i="2"/>
  <c r="K50" i="18"/>
  <c r="L50" i="18"/>
  <c r="M50" i="18"/>
  <c r="N50" i="18"/>
  <c r="AA51" i="2"/>
  <c r="AC51" i="2"/>
  <c r="O50" i="18"/>
  <c r="P50" i="18"/>
  <c r="Q50" i="18"/>
  <c r="T50" i="18"/>
  <c r="Y52" i="2"/>
  <c r="O52" i="7"/>
  <c r="H52" i="7"/>
  <c r="J51" i="18"/>
  <c r="AA52" i="2"/>
  <c r="AB52" i="2"/>
  <c r="K51" i="18"/>
  <c r="L51" i="18"/>
  <c r="M51" i="18"/>
  <c r="N51" i="18"/>
  <c r="O51" i="18"/>
  <c r="P51" i="18"/>
  <c r="Q51" i="18"/>
  <c r="T51" i="18"/>
  <c r="Y53" i="2"/>
  <c r="O53" i="7"/>
  <c r="H53" i="7"/>
  <c r="J52" i="18"/>
  <c r="AB53" i="2"/>
  <c r="K52" i="18"/>
  <c r="L52" i="18"/>
  <c r="M52" i="18"/>
  <c r="N52" i="18"/>
  <c r="AA53" i="2"/>
  <c r="AC53" i="2"/>
  <c r="O52" i="18"/>
  <c r="P52" i="18"/>
  <c r="Q52" i="18"/>
  <c r="T52" i="18"/>
  <c r="Y54" i="2"/>
  <c r="O54" i="7"/>
  <c r="H54" i="7"/>
  <c r="J53" i="18"/>
  <c r="AA54" i="2"/>
  <c r="AB54" i="2"/>
  <c r="K53" i="18"/>
  <c r="L53" i="18"/>
  <c r="M53" i="18"/>
  <c r="N53" i="18"/>
  <c r="O53" i="18"/>
  <c r="P53" i="18"/>
  <c r="Q53" i="18"/>
  <c r="T53" i="18"/>
  <c r="Y55" i="2"/>
  <c r="O55" i="7"/>
  <c r="H55" i="7"/>
  <c r="J54" i="18"/>
  <c r="AB55" i="2"/>
  <c r="K54" i="18"/>
  <c r="L54" i="18"/>
  <c r="M54" i="18"/>
  <c r="N54" i="18"/>
  <c r="AA55" i="2"/>
  <c r="AC55" i="2"/>
  <c r="O54" i="18"/>
  <c r="P54" i="18"/>
  <c r="Q54" i="18"/>
  <c r="T54" i="18"/>
  <c r="Y56" i="2"/>
  <c r="O56" i="7"/>
  <c r="H56" i="7"/>
  <c r="J55" i="18"/>
  <c r="AA56" i="2"/>
  <c r="AB56" i="2"/>
  <c r="K55" i="18"/>
  <c r="L55" i="18"/>
  <c r="M55" i="18"/>
  <c r="N55" i="18"/>
  <c r="O55" i="18"/>
  <c r="P55" i="18"/>
  <c r="Q55" i="18"/>
  <c r="T55" i="18"/>
  <c r="Y57" i="2"/>
  <c r="O57" i="7"/>
  <c r="H57" i="7"/>
  <c r="J56" i="18"/>
  <c r="AB57" i="2"/>
  <c r="K56" i="18"/>
  <c r="L56" i="18"/>
  <c r="M56" i="18"/>
  <c r="N56" i="18"/>
  <c r="AA57" i="2"/>
  <c r="AC57" i="2"/>
  <c r="O56" i="18"/>
  <c r="P56" i="18"/>
  <c r="Q56" i="18"/>
  <c r="T56" i="18"/>
  <c r="Y58" i="2"/>
  <c r="O58" i="7"/>
  <c r="H58" i="7"/>
  <c r="J57" i="18"/>
  <c r="AA58" i="2"/>
  <c r="AB58" i="2"/>
  <c r="K57" i="18"/>
  <c r="L57" i="18"/>
  <c r="M57" i="18"/>
  <c r="N57" i="18"/>
  <c r="O57" i="18"/>
  <c r="P57" i="18"/>
  <c r="Q57" i="18"/>
  <c r="T57" i="18"/>
  <c r="Y59" i="2"/>
  <c r="O59" i="7"/>
  <c r="H59" i="7"/>
  <c r="J58" i="18"/>
  <c r="AB59" i="2"/>
  <c r="K58" i="18"/>
  <c r="L58" i="18"/>
  <c r="M58" i="18"/>
  <c r="N58" i="18"/>
  <c r="AA59" i="2"/>
  <c r="AC59" i="2"/>
  <c r="O58" i="18"/>
  <c r="P58" i="18"/>
  <c r="Q58" i="18"/>
  <c r="T58" i="18"/>
  <c r="Y61" i="2"/>
  <c r="O61" i="7"/>
  <c r="H61" i="7"/>
  <c r="J60" i="18"/>
  <c r="Y60" i="2"/>
  <c r="AA60" i="2"/>
  <c r="AB60" i="2"/>
  <c r="AB61" i="2"/>
  <c r="K60" i="18"/>
  <c r="L60" i="18"/>
  <c r="M60" i="18"/>
  <c r="N60" i="18"/>
  <c r="AA61" i="2"/>
  <c r="AC61" i="2"/>
  <c r="O60" i="18"/>
  <c r="P60" i="18"/>
  <c r="Q60" i="18"/>
  <c r="T60" i="18"/>
  <c r="Y62" i="2"/>
  <c r="O62" i="7"/>
  <c r="H62" i="7"/>
  <c r="J61" i="18"/>
  <c r="AA62" i="2"/>
  <c r="AB62" i="2"/>
  <c r="K61" i="18"/>
  <c r="L61" i="18"/>
  <c r="M61" i="18"/>
  <c r="N61" i="18"/>
  <c r="O61" i="18"/>
  <c r="P61" i="18"/>
  <c r="Q61" i="18"/>
  <c r="T61" i="18"/>
  <c r="Y63" i="2"/>
  <c r="O63" i="7"/>
  <c r="H63" i="7"/>
  <c r="J62" i="18"/>
  <c r="AB63" i="2"/>
  <c r="K62" i="18"/>
  <c r="L62" i="18"/>
  <c r="M62" i="18"/>
  <c r="N62" i="18"/>
  <c r="AA63" i="2"/>
  <c r="AC63" i="2"/>
  <c r="O62" i="18"/>
  <c r="P62" i="18"/>
  <c r="Q62" i="18"/>
  <c r="T62" i="18"/>
  <c r="Y64" i="2"/>
  <c r="O64" i="7"/>
  <c r="H64" i="7"/>
  <c r="J63" i="18"/>
  <c r="AA64" i="2"/>
  <c r="AB64" i="2"/>
  <c r="K63" i="18"/>
  <c r="L63" i="18"/>
  <c r="M63" i="18"/>
  <c r="N63" i="18"/>
  <c r="O63" i="18"/>
  <c r="P63" i="18"/>
  <c r="Q63" i="18"/>
  <c r="T63" i="18"/>
  <c r="Y65" i="2"/>
  <c r="O65" i="7"/>
  <c r="H65" i="7"/>
  <c r="J64" i="18"/>
  <c r="AB65" i="2"/>
  <c r="K64" i="18"/>
  <c r="L64" i="18"/>
  <c r="M64" i="18"/>
  <c r="N64" i="18"/>
  <c r="AA65" i="2"/>
  <c r="AC65" i="2"/>
  <c r="O64" i="18"/>
  <c r="P64" i="18"/>
  <c r="Q64" i="18"/>
  <c r="T64" i="18"/>
  <c r="Y66" i="2"/>
  <c r="O66" i="7"/>
  <c r="H66" i="7"/>
  <c r="J65" i="18"/>
  <c r="AA66" i="2"/>
  <c r="AB66" i="2"/>
  <c r="K65" i="18"/>
  <c r="L65" i="18"/>
  <c r="M65" i="18"/>
  <c r="N65" i="18"/>
  <c r="O65" i="18"/>
  <c r="P65" i="18"/>
  <c r="Q65" i="18"/>
  <c r="T65" i="18"/>
  <c r="Y67" i="2"/>
  <c r="O67" i="7"/>
  <c r="H67" i="7"/>
  <c r="J66" i="18"/>
  <c r="AB67" i="2"/>
  <c r="K66" i="18"/>
  <c r="L66" i="18"/>
  <c r="M66" i="18"/>
  <c r="N66" i="18"/>
  <c r="AA67" i="2"/>
  <c r="AC67" i="2"/>
  <c r="O66" i="18"/>
  <c r="P66" i="18"/>
  <c r="Q66" i="18"/>
  <c r="T66" i="18"/>
  <c r="Y68" i="2"/>
  <c r="O68" i="7"/>
  <c r="H68" i="7"/>
  <c r="J67" i="18"/>
  <c r="AA68" i="2"/>
  <c r="AB68" i="2"/>
  <c r="K67" i="18"/>
  <c r="L67" i="18"/>
  <c r="M67" i="18"/>
  <c r="N67" i="18"/>
  <c r="O67" i="18"/>
  <c r="P67" i="18"/>
  <c r="Q67" i="18"/>
  <c r="T67" i="18"/>
  <c r="Y69" i="2"/>
  <c r="O69" i="7"/>
  <c r="H69" i="7"/>
  <c r="J68" i="18"/>
  <c r="AB69" i="2"/>
  <c r="K68" i="18"/>
  <c r="L68" i="18"/>
  <c r="M68" i="18"/>
  <c r="N68" i="18"/>
  <c r="AA69" i="2"/>
  <c r="AC69" i="2"/>
  <c r="O68" i="18"/>
  <c r="P68" i="18"/>
  <c r="Q68" i="18"/>
  <c r="T68" i="18"/>
  <c r="Y70" i="2"/>
  <c r="O70" i="7"/>
  <c r="H70" i="7"/>
  <c r="J69" i="18"/>
  <c r="AA70" i="2"/>
  <c r="AB70" i="2"/>
  <c r="K69" i="18"/>
  <c r="L69" i="18"/>
  <c r="M69" i="18"/>
  <c r="N69" i="18"/>
  <c r="O69" i="18"/>
  <c r="P69" i="18"/>
  <c r="Q69" i="18"/>
  <c r="T69" i="18"/>
  <c r="Y71" i="2"/>
  <c r="O71" i="7"/>
  <c r="H71" i="7"/>
  <c r="J70" i="18"/>
  <c r="AB71" i="2"/>
  <c r="K70" i="18"/>
  <c r="L70" i="18"/>
  <c r="M70" i="18"/>
  <c r="N70" i="18"/>
  <c r="AA71" i="2"/>
  <c r="AC71" i="2"/>
  <c r="O70" i="18"/>
  <c r="P70" i="18"/>
  <c r="Q70" i="18"/>
  <c r="T70" i="18"/>
  <c r="Y72" i="2"/>
  <c r="O72" i="7"/>
  <c r="H72" i="7"/>
  <c r="J71" i="18"/>
  <c r="AA72" i="2"/>
  <c r="AB72" i="2"/>
  <c r="K71" i="18"/>
  <c r="L71" i="18"/>
  <c r="M71" i="18"/>
  <c r="N71" i="18"/>
  <c r="O71" i="18"/>
  <c r="P71" i="18"/>
  <c r="Q71" i="18"/>
  <c r="T71" i="18"/>
  <c r="Y73" i="2"/>
  <c r="O73" i="7"/>
  <c r="H73" i="7"/>
  <c r="J72" i="18"/>
  <c r="AB73" i="2"/>
  <c r="K72" i="18"/>
  <c r="L72" i="18"/>
  <c r="M72" i="18"/>
  <c r="N72" i="18"/>
  <c r="AA73" i="2"/>
  <c r="AC73" i="2"/>
  <c r="O72" i="18"/>
  <c r="P72" i="18"/>
  <c r="Q72" i="18"/>
  <c r="T72" i="18"/>
  <c r="Y74" i="2"/>
  <c r="O74" i="7"/>
  <c r="H74" i="7"/>
  <c r="J73" i="18"/>
  <c r="AA74" i="2"/>
  <c r="AB74" i="2"/>
  <c r="K73" i="18"/>
  <c r="L73" i="18"/>
  <c r="M73" i="18"/>
  <c r="N73" i="18"/>
  <c r="O73" i="18"/>
  <c r="P73" i="18"/>
  <c r="Q73" i="18"/>
  <c r="T73" i="18"/>
  <c r="Y75" i="2"/>
  <c r="O75" i="7"/>
  <c r="H75" i="7"/>
  <c r="J74" i="18"/>
  <c r="AB75" i="2"/>
  <c r="K74" i="18"/>
  <c r="L74" i="18"/>
  <c r="M74" i="18"/>
  <c r="N74" i="18"/>
  <c r="AA75" i="2"/>
  <c r="AC75" i="2"/>
  <c r="O74" i="18"/>
  <c r="P74" i="18"/>
  <c r="Q74" i="18"/>
  <c r="T74" i="18"/>
  <c r="Y76" i="2"/>
  <c r="O76" i="7"/>
  <c r="H76" i="7"/>
  <c r="J75" i="18"/>
  <c r="AA76" i="2"/>
  <c r="AB76" i="2"/>
  <c r="K75" i="18"/>
  <c r="L75" i="18"/>
  <c r="M75" i="18"/>
  <c r="N75" i="18"/>
  <c r="O75" i="18"/>
  <c r="P75" i="18"/>
  <c r="Q75" i="18"/>
  <c r="T75" i="18"/>
  <c r="Y77" i="2"/>
  <c r="O77" i="7"/>
  <c r="H77" i="7"/>
  <c r="J76" i="18"/>
  <c r="AB77" i="2"/>
  <c r="K76" i="18"/>
  <c r="L76" i="18"/>
  <c r="M76" i="18"/>
  <c r="N76" i="18"/>
  <c r="AA77" i="2"/>
  <c r="AC77" i="2"/>
  <c r="O76" i="18"/>
  <c r="P76" i="18"/>
  <c r="Q76" i="18"/>
  <c r="T76" i="18"/>
  <c r="Y78" i="2"/>
  <c r="O78" i="7"/>
  <c r="H78" i="7"/>
  <c r="J77" i="18"/>
  <c r="AA78" i="2"/>
  <c r="AB78" i="2"/>
  <c r="K77" i="18"/>
  <c r="L77" i="18"/>
  <c r="M77" i="18"/>
  <c r="N77" i="18"/>
  <c r="O77" i="18"/>
  <c r="P77" i="18"/>
  <c r="Q77" i="18"/>
  <c r="T77" i="18"/>
  <c r="Y79" i="2"/>
  <c r="O79" i="7"/>
  <c r="H79" i="7"/>
  <c r="J78" i="18"/>
  <c r="AB79" i="2"/>
  <c r="K78" i="18"/>
  <c r="L78" i="18"/>
  <c r="M78" i="18"/>
  <c r="N78" i="18"/>
  <c r="AA79" i="2"/>
  <c r="AC79" i="2"/>
  <c r="O78" i="18"/>
  <c r="P78" i="18"/>
  <c r="Q78" i="18"/>
  <c r="T78" i="18"/>
  <c r="D15" i="20"/>
  <c r="E15" i="20"/>
  <c r="F15" i="20"/>
  <c r="T37" i="15"/>
  <c r="S14" i="15"/>
  <c r="S40" i="21"/>
  <c r="T37" i="14"/>
  <c r="S14" i="14"/>
  <c r="S64" i="21"/>
  <c r="S16" i="21"/>
  <c r="D16" i="20"/>
  <c r="E16" i="20"/>
  <c r="F16" i="20"/>
  <c r="T38" i="15"/>
  <c r="S15" i="15"/>
  <c r="S41" i="21"/>
  <c r="T38" i="14"/>
  <c r="S15" i="14"/>
  <c r="S65" i="21"/>
  <c r="S17" i="21"/>
  <c r="D17" i="20"/>
  <c r="E17" i="20"/>
  <c r="F17" i="20"/>
  <c r="T39" i="15"/>
  <c r="S16" i="15"/>
  <c r="S42" i="21"/>
  <c r="T39" i="14"/>
  <c r="S16" i="14"/>
  <c r="S66" i="21"/>
  <c r="S18" i="21"/>
  <c r="D18" i="20"/>
  <c r="E18" i="20"/>
  <c r="F18" i="20"/>
  <c r="T40" i="15"/>
  <c r="S17" i="15"/>
  <c r="S43" i="21"/>
  <c r="T40" i="14"/>
  <c r="S17" i="14"/>
  <c r="S67" i="21"/>
  <c r="S19" i="21"/>
  <c r="D19" i="20"/>
  <c r="E19" i="20"/>
  <c r="F19" i="20"/>
  <c r="T41" i="15"/>
  <c r="S18" i="15"/>
  <c r="S44" i="21"/>
  <c r="T41" i="14"/>
  <c r="S18" i="14"/>
  <c r="S68" i="21"/>
  <c r="S20" i="21"/>
  <c r="D20" i="20"/>
  <c r="E20" i="20"/>
  <c r="F20" i="20"/>
  <c r="T42" i="15"/>
  <c r="S19" i="15"/>
  <c r="S45" i="21"/>
  <c r="T42" i="14"/>
  <c r="S19" i="14"/>
  <c r="S69" i="21"/>
  <c r="S21" i="21"/>
  <c r="D21" i="20"/>
  <c r="E21" i="20"/>
  <c r="F21" i="20"/>
  <c r="T43" i="15"/>
  <c r="S20" i="15"/>
  <c r="S46" i="21"/>
  <c r="T43" i="14"/>
  <c r="S20" i="14"/>
  <c r="S70" i="21"/>
  <c r="S22" i="21"/>
  <c r="D22" i="20"/>
  <c r="E22" i="20"/>
  <c r="F22" i="20"/>
  <c r="T44" i="15"/>
  <c r="S21" i="15"/>
  <c r="S47" i="21"/>
  <c r="T44" i="14"/>
  <c r="S21" i="14"/>
  <c r="S71" i="21"/>
  <c r="S23" i="21"/>
  <c r="D23" i="20"/>
  <c r="E23" i="20"/>
  <c r="F23" i="20"/>
  <c r="T45" i="15"/>
  <c r="S22" i="15"/>
  <c r="S48" i="21"/>
  <c r="T45" i="14"/>
  <c r="S22" i="14"/>
  <c r="S72" i="21"/>
  <c r="S24" i="21"/>
  <c r="D24" i="20"/>
  <c r="E24" i="20"/>
  <c r="F24" i="20"/>
  <c r="T46" i="15"/>
  <c r="S23" i="15"/>
  <c r="S49" i="21"/>
  <c r="T46" i="14"/>
  <c r="S23" i="14"/>
  <c r="S73" i="21"/>
  <c r="S25" i="21"/>
  <c r="S26" i="21"/>
  <c r="R3" i="15"/>
  <c r="R29" i="21"/>
  <c r="R3" i="14"/>
  <c r="R53" i="21"/>
  <c r="R5" i="21"/>
  <c r="R4" i="15"/>
  <c r="R30" i="21"/>
  <c r="R4" i="14"/>
  <c r="R54" i="21"/>
  <c r="R6" i="21"/>
  <c r="R5" i="15"/>
  <c r="R31" i="21"/>
  <c r="R5" i="14"/>
  <c r="R55" i="21"/>
  <c r="R7" i="21"/>
  <c r="R6" i="15"/>
  <c r="R32" i="21"/>
  <c r="R6" i="14"/>
  <c r="R56" i="21"/>
  <c r="R8" i="21"/>
  <c r="R7" i="15"/>
  <c r="R33" i="21"/>
  <c r="R7" i="14"/>
  <c r="R57" i="21"/>
  <c r="R9" i="21"/>
  <c r="R8" i="15"/>
  <c r="R34" i="21"/>
  <c r="R8" i="14"/>
  <c r="R58" i="21"/>
  <c r="R10" i="21"/>
  <c r="R10" i="15"/>
  <c r="R36" i="21"/>
  <c r="R10" i="14"/>
  <c r="R60" i="21"/>
  <c r="R12" i="21"/>
  <c r="R11" i="15"/>
  <c r="R37" i="21"/>
  <c r="R11" i="14"/>
  <c r="R61" i="21"/>
  <c r="R13" i="21"/>
  <c r="R12" i="15"/>
  <c r="R38" i="21"/>
  <c r="R12" i="14"/>
  <c r="R62" i="21"/>
  <c r="R14" i="21"/>
  <c r="R13" i="15"/>
  <c r="R39" i="21"/>
  <c r="R13" i="14"/>
  <c r="R63" i="21"/>
  <c r="R15" i="21"/>
  <c r="R14" i="15"/>
  <c r="R40" i="21"/>
  <c r="R14" i="14"/>
  <c r="R64" i="21"/>
  <c r="R16" i="21"/>
  <c r="R15" i="15"/>
  <c r="R41" i="21"/>
  <c r="R15" i="14"/>
  <c r="R65" i="21"/>
  <c r="R17" i="21"/>
  <c r="R16" i="15"/>
  <c r="R42" i="21"/>
  <c r="R16" i="14"/>
  <c r="R66" i="21"/>
  <c r="R18" i="21"/>
  <c r="R17" i="15"/>
  <c r="R43" i="21"/>
  <c r="R17" i="14"/>
  <c r="R67" i="21"/>
  <c r="R19" i="21"/>
  <c r="R18" i="15"/>
  <c r="R44" i="21"/>
  <c r="R18" i="14"/>
  <c r="R68" i="21"/>
  <c r="R20" i="21"/>
  <c r="R19" i="15"/>
  <c r="R45" i="21"/>
  <c r="R19" i="14"/>
  <c r="R69" i="21"/>
  <c r="R21" i="21"/>
  <c r="R20" i="15"/>
  <c r="R46" i="21"/>
  <c r="R20" i="14"/>
  <c r="R70" i="21"/>
  <c r="R22" i="21"/>
  <c r="R21" i="15"/>
  <c r="R47" i="21"/>
  <c r="R21" i="14"/>
  <c r="R71" i="21"/>
  <c r="R23" i="21"/>
  <c r="R22" i="15"/>
  <c r="R48" i="21"/>
  <c r="R22" i="14"/>
  <c r="R72" i="21"/>
  <c r="R24" i="21"/>
  <c r="R23" i="15"/>
  <c r="R49" i="21"/>
  <c r="R23" i="14"/>
  <c r="R73" i="21"/>
  <c r="R25" i="21"/>
  <c r="R26" i="21"/>
  <c r="Q18" i="12"/>
  <c r="T4" i="17"/>
  <c r="T6" i="17"/>
  <c r="D4" i="19"/>
  <c r="E4" i="19"/>
  <c r="F4" i="19"/>
  <c r="R29" i="16"/>
  <c r="R53" i="16"/>
  <c r="R5" i="16"/>
  <c r="T7" i="17"/>
  <c r="T8" i="17"/>
  <c r="D5" i="19"/>
  <c r="E5" i="19"/>
  <c r="F5" i="19"/>
  <c r="R30" i="16"/>
  <c r="R54" i="16"/>
  <c r="R6" i="16"/>
  <c r="T9" i="17"/>
  <c r="T10" i="17"/>
  <c r="D6" i="19"/>
  <c r="E6" i="19"/>
  <c r="F6" i="19"/>
  <c r="R31" i="16"/>
  <c r="R55" i="16"/>
  <c r="R7" i="16"/>
  <c r="T11" i="17"/>
  <c r="T12" i="17"/>
  <c r="T13" i="17"/>
  <c r="T14" i="17"/>
  <c r="D7" i="19"/>
  <c r="E7" i="19"/>
  <c r="F7" i="19"/>
  <c r="R32" i="16"/>
  <c r="R56" i="16"/>
  <c r="R8" i="16"/>
  <c r="T15" i="17"/>
  <c r="T16" i="17"/>
  <c r="T17" i="17"/>
  <c r="T18" i="17"/>
  <c r="D8" i="19"/>
  <c r="E8" i="19"/>
  <c r="F8" i="19"/>
  <c r="R33" i="16"/>
  <c r="R57" i="16"/>
  <c r="R9" i="16"/>
  <c r="T19" i="17"/>
  <c r="T20" i="17"/>
  <c r="T21" i="17"/>
  <c r="T22" i="17"/>
  <c r="D9" i="19"/>
  <c r="E9" i="19"/>
  <c r="F9" i="19"/>
  <c r="R34" i="16"/>
  <c r="R58" i="16"/>
  <c r="R10" i="16"/>
  <c r="T23" i="17"/>
  <c r="T24" i="17"/>
  <c r="D11" i="19"/>
  <c r="E11" i="19"/>
  <c r="F11" i="19"/>
  <c r="R36" i="16"/>
  <c r="R60" i="16"/>
  <c r="R12" i="16"/>
  <c r="T25" i="17"/>
  <c r="T26" i="17"/>
  <c r="T27" i="17"/>
  <c r="T28" i="17"/>
  <c r="D12" i="19"/>
  <c r="E12" i="19"/>
  <c r="F12" i="19"/>
  <c r="R37" i="16"/>
  <c r="R61" i="16"/>
  <c r="R13" i="16"/>
  <c r="T29" i="17"/>
  <c r="T30" i="17"/>
  <c r="T31" i="17"/>
  <c r="T32" i="17"/>
  <c r="D13" i="19"/>
  <c r="E13" i="19"/>
  <c r="F13" i="19"/>
  <c r="R38" i="16"/>
  <c r="R62" i="16"/>
  <c r="R14" i="16"/>
  <c r="T33" i="17"/>
  <c r="T34" i="17"/>
  <c r="T35" i="17"/>
  <c r="T36" i="17"/>
  <c r="D14" i="19"/>
  <c r="E14" i="19"/>
  <c r="F14" i="19"/>
  <c r="R39" i="16"/>
  <c r="R63" i="16"/>
  <c r="R15" i="16"/>
  <c r="T37" i="17"/>
  <c r="T38" i="17"/>
  <c r="T39" i="17"/>
  <c r="T40" i="17"/>
  <c r="T41" i="17"/>
  <c r="T42" i="17"/>
  <c r="T45" i="17"/>
  <c r="T46" i="17"/>
  <c r="T47" i="17"/>
  <c r="T48" i="17"/>
  <c r="T49" i="17"/>
  <c r="T50" i="17"/>
  <c r="T51" i="17"/>
  <c r="T52" i="17"/>
  <c r="T53" i="17"/>
  <c r="T54" i="17"/>
  <c r="T55" i="17"/>
  <c r="T56" i="17"/>
  <c r="T57" i="17"/>
  <c r="T58" i="17"/>
  <c r="T60" i="17"/>
  <c r="T61" i="17"/>
  <c r="T62" i="17"/>
  <c r="T63" i="17"/>
  <c r="T64" i="17"/>
  <c r="T65" i="17"/>
  <c r="T66" i="17"/>
  <c r="T67" i="17"/>
  <c r="T68" i="17"/>
  <c r="T69" i="17"/>
  <c r="T70" i="17"/>
  <c r="T71" i="17"/>
  <c r="T72" i="17"/>
  <c r="T73" i="17"/>
  <c r="T74" i="17"/>
  <c r="T75" i="17"/>
  <c r="T76" i="17"/>
  <c r="T77" i="17"/>
  <c r="T78" i="17"/>
  <c r="D15" i="19"/>
  <c r="E15" i="19"/>
  <c r="F15" i="19"/>
  <c r="R40" i="16"/>
  <c r="R64" i="16"/>
  <c r="R16" i="16"/>
  <c r="D16" i="19"/>
  <c r="E16" i="19"/>
  <c r="F16" i="19"/>
  <c r="R41" i="16"/>
  <c r="R65" i="16"/>
  <c r="R17" i="16"/>
  <c r="D17" i="19"/>
  <c r="E17" i="19"/>
  <c r="F17" i="19"/>
  <c r="R42" i="16"/>
  <c r="R66" i="16"/>
  <c r="R18" i="16"/>
  <c r="D18" i="19"/>
  <c r="E18" i="19"/>
  <c r="F18" i="19"/>
  <c r="R43" i="16"/>
  <c r="R67" i="16"/>
  <c r="R19" i="16"/>
  <c r="D19" i="19"/>
  <c r="E19" i="19"/>
  <c r="F19" i="19"/>
  <c r="R44" i="16"/>
  <c r="R68" i="16"/>
  <c r="R20" i="16"/>
  <c r="D20" i="19"/>
  <c r="E20" i="19"/>
  <c r="F20" i="19"/>
  <c r="R45" i="16"/>
  <c r="R69" i="16"/>
  <c r="R21" i="16"/>
  <c r="D21" i="19"/>
  <c r="E21" i="19"/>
  <c r="F21" i="19"/>
  <c r="R46" i="16"/>
  <c r="R70" i="16"/>
  <c r="R22" i="16"/>
  <c r="D22" i="19"/>
  <c r="E22" i="19"/>
  <c r="F22" i="19"/>
  <c r="R47" i="16"/>
  <c r="R71" i="16"/>
  <c r="R23" i="16"/>
  <c r="D23" i="19"/>
  <c r="E23" i="19"/>
  <c r="F23" i="19"/>
  <c r="R48" i="16"/>
  <c r="R72" i="16"/>
  <c r="R24" i="16"/>
  <c r="D24" i="19"/>
  <c r="E24" i="19"/>
  <c r="F24" i="19"/>
  <c r="R49" i="16"/>
  <c r="R73" i="16"/>
  <c r="R25" i="16"/>
  <c r="R26" i="16"/>
  <c r="S29" i="16"/>
  <c r="S53" i="16"/>
  <c r="S5" i="16"/>
  <c r="S30" i="16"/>
  <c r="S54" i="16"/>
  <c r="S6" i="16"/>
  <c r="S31" i="16"/>
  <c r="S55" i="16"/>
  <c r="S7" i="16"/>
  <c r="S32" i="16"/>
  <c r="S56" i="16"/>
  <c r="S8" i="16"/>
  <c r="S33" i="16"/>
  <c r="S57" i="16"/>
  <c r="S9" i="16"/>
  <c r="S34" i="16"/>
  <c r="S58" i="16"/>
  <c r="S10" i="16"/>
  <c r="S36" i="16"/>
  <c r="S60" i="16"/>
  <c r="S12" i="16"/>
  <c r="S37" i="16"/>
  <c r="S61" i="16"/>
  <c r="S13" i="16"/>
  <c r="S38" i="16"/>
  <c r="S62" i="16"/>
  <c r="S14" i="16"/>
  <c r="S39" i="16"/>
  <c r="S63" i="16"/>
  <c r="S15" i="16"/>
  <c r="S40" i="16"/>
  <c r="S64" i="16"/>
  <c r="S16" i="16"/>
  <c r="S41" i="16"/>
  <c r="S65" i="16"/>
  <c r="S17" i="16"/>
  <c r="S42" i="16"/>
  <c r="S66" i="16"/>
  <c r="S18" i="16"/>
  <c r="S43" i="16"/>
  <c r="S67" i="16"/>
  <c r="S19" i="16"/>
  <c r="S44" i="16"/>
  <c r="S68" i="16"/>
  <c r="S20" i="16"/>
  <c r="S45" i="16"/>
  <c r="S69" i="16"/>
  <c r="S21" i="16"/>
  <c r="S46" i="16"/>
  <c r="S70" i="16"/>
  <c r="S22" i="16"/>
  <c r="S47" i="16"/>
  <c r="S71" i="16"/>
  <c r="S23" i="16"/>
  <c r="S48" i="16"/>
  <c r="S72" i="16"/>
  <c r="S24" i="16"/>
  <c r="S49" i="16"/>
  <c r="S73" i="16"/>
  <c r="S25" i="16"/>
  <c r="S26" i="16"/>
  <c r="R18" i="12"/>
  <c r="S18" i="12"/>
  <c r="W18" i="12"/>
  <c r="G78" i="9"/>
  <c r="I78" i="9"/>
  <c r="D17" i="12"/>
  <c r="G98" i="9"/>
  <c r="I98" i="9"/>
  <c r="E17" i="12"/>
  <c r="G18" i="9"/>
  <c r="I18" i="9"/>
  <c r="I38" i="9"/>
  <c r="I58" i="9"/>
  <c r="C17" i="12"/>
  <c r="F17" i="12"/>
  <c r="H17" i="12"/>
  <c r="I17" i="12"/>
  <c r="G17" i="12"/>
  <c r="J17" i="12"/>
  <c r="O17" i="12"/>
  <c r="U17" i="12"/>
  <c r="V17" i="12"/>
  <c r="Q3" i="15"/>
  <c r="Q29" i="21"/>
  <c r="Q3" i="14"/>
  <c r="Q53" i="21"/>
  <c r="Q5" i="21"/>
  <c r="Q4" i="15"/>
  <c r="Q30" i="21"/>
  <c r="Q4" i="14"/>
  <c r="Q54" i="21"/>
  <c r="Q6" i="21"/>
  <c r="Q5" i="15"/>
  <c r="Q31" i="21"/>
  <c r="Q5" i="14"/>
  <c r="Q55" i="21"/>
  <c r="Q7" i="21"/>
  <c r="Q6" i="15"/>
  <c r="Q32" i="21"/>
  <c r="Q6" i="14"/>
  <c r="Q56" i="21"/>
  <c r="Q8" i="21"/>
  <c r="Q7" i="15"/>
  <c r="Q33" i="21"/>
  <c r="Q7" i="14"/>
  <c r="Q57" i="21"/>
  <c r="Q9" i="21"/>
  <c r="Q8" i="15"/>
  <c r="Q34" i="21"/>
  <c r="Q8" i="14"/>
  <c r="Q58" i="21"/>
  <c r="Q10" i="21"/>
  <c r="Q10" i="15"/>
  <c r="Q36" i="21"/>
  <c r="Q10" i="14"/>
  <c r="Q60" i="21"/>
  <c r="Q12" i="21"/>
  <c r="Q11" i="15"/>
  <c r="Q37" i="21"/>
  <c r="Q11" i="14"/>
  <c r="Q61" i="21"/>
  <c r="Q13" i="21"/>
  <c r="Q12" i="15"/>
  <c r="Q38" i="21"/>
  <c r="Q12" i="14"/>
  <c r="Q62" i="21"/>
  <c r="Q14" i="21"/>
  <c r="Q13" i="15"/>
  <c r="Q39" i="21"/>
  <c r="Q13" i="14"/>
  <c r="Q63" i="21"/>
  <c r="Q15" i="21"/>
  <c r="Q14" i="15"/>
  <c r="Q40" i="21"/>
  <c r="Q14" i="14"/>
  <c r="Q64" i="21"/>
  <c r="Q16" i="21"/>
  <c r="Q15" i="15"/>
  <c r="Q41" i="21"/>
  <c r="Q15" i="14"/>
  <c r="Q65" i="21"/>
  <c r="Q17" i="21"/>
  <c r="Q16" i="15"/>
  <c r="Q42" i="21"/>
  <c r="Q16" i="14"/>
  <c r="Q66" i="21"/>
  <c r="Q18" i="21"/>
  <c r="Q17" i="15"/>
  <c r="Q43" i="21"/>
  <c r="Q17" i="14"/>
  <c r="Q67" i="21"/>
  <c r="Q19" i="21"/>
  <c r="Q18" i="15"/>
  <c r="Q44" i="21"/>
  <c r="Q18" i="14"/>
  <c r="Q68" i="21"/>
  <c r="Q20" i="21"/>
  <c r="Q19" i="15"/>
  <c r="Q45" i="21"/>
  <c r="Q19" i="14"/>
  <c r="Q69" i="21"/>
  <c r="Q21" i="21"/>
  <c r="Q20" i="15"/>
  <c r="Q46" i="21"/>
  <c r="Q20" i="14"/>
  <c r="Q70" i="21"/>
  <c r="Q22" i="21"/>
  <c r="Q21" i="15"/>
  <c r="Q47" i="21"/>
  <c r="Q21" i="14"/>
  <c r="Q71" i="21"/>
  <c r="Q23" i="21"/>
  <c r="Q22" i="15"/>
  <c r="Q48" i="21"/>
  <c r="Q22" i="14"/>
  <c r="Q72" i="21"/>
  <c r="Q24" i="21"/>
  <c r="Q23" i="15"/>
  <c r="Q49" i="21"/>
  <c r="Q23" i="14"/>
  <c r="Q73" i="21"/>
  <c r="Q25" i="21"/>
  <c r="Q26" i="21"/>
  <c r="Q17" i="12"/>
  <c r="Q29" i="16"/>
  <c r="Q53" i="16"/>
  <c r="Q5" i="16"/>
  <c r="Q30" i="16"/>
  <c r="Q54" i="16"/>
  <c r="Q6" i="16"/>
  <c r="Q31" i="16"/>
  <c r="Q55" i="16"/>
  <c r="Q7" i="16"/>
  <c r="Q32" i="16"/>
  <c r="Q56" i="16"/>
  <c r="Q8" i="16"/>
  <c r="Q33" i="16"/>
  <c r="Q57" i="16"/>
  <c r="Q9" i="16"/>
  <c r="Q34" i="16"/>
  <c r="Q58" i="16"/>
  <c r="Q10" i="16"/>
  <c r="Q36" i="16"/>
  <c r="Q60" i="16"/>
  <c r="Q12" i="16"/>
  <c r="Q37" i="16"/>
  <c r="Q61" i="16"/>
  <c r="Q13" i="16"/>
  <c r="Q38" i="16"/>
  <c r="Q62" i="16"/>
  <c r="Q14" i="16"/>
  <c r="Q39" i="16"/>
  <c r="Q63" i="16"/>
  <c r="Q15" i="16"/>
  <c r="Q40" i="16"/>
  <c r="Q64" i="16"/>
  <c r="Q16" i="16"/>
  <c r="Q41" i="16"/>
  <c r="Q65" i="16"/>
  <c r="Q17" i="16"/>
  <c r="Q42" i="16"/>
  <c r="Q66" i="16"/>
  <c r="Q18" i="16"/>
  <c r="Q43" i="16"/>
  <c r="Q67" i="16"/>
  <c r="Q19" i="16"/>
  <c r="Q44" i="16"/>
  <c r="Q68" i="16"/>
  <c r="Q20" i="16"/>
  <c r="Q45" i="16"/>
  <c r="Q69" i="16"/>
  <c r="Q21" i="16"/>
  <c r="Q46" i="16"/>
  <c r="Q70" i="16"/>
  <c r="Q22" i="16"/>
  <c r="Q47" i="16"/>
  <c r="Q71" i="16"/>
  <c r="Q23" i="16"/>
  <c r="Q48" i="16"/>
  <c r="Q72" i="16"/>
  <c r="Q24" i="16"/>
  <c r="Q49" i="16"/>
  <c r="Q73" i="16"/>
  <c r="Q25" i="16"/>
  <c r="Q26" i="16"/>
  <c r="R17" i="12"/>
  <c r="S17" i="12"/>
  <c r="W17" i="12"/>
  <c r="G77" i="9"/>
  <c r="I77" i="9"/>
  <c r="D16" i="12"/>
  <c r="G97" i="9"/>
  <c r="I97" i="9"/>
  <c r="E16" i="12"/>
  <c r="G17" i="9"/>
  <c r="I17" i="9"/>
  <c r="I37" i="9"/>
  <c r="I57" i="9"/>
  <c r="C16" i="12"/>
  <c r="F16" i="12"/>
  <c r="H16" i="12"/>
  <c r="I16" i="12"/>
  <c r="G16" i="12"/>
  <c r="J16" i="12"/>
  <c r="O16" i="12"/>
  <c r="U16" i="12"/>
  <c r="V16" i="12"/>
  <c r="P3" i="15"/>
  <c r="P29" i="21"/>
  <c r="P3" i="14"/>
  <c r="P53" i="21"/>
  <c r="P5" i="21"/>
  <c r="P4" i="15"/>
  <c r="P30" i="21"/>
  <c r="P4" i="14"/>
  <c r="P54" i="21"/>
  <c r="P6" i="21"/>
  <c r="P5" i="15"/>
  <c r="P31" i="21"/>
  <c r="P5" i="14"/>
  <c r="P55" i="21"/>
  <c r="P7" i="21"/>
  <c r="P6" i="15"/>
  <c r="P32" i="21"/>
  <c r="P6" i="14"/>
  <c r="P56" i="21"/>
  <c r="P8" i="21"/>
  <c r="P7" i="15"/>
  <c r="P33" i="21"/>
  <c r="P7" i="14"/>
  <c r="P57" i="21"/>
  <c r="P9" i="21"/>
  <c r="P8" i="15"/>
  <c r="P34" i="21"/>
  <c r="P8" i="14"/>
  <c r="P58" i="21"/>
  <c r="P10" i="21"/>
  <c r="P10" i="15"/>
  <c r="P36" i="21"/>
  <c r="P10" i="14"/>
  <c r="P60" i="21"/>
  <c r="P12" i="21"/>
  <c r="P11" i="15"/>
  <c r="P37" i="21"/>
  <c r="P11" i="14"/>
  <c r="P61" i="21"/>
  <c r="P13" i="21"/>
  <c r="P12" i="15"/>
  <c r="P38" i="21"/>
  <c r="P12" i="14"/>
  <c r="P62" i="21"/>
  <c r="P14" i="21"/>
  <c r="P13" i="15"/>
  <c r="P39" i="21"/>
  <c r="P13" i="14"/>
  <c r="P63" i="21"/>
  <c r="P15" i="21"/>
  <c r="P14" i="15"/>
  <c r="P40" i="21"/>
  <c r="P14" i="14"/>
  <c r="P64" i="21"/>
  <c r="P16" i="21"/>
  <c r="P15" i="15"/>
  <c r="P41" i="21"/>
  <c r="P15" i="14"/>
  <c r="P65" i="21"/>
  <c r="P17" i="21"/>
  <c r="P16" i="15"/>
  <c r="P42" i="21"/>
  <c r="P16" i="14"/>
  <c r="P66" i="21"/>
  <c r="P18" i="21"/>
  <c r="P17" i="15"/>
  <c r="P43" i="21"/>
  <c r="P17" i="14"/>
  <c r="P67" i="21"/>
  <c r="P19" i="21"/>
  <c r="P18" i="15"/>
  <c r="P44" i="21"/>
  <c r="P18" i="14"/>
  <c r="P68" i="21"/>
  <c r="P20" i="21"/>
  <c r="P19" i="15"/>
  <c r="P45" i="21"/>
  <c r="P19" i="14"/>
  <c r="P69" i="21"/>
  <c r="P21" i="21"/>
  <c r="P20" i="15"/>
  <c r="P46" i="21"/>
  <c r="P20" i="14"/>
  <c r="P70" i="21"/>
  <c r="P22" i="21"/>
  <c r="P21" i="15"/>
  <c r="P47" i="21"/>
  <c r="P21" i="14"/>
  <c r="P71" i="21"/>
  <c r="P23" i="21"/>
  <c r="P22" i="15"/>
  <c r="P48" i="21"/>
  <c r="P22" i="14"/>
  <c r="P72" i="21"/>
  <c r="P24" i="21"/>
  <c r="P23" i="15"/>
  <c r="P49" i="21"/>
  <c r="P23" i="14"/>
  <c r="P73" i="21"/>
  <c r="P25" i="21"/>
  <c r="P26" i="21"/>
  <c r="Q16" i="12"/>
  <c r="P29" i="16"/>
  <c r="P53" i="16"/>
  <c r="P5" i="16"/>
  <c r="P30" i="16"/>
  <c r="P54" i="16"/>
  <c r="P6" i="16"/>
  <c r="P31" i="16"/>
  <c r="P55" i="16"/>
  <c r="P7" i="16"/>
  <c r="P32" i="16"/>
  <c r="P56" i="16"/>
  <c r="P8" i="16"/>
  <c r="P33" i="16"/>
  <c r="P57" i="16"/>
  <c r="P9" i="16"/>
  <c r="P34" i="16"/>
  <c r="P58" i="16"/>
  <c r="P10" i="16"/>
  <c r="P36" i="16"/>
  <c r="P60" i="16"/>
  <c r="P12" i="16"/>
  <c r="P37" i="16"/>
  <c r="P61" i="16"/>
  <c r="P13" i="16"/>
  <c r="P38" i="16"/>
  <c r="P62" i="16"/>
  <c r="P14" i="16"/>
  <c r="P39" i="16"/>
  <c r="P63" i="16"/>
  <c r="P15" i="16"/>
  <c r="P40" i="16"/>
  <c r="P64" i="16"/>
  <c r="P16" i="16"/>
  <c r="P41" i="16"/>
  <c r="P65" i="16"/>
  <c r="P17" i="16"/>
  <c r="P42" i="16"/>
  <c r="P66" i="16"/>
  <c r="P18" i="16"/>
  <c r="P43" i="16"/>
  <c r="P67" i="16"/>
  <c r="P19" i="16"/>
  <c r="P44" i="16"/>
  <c r="P68" i="16"/>
  <c r="P20" i="16"/>
  <c r="P45" i="16"/>
  <c r="P69" i="16"/>
  <c r="P21" i="16"/>
  <c r="P46" i="16"/>
  <c r="P70" i="16"/>
  <c r="P22" i="16"/>
  <c r="P47" i="16"/>
  <c r="P71" i="16"/>
  <c r="P23" i="16"/>
  <c r="P48" i="16"/>
  <c r="P72" i="16"/>
  <c r="P24" i="16"/>
  <c r="P49" i="16"/>
  <c r="P73" i="16"/>
  <c r="P25" i="16"/>
  <c r="P26" i="16"/>
  <c r="R16" i="12"/>
  <c r="S16" i="12"/>
  <c r="W16" i="12"/>
  <c r="G76" i="9"/>
  <c r="I76" i="9"/>
  <c r="D15" i="12"/>
  <c r="G96" i="9"/>
  <c r="I96" i="9"/>
  <c r="E15" i="12"/>
  <c r="G16" i="9"/>
  <c r="I16" i="9"/>
  <c r="I36" i="9"/>
  <c r="I56" i="9"/>
  <c r="C15" i="12"/>
  <c r="F15" i="12"/>
  <c r="H15" i="12"/>
  <c r="I15" i="12"/>
  <c r="G15" i="12"/>
  <c r="J15" i="12"/>
  <c r="O15" i="12"/>
  <c r="U15" i="12"/>
  <c r="V15" i="12"/>
  <c r="O3" i="15"/>
  <c r="O29" i="21"/>
  <c r="O3" i="14"/>
  <c r="O53" i="21"/>
  <c r="O5" i="21"/>
  <c r="O4" i="15"/>
  <c r="O30" i="21"/>
  <c r="O4" i="14"/>
  <c r="O54" i="21"/>
  <c r="O6" i="21"/>
  <c r="O5" i="15"/>
  <c r="O31" i="21"/>
  <c r="O5" i="14"/>
  <c r="O55" i="21"/>
  <c r="O7" i="21"/>
  <c r="O6" i="15"/>
  <c r="O32" i="21"/>
  <c r="O6" i="14"/>
  <c r="O56" i="21"/>
  <c r="O8" i="21"/>
  <c r="O7" i="15"/>
  <c r="O33" i="21"/>
  <c r="O7" i="14"/>
  <c r="O57" i="21"/>
  <c r="O9" i="21"/>
  <c r="O8" i="15"/>
  <c r="O34" i="21"/>
  <c r="O8" i="14"/>
  <c r="O58" i="21"/>
  <c r="O10" i="21"/>
  <c r="O10" i="15"/>
  <c r="O36" i="21"/>
  <c r="O10" i="14"/>
  <c r="O60" i="21"/>
  <c r="O12" i="21"/>
  <c r="O11" i="15"/>
  <c r="O37" i="21"/>
  <c r="O11" i="14"/>
  <c r="O61" i="21"/>
  <c r="O13" i="21"/>
  <c r="O12" i="15"/>
  <c r="O38" i="21"/>
  <c r="O12" i="14"/>
  <c r="O62" i="21"/>
  <c r="O14" i="21"/>
  <c r="O13" i="15"/>
  <c r="O39" i="21"/>
  <c r="O13" i="14"/>
  <c r="O63" i="21"/>
  <c r="O15" i="21"/>
  <c r="O14" i="15"/>
  <c r="O40" i="21"/>
  <c r="O14" i="14"/>
  <c r="O64" i="21"/>
  <c r="O16" i="21"/>
  <c r="O15" i="15"/>
  <c r="O41" i="21"/>
  <c r="O15" i="14"/>
  <c r="O65" i="21"/>
  <c r="O17" i="21"/>
  <c r="O16" i="15"/>
  <c r="O42" i="21"/>
  <c r="O16" i="14"/>
  <c r="O66" i="21"/>
  <c r="O18" i="21"/>
  <c r="O17" i="15"/>
  <c r="O43" i="21"/>
  <c r="O17" i="14"/>
  <c r="O67" i="21"/>
  <c r="O19" i="21"/>
  <c r="O18" i="15"/>
  <c r="O44" i="21"/>
  <c r="O18" i="14"/>
  <c r="O68" i="21"/>
  <c r="O20" i="21"/>
  <c r="O19" i="15"/>
  <c r="O45" i="21"/>
  <c r="O19" i="14"/>
  <c r="O69" i="21"/>
  <c r="O21" i="21"/>
  <c r="O20" i="15"/>
  <c r="O46" i="21"/>
  <c r="O20" i="14"/>
  <c r="O70" i="21"/>
  <c r="O22" i="21"/>
  <c r="O21" i="15"/>
  <c r="O47" i="21"/>
  <c r="O21" i="14"/>
  <c r="O71" i="21"/>
  <c r="O23" i="21"/>
  <c r="O22" i="15"/>
  <c r="O48" i="21"/>
  <c r="O22" i="14"/>
  <c r="O72" i="21"/>
  <c r="O24" i="21"/>
  <c r="O23" i="15"/>
  <c r="O49" i="21"/>
  <c r="O23" i="14"/>
  <c r="O73" i="21"/>
  <c r="O25" i="21"/>
  <c r="O26" i="21"/>
  <c r="Q15" i="12"/>
  <c r="O29" i="16"/>
  <c r="O53" i="16"/>
  <c r="O5" i="16"/>
  <c r="O30" i="16"/>
  <c r="O54" i="16"/>
  <c r="O6" i="16"/>
  <c r="O31" i="16"/>
  <c r="O55" i="16"/>
  <c r="O7" i="16"/>
  <c r="O32" i="16"/>
  <c r="O56" i="16"/>
  <c r="O8" i="16"/>
  <c r="O33" i="16"/>
  <c r="O57" i="16"/>
  <c r="O9" i="16"/>
  <c r="O34" i="16"/>
  <c r="O58" i="16"/>
  <c r="O10" i="16"/>
  <c r="O36" i="16"/>
  <c r="O60" i="16"/>
  <c r="O12" i="16"/>
  <c r="O37" i="16"/>
  <c r="O61" i="16"/>
  <c r="O13" i="16"/>
  <c r="O38" i="16"/>
  <c r="O62" i="16"/>
  <c r="O14" i="16"/>
  <c r="O39" i="16"/>
  <c r="O63" i="16"/>
  <c r="O15" i="16"/>
  <c r="O40" i="16"/>
  <c r="O64" i="16"/>
  <c r="O16" i="16"/>
  <c r="O41" i="16"/>
  <c r="O65" i="16"/>
  <c r="O17" i="16"/>
  <c r="O42" i="16"/>
  <c r="O66" i="16"/>
  <c r="O18" i="16"/>
  <c r="O43" i="16"/>
  <c r="O67" i="16"/>
  <c r="O19" i="16"/>
  <c r="O44" i="16"/>
  <c r="O68" i="16"/>
  <c r="O20" i="16"/>
  <c r="O45" i="16"/>
  <c r="O69" i="16"/>
  <c r="O21" i="16"/>
  <c r="O46" i="16"/>
  <c r="O70" i="16"/>
  <c r="O22" i="16"/>
  <c r="O47" i="16"/>
  <c r="O71" i="16"/>
  <c r="O23" i="16"/>
  <c r="O48" i="16"/>
  <c r="O72" i="16"/>
  <c r="O24" i="16"/>
  <c r="O49" i="16"/>
  <c r="O73" i="16"/>
  <c r="O25" i="16"/>
  <c r="O26" i="16"/>
  <c r="R15" i="12"/>
  <c r="S15" i="12"/>
  <c r="W15" i="12"/>
  <c r="G75" i="9"/>
  <c r="I75" i="9"/>
  <c r="D14" i="12"/>
  <c r="G95" i="9"/>
  <c r="I95" i="9"/>
  <c r="E14" i="12"/>
  <c r="G15" i="9"/>
  <c r="I15" i="9"/>
  <c r="I35" i="9"/>
  <c r="I55" i="9"/>
  <c r="C14" i="12"/>
  <c r="F14" i="12"/>
  <c r="H14" i="12"/>
  <c r="I14" i="12"/>
  <c r="G14" i="12"/>
  <c r="J14" i="12"/>
  <c r="O14" i="12"/>
  <c r="U14" i="12"/>
  <c r="V14" i="12"/>
  <c r="N3" i="15"/>
  <c r="N29" i="21"/>
  <c r="N3" i="14"/>
  <c r="N53" i="21"/>
  <c r="N5" i="21"/>
  <c r="N4" i="15"/>
  <c r="N30" i="21"/>
  <c r="N4" i="14"/>
  <c r="N54" i="21"/>
  <c r="N6" i="21"/>
  <c r="N5" i="15"/>
  <c r="N31" i="21"/>
  <c r="N5" i="14"/>
  <c r="N55" i="21"/>
  <c r="N7" i="21"/>
  <c r="N6" i="15"/>
  <c r="N32" i="21"/>
  <c r="N6" i="14"/>
  <c r="N56" i="21"/>
  <c r="N8" i="21"/>
  <c r="N7" i="15"/>
  <c r="N33" i="21"/>
  <c r="N7" i="14"/>
  <c r="N57" i="21"/>
  <c r="N9" i="21"/>
  <c r="N8" i="15"/>
  <c r="N34" i="21"/>
  <c r="N8" i="14"/>
  <c r="N58" i="21"/>
  <c r="N10" i="21"/>
  <c r="N10" i="15"/>
  <c r="N36" i="21"/>
  <c r="N10" i="14"/>
  <c r="N60" i="21"/>
  <c r="N12" i="21"/>
  <c r="N11" i="15"/>
  <c r="N37" i="21"/>
  <c r="N11" i="14"/>
  <c r="N61" i="21"/>
  <c r="N13" i="21"/>
  <c r="N12" i="15"/>
  <c r="N38" i="21"/>
  <c r="N12" i="14"/>
  <c r="N62" i="21"/>
  <c r="N14" i="21"/>
  <c r="N13" i="15"/>
  <c r="N39" i="21"/>
  <c r="N13" i="14"/>
  <c r="N63" i="21"/>
  <c r="N15" i="21"/>
  <c r="N14" i="15"/>
  <c r="N40" i="21"/>
  <c r="N14" i="14"/>
  <c r="N64" i="21"/>
  <c r="N16" i="21"/>
  <c r="N15" i="15"/>
  <c r="N41" i="21"/>
  <c r="N15" i="14"/>
  <c r="N65" i="21"/>
  <c r="N17" i="21"/>
  <c r="N16" i="15"/>
  <c r="N42" i="21"/>
  <c r="N16" i="14"/>
  <c r="N66" i="21"/>
  <c r="N18" i="21"/>
  <c r="N17" i="15"/>
  <c r="N43" i="21"/>
  <c r="N17" i="14"/>
  <c r="N67" i="21"/>
  <c r="N19" i="21"/>
  <c r="N18" i="15"/>
  <c r="N44" i="21"/>
  <c r="N18" i="14"/>
  <c r="N68" i="21"/>
  <c r="N20" i="21"/>
  <c r="N19" i="15"/>
  <c r="N45" i="21"/>
  <c r="N19" i="14"/>
  <c r="N69" i="21"/>
  <c r="N21" i="21"/>
  <c r="N20" i="15"/>
  <c r="N46" i="21"/>
  <c r="N20" i="14"/>
  <c r="N70" i="21"/>
  <c r="N22" i="21"/>
  <c r="N21" i="15"/>
  <c r="N47" i="21"/>
  <c r="N21" i="14"/>
  <c r="N71" i="21"/>
  <c r="N23" i="21"/>
  <c r="N22" i="15"/>
  <c r="N48" i="21"/>
  <c r="N22" i="14"/>
  <c r="N72" i="21"/>
  <c r="N24" i="21"/>
  <c r="N23" i="15"/>
  <c r="N49" i="21"/>
  <c r="N23" i="14"/>
  <c r="N73" i="21"/>
  <c r="N25" i="21"/>
  <c r="N26" i="21"/>
  <c r="Q14" i="12"/>
  <c r="N29" i="16"/>
  <c r="N53" i="16"/>
  <c r="N5" i="16"/>
  <c r="N30" i="16"/>
  <c r="N54" i="16"/>
  <c r="N6" i="16"/>
  <c r="N31" i="16"/>
  <c r="N55" i="16"/>
  <c r="N7" i="16"/>
  <c r="N32" i="16"/>
  <c r="N56" i="16"/>
  <c r="N8" i="16"/>
  <c r="N33" i="16"/>
  <c r="N57" i="16"/>
  <c r="N9" i="16"/>
  <c r="N34" i="16"/>
  <c r="N58" i="16"/>
  <c r="N10" i="16"/>
  <c r="N36" i="16"/>
  <c r="N60" i="16"/>
  <c r="N12" i="16"/>
  <c r="N37" i="16"/>
  <c r="N61" i="16"/>
  <c r="N13" i="16"/>
  <c r="N38" i="16"/>
  <c r="N62" i="16"/>
  <c r="N14" i="16"/>
  <c r="N39" i="16"/>
  <c r="N63" i="16"/>
  <c r="N15" i="16"/>
  <c r="N40" i="16"/>
  <c r="N64" i="16"/>
  <c r="N16" i="16"/>
  <c r="N41" i="16"/>
  <c r="N65" i="16"/>
  <c r="N17" i="16"/>
  <c r="N42" i="16"/>
  <c r="N66" i="16"/>
  <c r="N18" i="16"/>
  <c r="N43" i="16"/>
  <c r="N67" i="16"/>
  <c r="N19" i="16"/>
  <c r="N44" i="16"/>
  <c r="N68" i="16"/>
  <c r="N20" i="16"/>
  <c r="N45" i="16"/>
  <c r="N69" i="16"/>
  <c r="N21" i="16"/>
  <c r="N46" i="16"/>
  <c r="N70" i="16"/>
  <c r="N22" i="16"/>
  <c r="N47" i="16"/>
  <c r="N71" i="16"/>
  <c r="N23" i="16"/>
  <c r="N48" i="16"/>
  <c r="N72" i="16"/>
  <c r="N24" i="16"/>
  <c r="N49" i="16"/>
  <c r="N73" i="16"/>
  <c r="N25" i="16"/>
  <c r="N26" i="16"/>
  <c r="R14" i="12"/>
  <c r="S14" i="12"/>
  <c r="W14" i="12"/>
  <c r="G74" i="9"/>
  <c r="I74" i="9"/>
  <c r="D13" i="12"/>
  <c r="G94" i="9"/>
  <c r="I94" i="9"/>
  <c r="E13" i="12"/>
  <c r="G14" i="9"/>
  <c r="I14" i="9"/>
  <c r="I34" i="9"/>
  <c r="I54" i="9"/>
  <c r="C13" i="12"/>
  <c r="F13" i="12"/>
  <c r="H13" i="12"/>
  <c r="I13" i="12"/>
  <c r="G13" i="12"/>
  <c r="J13" i="12"/>
  <c r="O13" i="12"/>
  <c r="U13" i="12"/>
  <c r="V13" i="12"/>
  <c r="M3" i="15"/>
  <c r="M29" i="21"/>
  <c r="M3" i="14"/>
  <c r="M53" i="21"/>
  <c r="M5" i="21"/>
  <c r="M4" i="15"/>
  <c r="M30" i="21"/>
  <c r="M4" i="14"/>
  <c r="M54" i="21"/>
  <c r="M6" i="21"/>
  <c r="M5" i="15"/>
  <c r="M31" i="21"/>
  <c r="M5" i="14"/>
  <c r="M55" i="21"/>
  <c r="M7" i="21"/>
  <c r="M6" i="15"/>
  <c r="M32" i="21"/>
  <c r="M6" i="14"/>
  <c r="M56" i="21"/>
  <c r="M8" i="21"/>
  <c r="M7" i="15"/>
  <c r="M33" i="21"/>
  <c r="M7" i="14"/>
  <c r="M57" i="21"/>
  <c r="M9" i="21"/>
  <c r="M8" i="15"/>
  <c r="M34" i="21"/>
  <c r="M8" i="14"/>
  <c r="M58" i="21"/>
  <c r="M10" i="21"/>
  <c r="M10" i="15"/>
  <c r="M36" i="21"/>
  <c r="M10" i="14"/>
  <c r="M60" i="21"/>
  <c r="M12" i="21"/>
  <c r="M11" i="15"/>
  <c r="M37" i="21"/>
  <c r="M11" i="14"/>
  <c r="M61" i="21"/>
  <c r="M13" i="21"/>
  <c r="M12" i="15"/>
  <c r="M38" i="21"/>
  <c r="M12" i="14"/>
  <c r="M62" i="21"/>
  <c r="M14" i="21"/>
  <c r="M13" i="15"/>
  <c r="M39" i="21"/>
  <c r="M13" i="14"/>
  <c r="M63" i="21"/>
  <c r="M15" i="21"/>
  <c r="M14" i="15"/>
  <c r="M40" i="21"/>
  <c r="M14" i="14"/>
  <c r="M64" i="21"/>
  <c r="M16" i="21"/>
  <c r="M15" i="15"/>
  <c r="M41" i="21"/>
  <c r="M15" i="14"/>
  <c r="M65" i="21"/>
  <c r="M17" i="21"/>
  <c r="M16" i="15"/>
  <c r="M42" i="21"/>
  <c r="M16" i="14"/>
  <c r="M66" i="21"/>
  <c r="M18" i="21"/>
  <c r="M17" i="15"/>
  <c r="M43" i="21"/>
  <c r="M17" i="14"/>
  <c r="M67" i="21"/>
  <c r="M19" i="21"/>
  <c r="M18" i="15"/>
  <c r="M44" i="21"/>
  <c r="M18" i="14"/>
  <c r="M68" i="21"/>
  <c r="M20" i="21"/>
  <c r="M19" i="15"/>
  <c r="M45" i="21"/>
  <c r="M19" i="14"/>
  <c r="M69" i="21"/>
  <c r="M21" i="21"/>
  <c r="M20" i="15"/>
  <c r="M46" i="21"/>
  <c r="M20" i="14"/>
  <c r="M70" i="21"/>
  <c r="M22" i="21"/>
  <c r="M21" i="15"/>
  <c r="M47" i="21"/>
  <c r="M21" i="14"/>
  <c r="M71" i="21"/>
  <c r="M23" i="21"/>
  <c r="M22" i="15"/>
  <c r="M48" i="21"/>
  <c r="M22" i="14"/>
  <c r="M72" i="21"/>
  <c r="M24" i="21"/>
  <c r="M23" i="15"/>
  <c r="M49" i="21"/>
  <c r="M23" i="14"/>
  <c r="M73" i="21"/>
  <c r="M25" i="21"/>
  <c r="M26" i="21"/>
  <c r="Q13" i="12"/>
  <c r="M29" i="16"/>
  <c r="M53" i="16"/>
  <c r="M5" i="16"/>
  <c r="M30" i="16"/>
  <c r="M54" i="16"/>
  <c r="M6" i="16"/>
  <c r="M31" i="16"/>
  <c r="M55" i="16"/>
  <c r="M7" i="16"/>
  <c r="M32" i="16"/>
  <c r="M56" i="16"/>
  <c r="M8" i="16"/>
  <c r="M33" i="16"/>
  <c r="M57" i="16"/>
  <c r="M9" i="16"/>
  <c r="M34" i="16"/>
  <c r="M58" i="16"/>
  <c r="M10" i="16"/>
  <c r="M36" i="16"/>
  <c r="M60" i="16"/>
  <c r="M12" i="16"/>
  <c r="M37" i="16"/>
  <c r="M61" i="16"/>
  <c r="M13" i="16"/>
  <c r="M38" i="16"/>
  <c r="M62" i="16"/>
  <c r="M14" i="16"/>
  <c r="M39" i="16"/>
  <c r="M63" i="16"/>
  <c r="M15" i="16"/>
  <c r="M40" i="16"/>
  <c r="M64" i="16"/>
  <c r="M16" i="16"/>
  <c r="M41" i="16"/>
  <c r="M65" i="16"/>
  <c r="M17" i="16"/>
  <c r="M42" i="16"/>
  <c r="M66" i="16"/>
  <c r="M18" i="16"/>
  <c r="M43" i="16"/>
  <c r="M67" i="16"/>
  <c r="M19" i="16"/>
  <c r="M44" i="16"/>
  <c r="M68" i="16"/>
  <c r="M20" i="16"/>
  <c r="M45" i="16"/>
  <c r="M69" i="16"/>
  <c r="M21" i="16"/>
  <c r="M46" i="16"/>
  <c r="M70" i="16"/>
  <c r="M22" i="16"/>
  <c r="M47" i="16"/>
  <c r="M71" i="16"/>
  <c r="M23" i="16"/>
  <c r="M48" i="16"/>
  <c r="M72" i="16"/>
  <c r="M24" i="16"/>
  <c r="M49" i="16"/>
  <c r="M73" i="16"/>
  <c r="M25" i="16"/>
  <c r="M26" i="16"/>
  <c r="R13" i="12"/>
  <c r="S13" i="12"/>
  <c r="W13" i="12"/>
  <c r="G73" i="9"/>
  <c r="I73" i="9"/>
  <c r="D12" i="12"/>
  <c r="G93" i="9"/>
  <c r="I93" i="9"/>
  <c r="E12" i="12"/>
  <c r="G13" i="9"/>
  <c r="I13" i="9"/>
  <c r="I33" i="9"/>
  <c r="I53" i="9"/>
  <c r="C12" i="12"/>
  <c r="F12" i="12"/>
  <c r="H12" i="12"/>
  <c r="I12" i="12"/>
  <c r="G12" i="12"/>
  <c r="J12" i="12"/>
  <c r="O12" i="12"/>
  <c r="U12" i="12"/>
  <c r="V12" i="12"/>
  <c r="L3" i="15"/>
  <c r="L29" i="21"/>
  <c r="L3" i="14"/>
  <c r="L53" i="21"/>
  <c r="L5" i="21"/>
  <c r="L4" i="15"/>
  <c r="L30" i="21"/>
  <c r="L4" i="14"/>
  <c r="L54" i="21"/>
  <c r="L6" i="21"/>
  <c r="L5" i="15"/>
  <c r="L31" i="21"/>
  <c r="L5" i="14"/>
  <c r="L55" i="21"/>
  <c r="L7" i="21"/>
  <c r="L6" i="15"/>
  <c r="L32" i="21"/>
  <c r="L6" i="14"/>
  <c r="L56" i="21"/>
  <c r="L8" i="21"/>
  <c r="L7" i="15"/>
  <c r="L33" i="21"/>
  <c r="L7" i="14"/>
  <c r="L57" i="21"/>
  <c r="L9" i="21"/>
  <c r="L8" i="15"/>
  <c r="L34" i="21"/>
  <c r="L8" i="14"/>
  <c r="L58" i="21"/>
  <c r="L10" i="21"/>
  <c r="L10" i="15"/>
  <c r="L36" i="21"/>
  <c r="L10" i="14"/>
  <c r="L60" i="21"/>
  <c r="L12" i="21"/>
  <c r="L11" i="15"/>
  <c r="L37" i="21"/>
  <c r="L11" i="14"/>
  <c r="L61" i="21"/>
  <c r="L13" i="21"/>
  <c r="L12" i="15"/>
  <c r="L38" i="21"/>
  <c r="L12" i="14"/>
  <c r="L62" i="21"/>
  <c r="L14" i="21"/>
  <c r="L13" i="15"/>
  <c r="L39" i="21"/>
  <c r="L13" i="14"/>
  <c r="L63" i="21"/>
  <c r="L15" i="21"/>
  <c r="L14" i="15"/>
  <c r="L40" i="21"/>
  <c r="L14" i="14"/>
  <c r="L64" i="21"/>
  <c r="L16" i="21"/>
  <c r="L15" i="15"/>
  <c r="L41" i="21"/>
  <c r="L15" i="14"/>
  <c r="L65" i="21"/>
  <c r="L17" i="21"/>
  <c r="L16" i="15"/>
  <c r="L42" i="21"/>
  <c r="L16" i="14"/>
  <c r="L66" i="21"/>
  <c r="L18" i="21"/>
  <c r="L17" i="15"/>
  <c r="L43" i="21"/>
  <c r="L17" i="14"/>
  <c r="L67" i="21"/>
  <c r="L19" i="21"/>
  <c r="L18" i="15"/>
  <c r="L44" i="21"/>
  <c r="L18" i="14"/>
  <c r="L68" i="21"/>
  <c r="L20" i="21"/>
  <c r="L19" i="15"/>
  <c r="L45" i="21"/>
  <c r="L19" i="14"/>
  <c r="L69" i="21"/>
  <c r="L21" i="21"/>
  <c r="L20" i="15"/>
  <c r="L46" i="21"/>
  <c r="L20" i="14"/>
  <c r="L70" i="21"/>
  <c r="L22" i="21"/>
  <c r="L21" i="15"/>
  <c r="L47" i="21"/>
  <c r="L21" i="14"/>
  <c r="L71" i="21"/>
  <c r="L23" i="21"/>
  <c r="L22" i="15"/>
  <c r="L48" i="21"/>
  <c r="L22" i="14"/>
  <c r="L72" i="21"/>
  <c r="L24" i="21"/>
  <c r="L23" i="15"/>
  <c r="L49" i="21"/>
  <c r="L23" i="14"/>
  <c r="L73" i="21"/>
  <c r="L25" i="21"/>
  <c r="L26" i="21"/>
  <c r="Q12" i="12"/>
  <c r="L29" i="16"/>
  <c r="L53" i="16"/>
  <c r="L5" i="16"/>
  <c r="L30" i="16"/>
  <c r="L54" i="16"/>
  <c r="L6" i="16"/>
  <c r="L31" i="16"/>
  <c r="L55" i="16"/>
  <c r="L7" i="16"/>
  <c r="L32" i="16"/>
  <c r="L56" i="16"/>
  <c r="L8" i="16"/>
  <c r="L33" i="16"/>
  <c r="L57" i="16"/>
  <c r="L9" i="16"/>
  <c r="L34" i="16"/>
  <c r="L58" i="16"/>
  <c r="L10" i="16"/>
  <c r="L36" i="16"/>
  <c r="L60" i="16"/>
  <c r="L12" i="16"/>
  <c r="L37" i="16"/>
  <c r="L61" i="16"/>
  <c r="L13" i="16"/>
  <c r="L38" i="16"/>
  <c r="L62" i="16"/>
  <c r="L14" i="16"/>
  <c r="L39" i="16"/>
  <c r="L63" i="16"/>
  <c r="L15" i="16"/>
  <c r="L40" i="16"/>
  <c r="L64" i="16"/>
  <c r="L16" i="16"/>
  <c r="L41" i="16"/>
  <c r="L65" i="16"/>
  <c r="L17" i="16"/>
  <c r="L42" i="16"/>
  <c r="L66" i="16"/>
  <c r="L18" i="16"/>
  <c r="L43" i="16"/>
  <c r="L67" i="16"/>
  <c r="L19" i="16"/>
  <c r="L44" i="16"/>
  <c r="L68" i="16"/>
  <c r="L20" i="16"/>
  <c r="L45" i="16"/>
  <c r="L69" i="16"/>
  <c r="L21" i="16"/>
  <c r="L46" i="16"/>
  <c r="L70" i="16"/>
  <c r="L22" i="16"/>
  <c r="L47" i="16"/>
  <c r="L71" i="16"/>
  <c r="L23" i="16"/>
  <c r="L48" i="16"/>
  <c r="L72" i="16"/>
  <c r="L24" i="16"/>
  <c r="L49" i="16"/>
  <c r="L73" i="16"/>
  <c r="L25" i="16"/>
  <c r="L26" i="16"/>
  <c r="R12" i="12"/>
  <c r="S12" i="12"/>
  <c r="W12" i="12"/>
  <c r="G72" i="9"/>
  <c r="I72" i="9"/>
  <c r="D11" i="12"/>
  <c r="G92" i="9"/>
  <c r="I92" i="9"/>
  <c r="E11" i="12"/>
  <c r="G12" i="9"/>
  <c r="I12" i="9"/>
  <c r="I32" i="9"/>
  <c r="I52" i="9"/>
  <c r="C11" i="12"/>
  <c r="F11" i="12"/>
  <c r="H11" i="12"/>
  <c r="I11" i="12"/>
  <c r="G11" i="12"/>
  <c r="J11" i="12"/>
  <c r="O11" i="12"/>
  <c r="U11" i="12"/>
  <c r="V11" i="12"/>
  <c r="K3" i="15"/>
  <c r="K29" i="21"/>
  <c r="K3" i="14"/>
  <c r="K53" i="21"/>
  <c r="K5" i="21"/>
  <c r="K4" i="15"/>
  <c r="K30" i="21"/>
  <c r="K4" i="14"/>
  <c r="K54" i="21"/>
  <c r="K6" i="21"/>
  <c r="K5" i="15"/>
  <c r="K31" i="21"/>
  <c r="K5" i="14"/>
  <c r="K55" i="21"/>
  <c r="K7" i="21"/>
  <c r="K6" i="15"/>
  <c r="K32" i="21"/>
  <c r="K6" i="14"/>
  <c r="K56" i="21"/>
  <c r="K8" i="21"/>
  <c r="K7" i="15"/>
  <c r="K33" i="21"/>
  <c r="K7" i="14"/>
  <c r="K57" i="21"/>
  <c r="K9" i="21"/>
  <c r="K8" i="15"/>
  <c r="K34" i="21"/>
  <c r="K8" i="14"/>
  <c r="K58" i="21"/>
  <c r="K10" i="21"/>
  <c r="K10" i="15"/>
  <c r="K36" i="21"/>
  <c r="K10" i="14"/>
  <c r="K60" i="21"/>
  <c r="K12" i="21"/>
  <c r="K11" i="15"/>
  <c r="K37" i="21"/>
  <c r="K11" i="14"/>
  <c r="K61" i="21"/>
  <c r="K13" i="21"/>
  <c r="K12" i="15"/>
  <c r="K38" i="21"/>
  <c r="K12" i="14"/>
  <c r="K62" i="21"/>
  <c r="K14" i="21"/>
  <c r="K13" i="15"/>
  <c r="K39" i="21"/>
  <c r="K13" i="14"/>
  <c r="K63" i="21"/>
  <c r="K15" i="21"/>
  <c r="K14" i="15"/>
  <c r="K40" i="21"/>
  <c r="K14" i="14"/>
  <c r="K64" i="21"/>
  <c r="K16" i="21"/>
  <c r="K15" i="15"/>
  <c r="K41" i="21"/>
  <c r="K15" i="14"/>
  <c r="K65" i="21"/>
  <c r="K17" i="21"/>
  <c r="K16" i="15"/>
  <c r="K42" i="21"/>
  <c r="K16" i="14"/>
  <c r="K66" i="21"/>
  <c r="K18" i="21"/>
  <c r="K17" i="15"/>
  <c r="K43" i="21"/>
  <c r="K17" i="14"/>
  <c r="K67" i="21"/>
  <c r="K19" i="21"/>
  <c r="K18" i="15"/>
  <c r="K44" i="21"/>
  <c r="K18" i="14"/>
  <c r="K68" i="21"/>
  <c r="K20" i="21"/>
  <c r="K19" i="15"/>
  <c r="K45" i="21"/>
  <c r="K19" i="14"/>
  <c r="K69" i="21"/>
  <c r="K21" i="21"/>
  <c r="K20" i="15"/>
  <c r="K46" i="21"/>
  <c r="K20" i="14"/>
  <c r="K70" i="21"/>
  <c r="K22" i="21"/>
  <c r="K21" i="15"/>
  <c r="K47" i="21"/>
  <c r="K21" i="14"/>
  <c r="K71" i="21"/>
  <c r="K23" i="21"/>
  <c r="K22" i="15"/>
  <c r="K48" i="21"/>
  <c r="K22" i="14"/>
  <c r="K72" i="21"/>
  <c r="K24" i="21"/>
  <c r="K23" i="15"/>
  <c r="K49" i="21"/>
  <c r="K23" i="14"/>
  <c r="K73" i="21"/>
  <c r="K25" i="21"/>
  <c r="K26" i="21"/>
  <c r="Q11" i="12"/>
  <c r="K29" i="16"/>
  <c r="K53" i="16"/>
  <c r="K5" i="16"/>
  <c r="K30" i="16"/>
  <c r="K54" i="16"/>
  <c r="K6" i="16"/>
  <c r="K31" i="16"/>
  <c r="K55" i="16"/>
  <c r="K7" i="16"/>
  <c r="K32" i="16"/>
  <c r="K56" i="16"/>
  <c r="K8" i="16"/>
  <c r="K33" i="16"/>
  <c r="K57" i="16"/>
  <c r="K9" i="16"/>
  <c r="K34" i="16"/>
  <c r="K58" i="16"/>
  <c r="K10" i="16"/>
  <c r="K36" i="16"/>
  <c r="K60" i="16"/>
  <c r="K12" i="16"/>
  <c r="K37" i="16"/>
  <c r="K61" i="16"/>
  <c r="K13" i="16"/>
  <c r="K38" i="16"/>
  <c r="K62" i="16"/>
  <c r="K14" i="16"/>
  <c r="K39" i="16"/>
  <c r="K63" i="16"/>
  <c r="K15" i="16"/>
  <c r="K40" i="16"/>
  <c r="K64" i="16"/>
  <c r="K16" i="16"/>
  <c r="K41" i="16"/>
  <c r="K65" i="16"/>
  <c r="K17" i="16"/>
  <c r="K42" i="16"/>
  <c r="K66" i="16"/>
  <c r="K18" i="16"/>
  <c r="K43" i="16"/>
  <c r="K67" i="16"/>
  <c r="K19" i="16"/>
  <c r="K44" i="16"/>
  <c r="K68" i="16"/>
  <c r="K20" i="16"/>
  <c r="K45" i="16"/>
  <c r="K69" i="16"/>
  <c r="K21" i="16"/>
  <c r="K46" i="16"/>
  <c r="K70" i="16"/>
  <c r="K22" i="16"/>
  <c r="K47" i="16"/>
  <c r="K71" i="16"/>
  <c r="K23" i="16"/>
  <c r="K48" i="16"/>
  <c r="K72" i="16"/>
  <c r="K24" i="16"/>
  <c r="K49" i="16"/>
  <c r="K73" i="16"/>
  <c r="K25" i="16"/>
  <c r="K26" i="16"/>
  <c r="R11" i="12"/>
  <c r="S11" i="12"/>
  <c r="W11" i="12"/>
  <c r="G71" i="9"/>
  <c r="I71" i="9"/>
  <c r="D10" i="12"/>
  <c r="G91" i="9"/>
  <c r="I91" i="9"/>
  <c r="E10" i="12"/>
  <c r="G11" i="9"/>
  <c r="I11" i="9"/>
  <c r="I31" i="9"/>
  <c r="I51" i="9"/>
  <c r="C10" i="12"/>
  <c r="F10" i="12"/>
  <c r="H10" i="12"/>
  <c r="I10" i="12"/>
  <c r="G10" i="12"/>
  <c r="J10" i="12"/>
  <c r="O10" i="12"/>
  <c r="U10" i="12"/>
  <c r="V10" i="12"/>
  <c r="J3" i="15"/>
  <c r="J29" i="21"/>
  <c r="J3" i="14"/>
  <c r="J53" i="21"/>
  <c r="J5" i="21"/>
  <c r="J4" i="15"/>
  <c r="J30" i="21"/>
  <c r="J4" i="14"/>
  <c r="J54" i="21"/>
  <c r="J6" i="21"/>
  <c r="J5" i="15"/>
  <c r="J31" i="21"/>
  <c r="J5" i="14"/>
  <c r="J55" i="21"/>
  <c r="J7" i="21"/>
  <c r="J6" i="15"/>
  <c r="J32" i="21"/>
  <c r="J6" i="14"/>
  <c r="J56" i="21"/>
  <c r="J8" i="21"/>
  <c r="J7" i="15"/>
  <c r="J33" i="21"/>
  <c r="J7" i="14"/>
  <c r="J57" i="21"/>
  <c r="J9" i="21"/>
  <c r="J8" i="15"/>
  <c r="J34" i="21"/>
  <c r="J8" i="14"/>
  <c r="J58" i="21"/>
  <c r="J10" i="21"/>
  <c r="J10" i="15"/>
  <c r="J36" i="21"/>
  <c r="J10" i="14"/>
  <c r="J60" i="21"/>
  <c r="J12" i="21"/>
  <c r="J11" i="15"/>
  <c r="J37" i="21"/>
  <c r="J11" i="14"/>
  <c r="J61" i="21"/>
  <c r="J13" i="21"/>
  <c r="J12" i="15"/>
  <c r="J38" i="21"/>
  <c r="J12" i="14"/>
  <c r="J62" i="21"/>
  <c r="J14" i="21"/>
  <c r="J13" i="15"/>
  <c r="J39" i="21"/>
  <c r="J13" i="14"/>
  <c r="J63" i="21"/>
  <c r="J15" i="21"/>
  <c r="J14" i="15"/>
  <c r="J40" i="21"/>
  <c r="J14" i="14"/>
  <c r="J64" i="21"/>
  <c r="J16" i="21"/>
  <c r="J15" i="15"/>
  <c r="J41" i="21"/>
  <c r="J15" i="14"/>
  <c r="J65" i="21"/>
  <c r="J17" i="21"/>
  <c r="J16" i="15"/>
  <c r="J42" i="21"/>
  <c r="J16" i="14"/>
  <c r="J66" i="21"/>
  <c r="J18" i="21"/>
  <c r="J17" i="15"/>
  <c r="J43" i="21"/>
  <c r="J17" i="14"/>
  <c r="J67" i="21"/>
  <c r="J19" i="21"/>
  <c r="J18" i="15"/>
  <c r="J44" i="21"/>
  <c r="J18" i="14"/>
  <c r="J68" i="21"/>
  <c r="J20" i="21"/>
  <c r="J19" i="15"/>
  <c r="J45" i="21"/>
  <c r="J19" i="14"/>
  <c r="J69" i="21"/>
  <c r="J21" i="21"/>
  <c r="J20" i="15"/>
  <c r="J46" i="21"/>
  <c r="J20" i="14"/>
  <c r="J70" i="21"/>
  <c r="J22" i="21"/>
  <c r="J21" i="15"/>
  <c r="J47" i="21"/>
  <c r="J21" i="14"/>
  <c r="J71" i="21"/>
  <c r="J23" i="21"/>
  <c r="J22" i="15"/>
  <c r="J48" i="21"/>
  <c r="J22" i="14"/>
  <c r="J72" i="21"/>
  <c r="J24" i="21"/>
  <c r="J23" i="15"/>
  <c r="J49" i="21"/>
  <c r="J23" i="14"/>
  <c r="J73" i="21"/>
  <c r="J25" i="21"/>
  <c r="J26" i="21"/>
  <c r="Q10" i="12"/>
  <c r="J29" i="16"/>
  <c r="J53" i="16"/>
  <c r="J5" i="16"/>
  <c r="J30" i="16"/>
  <c r="J54" i="16"/>
  <c r="J6" i="16"/>
  <c r="J31" i="16"/>
  <c r="J55" i="16"/>
  <c r="J7" i="16"/>
  <c r="J32" i="16"/>
  <c r="J56" i="16"/>
  <c r="J8" i="16"/>
  <c r="J33" i="16"/>
  <c r="J57" i="16"/>
  <c r="J9" i="16"/>
  <c r="J34" i="16"/>
  <c r="J58" i="16"/>
  <c r="J10" i="16"/>
  <c r="J36" i="16"/>
  <c r="J60" i="16"/>
  <c r="J12" i="16"/>
  <c r="J37" i="16"/>
  <c r="J61" i="16"/>
  <c r="J13" i="16"/>
  <c r="J38" i="16"/>
  <c r="J62" i="16"/>
  <c r="J14" i="16"/>
  <c r="J39" i="16"/>
  <c r="J63" i="16"/>
  <c r="J15" i="16"/>
  <c r="J40" i="16"/>
  <c r="J64" i="16"/>
  <c r="J16" i="16"/>
  <c r="J41" i="16"/>
  <c r="J65" i="16"/>
  <c r="J17" i="16"/>
  <c r="J42" i="16"/>
  <c r="J66" i="16"/>
  <c r="J18" i="16"/>
  <c r="J43" i="16"/>
  <c r="J67" i="16"/>
  <c r="J19" i="16"/>
  <c r="J44" i="16"/>
  <c r="J68" i="16"/>
  <c r="J20" i="16"/>
  <c r="J45" i="16"/>
  <c r="J69" i="16"/>
  <c r="J21" i="16"/>
  <c r="J46" i="16"/>
  <c r="J70" i="16"/>
  <c r="J22" i="16"/>
  <c r="J47" i="16"/>
  <c r="J71" i="16"/>
  <c r="J23" i="16"/>
  <c r="J48" i="16"/>
  <c r="J72" i="16"/>
  <c r="J24" i="16"/>
  <c r="J49" i="16"/>
  <c r="J73" i="16"/>
  <c r="J25" i="16"/>
  <c r="J26" i="16"/>
  <c r="R10" i="12"/>
  <c r="S10" i="12"/>
  <c r="W10" i="12"/>
  <c r="G70" i="9"/>
  <c r="I70" i="9"/>
  <c r="D9" i="12"/>
  <c r="G90" i="9"/>
  <c r="I90" i="9"/>
  <c r="E9" i="12"/>
  <c r="G10" i="9"/>
  <c r="I10" i="9"/>
  <c r="I30" i="9"/>
  <c r="I50" i="9"/>
  <c r="C9" i="12"/>
  <c r="F9" i="12"/>
  <c r="H9" i="12"/>
  <c r="I9" i="12"/>
  <c r="G9" i="12"/>
  <c r="J9" i="12"/>
  <c r="O9" i="12"/>
  <c r="U9" i="12"/>
  <c r="V9" i="12"/>
  <c r="I3" i="15"/>
  <c r="I29" i="21"/>
  <c r="I3" i="14"/>
  <c r="I53" i="21"/>
  <c r="I5" i="21"/>
  <c r="I4" i="15"/>
  <c r="I30" i="21"/>
  <c r="I4" i="14"/>
  <c r="I54" i="21"/>
  <c r="I6" i="21"/>
  <c r="I5" i="15"/>
  <c r="I31" i="21"/>
  <c r="I5" i="14"/>
  <c r="I55" i="21"/>
  <c r="I7" i="21"/>
  <c r="I6" i="15"/>
  <c r="I32" i="21"/>
  <c r="I6" i="14"/>
  <c r="I56" i="21"/>
  <c r="I8" i="21"/>
  <c r="I7" i="15"/>
  <c r="I33" i="21"/>
  <c r="I7" i="14"/>
  <c r="I57" i="21"/>
  <c r="I9" i="21"/>
  <c r="I8" i="15"/>
  <c r="I34" i="21"/>
  <c r="I8" i="14"/>
  <c r="I58" i="21"/>
  <c r="I10" i="21"/>
  <c r="I10" i="15"/>
  <c r="I36" i="21"/>
  <c r="I10" i="14"/>
  <c r="I60" i="21"/>
  <c r="I12" i="21"/>
  <c r="I11" i="15"/>
  <c r="I37" i="21"/>
  <c r="I11" i="14"/>
  <c r="I61" i="21"/>
  <c r="I13" i="21"/>
  <c r="I12" i="15"/>
  <c r="I38" i="21"/>
  <c r="I12" i="14"/>
  <c r="I62" i="21"/>
  <c r="I14" i="21"/>
  <c r="I13" i="15"/>
  <c r="I39" i="21"/>
  <c r="I13" i="14"/>
  <c r="I63" i="21"/>
  <c r="I15" i="21"/>
  <c r="I14" i="15"/>
  <c r="I40" i="21"/>
  <c r="I14" i="14"/>
  <c r="I64" i="21"/>
  <c r="I16" i="21"/>
  <c r="I15" i="15"/>
  <c r="I41" i="21"/>
  <c r="I15" i="14"/>
  <c r="I65" i="21"/>
  <c r="I17" i="21"/>
  <c r="I16" i="15"/>
  <c r="I42" i="21"/>
  <c r="I16" i="14"/>
  <c r="I66" i="21"/>
  <c r="I18" i="21"/>
  <c r="I17" i="15"/>
  <c r="I43" i="21"/>
  <c r="I17" i="14"/>
  <c r="I67" i="21"/>
  <c r="I19" i="21"/>
  <c r="I18" i="15"/>
  <c r="I44" i="21"/>
  <c r="I18" i="14"/>
  <c r="I68" i="21"/>
  <c r="I20" i="21"/>
  <c r="I19" i="15"/>
  <c r="I45" i="21"/>
  <c r="I19" i="14"/>
  <c r="I69" i="21"/>
  <c r="I21" i="21"/>
  <c r="I20" i="15"/>
  <c r="I46" i="21"/>
  <c r="I20" i="14"/>
  <c r="I70" i="21"/>
  <c r="I22" i="21"/>
  <c r="I21" i="15"/>
  <c r="I47" i="21"/>
  <c r="I21" i="14"/>
  <c r="I71" i="21"/>
  <c r="I23" i="21"/>
  <c r="I22" i="15"/>
  <c r="I48" i="21"/>
  <c r="I22" i="14"/>
  <c r="I72" i="21"/>
  <c r="I24" i="21"/>
  <c r="I23" i="15"/>
  <c r="I49" i="21"/>
  <c r="I23" i="14"/>
  <c r="I73" i="21"/>
  <c r="I25" i="21"/>
  <c r="I26" i="21"/>
  <c r="Q9" i="12"/>
  <c r="I29" i="16"/>
  <c r="I53" i="16"/>
  <c r="I5" i="16"/>
  <c r="I30" i="16"/>
  <c r="I54" i="16"/>
  <c r="I6" i="16"/>
  <c r="I31" i="16"/>
  <c r="I55" i="16"/>
  <c r="I7" i="16"/>
  <c r="I32" i="16"/>
  <c r="I56" i="16"/>
  <c r="I8" i="16"/>
  <c r="I33" i="16"/>
  <c r="I57" i="16"/>
  <c r="I9" i="16"/>
  <c r="I34" i="16"/>
  <c r="I58" i="16"/>
  <c r="I10" i="16"/>
  <c r="I36" i="16"/>
  <c r="I60" i="16"/>
  <c r="I12" i="16"/>
  <c r="I37" i="16"/>
  <c r="I61" i="16"/>
  <c r="I13" i="16"/>
  <c r="I38" i="16"/>
  <c r="I62" i="16"/>
  <c r="I14" i="16"/>
  <c r="I39" i="16"/>
  <c r="I63" i="16"/>
  <c r="I15" i="16"/>
  <c r="I40" i="16"/>
  <c r="I64" i="16"/>
  <c r="I16" i="16"/>
  <c r="I41" i="16"/>
  <c r="I65" i="16"/>
  <c r="I17" i="16"/>
  <c r="I42" i="16"/>
  <c r="I66" i="16"/>
  <c r="I18" i="16"/>
  <c r="I43" i="16"/>
  <c r="I67" i="16"/>
  <c r="I19" i="16"/>
  <c r="I44" i="16"/>
  <c r="I68" i="16"/>
  <c r="I20" i="16"/>
  <c r="I45" i="16"/>
  <c r="I69" i="16"/>
  <c r="I21" i="16"/>
  <c r="I46" i="16"/>
  <c r="I70" i="16"/>
  <c r="I22" i="16"/>
  <c r="I47" i="16"/>
  <c r="I71" i="16"/>
  <c r="I23" i="16"/>
  <c r="I48" i="16"/>
  <c r="I72" i="16"/>
  <c r="I24" i="16"/>
  <c r="I49" i="16"/>
  <c r="I73" i="16"/>
  <c r="I25" i="16"/>
  <c r="I26" i="16"/>
  <c r="R9" i="12"/>
  <c r="S9" i="12"/>
  <c r="W9" i="12"/>
  <c r="G69" i="9"/>
  <c r="I69" i="9"/>
  <c r="D8" i="12"/>
  <c r="G89" i="9"/>
  <c r="I89" i="9"/>
  <c r="E8" i="12"/>
  <c r="G9" i="9"/>
  <c r="I9" i="9"/>
  <c r="I29" i="9"/>
  <c r="I49" i="9"/>
  <c r="C8" i="12"/>
  <c r="F8" i="12"/>
  <c r="H8" i="12"/>
  <c r="I8" i="12"/>
  <c r="G8" i="12"/>
  <c r="J8" i="12"/>
  <c r="O8" i="12"/>
  <c r="U8" i="12"/>
  <c r="V8" i="12"/>
  <c r="H3" i="15"/>
  <c r="H29" i="21"/>
  <c r="H3" i="14"/>
  <c r="H53" i="21"/>
  <c r="H5" i="21"/>
  <c r="H4" i="15"/>
  <c r="H30" i="21"/>
  <c r="H4" i="14"/>
  <c r="H54" i="21"/>
  <c r="H6" i="21"/>
  <c r="H5" i="15"/>
  <c r="H31" i="21"/>
  <c r="H5" i="14"/>
  <c r="H55" i="21"/>
  <c r="H7" i="21"/>
  <c r="H6" i="15"/>
  <c r="H32" i="21"/>
  <c r="H6" i="14"/>
  <c r="H56" i="21"/>
  <c r="H8" i="21"/>
  <c r="H7" i="15"/>
  <c r="H33" i="21"/>
  <c r="H7" i="14"/>
  <c r="H57" i="21"/>
  <c r="H9" i="21"/>
  <c r="H8" i="15"/>
  <c r="H34" i="21"/>
  <c r="H8" i="14"/>
  <c r="H58" i="21"/>
  <c r="H10" i="21"/>
  <c r="H10" i="15"/>
  <c r="H36" i="21"/>
  <c r="H10" i="14"/>
  <c r="H60" i="21"/>
  <c r="H12" i="21"/>
  <c r="H11" i="15"/>
  <c r="H37" i="21"/>
  <c r="H11" i="14"/>
  <c r="H61" i="21"/>
  <c r="H13" i="21"/>
  <c r="H12" i="15"/>
  <c r="H38" i="21"/>
  <c r="H12" i="14"/>
  <c r="H62" i="21"/>
  <c r="H14" i="21"/>
  <c r="H13" i="15"/>
  <c r="H39" i="21"/>
  <c r="H13" i="14"/>
  <c r="H63" i="21"/>
  <c r="H15" i="21"/>
  <c r="H14" i="15"/>
  <c r="H40" i="21"/>
  <c r="H14" i="14"/>
  <c r="H64" i="21"/>
  <c r="H16" i="21"/>
  <c r="H15" i="15"/>
  <c r="H41" i="21"/>
  <c r="H15" i="14"/>
  <c r="H65" i="21"/>
  <c r="H17" i="21"/>
  <c r="H16" i="15"/>
  <c r="H42" i="21"/>
  <c r="H16" i="14"/>
  <c r="H66" i="21"/>
  <c r="H18" i="21"/>
  <c r="H17" i="15"/>
  <c r="H43" i="21"/>
  <c r="H17" i="14"/>
  <c r="H67" i="21"/>
  <c r="H19" i="21"/>
  <c r="H18" i="15"/>
  <c r="H44" i="21"/>
  <c r="H18" i="14"/>
  <c r="H68" i="21"/>
  <c r="H20" i="21"/>
  <c r="H19" i="15"/>
  <c r="H45" i="21"/>
  <c r="H19" i="14"/>
  <c r="H69" i="21"/>
  <c r="H21" i="21"/>
  <c r="H20" i="15"/>
  <c r="H46" i="21"/>
  <c r="H20" i="14"/>
  <c r="H70" i="21"/>
  <c r="H22" i="21"/>
  <c r="H21" i="15"/>
  <c r="H47" i="21"/>
  <c r="H21" i="14"/>
  <c r="H71" i="21"/>
  <c r="H23" i="21"/>
  <c r="H22" i="15"/>
  <c r="H48" i="21"/>
  <c r="H22" i="14"/>
  <c r="H72" i="21"/>
  <c r="H24" i="21"/>
  <c r="H23" i="15"/>
  <c r="H49" i="21"/>
  <c r="H23" i="14"/>
  <c r="H73" i="21"/>
  <c r="H25" i="21"/>
  <c r="H26" i="21"/>
  <c r="Q8" i="12"/>
  <c r="H29" i="16"/>
  <c r="H53" i="16"/>
  <c r="H5" i="16"/>
  <c r="H30" i="16"/>
  <c r="H54" i="16"/>
  <c r="H6" i="16"/>
  <c r="H31" i="16"/>
  <c r="H55" i="16"/>
  <c r="H7" i="16"/>
  <c r="H32" i="16"/>
  <c r="H56" i="16"/>
  <c r="H8" i="16"/>
  <c r="H33" i="16"/>
  <c r="H57" i="16"/>
  <c r="H9" i="16"/>
  <c r="H34" i="16"/>
  <c r="H58" i="16"/>
  <c r="H10" i="16"/>
  <c r="H36" i="16"/>
  <c r="H60" i="16"/>
  <c r="H12" i="16"/>
  <c r="H37" i="16"/>
  <c r="H61" i="16"/>
  <c r="H13" i="16"/>
  <c r="H38" i="16"/>
  <c r="H62" i="16"/>
  <c r="H14" i="16"/>
  <c r="H39" i="16"/>
  <c r="H63" i="16"/>
  <c r="H15" i="16"/>
  <c r="H40" i="16"/>
  <c r="H64" i="16"/>
  <c r="H16" i="16"/>
  <c r="H41" i="16"/>
  <c r="H65" i="16"/>
  <c r="H17" i="16"/>
  <c r="H42" i="16"/>
  <c r="H66" i="16"/>
  <c r="H18" i="16"/>
  <c r="H43" i="16"/>
  <c r="H67" i="16"/>
  <c r="H19" i="16"/>
  <c r="H44" i="16"/>
  <c r="H68" i="16"/>
  <c r="H20" i="16"/>
  <c r="H45" i="16"/>
  <c r="H69" i="16"/>
  <c r="H21" i="16"/>
  <c r="H46" i="16"/>
  <c r="H70" i="16"/>
  <c r="H22" i="16"/>
  <c r="H47" i="16"/>
  <c r="H71" i="16"/>
  <c r="H23" i="16"/>
  <c r="H48" i="16"/>
  <c r="H72" i="16"/>
  <c r="H24" i="16"/>
  <c r="H49" i="16"/>
  <c r="H73" i="16"/>
  <c r="H25" i="16"/>
  <c r="H26" i="16"/>
  <c r="R8" i="12"/>
  <c r="S8" i="12"/>
  <c r="W8" i="12"/>
  <c r="G68" i="9"/>
  <c r="I68" i="9"/>
  <c r="D7" i="12"/>
  <c r="G88" i="9"/>
  <c r="I88" i="9"/>
  <c r="E7" i="12"/>
  <c r="G8" i="9"/>
  <c r="I8" i="9"/>
  <c r="I28" i="9"/>
  <c r="I48" i="9"/>
  <c r="C7" i="12"/>
  <c r="F7" i="12"/>
  <c r="H7" i="12"/>
  <c r="I7" i="12"/>
  <c r="G7" i="12"/>
  <c r="J7" i="12"/>
  <c r="O7" i="12"/>
  <c r="U7" i="12"/>
  <c r="V7" i="12"/>
  <c r="G3" i="15"/>
  <c r="G29" i="21"/>
  <c r="G3" i="14"/>
  <c r="G53" i="21"/>
  <c r="G5" i="21"/>
  <c r="G4" i="15"/>
  <c r="G30" i="21"/>
  <c r="G4" i="14"/>
  <c r="G54" i="21"/>
  <c r="G6" i="21"/>
  <c r="G5" i="15"/>
  <c r="G31" i="21"/>
  <c r="G5" i="14"/>
  <c r="G55" i="21"/>
  <c r="G7" i="21"/>
  <c r="G6" i="15"/>
  <c r="G32" i="21"/>
  <c r="G6" i="14"/>
  <c r="G56" i="21"/>
  <c r="G8" i="21"/>
  <c r="G7" i="15"/>
  <c r="G33" i="21"/>
  <c r="G7" i="14"/>
  <c r="G57" i="21"/>
  <c r="G9" i="21"/>
  <c r="G8" i="15"/>
  <c r="G34" i="21"/>
  <c r="G8" i="14"/>
  <c r="G58" i="21"/>
  <c r="G10" i="21"/>
  <c r="G10" i="15"/>
  <c r="G36" i="21"/>
  <c r="G10" i="14"/>
  <c r="G60" i="21"/>
  <c r="G12" i="21"/>
  <c r="G11" i="15"/>
  <c r="G37" i="21"/>
  <c r="G11" i="14"/>
  <c r="G61" i="21"/>
  <c r="G13" i="21"/>
  <c r="G12" i="15"/>
  <c r="G38" i="21"/>
  <c r="G12" i="14"/>
  <c r="G62" i="21"/>
  <c r="G14" i="21"/>
  <c r="G13" i="15"/>
  <c r="G39" i="21"/>
  <c r="G13" i="14"/>
  <c r="G63" i="21"/>
  <c r="G15" i="21"/>
  <c r="G14" i="15"/>
  <c r="G40" i="21"/>
  <c r="G14" i="14"/>
  <c r="G64" i="21"/>
  <c r="G16" i="21"/>
  <c r="G15" i="15"/>
  <c r="G41" i="21"/>
  <c r="G15" i="14"/>
  <c r="G65" i="21"/>
  <c r="G17" i="21"/>
  <c r="G16" i="15"/>
  <c r="G42" i="21"/>
  <c r="G16" i="14"/>
  <c r="G66" i="21"/>
  <c r="G18" i="21"/>
  <c r="G17" i="15"/>
  <c r="G43" i="21"/>
  <c r="G17" i="14"/>
  <c r="G67" i="21"/>
  <c r="G19" i="21"/>
  <c r="G18" i="15"/>
  <c r="G44" i="21"/>
  <c r="G18" i="14"/>
  <c r="G68" i="21"/>
  <c r="G20" i="21"/>
  <c r="G19" i="15"/>
  <c r="G45" i="21"/>
  <c r="G19" i="14"/>
  <c r="G69" i="21"/>
  <c r="G21" i="21"/>
  <c r="G20" i="15"/>
  <c r="G46" i="21"/>
  <c r="G20" i="14"/>
  <c r="G70" i="21"/>
  <c r="G22" i="21"/>
  <c r="G21" i="15"/>
  <c r="G47" i="21"/>
  <c r="G21" i="14"/>
  <c r="G71" i="21"/>
  <c r="G23" i="21"/>
  <c r="G22" i="15"/>
  <c r="G48" i="21"/>
  <c r="G22" i="14"/>
  <c r="G72" i="21"/>
  <c r="G24" i="21"/>
  <c r="G23" i="15"/>
  <c r="G49" i="21"/>
  <c r="G23" i="14"/>
  <c r="G73" i="21"/>
  <c r="G25" i="21"/>
  <c r="G26" i="21"/>
  <c r="Q7" i="12"/>
  <c r="G29" i="16"/>
  <c r="G53" i="16"/>
  <c r="G5" i="16"/>
  <c r="G30" i="16"/>
  <c r="G54" i="16"/>
  <c r="G6" i="16"/>
  <c r="G31" i="16"/>
  <c r="G55" i="16"/>
  <c r="G7" i="16"/>
  <c r="G32" i="16"/>
  <c r="G56" i="16"/>
  <c r="G8" i="16"/>
  <c r="G33" i="16"/>
  <c r="G57" i="16"/>
  <c r="G9" i="16"/>
  <c r="G34" i="16"/>
  <c r="G58" i="16"/>
  <c r="G10" i="16"/>
  <c r="G36" i="16"/>
  <c r="G60" i="16"/>
  <c r="G12" i="16"/>
  <c r="G37" i="16"/>
  <c r="G61" i="16"/>
  <c r="G13" i="16"/>
  <c r="G38" i="16"/>
  <c r="G62" i="16"/>
  <c r="G14" i="16"/>
  <c r="G39" i="16"/>
  <c r="G63" i="16"/>
  <c r="G15" i="16"/>
  <c r="G40" i="16"/>
  <c r="G64" i="16"/>
  <c r="G16" i="16"/>
  <c r="G41" i="16"/>
  <c r="G65" i="16"/>
  <c r="G17" i="16"/>
  <c r="G42" i="16"/>
  <c r="G66" i="16"/>
  <c r="G18" i="16"/>
  <c r="G43" i="16"/>
  <c r="G67" i="16"/>
  <c r="G19" i="16"/>
  <c r="G44" i="16"/>
  <c r="G68" i="16"/>
  <c r="G20" i="16"/>
  <c r="G45" i="16"/>
  <c r="G69" i="16"/>
  <c r="G21" i="16"/>
  <c r="G46" i="16"/>
  <c r="G70" i="16"/>
  <c r="G22" i="16"/>
  <c r="G47" i="16"/>
  <c r="G71" i="16"/>
  <c r="G23" i="16"/>
  <c r="G48" i="16"/>
  <c r="G72" i="16"/>
  <c r="G24" i="16"/>
  <c r="G49" i="16"/>
  <c r="G73" i="16"/>
  <c r="G25" i="16"/>
  <c r="G26" i="16"/>
  <c r="R7" i="12"/>
  <c r="S7" i="12"/>
  <c r="W7" i="12"/>
  <c r="G67" i="9"/>
  <c r="I67" i="9"/>
  <c r="D6" i="12"/>
  <c r="G87" i="9"/>
  <c r="I87" i="9"/>
  <c r="E6" i="12"/>
  <c r="G7" i="9"/>
  <c r="I7" i="9"/>
  <c r="I27" i="9"/>
  <c r="I47" i="9"/>
  <c r="C6" i="12"/>
  <c r="F6" i="12"/>
  <c r="H6" i="12"/>
  <c r="I6" i="12"/>
  <c r="G6" i="12"/>
  <c r="J6" i="12"/>
  <c r="O6" i="12"/>
  <c r="U6" i="12"/>
  <c r="V6" i="12"/>
  <c r="F3" i="15"/>
  <c r="F29" i="21"/>
  <c r="F3" i="14"/>
  <c r="F53" i="21"/>
  <c r="F5" i="21"/>
  <c r="F4" i="15"/>
  <c r="F30" i="21"/>
  <c r="F4" i="14"/>
  <c r="F54" i="21"/>
  <c r="F6" i="21"/>
  <c r="F5" i="15"/>
  <c r="F31" i="21"/>
  <c r="F5" i="14"/>
  <c r="F55" i="21"/>
  <c r="F7" i="21"/>
  <c r="F6" i="15"/>
  <c r="F32" i="21"/>
  <c r="F6" i="14"/>
  <c r="F56" i="21"/>
  <c r="F8" i="21"/>
  <c r="F7" i="15"/>
  <c r="F33" i="21"/>
  <c r="F7" i="14"/>
  <c r="F57" i="21"/>
  <c r="F9" i="21"/>
  <c r="F8" i="15"/>
  <c r="F34" i="21"/>
  <c r="F8" i="14"/>
  <c r="F58" i="21"/>
  <c r="F10" i="21"/>
  <c r="F10" i="15"/>
  <c r="F36" i="21"/>
  <c r="F10" i="14"/>
  <c r="F60" i="21"/>
  <c r="F12" i="21"/>
  <c r="F11" i="15"/>
  <c r="F37" i="21"/>
  <c r="F11" i="14"/>
  <c r="F61" i="21"/>
  <c r="F13" i="21"/>
  <c r="F12" i="15"/>
  <c r="F38" i="21"/>
  <c r="F12" i="14"/>
  <c r="F62" i="21"/>
  <c r="F14" i="21"/>
  <c r="F13" i="15"/>
  <c r="F39" i="21"/>
  <c r="F13" i="14"/>
  <c r="F63" i="21"/>
  <c r="F15" i="21"/>
  <c r="F14" i="15"/>
  <c r="F40" i="21"/>
  <c r="F14" i="14"/>
  <c r="F64" i="21"/>
  <c r="F16" i="21"/>
  <c r="F15" i="15"/>
  <c r="F41" i="21"/>
  <c r="F15" i="14"/>
  <c r="F65" i="21"/>
  <c r="F17" i="21"/>
  <c r="F16" i="15"/>
  <c r="F42" i="21"/>
  <c r="F16" i="14"/>
  <c r="F66" i="21"/>
  <c r="F18" i="21"/>
  <c r="F17" i="15"/>
  <c r="F43" i="21"/>
  <c r="F17" i="14"/>
  <c r="F67" i="21"/>
  <c r="F19" i="21"/>
  <c r="F18" i="15"/>
  <c r="F44" i="21"/>
  <c r="F18" i="14"/>
  <c r="F68" i="21"/>
  <c r="F20" i="21"/>
  <c r="F19" i="15"/>
  <c r="F45" i="21"/>
  <c r="F19" i="14"/>
  <c r="F69" i="21"/>
  <c r="F21" i="21"/>
  <c r="F20" i="15"/>
  <c r="F46" i="21"/>
  <c r="F20" i="14"/>
  <c r="F70" i="21"/>
  <c r="F22" i="21"/>
  <c r="F21" i="15"/>
  <c r="F47" i="21"/>
  <c r="F21" i="14"/>
  <c r="F71" i="21"/>
  <c r="F23" i="21"/>
  <c r="F22" i="15"/>
  <c r="F48" i="21"/>
  <c r="F22" i="14"/>
  <c r="F72" i="21"/>
  <c r="F24" i="21"/>
  <c r="F23" i="15"/>
  <c r="F49" i="21"/>
  <c r="F23" i="14"/>
  <c r="F73" i="21"/>
  <c r="F25" i="21"/>
  <c r="F26" i="21"/>
  <c r="Q6" i="12"/>
  <c r="F29" i="16"/>
  <c r="F53" i="16"/>
  <c r="F5" i="16"/>
  <c r="F30" i="16"/>
  <c r="F54" i="16"/>
  <c r="F6" i="16"/>
  <c r="F31" i="16"/>
  <c r="F55" i="16"/>
  <c r="F7" i="16"/>
  <c r="F32" i="16"/>
  <c r="F56" i="16"/>
  <c r="F8" i="16"/>
  <c r="F33" i="16"/>
  <c r="F57" i="16"/>
  <c r="F9" i="16"/>
  <c r="F34" i="16"/>
  <c r="F58" i="16"/>
  <c r="F10" i="16"/>
  <c r="F36" i="16"/>
  <c r="F60" i="16"/>
  <c r="F12" i="16"/>
  <c r="F37" i="16"/>
  <c r="F61" i="16"/>
  <c r="F13" i="16"/>
  <c r="F38" i="16"/>
  <c r="F62" i="16"/>
  <c r="F14" i="16"/>
  <c r="F39" i="16"/>
  <c r="F63" i="16"/>
  <c r="F15" i="16"/>
  <c r="F40" i="16"/>
  <c r="F64" i="16"/>
  <c r="F16" i="16"/>
  <c r="F41" i="16"/>
  <c r="F65" i="16"/>
  <c r="F17" i="16"/>
  <c r="F42" i="16"/>
  <c r="F66" i="16"/>
  <c r="F18" i="16"/>
  <c r="F43" i="16"/>
  <c r="F67" i="16"/>
  <c r="F19" i="16"/>
  <c r="F44" i="16"/>
  <c r="F68" i="16"/>
  <c r="F20" i="16"/>
  <c r="F45" i="16"/>
  <c r="F69" i="16"/>
  <c r="F21" i="16"/>
  <c r="F46" i="16"/>
  <c r="F70" i="16"/>
  <c r="F22" i="16"/>
  <c r="F47" i="16"/>
  <c r="F71" i="16"/>
  <c r="F23" i="16"/>
  <c r="F48" i="16"/>
  <c r="F72" i="16"/>
  <c r="F24" i="16"/>
  <c r="F49" i="16"/>
  <c r="F73" i="16"/>
  <c r="F25" i="16"/>
  <c r="F26" i="16"/>
  <c r="R6" i="12"/>
  <c r="S6" i="12"/>
  <c r="W6" i="12"/>
  <c r="G66" i="9"/>
  <c r="I66" i="9"/>
  <c r="D5" i="12"/>
  <c r="G86" i="9"/>
  <c r="I86" i="9"/>
  <c r="E5" i="12"/>
  <c r="G6" i="9"/>
  <c r="I6" i="9"/>
  <c r="I26" i="9"/>
  <c r="I46" i="9"/>
  <c r="C5" i="12"/>
  <c r="F5" i="12"/>
  <c r="H5" i="12"/>
  <c r="I5" i="12"/>
  <c r="G5" i="12"/>
  <c r="J5" i="12"/>
  <c r="O5" i="12"/>
  <c r="U5" i="12"/>
  <c r="V5" i="12"/>
  <c r="E3" i="15"/>
  <c r="E29" i="21"/>
  <c r="E3" i="14"/>
  <c r="E53" i="21"/>
  <c r="E5" i="21"/>
  <c r="E4" i="15"/>
  <c r="E30" i="21"/>
  <c r="E4" i="14"/>
  <c r="E54" i="21"/>
  <c r="E6" i="21"/>
  <c r="E5" i="15"/>
  <c r="E31" i="21"/>
  <c r="E5" i="14"/>
  <c r="E55" i="21"/>
  <c r="E7" i="21"/>
  <c r="E6" i="15"/>
  <c r="E32" i="21"/>
  <c r="E6" i="14"/>
  <c r="E56" i="21"/>
  <c r="E8" i="21"/>
  <c r="E7" i="15"/>
  <c r="E33" i="21"/>
  <c r="E7" i="14"/>
  <c r="E57" i="21"/>
  <c r="E9" i="21"/>
  <c r="E8" i="15"/>
  <c r="E34" i="21"/>
  <c r="E8" i="14"/>
  <c r="E58" i="21"/>
  <c r="E10" i="21"/>
  <c r="E10" i="15"/>
  <c r="E36" i="21"/>
  <c r="E10" i="14"/>
  <c r="E60" i="21"/>
  <c r="E12" i="21"/>
  <c r="E11" i="15"/>
  <c r="E37" i="21"/>
  <c r="E11" i="14"/>
  <c r="E61" i="21"/>
  <c r="E13" i="21"/>
  <c r="E12" i="15"/>
  <c r="E38" i="21"/>
  <c r="E12" i="14"/>
  <c r="E62" i="21"/>
  <c r="E14" i="21"/>
  <c r="E13" i="15"/>
  <c r="E39" i="21"/>
  <c r="E13" i="14"/>
  <c r="E63" i="21"/>
  <c r="E15" i="21"/>
  <c r="E14" i="15"/>
  <c r="E40" i="21"/>
  <c r="E14" i="14"/>
  <c r="E64" i="21"/>
  <c r="E16" i="21"/>
  <c r="E15" i="15"/>
  <c r="E41" i="21"/>
  <c r="E15" i="14"/>
  <c r="E65" i="21"/>
  <c r="E17" i="21"/>
  <c r="E16" i="15"/>
  <c r="E42" i="21"/>
  <c r="E16" i="14"/>
  <c r="E66" i="21"/>
  <c r="E18" i="21"/>
  <c r="E17" i="15"/>
  <c r="E43" i="21"/>
  <c r="E17" i="14"/>
  <c r="E67" i="21"/>
  <c r="E19" i="21"/>
  <c r="E18" i="15"/>
  <c r="E44" i="21"/>
  <c r="E18" i="14"/>
  <c r="E68" i="21"/>
  <c r="E20" i="21"/>
  <c r="E19" i="15"/>
  <c r="E45" i="21"/>
  <c r="E19" i="14"/>
  <c r="E69" i="21"/>
  <c r="E21" i="21"/>
  <c r="E20" i="15"/>
  <c r="E46" i="21"/>
  <c r="E20" i="14"/>
  <c r="E70" i="21"/>
  <c r="E22" i="21"/>
  <c r="E21" i="15"/>
  <c r="E47" i="21"/>
  <c r="E21" i="14"/>
  <c r="E71" i="21"/>
  <c r="E23" i="21"/>
  <c r="E22" i="15"/>
  <c r="E48" i="21"/>
  <c r="E22" i="14"/>
  <c r="E72" i="21"/>
  <c r="E24" i="21"/>
  <c r="E23" i="15"/>
  <c r="E49" i="21"/>
  <c r="E23" i="14"/>
  <c r="E73" i="21"/>
  <c r="E25" i="21"/>
  <c r="E26" i="21"/>
  <c r="Q5" i="12"/>
  <c r="E29" i="16"/>
  <c r="E53" i="16"/>
  <c r="E5" i="16"/>
  <c r="E30" i="16"/>
  <c r="E54" i="16"/>
  <c r="E6" i="16"/>
  <c r="E31" i="16"/>
  <c r="E55" i="16"/>
  <c r="E7" i="16"/>
  <c r="E32" i="16"/>
  <c r="E56" i="16"/>
  <c r="E8" i="16"/>
  <c r="E33" i="16"/>
  <c r="E57" i="16"/>
  <c r="E9" i="16"/>
  <c r="E34" i="16"/>
  <c r="E58" i="16"/>
  <c r="E10" i="16"/>
  <c r="E36" i="16"/>
  <c r="E60" i="16"/>
  <c r="E12" i="16"/>
  <c r="E37" i="16"/>
  <c r="E61" i="16"/>
  <c r="E13" i="16"/>
  <c r="E38" i="16"/>
  <c r="E62" i="16"/>
  <c r="E14" i="16"/>
  <c r="E39" i="16"/>
  <c r="E63" i="16"/>
  <c r="E15" i="16"/>
  <c r="E40" i="16"/>
  <c r="E64" i="16"/>
  <c r="E16" i="16"/>
  <c r="E41" i="16"/>
  <c r="E65" i="16"/>
  <c r="E17" i="16"/>
  <c r="E42" i="16"/>
  <c r="E66" i="16"/>
  <c r="E18" i="16"/>
  <c r="E43" i="16"/>
  <c r="E67" i="16"/>
  <c r="E19" i="16"/>
  <c r="E44" i="16"/>
  <c r="E68" i="16"/>
  <c r="E20" i="16"/>
  <c r="E45" i="16"/>
  <c r="E69" i="16"/>
  <c r="E21" i="16"/>
  <c r="E46" i="16"/>
  <c r="E70" i="16"/>
  <c r="E22" i="16"/>
  <c r="E47" i="16"/>
  <c r="E71" i="16"/>
  <c r="E23" i="16"/>
  <c r="E48" i="16"/>
  <c r="E72" i="16"/>
  <c r="E24" i="16"/>
  <c r="E49" i="16"/>
  <c r="E73" i="16"/>
  <c r="E25" i="16"/>
  <c r="E26" i="16"/>
  <c r="R5" i="12"/>
  <c r="S5" i="12"/>
  <c r="W5" i="12"/>
  <c r="G64" i="9"/>
  <c r="I64" i="9"/>
  <c r="D4" i="12"/>
  <c r="G84" i="9"/>
  <c r="I84" i="9"/>
  <c r="E4" i="12"/>
  <c r="G4" i="9"/>
  <c r="I4" i="9"/>
  <c r="I24" i="9"/>
  <c r="I44" i="9"/>
  <c r="C4" i="12"/>
  <c r="F4" i="12"/>
  <c r="H4" i="12"/>
  <c r="I4" i="12"/>
  <c r="G4" i="12"/>
  <c r="J4" i="12"/>
  <c r="O4" i="12"/>
  <c r="U4" i="12"/>
  <c r="V4" i="12"/>
  <c r="D3" i="15"/>
  <c r="D29" i="21"/>
  <c r="D3" i="14"/>
  <c r="D53" i="21"/>
  <c r="D5" i="21"/>
  <c r="D4" i="15"/>
  <c r="D30" i="21"/>
  <c r="D4" i="14"/>
  <c r="D54" i="21"/>
  <c r="D6" i="21"/>
  <c r="D5" i="15"/>
  <c r="D31" i="21"/>
  <c r="D5" i="14"/>
  <c r="D55" i="21"/>
  <c r="D7" i="21"/>
  <c r="D6" i="15"/>
  <c r="D32" i="21"/>
  <c r="D6" i="14"/>
  <c r="D56" i="21"/>
  <c r="D8" i="21"/>
  <c r="D7" i="15"/>
  <c r="D33" i="21"/>
  <c r="D7" i="14"/>
  <c r="D57" i="21"/>
  <c r="D9" i="21"/>
  <c r="D8" i="15"/>
  <c r="D34" i="21"/>
  <c r="D8" i="14"/>
  <c r="D58" i="21"/>
  <c r="D10" i="21"/>
  <c r="D10" i="15"/>
  <c r="D36" i="21"/>
  <c r="D10" i="14"/>
  <c r="D60" i="21"/>
  <c r="D12" i="21"/>
  <c r="D11" i="15"/>
  <c r="D37" i="21"/>
  <c r="D11" i="14"/>
  <c r="D61" i="21"/>
  <c r="D13" i="21"/>
  <c r="D12" i="15"/>
  <c r="D38" i="21"/>
  <c r="D12" i="14"/>
  <c r="D62" i="21"/>
  <c r="D14" i="21"/>
  <c r="D13" i="15"/>
  <c r="D39" i="21"/>
  <c r="D13" i="14"/>
  <c r="D63" i="21"/>
  <c r="D15" i="21"/>
  <c r="D14" i="15"/>
  <c r="D40" i="21"/>
  <c r="D14" i="14"/>
  <c r="D64" i="21"/>
  <c r="D16" i="21"/>
  <c r="D15" i="15"/>
  <c r="D41" i="21"/>
  <c r="D15" i="14"/>
  <c r="D65" i="21"/>
  <c r="D17" i="21"/>
  <c r="D16" i="15"/>
  <c r="D42" i="21"/>
  <c r="D16" i="14"/>
  <c r="D66" i="21"/>
  <c r="D18" i="21"/>
  <c r="D17" i="15"/>
  <c r="D43" i="21"/>
  <c r="D17" i="14"/>
  <c r="D67" i="21"/>
  <c r="D19" i="21"/>
  <c r="D18" i="15"/>
  <c r="D44" i="21"/>
  <c r="D18" i="14"/>
  <c r="D68" i="21"/>
  <c r="D20" i="21"/>
  <c r="D19" i="15"/>
  <c r="D45" i="21"/>
  <c r="D19" i="14"/>
  <c r="D69" i="21"/>
  <c r="D21" i="21"/>
  <c r="D20" i="15"/>
  <c r="D46" i="21"/>
  <c r="D20" i="14"/>
  <c r="D70" i="21"/>
  <c r="D22" i="21"/>
  <c r="D21" i="15"/>
  <c r="D47" i="21"/>
  <c r="D21" i="14"/>
  <c r="D71" i="21"/>
  <c r="D23" i="21"/>
  <c r="D22" i="15"/>
  <c r="D48" i="21"/>
  <c r="D22" i="14"/>
  <c r="D72" i="21"/>
  <c r="D24" i="21"/>
  <c r="D23" i="15"/>
  <c r="D49" i="21"/>
  <c r="D23" i="14"/>
  <c r="D73" i="21"/>
  <c r="D25" i="21"/>
  <c r="D26" i="21"/>
  <c r="Q4" i="12"/>
  <c r="D29" i="16"/>
  <c r="D53" i="16"/>
  <c r="D5" i="16"/>
  <c r="D30" i="16"/>
  <c r="D54" i="16"/>
  <c r="D6" i="16"/>
  <c r="D31" i="16"/>
  <c r="D55" i="16"/>
  <c r="D7" i="16"/>
  <c r="D32" i="16"/>
  <c r="D56" i="16"/>
  <c r="D8" i="16"/>
  <c r="D33" i="16"/>
  <c r="D57" i="16"/>
  <c r="D9" i="16"/>
  <c r="D34" i="16"/>
  <c r="D58" i="16"/>
  <c r="D10" i="16"/>
  <c r="D36" i="16"/>
  <c r="D60" i="16"/>
  <c r="D12" i="16"/>
  <c r="D37" i="16"/>
  <c r="D61" i="16"/>
  <c r="D13" i="16"/>
  <c r="D38" i="16"/>
  <c r="D62" i="16"/>
  <c r="D14" i="16"/>
  <c r="D39" i="16"/>
  <c r="D63" i="16"/>
  <c r="D15" i="16"/>
  <c r="D40" i="16"/>
  <c r="D64" i="16"/>
  <c r="D16" i="16"/>
  <c r="D41" i="16"/>
  <c r="D65" i="16"/>
  <c r="D17" i="16"/>
  <c r="D42" i="16"/>
  <c r="D66" i="16"/>
  <c r="D18" i="16"/>
  <c r="D43" i="16"/>
  <c r="D67" i="16"/>
  <c r="D19" i="16"/>
  <c r="D44" i="16"/>
  <c r="D68" i="16"/>
  <c r="D20" i="16"/>
  <c r="D45" i="16"/>
  <c r="D69" i="16"/>
  <c r="D21" i="16"/>
  <c r="D46" i="16"/>
  <c r="D70" i="16"/>
  <c r="D22" i="16"/>
  <c r="D47" i="16"/>
  <c r="D71" i="16"/>
  <c r="D23" i="16"/>
  <c r="D48" i="16"/>
  <c r="D72" i="16"/>
  <c r="D24" i="16"/>
  <c r="D49" i="16"/>
  <c r="D73" i="16"/>
  <c r="D25" i="16"/>
  <c r="D26" i="16"/>
  <c r="R4" i="12"/>
  <c r="S4" i="12"/>
  <c r="W4" i="12"/>
  <c r="G63" i="9"/>
  <c r="I63" i="9"/>
  <c r="D3" i="12"/>
  <c r="G83" i="9"/>
  <c r="I83" i="9"/>
  <c r="E3" i="12"/>
  <c r="I3" i="9"/>
  <c r="I23" i="9"/>
  <c r="I43" i="9"/>
  <c r="C3" i="12"/>
  <c r="F3" i="12"/>
  <c r="H3" i="12"/>
  <c r="I3" i="12"/>
  <c r="G3" i="12"/>
  <c r="J3" i="12"/>
  <c r="O3" i="12"/>
  <c r="U3" i="12"/>
  <c r="V3" i="12"/>
  <c r="C3" i="15"/>
  <c r="C29" i="21"/>
  <c r="C3" i="14"/>
  <c r="C53" i="21"/>
  <c r="C5" i="21"/>
  <c r="C4" i="15"/>
  <c r="C30" i="21"/>
  <c r="C4" i="14"/>
  <c r="C54" i="21"/>
  <c r="C6" i="21"/>
  <c r="C5" i="15"/>
  <c r="C31" i="21"/>
  <c r="C5" i="14"/>
  <c r="C55" i="21"/>
  <c r="C7" i="21"/>
  <c r="C6" i="15"/>
  <c r="C32" i="21"/>
  <c r="C6" i="14"/>
  <c r="C56" i="21"/>
  <c r="C8" i="21"/>
  <c r="C7" i="15"/>
  <c r="C33" i="21"/>
  <c r="C7" i="14"/>
  <c r="C57" i="21"/>
  <c r="C9" i="21"/>
  <c r="C8" i="15"/>
  <c r="C34" i="21"/>
  <c r="C8" i="14"/>
  <c r="C58" i="21"/>
  <c r="C10" i="21"/>
  <c r="C10" i="15"/>
  <c r="C36" i="21"/>
  <c r="C10" i="14"/>
  <c r="C60" i="21"/>
  <c r="C12" i="21"/>
  <c r="C11" i="15"/>
  <c r="C37" i="21"/>
  <c r="C11" i="14"/>
  <c r="C61" i="21"/>
  <c r="C13" i="21"/>
  <c r="C12" i="15"/>
  <c r="C38" i="21"/>
  <c r="C12" i="14"/>
  <c r="C62" i="21"/>
  <c r="C14" i="21"/>
  <c r="C13" i="15"/>
  <c r="C39" i="21"/>
  <c r="C13" i="14"/>
  <c r="C63" i="21"/>
  <c r="C15" i="21"/>
  <c r="C14" i="15"/>
  <c r="C40" i="21"/>
  <c r="C14" i="14"/>
  <c r="C64" i="21"/>
  <c r="C16" i="21"/>
  <c r="C15" i="15"/>
  <c r="C41" i="21"/>
  <c r="C15" i="14"/>
  <c r="C65" i="21"/>
  <c r="C17" i="21"/>
  <c r="C16" i="15"/>
  <c r="C42" i="21"/>
  <c r="C16" i="14"/>
  <c r="C66" i="21"/>
  <c r="C18" i="21"/>
  <c r="C17" i="15"/>
  <c r="C43" i="21"/>
  <c r="C17" i="14"/>
  <c r="C67" i="21"/>
  <c r="C19" i="21"/>
  <c r="C18" i="15"/>
  <c r="C44" i="21"/>
  <c r="C18" i="14"/>
  <c r="C68" i="21"/>
  <c r="C20" i="21"/>
  <c r="C19" i="15"/>
  <c r="C45" i="21"/>
  <c r="C19" i="14"/>
  <c r="C69" i="21"/>
  <c r="C21" i="21"/>
  <c r="C20" i="15"/>
  <c r="C46" i="21"/>
  <c r="C20" i="14"/>
  <c r="C70" i="21"/>
  <c r="C22" i="21"/>
  <c r="C21" i="15"/>
  <c r="C47" i="21"/>
  <c r="C21" i="14"/>
  <c r="C71" i="21"/>
  <c r="C23" i="21"/>
  <c r="C22" i="15"/>
  <c r="C48" i="21"/>
  <c r="C22" i="14"/>
  <c r="C72" i="21"/>
  <c r="C24" i="21"/>
  <c r="C23" i="15"/>
  <c r="C49" i="21"/>
  <c r="C23" i="14"/>
  <c r="C73" i="21"/>
  <c r="C25" i="21"/>
  <c r="C26" i="21"/>
  <c r="Q3" i="12"/>
  <c r="C29" i="16"/>
  <c r="C53" i="16"/>
  <c r="C5" i="16"/>
  <c r="C30" i="16"/>
  <c r="C54" i="16"/>
  <c r="C6" i="16"/>
  <c r="C31" i="16"/>
  <c r="C55" i="16"/>
  <c r="C7" i="16"/>
  <c r="C32" i="16"/>
  <c r="C56" i="16"/>
  <c r="C8" i="16"/>
  <c r="C33" i="16"/>
  <c r="C57" i="16"/>
  <c r="C9" i="16"/>
  <c r="C34" i="16"/>
  <c r="C58" i="16"/>
  <c r="C10" i="16"/>
  <c r="C36" i="16"/>
  <c r="C60" i="16"/>
  <c r="C12" i="16"/>
  <c r="C37" i="16"/>
  <c r="C61" i="16"/>
  <c r="C13" i="16"/>
  <c r="C38" i="16"/>
  <c r="C62" i="16"/>
  <c r="C14" i="16"/>
  <c r="C39" i="16"/>
  <c r="C63" i="16"/>
  <c r="C15" i="16"/>
  <c r="C40" i="16"/>
  <c r="C64" i="16"/>
  <c r="C16" i="16"/>
  <c r="C41" i="16"/>
  <c r="C65" i="16"/>
  <c r="C17" i="16"/>
  <c r="C42" i="16"/>
  <c r="C66" i="16"/>
  <c r="C18" i="16"/>
  <c r="C43" i="16"/>
  <c r="C67" i="16"/>
  <c r="C19" i="16"/>
  <c r="C44" i="16"/>
  <c r="C68" i="16"/>
  <c r="C20" i="16"/>
  <c r="C45" i="16"/>
  <c r="C69" i="16"/>
  <c r="C21" i="16"/>
  <c r="C46" i="16"/>
  <c r="C70" i="16"/>
  <c r="C22" i="16"/>
  <c r="C47" i="16"/>
  <c r="C71" i="16"/>
  <c r="C23" i="16"/>
  <c r="C48" i="16"/>
  <c r="C72" i="16"/>
  <c r="C24" i="16"/>
  <c r="C49" i="16"/>
  <c r="C73" i="16"/>
  <c r="C25" i="16"/>
  <c r="C26" i="16"/>
  <c r="R3" i="12"/>
  <c r="S3" i="12"/>
  <c r="W3" i="12"/>
  <c r="I114" i="18"/>
  <c r="I113" i="18"/>
  <c r="H113" i="7"/>
  <c r="Y113" i="2"/>
  <c r="AA113" i="2"/>
  <c r="AC113" i="2"/>
  <c r="O112" i="18"/>
  <c r="AB113" i="2"/>
  <c r="N112" i="18"/>
  <c r="M112" i="18"/>
  <c r="K112" i="18"/>
  <c r="J112" i="18"/>
  <c r="I112" i="18"/>
  <c r="I111" i="18"/>
  <c r="I110" i="18"/>
  <c r="I109" i="18"/>
  <c r="I108" i="18"/>
  <c r="I107" i="18"/>
  <c r="H107" i="7"/>
  <c r="H107" i="2"/>
  <c r="Y107" i="2"/>
  <c r="AA107" i="2"/>
  <c r="AC107" i="2"/>
  <c r="O106" i="18"/>
  <c r="AB107" i="2"/>
  <c r="N106" i="18"/>
  <c r="M106" i="18"/>
  <c r="K106" i="18"/>
  <c r="J106" i="18"/>
  <c r="I106" i="18"/>
  <c r="I105" i="18"/>
  <c r="I104" i="18"/>
  <c r="I103" i="18"/>
  <c r="I102" i="18"/>
  <c r="I101" i="18"/>
  <c r="I100" i="18"/>
  <c r="I98" i="18"/>
  <c r="H97" i="7"/>
  <c r="H97" i="2"/>
  <c r="Y97" i="2"/>
  <c r="AA97" i="2"/>
  <c r="AC97" i="2"/>
  <c r="O96" i="18"/>
  <c r="AB97" i="2"/>
  <c r="N96" i="18"/>
  <c r="M96" i="18"/>
  <c r="K96" i="18"/>
  <c r="J96" i="18"/>
  <c r="I96" i="18"/>
  <c r="I95" i="18"/>
  <c r="I94" i="18"/>
  <c r="I93" i="18"/>
  <c r="I92" i="18"/>
  <c r="I91" i="18"/>
  <c r="H91" i="7"/>
  <c r="H91" i="2"/>
  <c r="Y91" i="2"/>
  <c r="AA91" i="2"/>
  <c r="H90" i="2"/>
  <c r="Y90" i="2"/>
  <c r="AA90" i="2"/>
  <c r="AC91" i="2"/>
  <c r="O90" i="18"/>
  <c r="AB90" i="2"/>
  <c r="AB91" i="2"/>
  <c r="N90" i="18"/>
  <c r="M90" i="18"/>
  <c r="K90" i="18"/>
  <c r="J90" i="18"/>
  <c r="I90" i="18"/>
  <c r="H90" i="7"/>
  <c r="O89" i="18"/>
  <c r="N89" i="18"/>
  <c r="M89" i="18"/>
  <c r="K89" i="18"/>
  <c r="J89" i="18"/>
  <c r="I89" i="18"/>
  <c r="I88" i="18"/>
  <c r="I87" i="18"/>
  <c r="I86" i="18"/>
  <c r="I85" i="18"/>
  <c r="I84" i="18"/>
  <c r="I83" i="18"/>
  <c r="I82" i="18"/>
  <c r="I80" i="18"/>
  <c r="I78" i="18"/>
  <c r="I77" i="18"/>
  <c r="I76" i="18"/>
  <c r="I75" i="18"/>
  <c r="I74" i="18"/>
  <c r="I73" i="18"/>
  <c r="I72" i="18"/>
  <c r="I71" i="18"/>
  <c r="I70" i="18"/>
  <c r="I69" i="18"/>
  <c r="I68" i="18"/>
  <c r="I67" i="18"/>
  <c r="I66" i="18"/>
  <c r="I65" i="18"/>
  <c r="I64" i="18"/>
  <c r="I63" i="18"/>
  <c r="I62" i="18"/>
  <c r="I61" i="18"/>
  <c r="I60" i="18"/>
  <c r="H60" i="7"/>
  <c r="O59" i="18"/>
  <c r="N59" i="18"/>
  <c r="M59" i="18"/>
  <c r="K59" i="18"/>
  <c r="J59" i="18"/>
  <c r="I58" i="18"/>
  <c r="I57" i="18"/>
  <c r="I56" i="18"/>
  <c r="I55" i="18"/>
  <c r="I54" i="18"/>
  <c r="I53" i="18"/>
  <c r="I52" i="18"/>
  <c r="I51" i="18"/>
  <c r="I50" i="18"/>
  <c r="I49" i="18"/>
  <c r="I48" i="18"/>
  <c r="I47" i="18"/>
  <c r="I46" i="18"/>
  <c r="I45" i="18"/>
  <c r="I42" i="18"/>
  <c r="I41" i="18"/>
  <c r="I40" i="18"/>
  <c r="I39" i="18"/>
  <c r="I38" i="18"/>
  <c r="I37" i="18"/>
  <c r="I36" i="18"/>
  <c r="I35" i="18"/>
  <c r="I34" i="18"/>
  <c r="I33" i="18"/>
  <c r="I32" i="18"/>
  <c r="I31" i="18"/>
  <c r="I30" i="18"/>
  <c r="I29" i="18"/>
  <c r="I28" i="18"/>
  <c r="I27" i="18"/>
  <c r="I26" i="18"/>
  <c r="I25" i="18"/>
  <c r="I24" i="18"/>
  <c r="I23" i="18"/>
  <c r="I22" i="18"/>
  <c r="I21" i="18"/>
  <c r="I20" i="18"/>
  <c r="I19" i="18"/>
  <c r="I18" i="18"/>
  <c r="I17" i="18"/>
  <c r="I16" i="18"/>
  <c r="I15" i="18"/>
  <c r="I14" i="18"/>
  <c r="I13" i="18"/>
  <c r="I12" i="18"/>
  <c r="I11" i="18"/>
  <c r="I10" i="18"/>
  <c r="I9" i="18"/>
  <c r="I8" i="18"/>
  <c r="I7" i="18"/>
  <c r="I6" i="18"/>
  <c r="I4" i="18"/>
  <c r="R114" i="18"/>
  <c r="R113" i="18"/>
  <c r="L112" i="18"/>
  <c r="P112" i="18"/>
  <c r="Q112" i="18"/>
  <c r="R112" i="18"/>
  <c r="R111" i="18"/>
  <c r="R110" i="18"/>
  <c r="R109" i="18"/>
  <c r="R108" i="18"/>
  <c r="R107" i="18"/>
  <c r="L106" i="18"/>
  <c r="P106" i="18"/>
  <c r="Q106" i="18"/>
  <c r="R106" i="18"/>
  <c r="R105" i="18"/>
  <c r="R104" i="18"/>
  <c r="R103" i="18"/>
  <c r="R102" i="18"/>
  <c r="R101" i="18"/>
  <c r="R100" i="18"/>
  <c r="R99" i="18"/>
  <c r="R98" i="18"/>
  <c r="R97" i="18"/>
  <c r="L96" i="18"/>
  <c r="P96" i="18"/>
  <c r="Q96" i="18"/>
  <c r="R96" i="18"/>
  <c r="R95" i="18"/>
  <c r="R94" i="18"/>
  <c r="R93" i="18"/>
  <c r="R92" i="18"/>
  <c r="R91" i="18"/>
  <c r="L90" i="18"/>
  <c r="P90" i="18"/>
  <c r="Q90" i="18"/>
  <c r="R90" i="18"/>
  <c r="L89" i="18"/>
  <c r="P89" i="18"/>
  <c r="Q89" i="18"/>
  <c r="R89" i="18"/>
  <c r="R88" i="18"/>
  <c r="R87" i="18"/>
  <c r="R86" i="18"/>
  <c r="R85" i="18"/>
  <c r="R84" i="18"/>
  <c r="R83" i="18"/>
  <c r="R82" i="18"/>
  <c r="R81" i="18"/>
  <c r="R80" i="18"/>
  <c r="R79" i="18"/>
  <c r="R78" i="18"/>
  <c r="R77" i="18"/>
  <c r="R76" i="18"/>
  <c r="R75" i="18"/>
  <c r="R74" i="18"/>
  <c r="R73" i="18"/>
  <c r="R72" i="18"/>
  <c r="R71" i="18"/>
  <c r="R70" i="18"/>
  <c r="R69" i="18"/>
  <c r="R68" i="18"/>
  <c r="R67" i="18"/>
  <c r="R66" i="18"/>
  <c r="R65" i="18"/>
  <c r="R64" i="18"/>
  <c r="R63" i="18"/>
  <c r="R62" i="18"/>
  <c r="R61" i="18"/>
  <c r="R60" i="18"/>
  <c r="L59" i="18"/>
  <c r="P59" i="18"/>
  <c r="Q59" i="18"/>
  <c r="R59" i="18"/>
  <c r="R58" i="18"/>
  <c r="R57" i="18"/>
  <c r="R56" i="18"/>
  <c r="R55" i="18"/>
  <c r="R54" i="18"/>
  <c r="R53" i="18"/>
  <c r="R52" i="18"/>
  <c r="R51" i="18"/>
  <c r="R50" i="18"/>
  <c r="R49" i="18"/>
  <c r="R48" i="18"/>
  <c r="R47" i="18"/>
  <c r="R46" i="18"/>
  <c r="R45" i="18"/>
  <c r="R42" i="18"/>
  <c r="R41" i="18"/>
  <c r="R40" i="18"/>
  <c r="R39" i="18"/>
  <c r="R38" i="18"/>
  <c r="R37" i="18"/>
  <c r="R36" i="18"/>
  <c r="R35" i="18"/>
  <c r="R34" i="18"/>
  <c r="R33" i="18"/>
  <c r="R32" i="18"/>
  <c r="R31" i="18"/>
  <c r="R30" i="18"/>
  <c r="R29" i="18"/>
  <c r="R28" i="18"/>
  <c r="R27" i="18"/>
  <c r="R26" i="18"/>
  <c r="R25" i="18"/>
  <c r="R24" i="18"/>
  <c r="R23" i="18"/>
  <c r="R22" i="18"/>
  <c r="R21" i="18"/>
  <c r="R20" i="18"/>
  <c r="R19" i="18"/>
  <c r="R18" i="18"/>
  <c r="R17" i="18"/>
  <c r="R16" i="18"/>
  <c r="R15" i="18"/>
  <c r="R14" i="18"/>
  <c r="R13" i="18"/>
  <c r="R12" i="18"/>
  <c r="R11" i="18"/>
  <c r="R10" i="18"/>
  <c r="R9" i="18"/>
  <c r="R8" i="18"/>
  <c r="R7" i="18"/>
  <c r="R6" i="18"/>
  <c r="R5" i="18"/>
  <c r="R4" i="18"/>
  <c r="G4" i="20"/>
  <c r="W126" i="18"/>
  <c r="C74" i="21"/>
  <c r="D74" i="21"/>
  <c r="E74" i="21"/>
  <c r="F74" i="21"/>
  <c r="G74" i="21"/>
  <c r="H74" i="21"/>
  <c r="I74" i="21"/>
  <c r="J74" i="21"/>
  <c r="K74" i="21"/>
  <c r="L74" i="21"/>
  <c r="M74" i="21"/>
  <c r="N74" i="21"/>
  <c r="O74" i="21"/>
  <c r="P74" i="21"/>
  <c r="Q74" i="21"/>
  <c r="R74" i="21"/>
  <c r="S74" i="21"/>
  <c r="T74" i="21"/>
  <c r="T73" i="21"/>
  <c r="T72" i="21"/>
  <c r="T71" i="21"/>
  <c r="T70" i="21"/>
  <c r="T69" i="21"/>
  <c r="T68" i="21"/>
  <c r="T67" i="21"/>
  <c r="T66" i="21"/>
  <c r="T65" i="21"/>
  <c r="T64" i="21"/>
  <c r="T63" i="21"/>
  <c r="T62" i="21"/>
  <c r="T61" i="21"/>
  <c r="T60" i="21"/>
  <c r="T58" i="21"/>
  <c r="T57" i="21"/>
  <c r="T56" i="21"/>
  <c r="T55" i="21"/>
  <c r="T54" i="21"/>
  <c r="T53" i="21"/>
  <c r="C50" i="21"/>
  <c r="D50" i="21"/>
  <c r="E50" i="21"/>
  <c r="F50" i="21"/>
  <c r="G50" i="21"/>
  <c r="H50" i="21"/>
  <c r="I50" i="21"/>
  <c r="J50" i="21"/>
  <c r="K50" i="21"/>
  <c r="L50" i="21"/>
  <c r="M50" i="21"/>
  <c r="N50" i="21"/>
  <c r="O50" i="21"/>
  <c r="P50" i="21"/>
  <c r="Q50" i="21"/>
  <c r="R50" i="21"/>
  <c r="S50" i="21"/>
  <c r="T50" i="21"/>
  <c r="T49" i="21"/>
  <c r="T48" i="21"/>
  <c r="T47" i="21"/>
  <c r="T46" i="21"/>
  <c r="T45" i="21"/>
  <c r="T44" i="21"/>
  <c r="T43" i="21"/>
  <c r="T42" i="21"/>
  <c r="T41" i="21"/>
  <c r="T40" i="21"/>
  <c r="T39" i="21"/>
  <c r="T38" i="21"/>
  <c r="T37" i="21"/>
  <c r="T36" i="21"/>
  <c r="T35" i="21"/>
  <c r="T34" i="21"/>
  <c r="T33" i="21"/>
  <c r="T32" i="21"/>
  <c r="T31" i="21"/>
  <c r="T30" i="21"/>
  <c r="T29" i="21"/>
  <c r="T26" i="21"/>
  <c r="T25" i="21"/>
  <c r="T24" i="21"/>
  <c r="T23" i="21"/>
  <c r="T22" i="21"/>
  <c r="T21" i="21"/>
  <c r="T20" i="21"/>
  <c r="T19" i="21"/>
  <c r="T18" i="21"/>
  <c r="T17" i="21"/>
  <c r="T16" i="21"/>
  <c r="T15" i="21"/>
  <c r="T14" i="21"/>
  <c r="T13" i="21"/>
  <c r="T12" i="21"/>
  <c r="T10" i="21"/>
  <c r="T9" i="21"/>
  <c r="T8" i="21"/>
  <c r="T7" i="21"/>
  <c r="T6" i="21"/>
  <c r="T5" i="21"/>
  <c r="R44" i="18"/>
  <c r="R43" i="18"/>
  <c r="I43" i="5"/>
  <c r="J43" i="5"/>
  <c r="K43" i="5"/>
  <c r="L43" i="5"/>
  <c r="N43" i="5"/>
  <c r="O43" i="5"/>
  <c r="P43" i="5"/>
  <c r="Q43" i="5"/>
  <c r="T43" i="5"/>
  <c r="I44" i="5"/>
  <c r="J44" i="5"/>
  <c r="K44" i="5"/>
  <c r="L44" i="5"/>
  <c r="N44" i="5"/>
  <c r="O44" i="5"/>
  <c r="P44" i="5"/>
  <c r="Q44" i="5"/>
  <c r="T44" i="5"/>
  <c r="V126" i="18"/>
  <c r="V126" i="17"/>
  <c r="C27" i="20"/>
  <c r="C26" i="20"/>
  <c r="C24" i="20"/>
  <c r="C23" i="20"/>
  <c r="C22" i="20"/>
  <c r="C21" i="20"/>
  <c r="C20" i="20"/>
  <c r="C19" i="20"/>
  <c r="C18" i="20"/>
  <c r="C17" i="20"/>
  <c r="C16" i="20"/>
  <c r="C15" i="20"/>
  <c r="C14" i="20"/>
  <c r="C13" i="20"/>
  <c r="C12" i="20"/>
  <c r="C11" i="20"/>
  <c r="D10" i="20"/>
  <c r="C10" i="20"/>
  <c r="C9" i="20"/>
  <c r="C8" i="20"/>
  <c r="C7" i="20"/>
  <c r="C6" i="20"/>
  <c r="C5" i="20"/>
  <c r="C4" i="20"/>
  <c r="C27" i="19"/>
  <c r="C26" i="19"/>
  <c r="C24" i="19"/>
  <c r="C23" i="19"/>
  <c r="C22" i="19"/>
  <c r="C21" i="19"/>
  <c r="C20" i="19"/>
  <c r="C19" i="19"/>
  <c r="C18" i="19"/>
  <c r="C17" i="19"/>
  <c r="C16" i="19"/>
  <c r="C15" i="19"/>
  <c r="C14" i="19"/>
  <c r="C13" i="19"/>
  <c r="C12" i="19"/>
  <c r="C11" i="19"/>
  <c r="D10" i="19"/>
  <c r="C10" i="19"/>
  <c r="C9" i="19"/>
  <c r="C8" i="19"/>
  <c r="C7" i="19"/>
  <c r="C6" i="19"/>
  <c r="C5" i="19"/>
  <c r="C4" i="19"/>
  <c r="E10" i="20"/>
  <c r="E25" i="20"/>
  <c r="E30" i="20"/>
  <c r="E28" i="20"/>
  <c r="D25" i="20"/>
  <c r="D28" i="20"/>
  <c r="C25" i="20"/>
  <c r="C28" i="20"/>
  <c r="F10" i="20"/>
  <c r="F25" i="20"/>
  <c r="H25" i="20"/>
  <c r="E10" i="19"/>
  <c r="E25" i="19"/>
  <c r="E30" i="19"/>
  <c r="E28" i="19"/>
  <c r="D25" i="19"/>
  <c r="D28" i="19"/>
  <c r="C25" i="19"/>
  <c r="C28" i="19"/>
  <c r="F10" i="19"/>
  <c r="F25" i="19"/>
  <c r="G25" i="19"/>
  <c r="J98" i="5"/>
  <c r="S99" i="2"/>
  <c r="K98" i="5"/>
  <c r="L98" i="5"/>
  <c r="M98" i="5"/>
  <c r="N98" i="5"/>
  <c r="N99" i="2"/>
  <c r="T99" i="2"/>
  <c r="O98" i="5"/>
  <c r="P98" i="5"/>
  <c r="Q98" i="5"/>
  <c r="T98" i="5"/>
  <c r="J100" i="5"/>
  <c r="S101" i="2"/>
  <c r="K100" i="5"/>
  <c r="L100" i="5"/>
  <c r="M100" i="5"/>
  <c r="N100" i="5"/>
  <c r="N101" i="2"/>
  <c r="T101" i="2"/>
  <c r="O100" i="5"/>
  <c r="P100" i="5"/>
  <c r="Q100" i="5"/>
  <c r="T100" i="5"/>
  <c r="J101" i="5"/>
  <c r="N102" i="2"/>
  <c r="S102" i="2"/>
  <c r="K101" i="5"/>
  <c r="L101" i="5"/>
  <c r="M101" i="5"/>
  <c r="N101" i="5"/>
  <c r="O101" i="5"/>
  <c r="P101" i="5"/>
  <c r="Q101" i="5"/>
  <c r="T101" i="5"/>
  <c r="J102" i="5"/>
  <c r="S103" i="2"/>
  <c r="K102" i="5"/>
  <c r="L102" i="5"/>
  <c r="M102" i="5"/>
  <c r="N102" i="5"/>
  <c r="N103" i="2"/>
  <c r="T103" i="2"/>
  <c r="O102" i="5"/>
  <c r="P102" i="5"/>
  <c r="Q102" i="5"/>
  <c r="T102" i="5"/>
  <c r="J80" i="5"/>
  <c r="S81" i="2"/>
  <c r="K80" i="5"/>
  <c r="L80" i="5"/>
  <c r="M80" i="5"/>
  <c r="N80" i="5"/>
  <c r="N81" i="2"/>
  <c r="T81" i="2"/>
  <c r="O80" i="5"/>
  <c r="P80" i="5"/>
  <c r="Q80" i="5"/>
  <c r="T80" i="5"/>
  <c r="J82" i="5"/>
  <c r="S83" i="2"/>
  <c r="K82" i="5"/>
  <c r="L82" i="5"/>
  <c r="M82" i="5"/>
  <c r="N82" i="5"/>
  <c r="N83" i="2"/>
  <c r="T83" i="2"/>
  <c r="O82" i="5"/>
  <c r="P82" i="5"/>
  <c r="Q82" i="5"/>
  <c r="T82" i="5"/>
  <c r="J83" i="5"/>
  <c r="N84" i="2"/>
  <c r="S84" i="2"/>
  <c r="K83" i="5"/>
  <c r="L83" i="5"/>
  <c r="M83" i="5"/>
  <c r="N83" i="5"/>
  <c r="O83" i="5"/>
  <c r="P83" i="5"/>
  <c r="Q83" i="5"/>
  <c r="T83" i="5"/>
  <c r="J84" i="5"/>
  <c r="S85" i="2"/>
  <c r="K84" i="5"/>
  <c r="L84" i="5"/>
  <c r="M84" i="5"/>
  <c r="N84" i="5"/>
  <c r="N85" i="2"/>
  <c r="T85" i="2"/>
  <c r="O84" i="5"/>
  <c r="P84" i="5"/>
  <c r="Q84" i="5"/>
  <c r="T84" i="5"/>
  <c r="J85" i="5"/>
  <c r="N86" i="2"/>
  <c r="S86" i="2"/>
  <c r="K85" i="5"/>
  <c r="L85" i="5"/>
  <c r="M85" i="5"/>
  <c r="N85" i="5"/>
  <c r="O85" i="5"/>
  <c r="P85" i="5"/>
  <c r="Q85" i="5"/>
  <c r="T85" i="5"/>
  <c r="J86" i="5"/>
  <c r="S87" i="2"/>
  <c r="K86" i="5"/>
  <c r="L86" i="5"/>
  <c r="M86" i="5"/>
  <c r="N86" i="5"/>
  <c r="N87" i="2"/>
  <c r="T87" i="2"/>
  <c r="O86" i="5"/>
  <c r="P86" i="5"/>
  <c r="Q86" i="5"/>
  <c r="T86" i="5"/>
  <c r="J87" i="5"/>
  <c r="N88" i="2"/>
  <c r="S88" i="2"/>
  <c r="K87" i="5"/>
  <c r="L87" i="5"/>
  <c r="M87" i="5"/>
  <c r="N87" i="5"/>
  <c r="O87" i="5"/>
  <c r="P87" i="5"/>
  <c r="Q87" i="5"/>
  <c r="T87" i="5"/>
  <c r="J88" i="5"/>
  <c r="S89" i="2"/>
  <c r="K88" i="5"/>
  <c r="L88" i="5"/>
  <c r="M88" i="5"/>
  <c r="N88" i="5"/>
  <c r="N89" i="2"/>
  <c r="T89" i="2"/>
  <c r="O88" i="5"/>
  <c r="P88" i="5"/>
  <c r="Q88" i="5"/>
  <c r="T88" i="5"/>
  <c r="J91" i="5"/>
  <c r="N92" i="2"/>
  <c r="S92" i="2"/>
  <c r="K91" i="5"/>
  <c r="L91" i="5"/>
  <c r="M91" i="5"/>
  <c r="N91" i="5"/>
  <c r="O91" i="5"/>
  <c r="P91" i="5"/>
  <c r="Q91" i="5"/>
  <c r="T91" i="5"/>
  <c r="J92" i="5"/>
  <c r="S93" i="2"/>
  <c r="K92" i="5"/>
  <c r="L92" i="5"/>
  <c r="M92" i="5"/>
  <c r="N92" i="5"/>
  <c r="N93" i="2"/>
  <c r="T93" i="2"/>
  <c r="O92" i="5"/>
  <c r="P92" i="5"/>
  <c r="Q92" i="5"/>
  <c r="T92" i="5"/>
  <c r="J93" i="5"/>
  <c r="N94" i="2"/>
  <c r="S94" i="2"/>
  <c r="K93" i="5"/>
  <c r="L93" i="5"/>
  <c r="M93" i="5"/>
  <c r="N93" i="5"/>
  <c r="O93" i="5"/>
  <c r="P93" i="5"/>
  <c r="Q93" i="5"/>
  <c r="T93" i="5"/>
  <c r="J94" i="5"/>
  <c r="S95" i="2"/>
  <c r="K94" i="5"/>
  <c r="L94" i="5"/>
  <c r="M94" i="5"/>
  <c r="N94" i="5"/>
  <c r="N95" i="2"/>
  <c r="T95" i="2"/>
  <c r="O94" i="5"/>
  <c r="P94" i="5"/>
  <c r="Q94" i="5"/>
  <c r="T94" i="5"/>
  <c r="J95" i="5"/>
  <c r="N96" i="2"/>
  <c r="S96" i="2"/>
  <c r="K95" i="5"/>
  <c r="L95" i="5"/>
  <c r="M95" i="5"/>
  <c r="N95" i="5"/>
  <c r="O95" i="5"/>
  <c r="P95" i="5"/>
  <c r="Q95" i="5"/>
  <c r="T95" i="5"/>
  <c r="J103" i="5"/>
  <c r="N104" i="2"/>
  <c r="S104" i="2"/>
  <c r="K103" i="5"/>
  <c r="L103" i="5"/>
  <c r="M103" i="5"/>
  <c r="N103" i="5"/>
  <c r="O103" i="5"/>
  <c r="P103" i="5"/>
  <c r="Q103" i="5"/>
  <c r="T103" i="5"/>
  <c r="J104" i="5"/>
  <c r="S105" i="2"/>
  <c r="K104" i="5"/>
  <c r="L104" i="5"/>
  <c r="M104" i="5"/>
  <c r="N104" i="5"/>
  <c r="N105" i="2"/>
  <c r="T105" i="2"/>
  <c r="O104" i="5"/>
  <c r="P104" i="5"/>
  <c r="Q104" i="5"/>
  <c r="T104" i="5"/>
  <c r="J105" i="5"/>
  <c r="N106" i="2"/>
  <c r="S106" i="2"/>
  <c r="K105" i="5"/>
  <c r="L105" i="5"/>
  <c r="M105" i="5"/>
  <c r="N105" i="5"/>
  <c r="O105" i="5"/>
  <c r="P105" i="5"/>
  <c r="Q105" i="5"/>
  <c r="T105" i="5"/>
  <c r="J107" i="5"/>
  <c r="N108" i="2"/>
  <c r="S108" i="2"/>
  <c r="K107" i="5"/>
  <c r="L107" i="5"/>
  <c r="M107" i="5"/>
  <c r="N107" i="5"/>
  <c r="O107" i="5"/>
  <c r="P107" i="5"/>
  <c r="Q107" i="5"/>
  <c r="T107" i="5"/>
  <c r="J108" i="5"/>
  <c r="S109" i="2"/>
  <c r="K108" i="5"/>
  <c r="L108" i="5"/>
  <c r="M108" i="5"/>
  <c r="N108" i="5"/>
  <c r="N109" i="2"/>
  <c r="T109" i="2"/>
  <c r="O108" i="5"/>
  <c r="P108" i="5"/>
  <c r="Q108" i="5"/>
  <c r="T108" i="5"/>
  <c r="J109" i="5"/>
  <c r="N110" i="2"/>
  <c r="S110" i="2"/>
  <c r="K109" i="5"/>
  <c r="L109" i="5"/>
  <c r="M109" i="5"/>
  <c r="N109" i="5"/>
  <c r="O109" i="5"/>
  <c r="P109" i="5"/>
  <c r="Q109" i="5"/>
  <c r="T109" i="5"/>
  <c r="J110" i="5"/>
  <c r="S111" i="2"/>
  <c r="K110" i="5"/>
  <c r="L110" i="5"/>
  <c r="M110" i="5"/>
  <c r="N110" i="5"/>
  <c r="N111" i="2"/>
  <c r="T111" i="2"/>
  <c r="O110" i="5"/>
  <c r="P110" i="5"/>
  <c r="Q110" i="5"/>
  <c r="T110" i="5"/>
  <c r="J111" i="5"/>
  <c r="N112" i="2"/>
  <c r="S112" i="2"/>
  <c r="K111" i="5"/>
  <c r="L111" i="5"/>
  <c r="M111" i="5"/>
  <c r="N111" i="5"/>
  <c r="O111" i="5"/>
  <c r="P111" i="5"/>
  <c r="Q111" i="5"/>
  <c r="T111" i="5"/>
  <c r="J113" i="5"/>
  <c r="N114" i="2"/>
  <c r="S114" i="2"/>
  <c r="K113" i="5"/>
  <c r="L113" i="5"/>
  <c r="M113" i="5"/>
  <c r="N113" i="5"/>
  <c r="O113" i="5"/>
  <c r="P113" i="5"/>
  <c r="Q113" i="5"/>
  <c r="T113" i="5"/>
  <c r="J114" i="5"/>
  <c r="S115" i="2"/>
  <c r="K114" i="5"/>
  <c r="L114" i="5"/>
  <c r="M114" i="5"/>
  <c r="N114" i="5"/>
  <c r="N115" i="2"/>
  <c r="T115" i="2"/>
  <c r="O114" i="5"/>
  <c r="P114" i="5"/>
  <c r="Q114" i="5"/>
  <c r="T114" i="5"/>
  <c r="D27" i="8"/>
  <c r="D26" i="8"/>
  <c r="J71" i="5"/>
  <c r="N72" i="2"/>
  <c r="S72" i="2"/>
  <c r="K71" i="5"/>
  <c r="L71" i="5"/>
  <c r="M71" i="5"/>
  <c r="N71" i="5"/>
  <c r="O71" i="5"/>
  <c r="P71" i="5"/>
  <c r="Q71" i="5"/>
  <c r="T71" i="5"/>
  <c r="J72" i="5"/>
  <c r="S73" i="2"/>
  <c r="K72" i="5"/>
  <c r="L72" i="5"/>
  <c r="M72" i="5"/>
  <c r="N72" i="5"/>
  <c r="N73" i="2"/>
  <c r="T73" i="2"/>
  <c r="O72" i="5"/>
  <c r="P72" i="5"/>
  <c r="Q72" i="5"/>
  <c r="T72" i="5"/>
  <c r="J73" i="5"/>
  <c r="N74" i="2"/>
  <c r="S74" i="2"/>
  <c r="K73" i="5"/>
  <c r="L73" i="5"/>
  <c r="M73" i="5"/>
  <c r="N73" i="5"/>
  <c r="O73" i="5"/>
  <c r="P73" i="5"/>
  <c r="Q73" i="5"/>
  <c r="T73" i="5"/>
  <c r="J74" i="5"/>
  <c r="S75" i="2"/>
  <c r="K74" i="5"/>
  <c r="L74" i="5"/>
  <c r="M74" i="5"/>
  <c r="N74" i="5"/>
  <c r="N75" i="2"/>
  <c r="T75" i="2"/>
  <c r="O74" i="5"/>
  <c r="P74" i="5"/>
  <c r="Q74" i="5"/>
  <c r="T74" i="5"/>
  <c r="J4" i="5"/>
  <c r="S5" i="2"/>
  <c r="K4" i="5"/>
  <c r="L4" i="5"/>
  <c r="M4" i="5"/>
  <c r="N4" i="5"/>
  <c r="N5" i="2"/>
  <c r="T5" i="2"/>
  <c r="O4" i="5"/>
  <c r="P4" i="5"/>
  <c r="Q4" i="5"/>
  <c r="T4" i="5"/>
  <c r="J6" i="5"/>
  <c r="S7" i="2"/>
  <c r="K6" i="5"/>
  <c r="L6" i="5"/>
  <c r="M6" i="5"/>
  <c r="N6" i="5"/>
  <c r="N7" i="2"/>
  <c r="T7" i="2"/>
  <c r="O6" i="5"/>
  <c r="P6" i="5"/>
  <c r="Q6" i="5"/>
  <c r="T6" i="5"/>
  <c r="J7" i="5"/>
  <c r="N8" i="2"/>
  <c r="S8" i="2"/>
  <c r="K7" i="5"/>
  <c r="L7" i="5"/>
  <c r="M7" i="5"/>
  <c r="N7" i="5"/>
  <c r="O7" i="5"/>
  <c r="P7" i="5"/>
  <c r="Q7" i="5"/>
  <c r="T7" i="5"/>
  <c r="J8" i="5"/>
  <c r="S9" i="2"/>
  <c r="K8" i="5"/>
  <c r="L8" i="5"/>
  <c r="M8" i="5"/>
  <c r="N8" i="5"/>
  <c r="N9" i="2"/>
  <c r="T9" i="2"/>
  <c r="O8" i="5"/>
  <c r="P8" i="5"/>
  <c r="Q8" i="5"/>
  <c r="T8" i="5"/>
  <c r="J9" i="5"/>
  <c r="N10" i="2"/>
  <c r="S10" i="2"/>
  <c r="K9" i="5"/>
  <c r="L9" i="5"/>
  <c r="M9" i="5"/>
  <c r="N9" i="5"/>
  <c r="O9" i="5"/>
  <c r="P9" i="5"/>
  <c r="Q9" i="5"/>
  <c r="T9" i="5"/>
  <c r="J10" i="5"/>
  <c r="S11" i="2"/>
  <c r="K10" i="5"/>
  <c r="L10" i="5"/>
  <c r="M10" i="5"/>
  <c r="N10" i="5"/>
  <c r="N11" i="2"/>
  <c r="T11" i="2"/>
  <c r="O10" i="5"/>
  <c r="P10" i="5"/>
  <c r="Q10" i="5"/>
  <c r="T10" i="5"/>
  <c r="J11" i="5"/>
  <c r="N12" i="2"/>
  <c r="S12" i="2"/>
  <c r="K11" i="5"/>
  <c r="L11" i="5"/>
  <c r="M11" i="5"/>
  <c r="N11" i="5"/>
  <c r="O11" i="5"/>
  <c r="P11" i="5"/>
  <c r="Q11" i="5"/>
  <c r="T11" i="5"/>
  <c r="J12" i="5"/>
  <c r="S13" i="2"/>
  <c r="K12" i="5"/>
  <c r="L12" i="5"/>
  <c r="M12" i="5"/>
  <c r="N12" i="5"/>
  <c r="N13" i="2"/>
  <c r="T13" i="2"/>
  <c r="O12" i="5"/>
  <c r="P12" i="5"/>
  <c r="Q12" i="5"/>
  <c r="T12" i="5"/>
  <c r="J13" i="5"/>
  <c r="N14" i="2"/>
  <c r="S14" i="2"/>
  <c r="K13" i="5"/>
  <c r="L13" i="5"/>
  <c r="M13" i="5"/>
  <c r="N13" i="5"/>
  <c r="O13" i="5"/>
  <c r="P13" i="5"/>
  <c r="Q13" i="5"/>
  <c r="T13" i="5"/>
  <c r="J14" i="5"/>
  <c r="S15" i="2"/>
  <c r="K14" i="5"/>
  <c r="L14" i="5"/>
  <c r="M14" i="5"/>
  <c r="N14" i="5"/>
  <c r="N15" i="2"/>
  <c r="T15" i="2"/>
  <c r="O14" i="5"/>
  <c r="P14" i="5"/>
  <c r="Q14" i="5"/>
  <c r="T14" i="5"/>
  <c r="J15" i="5"/>
  <c r="N16" i="2"/>
  <c r="S16" i="2"/>
  <c r="K15" i="5"/>
  <c r="L15" i="5"/>
  <c r="M15" i="5"/>
  <c r="N15" i="5"/>
  <c r="O15" i="5"/>
  <c r="P15" i="5"/>
  <c r="Q15" i="5"/>
  <c r="T15" i="5"/>
  <c r="J16" i="5"/>
  <c r="S17" i="2"/>
  <c r="K16" i="5"/>
  <c r="L16" i="5"/>
  <c r="M16" i="5"/>
  <c r="N16" i="5"/>
  <c r="N17" i="2"/>
  <c r="T17" i="2"/>
  <c r="O16" i="5"/>
  <c r="P16" i="5"/>
  <c r="Q16" i="5"/>
  <c r="T16" i="5"/>
  <c r="J17" i="5"/>
  <c r="N18" i="2"/>
  <c r="S18" i="2"/>
  <c r="K17" i="5"/>
  <c r="L17" i="5"/>
  <c r="M17" i="5"/>
  <c r="N17" i="5"/>
  <c r="O17" i="5"/>
  <c r="P17" i="5"/>
  <c r="Q17" i="5"/>
  <c r="T17" i="5"/>
  <c r="J18" i="5"/>
  <c r="S19" i="2"/>
  <c r="K18" i="5"/>
  <c r="L18" i="5"/>
  <c r="M18" i="5"/>
  <c r="N18" i="5"/>
  <c r="N19" i="2"/>
  <c r="T19" i="2"/>
  <c r="O18" i="5"/>
  <c r="P18" i="5"/>
  <c r="Q18" i="5"/>
  <c r="T18" i="5"/>
  <c r="J19" i="5"/>
  <c r="N20" i="2"/>
  <c r="S20" i="2"/>
  <c r="K19" i="5"/>
  <c r="L19" i="5"/>
  <c r="M19" i="5"/>
  <c r="N19" i="5"/>
  <c r="O19" i="5"/>
  <c r="P19" i="5"/>
  <c r="Q19" i="5"/>
  <c r="T19" i="5"/>
  <c r="J20" i="5"/>
  <c r="S21" i="2"/>
  <c r="K20" i="5"/>
  <c r="L20" i="5"/>
  <c r="M20" i="5"/>
  <c r="N20" i="5"/>
  <c r="N21" i="2"/>
  <c r="T21" i="2"/>
  <c r="O20" i="5"/>
  <c r="P20" i="5"/>
  <c r="Q20" i="5"/>
  <c r="T20" i="5"/>
  <c r="J21" i="5"/>
  <c r="N22" i="2"/>
  <c r="S22" i="2"/>
  <c r="K21" i="5"/>
  <c r="L21" i="5"/>
  <c r="M21" i="5"/>
  <c r="N21" i="5"/>
  <c r="O21" i="5"/>
  <c r="P21" i="5"/>
  <c r="Q21" i="5"/>
  <c r="T21" i="5"/>
  <c r="J22" i="5"/>
  <c r="S23" i="2"/>
  <c r="K22" i="5"/>
  <c r="L22" i="5"/>
  <c r="M22" i="5"/>
  <c r="N22" i="5"/>
  <c r="N23" i="2"/>
  <c r="T23" i="2"/>
  <c r="O22" i="5"/>
  <c r="P22" i="5"/>
  <c r="Q22" i="5"/>
  <c r="T22" i="5"/>
  <c r="J23" i="5"/>
  <c r="N24" i="2"/>
  <c r="S24" i="2"/>
  <c r="K23" i="5"/>
  <c r="L23" i="5"/>
  <c r="M23" i="5"/>
  <c r="N23" i="5"/>
  <c r="O23" i="5"/>
  <c r="P23" i="5"/>
  <c r="Q23" i="5"/>
  <c r="T23" i="5"/>
  <c r="J24" i="5"/>
  <c r="S25" i="2"/>
  <c r="K24" i="5"/>
  <c r="L24" i="5"/>
  <c r="M24" i="5"/>
  <c r="N24" i="5"/>
  <c r="N25" i="2"/>
  <c r="T25" i="2"/>
  <c r="O24" i="5"/>
  <c r="P24" i="5"/>
  <c r="Q24" i="5"/>
  <c r="T24" i="5"/>
  <c r="J25" i="5"/>
  <c r="N26" i="2"/>
  <c r="S26" i="2"/>
  <c r="K25" i="5"/>
  <c r="L25" i="5"/>
  <c r="M25" i="5"/>
  <c r="N25" i="5"/>
  <c r="O25" i="5"/>
  <c r="P25" i="5"/>
  <c r="Q25" i="5"/>
  <c r="T25" i="5"/>
  <c r="J26" i="5"/>
  <c r="S27" i="2"/>
  <c r="K26" i="5"/>
  <c r="L26" i="5"/>
  <c r="M26" i="5"/>
  <c r="N26" i="5"/>
  <c r="N27" i="2"/>
  <c r="T27" i="2"/>
  <c r="O26" i="5"/>
  <c r="P26" i="5"/>
  <c r="Q26" i="5"/>
  <c r="T26" i="5"/>
  <c r="J27" i="5"/>
  <c r="N28" i="2"/>
  <c r="S28" i="2"/>
  <c r="K27" i="5"/>
  <c r="L27" i="5"/>
  <c r="M27" i="5"/>
  <c r="N27" i="5"/>
  <c r="O27" i="5"/>
  <c r="P27" i="5"/>
  <c r="Q27" i="5"/>
  <c r="T27" i="5"/>
  <c r="J28" i="5"/>
  <c r="S29" i="2"/>
  <c r="K28" i="5"/>
  <c r="L28" i="5"/>
  <c r="M28" i="5"/>
  <c r="N28" i="5"/>
  <c r="N29" i="2"/>
  <c r="T29" i="2"/>
  <c r="O28" i="5"/>
  <c r="P28" i="5"/>
  <c r="Q28" i="5"/>
  <c r="T28" i="5"/>
  <c r="J29" i="5"/>
  <c r="N30" i="2"/>
  <c r="S30" i="2"/>
  <c r="K29" i="5"/>
  <c r="L29" i="5"/>
  <c r="M29" i="5"/>
  <c r="N29" i="5"/>
  <c r="O29" i="5"/>
  <c r="P29" i="5"/>
  <c r="Q29" i="5"/>
  <c r="T29" i="5"/>
  <c r="J30" i="5"/>
  <c r="S31" i="2"/>
  <c r="K30" i="5"/>
  <c r="L30" i="5"/>
  <c r="M30" i="5"/>
  <c r="N30" i="5"/>
  <c r="N31" i="2"/>
  <c r="T31" i="2"/>
  <c r="O30" i="5"/>
  <c r="P30" i="5"/>
  <c r="Q30" i="5"/>
  <c r="T30" i="5"/>
  <c r="J31" i="5"/>
  <c r="N32" i="2"/>
  <c r="S32" i="2"/>
  <c r="K31" i="5"/>
  <c r="L31" i="5"/>
  <c r="M31" i="5"/>
  <c r="N31" i="5"/>
  <c r="O31" i="5"/>
  <c r="P31" i="5"/>
  <c r="Q31" i="5"/>
  <c r="T31" i="5"/>
  <c r="J32" i="5"/>
  <c r="S33" i="2"/>
  <c r="K32" i="5"/>
  <c r="L32" i="5"/>
  <c r="M32" i="5"/>
  <c r="N32" i="5"/>
  <c r="N33" i="2"/>
  <c r="T33" i="2"/>
  <c r="O32" i="5"/>
  <c r="P32" i="5"/>
  <c r="Q32" i="5"/>
  <c r="T32" i="5"/>
  <c r="J33" i="5"/>
  <c r="N34" i="2"/>
  <c r="S34" i="2"/>
  <c r="K33" i="5"/>
  <c r="L33" i="5"/>
  <c r="M33" i="5"/>
  <c r="N33" i="5"/>
  <c r="O33" i="5"/>
  <c r="P33" i="5"/>
  <c r="Q33" i="5"/>
  <c r="T33" i="5"/>
  <c r="J34" i="5"/>
  <c r="S35" i="2"/>
  <c r="K34" i="5"/>
  <c r="L34" i="5"/>
  <c r="M34" i="5"/>
  <c r="N34" i="5"/>
  <c r="N35" i="2"/>
  <c r="T35" i="2"/>
  <c r="O34" i="5"/>
  <c r="P34" i="5"/>
  <c r="Q34" i="5"/>
  <c r="T34" i="5"/>
  <c r="J35" i="5"/>
  <c r="N36" i="2"/>
  <c r="S36" i="2"/>
  <c r="K35" i="5"/>
  <c r="L35" i="5"/>
  <c r="M35" i="5"/>
  <c r="N35" i="5"/>
  <c r="O35" i="5"/>
  <c r="P35" i="5"/>
  <c r="Q35" i="5"/>
  <c r="T35" i="5"/>
  <c r="J36" i="5"/>
  <c r="S37" i="2"/>
  <c r="K36" i="5"/>
  <c r="L36" i="5"/>
  <c r="M36" i="5"/>
  <c r="N36" i="5"/>
  <c r="N37" i="2"/>
  <c r="T37" i="2"/>
  <c r="O36" i="5"/>
  <c r="P36" i="5"/>
  <c r="Q36" i="5"/>
  <c r="T36" i="5"/>
  <c r="J37" i="5"/>
  <c r="N38" i="2"/>
  <c r="S38" i="2"/>
  <c r="K37" i="5"/>
  <c r="L37" i="5"/>
  <c r="M37" i="5"/>
  <c r="N37" i="5"/>
  <c r="O37" i="5"/>
  <c r="P37" i="5"/>
  <c r="Q37" i="5"/>
  <c r="T37" i="5"/>
  <c r="J38" i="5"/>
  <c r="S39" i="2"/>
  <c r="K38" i="5"/>
  <c r="L38" i="5"/>
  <c r="M38" i="5"/>
  <c r="N38" i="5"/>
  <c r="N39" i="2"/>
  <c r="T39" i="2"/>
  <c r="O38" i="5"/>
  <c r="P38" i="5"/>
  <c r="Q38" i="5"/>
  <c r="T38" i="5"/>
  <c r="J39" i="5"/>
  <c r="N40" i="2"/>
  <c r="S40" i="2"/>
  <c r="K39" i="5"/>
  <c r="L39" i="5"/>
  <c r="M39" i="5"/>
  <c r="N39" i="5"/>
  <c r="O39" i="5"/>
  <c r="P39" i="5"/>
  <c r="Q39" i="5"/>
  <c r="T39" i="5"/>
  <c r="J40" i="5"/>
  <c r="S41" i="2"/>
  <c r="K40" i="5"/>
  <c r="L40" i="5"/>
  <c r="M40" i="5"/>
  <c r="N40" i="5"/>
  <c r="N41" i="2"/>
  <c r="T41" i="2"/>
  <c r="O40" i="5"/>
  <c r="P40" i="5"/>
  <c r="Q40" i="5"/>
  <c r="T40" i="5"/>
  <c r="J41" i="5"/>
  <c r="N42" i="2"/>
  <c r="S42" i="2"/>
  <c r="K41" i="5"/>
  <c r="L41" i="5"/>
  <c r="M41" i="5"/>
  <c r="N41" i="5"/>
  <c r="O41" i="5"/>
  <c r="P41" i="5"/>
  <c r="Q41" i="5"/>
  <c r="T41" i="5"/>
  <c r="J42" i="5"/>
  <c r="S43" i="2"/>
  <c r="K42" i="5"/>
  <c r="L42" i="5"/>
  <c r="M42" i="5"/>
  <c r="N42" i="5"/>
  <c r="N43" i="2"/>
  <c r="T43" i="2"/>
  <c r="O42" i="5"/>
  <c r="P42" i="5"/>
  <c r="Q42" i="5"/>
  <c r="T42" i="5"/>
  <c r="J45" i="5"/>
  <c r="N46" i="2"/>
  <c r="S46" i="2"/>
  <c r="K45" i="5"/>
  <c r="L45" i="5"/>
  <c r="M45" i="5"/>
  <c r="N45" i="5"/>
  <c r="O45" i="5"/>
  <c r="P45" i="5"/>
  <c r="Q45" i="5"/>
  <c r="T45" i="5"/>
  <c r="J46" i="5"/>
  <c r="S47" i="2"/>
  <c r="K46" i="5"/>
  <c r="L46" i="5"/>
  <c r="M46" i="5"/>
  <c r="N46" i="5"/>
  <c r="N47" i="2"/>
  <c r="T47" i="2"/>
  <c r="O46" i="5"/>
  <c r="P46" i="5"/>
  <c r="Q46" i="5"/>
  <c r="T46" i="5"/>
  <c r="J47" i="5"/>
  <c r="N48" i="2"/>
  <c r="S48" i="2"/>
  <c r="K47" i="5"/>
  <c r="L47" i="5"/>
  <c r="M47" i="5"/>
  <c r="N47" i="5"/>
  <c r="O47" i="5"/>
  <c r="P47" i="5"/>
  <c r="Q47" i="5"/>
  <c r="T47" i="5"/>
  <c r="J48" i="5"/>
  <c r="S49" i="2"/>
  <c r="K48" i="5"/>
  <c r="L48" i="5"/>
  <c r="M48" i="5"/>
  <c r="N48" i="5"/>
  <c r="N49" i="2"/>
  <c r="T49" i="2"/>
  <c r="O48" i="5"/>
  <c r="P48" i="5"/>
  <c r="Q48" i="5"/>
  <c r="T48" i="5"/>
  <c r="J49" i="5"/>
  <c r="N50" i="2"/>
  <c r="S50" i="2"/>
  <c r="K49" i="5"/>
  <c r="L49" i="5"/>
  <c r="M49" i="5"/>
  <c r="N49" i="5"/>
  <c r="O49" i="5"/>
  <c r="P49" i="5"/>
  <c r="Q49" i="5"/>
  <c r="T49" i="5"/>
  <c r="J50" i="5"/>
  <c r="S51" i="2"/>
  <c r="K50" i="5"/>
  <c r="L50" i="5"/>
  <c r="M50" i="5"/>
  <c r="N50" i="5"/>
  <c r="N51" i="2"/>
  <c r="T51" i="2"/>
  <c r="O50" i="5"/>
  <c r="P50" i="5"/>
  <c r="Q50" i="5"/>
  <c r="T50" i="5"/>
  <c r="J51" i="5"/>
  <c r="N52" i="2"/>
  <c r="S52" i="2"/>
  <c r="K51" i="5"/>
  <c r="L51" i="5"/>
  <c r="M51" i="5"/>
  <c r="N51" i="5"/>
  <c r="O51" i="5"/>
  <c r="P51" i="5"/>
  <c r="Q51" i="5"/>
  <c r="T51" i="5"/>
  <c r="J52" i="5"/>
  <c r="S53" i="2"/>
  <c r="K52" i="5"/>
  <c r="L52" i="5"/>
  <c r="M52" i="5"/>
  <c r="N52" i="5"/>
  <c r="N53" i="2"/>
  <c r="T53" i="2"/>
  <c r="O52" i="5"/>
  <c r="P52" i="5"/>
  <c r="Q52" i="5"/>
  <c r="T52" i="5"/>
  <c r="J53" i="5"/>
  <c r="N54" i="2"/>
  <c r="S54" i="2"/>
  <c r="K53" i="5"/>
  <c r="L53" i="5"/>
  <c r="M53" i="5"/>
  <c r="N53" i="5"/>
  <c r="O53" i="5"/>
  <c r="P53" i="5"/>
  <c r="Q53" i="5"/>
  <c r="T53" i="5"/>
  <c r="J54" i="5"/>
  <c r="S55" i="2"/>
  <c r="K54" i="5"/>
  <c r="L54" i="5"/>
  <c r="M54" i="5"/>
  <c r="N54" i="5"/>
  <c r="N55" i="2"/>
  <c r="T55" i="2"/>
  <c r="O54" i="5"/>
  <c r="P54" i="5"/>
  <c r="Q54" i="5"/>
  <c r="T54" i="5"/>
  <c r="J55" i="5"/>
  <c r="N56" i="2"/>
  <c r="S56" i="2"/>
  <c r="K55" i="5"/>
  <c r="L55" i="5"/>
  <c r="M55" i="5"/>
  <c r="N55" i="5"/>
  <c r="O55" i="5"/>
  <c r="P55" i="5"/>
  <c r="Q55" i="5"/>
  <c r="T55" i="5"/>
  <c r="J56" i="5"/>
  <c r="S57" i="2"/>
  <c r="K56" i="5"/>
  <c r="L56" i="5"/>
  <c r="M56" i="5"/>
  <c r="N56" i="5"/>
  <c r="N57" i="2"/>
  <c r="T57" i="2"/>
  <c r="O56" i="5"/>
  <c r="P56" i="5"/>
  <c r="Q56" i="5"/>
  <c r="T56" i="5"/>
  <c r="J57" i="5"/>
  <c r="N58" i="2"/>
  <c r="S58" i="2"/>
  <c r="K57" i="5"/>
  <c r="L57" i="5"/>
  <c r="M57" i="5"/>
  <c r="N57" i="5"/>
  <c r="O57" i="5"/>
  <c r="P57" i="5"/>
  <c r="Q57" i="5"/>
  <c r="T57" i="5"/>
  <c r="J58" i="5"/>
  <c r="S59" i="2"/>
  <c r="K58" i="5"/>
  <c r="L58" i="5"/>
  <c r="M58" i="5"/>
  <c r="N58" i="5"/>
  <c r="N59" i="2"/>
  <c r="T59" i="2"/>
  <c r="O58" i="5"/>
  <c r="P58" i="5"/>
  <c r="Q58" i="5"/>
  <c r="T58" i="5"/>
  <c r="J60" i="5"/>
  <c r="N60" i="2"/>
  <c r="S60" i="2"/>
  <c r="S61" i="2"/>
  <c r="K60" i="5"/>
  <c r="L60" i="5"/>
  <c r="M60" i="5"/>
  <c r="N60" i="5"/>
  <c r="N61" i="2"/>
  <c r="T61" i="2"/>
  <c r="O60" i="5"/>
  <c r="P60" i="5"/>
  <c r="Q60" i="5"/>
  <c r="T60" i="5"/>
  <c r="J61" i="5"/>
  <c r="N62" i="2"/>
  <c r="S62" i="2"/>
  <c r="K61" i="5"/>
  <c r="L61" i="5"/>
  <c r="M61" i="5"/>
  <c r="N61" i="5"/>
  <c r="O61" i="5"/>
  <c r="P61" i="5"/>
  <c r="Q61" i="5"/>
  <c r="T61" i="5"/>
  <c r="J62" i="5"/>
  <c r="S63" i="2"/>
  <c r="K62" i="5"/>
  <c r="L62" i="5"/>
  <c r="M62" i="5"/>
  <c r="N62" i="5"/>
  <c r="N63" i="2"/>
  <c r="T63" i="2"/>
  <c r="O62" i="5"/>
  <c r="P62" i="5"/>
  <c r="Q62" i="5"/>
  <c r="T62" i="5"/>
  <c r="J63" i="5"/>
  <c r="N64" i="2"/>
  <c r="S64" i="2"/>
  <c r="K63" i="5"/>
  <c r="L63" i="5"/>
  <c r="M63" i="5"/>
  <c r="N63" i="5"/>
  <c r="O63" i="5"/>
  <c r="P63" i="5"/>
  <c r="Q63" i="5"/>
  <c r="T63" i="5"/>
  <c r="J64" i="5"/>
  <c r="S65" i="2"/>
  <c r="K64" i="5"/>
  <c r="L64" i="5"/>
  <c r="M64" i="5"/>
  <c r="N64" i="5"/>
  <c r="N65" i="2"/>
  <c r="T65" i="2"/>
  <c r="O64" i="5"/>
  <c r="P64" i="5"/>
  <c r="Q64" i="5"/>
  <c r="T64" i="5"/>
  <c r="J65" i="5"/>
  <c r="N66" i="2"/>
  <c r="S66" i="2"/>
  <c r="K65" i="5"/>
  <c r="L65" i="5"/>
  <c r="M65" i="5"/>
  <c r="N65" i="5"/>
  <c r="O65" i="5"/>
  <c r="P65" i="5"/>
  <c r="Q65" i="5"/>
  <c r="T65" i="5"/>
  <c r="J66" i="5"/>
  <c r="S67" i="2"/>
  <c r="K66" i="5"/>
  <c r="L66" i="5"/>
  <c r="M66" i="5"/>
  <c r="N66" i="5"/>
  <c r="N67" i="2"/>
  <c r="T67" i="2"/>
  <c r="O66" i="5"/>
  <c r="P66" i="5"/>
  <c r="Q66" i="5"/>
  <c r="T66" i="5"/>
  <c r="J67" i="5"/>
  <c r="N68" i="2"/>
  <c r="S68" i="2"/>
  <c r="K67" i="5"/>
  <c r="L67" i="5"/>
  <c r="M67" i="5"/>
  <c r="N67" i="5"/>
  <c r="O67" i="5"/>
  <c r="P67" i="5"/>
  <c r="Q67" i="5"/>
  <c r="T67" i="5"/>
  <c r="J68" i="5"/>
  <c r="S69" i="2"/>
  <c r="K68" i="5"/>
  <c r="L68" i="5"/>
  <c r="M68" i="5"/>
  <c r="N68" i="5"/>
  <c r="N69" i="2"/>
  <c r="T69" i="2"/>
  <c r="O68" i="5"/>
  <c r="P68" i="5"/>
  <c r="Q68" i="5"/>
  <c r="T68" i="5"/>
  <c r="J69" i="5"/>
  <c r="N70" i="2"/>
  <c r="S70" i="2"/>
  <c r="K69" i="5"/>
  <c r="L69" i="5"/>
  <c r="M69" i="5"/>
  <c r="N69" i="5"/>
  <c r="O69" i="5"/>
  <c r="P69" i="5"/>
  <c r="Q69" i="5"/>
  <c r="T69" i="5"/>
  <c r="J70" i="5"/>
  <c r="S71" i="2"/>
  <c r="K70" i="5"/>
  <c r="L70" i="5"/>
  <c r="M70" i="5"/>
  <c r="N70" i="5"/>
  <c r="N71" i="2"/>
  <c r="T71" i="2"/>
  <c r="O70" i="5"/>
  <c r="P70" i="5"/>
  <c r="Q70" i="5"/>
  <c r="T70" i="5"/>
  <c r="J75" i="5"/>
  <c r="N76" i="2"/>
  <c r="S76" i="2"/>
  <c r="K75" i="5"/>
  <c r="L75" i="5"/>
  <c r="M75" i="5"/>
  <c r="N75" i="5"/>
  <c r="O75" i="5"/>
  <c r="P75" i="5"/>
  <c r="Q75" i="5"/>
  <c r="T75" i="5"/>
  <c r="J76" i="5"/>
  <c r="S77" i="2"/>
  <c r="K76" i="5"/>
  <c r="L76" i="5"/>
  <c r="M76" i="5"/>
  <c r="N76" i="5"/>
  <c r="N77" i="2"/>
  <c r="T77" i="2"/>
  <c r="O76" i="5"/>
  <c r="P76" i="5"/>
  <c r="Q76" i="5"/>
  <c r="T76" i="5"/>
  <c r="J77" i="5"/>
  <c r="N78" i="2"/>
  <c r="S78" i="2"/>
  <c r="K77" i="5"/>
  <c r="L77" i="5"/>
  <c r="M77" i="5"/>
  <c r="N77" i="5"/>
  <c r="O77" i="5"/>
  <c r="P77" i="5"/>
  <c r="Q77" i="5"/>
  <c r="T77" i="5"/>
  <c r="J78" i="5"/>
  <c r="S79" i="2"/>
  <c r="K78" i="5"/>
  <c r="L78" i="5"/>
  <c r="M78" i="5"/>
  <c r="N78" i="5"/>
  <c r="N79" i="2"/>
  <c r="T79" i="2"/>
  <c r="O78" i="5"/>
  <c r="P78" i="5"/>
  <c r="Q78" i="5"/>
  <c r="T78" i="5"/>
  <c r="D24" i="8"/>
  <c r="D23" i="8"/>
  <c r="D22" i="8"/>
  <c r="D21" i="8"/>
  <c r="D20" i="8"/>
  <c r="D19" i="8"/>
  <c r="D18" i="8"/>
  <c r="D17" i="8"/>
  <c r="D16" i="8"/>
  <c r="D15" i="8"/>
  <c r="D14" i="8"/>
  <c r="D13" i="8"/>
  <c r="D12" i="8"/>
  <c r="D11" i="8"/>
  <c r="D10" i="8"/>
  <c r="D9" i="8"/>
  <c r="D8" i="8"/>
  <c r="D7" i="8"/>
  <c r="D6" i="8"/>
  <c r="D5" i="8"/>
  <c r="D4" i="8"/>
  <c r="I98" i="5"/>
  <c r="I100" i="5"/>
  <c r="I101" i="5"/>
  <c r="I102" i="5"/>
  <c r="I80" i="5"/>
  <c r="I82" i="5"/>
  <c r="I83" i="5"/>
  <c r="I84" i="5"/>
  <c r="I85" i="5"/>
  <c r="I86" i="5"/>
  <c r="I87" i="5"/>
  <c r="I88" i="5"/>
  <c r="I89" i="5"/>
  <c r="I90" i="5"/>
  <c r="I91" i="5"/>
  <c r="I92" i="5"/>
  <c r="I93" i="5"/>
  <c r="I94" i="5"/>
  <c r="I95" i="5"/>
  <c r="I96" i="5"/>
  <c r="I103" i="5"/>
  <c r="I104" i="5"/>
  <c r="I105" i="5"/>
  <c r="I106" i="5"/>
  <c r="I107" i="5"/>
  <c r="I108" i="5"/>
  <c r="I109" i="5"/>
  <c r="I110" i="5"/>
  <c r="I111" i="5"/>
  <c r="I112" i="5"/>
  <c r="I113" i="5"/>
  <c r="I114" i="5"/>
  <c r="C27" i="8"/>
  <c r="C26" i="8"/>
  <c r="I71" i="5"/>
  <c r="I72" i="5"/>
  <c r="I73" i="5"/>
  <c r="I74" i="5"/>
  <c r="I4"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5" i="5"/>
  <c r="I46" i="5"/>
  <c r="I47" i="5"/>
  <c r="I48" i="5"/>
  <c r="I49" i="5"/>
  <c r="I50" i="5"/>
  <c r="I51" i="5"/>
  <c r="I52" i="5"/>
  <c r="I53" i="5"/>
  <c r="I54" i="5"/>
  <c r="I55" i="5"/>
  <c r="I56" i="5"/>
  <c r="I57" i="5"/>
  <c r="I58" i="5"/>
  <c r="I60" i="5"/>
  <c r="I61" i="5"/>
  <c r="I62" i="5"/>
  <c r="I63" i="5"/>
  <c r="I64" i="5"/>
  <c r="I65" i="5"/>
  <c r="I66" i="5"/>
  <c r="I67" i="5"/>
  <c r="I68" i="5"/>
  <c r="I69" i="5"/>
  <c r="I70" i="5"/>
  <c r="I75" i="5"/>
  <c r="I76" i="5"/>
  <c r="I77" i="5"/>
  <c r="I78" i="5"/>
  <c r="C24" i="8"/>
  <c r="C23" i="8"/>
  <c r="C22" i="8"/>
  <c r="C21" i="8"/>
  <c r="C20" i="8"/>
  <c r="C19" i="8"/>
  <c r="C18" i="8"/>
  <c r="C17" i="8"/>
  <c r="C16" i="8"/>
  <c r="C15" i="8"/>
  <c r="C14" i="8"/>
  <c r="C13" i="8"/>
  <c r="C12" i="8"/>
  <c r="C11" i="8"/>
  <c r="C10" i="8"/>
  <c r="C9" i="8"/>
  <c r="C8" i="8"/>
  <c r="C7" i="8"/>
  <c r="C6" i="8"/>
  <c r="C5" i="8"/>
  <c r="C4" i="8"/>
  <c r="Y45" i="2"/>
  <c r="Y44" i="2"/>
  <c r="T118" i="18"/>
  <c r="T128" i="18"/>
  <c r="T133" i="18"/>
  <c r="T119" i="18"/>
  <c r="T129" i="18"/>
  <c r="T134" i="18"/>
  <c r="T120" i="18"/>
  <c r="T130" i="18"/>
  <c r="T135" i="18"/>
  <c r="T136" i="18"/>
  <c r="S118" i="18"/>
  <c r="S128" i="18"/>
  <c r="S133" i="18"/>
  <c r="S119" i="18"/>
  <c r="S129" i="18"/>
  <c r="S134" i="18"/>
  <c r="S120" i="18"/>
  <c r="S130" i="18"/>
  <c r="S135" i="18"/>
  <c r="S136" i="18"/>
  <c r="R3" i="18"/>
  <c r="N90" i="2"/>
  <c r="S90" i="2"/>
  <c r="S91" i="2"/>
  <c r="N91" i="2"/>
  <c r="T91" i="2"/>
  <c r="S97" i="2"/>
  <c r="N97" i="2"/>
  <c r="T97" i="2"/>
  <c r="S107" i="2"/>
  <c r="N107" i="2"/>
  <c r="T107" i="2"/>
  <c r="S113" i="2"/>
  <c r="N113" i="2"/>
  <c r="T113" i="2"/>
  <c r="R118" i="18"/>
  <c r="R128" i="18"/>
  <c r="R133" i="18"/>
  <c r="R119" i="18"/>
  <c r="R129" i="18"/>
  <c r="R134" i="18"/>
  <c r="R120" i="18"/>
  <c r="R130" i="18"/>
  <c r="R135" i="18"/>
  <c r="R136" i="18"/>
  <c r="Q118" i="18"/>
  <c r="Q128" i="18"/>
  <c r="Q133" i="18"/>
  <c r="Q119" i="18"/>
  <c r="Q129" i="18"/>
  <c r="Q134" i="18"/>
  <c r="Q120" i="18"/>
  <c r="Q130" i="18"/>
  <c r="Q135" i="18"/>
  <c r="Q136" i="18"/>
  <c r="P118" i="18"/>
  <c r="P128" i="18"/>
  <c r="P133" i="18"/>
  <c r="P119" i="18"/>
  <c r="P129" i="18"/>
  <c r="P134" i="18"/>
  <c r="P120" i="18"/>
  <c r="P130" i="18"/>
  <c r="P135" i="18"/>
  <c r="P136" i="18"/>
  <c r="O118" i="18"/>
  <c r="O128" i="18"/>
  <c r="O133" i="18"/>
  <c r="O119" i="18"/>
  <c r="O129" i="18"/>
  <c r="O134" i="18"/>
  <c r="O120" i="18"/>
  <c r="O130" i="18"/>
  <c r="O135" i="18"/>
  <c r="O136" i="18"/>
  <c r="N118" i="18"/>
  <c r="N128" i="18"/>
  <c r="N133" i="18"/>
  <c r="N119" i="18"/>
  <c r="N129" i="18"/>
  <c r="N134" i="18"/>
  <c r="N120" i="18"/>
  <c r="N130" i="18"/>
  <c r="N135" i="18"/>
  <c r="N136" i="18"/>
  <c r="M118" i="18"/>
  <c r="M128" i="18"/>
  <c r="M133" i="18"/>
  <c r="M119" i="18"/>
  <c r="M129" i="18"/>
  <c r="M134" i="18"/>
  <c r="M120" i="18"/>
  <c r="M130" i="18"/>
  <c r="M135" i="18"/>
  <c r="M136" i="18"/>
  <c r="L118" i="18"/>
  <c r="L128" i="18"/>
  <c r="L133" i="18"/>
  <c r="L119" i="18"/>
  <c r="L129" i="18"/>
  <c r="L134" i="18"/>
  <c r="L120" i="18"/>
  <c r="L130" i="18"/>
  <c r="L135" i="18"/>
  <c r="L136" i="18"/>
  <c r="K118" i="18"/>
  <c r="K128" i="18"/>
  <c r="K133" i="18"/>
  <c r="K119" i="18"/>
  <c r="K129" i="18"/>
  <c r="K134" i="18"/>
  <c r="K120" i="18"/>
  <c r="K130" i="18"/>
  <c r="K135" i="18"/>
  <c r="K136" i="18"/>
  <c r="J118" i="18"/>
  <c r="J128" i="18"/>
  <c r="J133" i="18"/>
  <c r="J119" i="18"/>
  <c r="J129" i="18"/>
  <c r="J134" i="18"/>
  <c r="J120" i="18"/>
  <c r="J130" i="18"/>
  <c r="J135" i="18"/>
  <c r="J136" i="18"/>
  <c r="I118" i="18"/>
  <c r="I128" i="18"/>
  <c r="I133" i="18"/>
  <c r="I119" i="18"/>
  <c r="I129" i="18"/>
  <c r="I134" i="18"/>
  <c r="I120" i="18"/>
  <c r="I130" i="18"/>
  <c r="I135" i="18"/>
  <c r="I136" i="18"/>
  <c r="T131" i="18"/>
  <c r="S131" i="18"/>
  <c r="R131" i="18"/>
  <c r="Q131" i="18"/>
  <c r="P131" i="18"/>
  <c r="O131" i="18"/>
  <c r="N131" i="18"/>
  <c r="M131" i="18"/>
  <c r="L131" i="18"/>
  <c r="K131" i="18"/>
  <c r="J131" i="18"/>
  <c r="I131" i="18"/>
  <c r="T126" i="18"/>
  <c r="S123" i="18"/>
  <c r="S124" i="18"/>
  <c r="S125" i="18"/>
  <c r="S126" i="18"/>
  <c r="R123" i="18"/>
  <c r="R124" i="18"/>
  <c r="R125" i="18"/>
  <c r="R126" i="18"/>
  <c r="Q123" i="18"/>
  <c r="Q124" i="18"/>
  <c r="Q125" i="18"/>
  <c r="Q126" i="18"/>
  <c r="P123" i="18"/>
  <c r="P124" i="18"/>
  <c r="P125" i="18"/>
  <c r="P126" i="18"/>
  <c r="O123" i="18"/>
  <c r="O124" i="18"/>
  <c r="O125" i="18"/>
  <c r="O126" i="18"/>
  <c r="N123" i="18"/>
  <c r="N124" i="18"/>
  <c r="N125" i="18"/>
  <c r="N126" i="18"/>
  <c r="M123" i="18"/>
  <c r="M124" i="18"/>
  <c r="M125" i="18"/>
  <c r="M126" i="18"/>
  <c r="L123" i="18"/>
  <c r="L124" i="18"/>
  <c r="L125" i="18"/>
  <c r="L126" i="18"/>
  <c r="K123" i="18"/>
  <c r="K124" i="18"/>
  <c r="K125" i="18"/>
  <c r="K126" i="18"/>
  <c r="J123" i="18"/>
  <c r="J124" i="18"/>
  <c r="J125" i="18"/>
  <c r="J126" i="18"/>
  <c r="I123" i="18"/>
  <c r="I124" i="18"/>
  <c r="I125" i="18"/>
  <c r="I126" i="18"/>
  <c r="T121" i="18"/>
  <c r="S121" i="18"/>
  <c r="R121" i="18"/>
  <c r="Q121" i="18"/>
  <c r="P121" i="18"/>
  <c r="O121" i="18"/>
  <c r="N121" i="18"/>
  <c r="M121" i="18"/>
  <c r="L121" i="18"/>
  <c r="K121" i="18"/>
  <c r="J121" i="18"/>
  <c r="I121" i="18"/>
  <c r="T118" i="17"/>
  <c r="T128" i="17"/>
  <c r="T133" i="17"/>
  <c r="T119" i="17"/>
  <c r="T129" i="17"/>
  <c r="T134" i="17"/>
  <c r="T120" i="17"/>
  <c r="T130" i="17"/>
  <c r="T135" i="17"/>
  <c r="T136" i="17"/>
  <c r="S118" i="17"/>
  <c r="S128" i="17"/>
  <c r="S133" i="17"/>
  <c r="S119" i="17"/>
  <c r="S129" i="17"/>
  <c r="S134" i="17"/>
  <c r="S120" i="17"/>
  <c r="S130" i="17"/>
  <c r="S135" i="17"/>
  <c r="S136" i="17"/>
  <c r="R118" i="17"/>
  <c r="R128" i="17"/>
  <c r="R133" i="17"/>
  <c r="R119" i="17"/>
  <c r="R129" i="17"/>
  <c r="R134" i="17"/>
  <c r="R120" i="17"/>
  <c r="R130" i="17"/>
  <c r="R135" i="17"/>
  <c r="R136" i="17"/>
  <c r="Q118" i="17"/>
  <c r="Q128" i="17"/>
  <c r="Q133" i="17"/>
  <c r="Q119" i="17"/>
  <c r="Q129" i="17"/>
  <c r="Q134" i="17"/>
  <c r="Q120" i="17"/>
  <c r="Q130" i="17"/>
  <c r="Q135" i="17"/>
  <c r="Q136" i="17"/>
  <c r="P118" i="17"/>
  <c r="P128" i="17"/>
  <c r="P133" i="17"/>
  <c r="P119" i="17"/>
  <c r="P129" i="17"/>
  <c r="P134" i="17"/>
  <c r="P120" i="17"/>
  <c r="P130" i="17"/>
  <c r="P135" i="17"/>
  <c r="P136" i="17"/>
  <c r="O118" i="17"/>
  <c r="O128" i="17"/>
  <c r="O133" i="17"/>
  <c r="O119" i="17"/>
  <c r="O129" i="17"/>
  <c r="O134" i="17"/>
  <c r="O120" i="17"/>
  <c r="O130" i="17"/>
  <c r="O135" i="17"/>
  <c r="O136" i="17"/>
  <c r="N118" i="17"/>
  <c r="N128" i="17"/>
  <c r="N133" i="17"/>
  <c r="N119" i="17"/>
  <c r="N129" i="17"/>
  <c r="N134" i="17"/>
  <c r="N120" i="17"/>
  <c r="N130" i="17"/>
  <c r="N135" i="17"/>
  <c r="N136" i="17"/>
  <c r="M118" i="17"/>
  <c r="M128" i="17"/>
  <c r="M133" i="17"/>
  <c r="M119" i="17"/>
  <c r="M129" i="17"/>
  <c r="M134" i="17"/>
  <c r="M120" i="17"/>
  <c r="M130" i="17"/>
  <c r="M135" i="17"/>
  <c r="M136" i="17"/>
  <c r="L118" i="17"/>
  <c r="L128" i="17"/>
  <c r="L133" i="17"/>
  <c r="L119" i="17"/>
  <c r="L129" i="17"/>
  <c r="L134" i="17"/>
  <c r="L120" i="17"/>
  <c r="L130" i="17"/>
  <c r="L135" i="17"/>
  <c r="L136" i="17"/>
  <c r="K118" i="17"/>
  <c r="K128" i="17"/>
  <c r="K133" i="17"/>
  <c r="K119" i="17"/>
  <c r="K129" i="17"/>
  <c r="K134" i="17"/>
  <c r="K120" i="17"/>
  <c r="K130" i="17"/>
  <c r="K135" i="17"/>
  <c r="K136" i="17"/>
  <c r="J118" i="17"/>
  <c r="J128" i="17"/>
  <c r="J133" i="17"/>
  <c r="J119" i="17"/>
  <c r="J129" i="17"/>
  <c r="J134" i="17"/>
  <c r="J120" i="17"/>
  <c r="J130" i="17"/>
  <c r="J135" i="17"/>
  <c r="J136" i="17"/>
  <c r="I118" i="17"/>
  <c r="I128" i="17"/>
  <c r="I133" i="17"/>
  <c r="I119" i="17"/>
  <c r="I129" i="17"/>
  <c r="I134" i="17"/>
  <c r="I120" i="17"/>
  <c r="I130" i="17"/>
  <c r="I135" i="17"/>
  <c r="I136" i="17"/>
  <c r="T131" i="17"/>
  <c r="S131" i="17"/>
  <c r="R131" i="17"/>
  <c r="Q131" i="17"/>
  <c r="P131" i="17"/>
  <c r="O131" i="17"/>
  <c r="N131" i="17"/>
  <c r="M131" i="17"/>
  <c r="L131" i="17"/>
  <c r="K131" i="17"/>
  <c r="J131" i="17"/>
  <c r="I131" i="17"/>
  <c r="T126" i="17"/>
  <c r="S123" i="17"/>
  <c r="S124" i="17"/>
  <c r="S125" i="17"/>
  <c r="S126" i="17"/>
  <c r="R123" i="17"/>
  <c r="R124" i="17"/>
  <c r="R125" i="17"/>
  <c r="R126" i="17"/>
  <c r="Q123" i="17"/>
  <c r="Q124" i="17"/>
  <c r="Q125" i="17"/>
  <c r="Q126" i="17"/>
  <c r="P123" i="17"/>
  <c r="P124" i="17"/>
  <c r="P125" i="17"/>
  <c r="P126" i="17"/>
  <c r="O123" i="17"/>
  <c r="O124" i="17"/>
  <c r="O125" i="17"/>
  <c r="O126" i="17"/>
  <c r="N123" i="17"/>
  <c r="N124" i="17"/>
  <c r="N125" i="17"/>
  <c r="N126" i="17"/>
  <c r="M123" i="17"/>
  <c r="M124" i="17"/>
  <c r="M125" i="17"/>
  <c r="M126" i="17"/>
  <c r="L123" i="17"/>
  <c r="L124" i="17"/>
  <c r="L125" i="17"/>
  <c r="L126" i="17"/>
  <c r="K123" i="17"/>
  <c r="K124" i="17"/>
  <c r="K125" i="17"/>
  <c r="K126" i="17"/>
  <c r="J123" i="17"/>
  <c r="J124" i="17"/>
  <c r="J125" i="17"/>
  <c r="J126" i="17"/>
  <c r="I123" i="17"/>
  <c r="I124" i="17"/>
  <c r="I125" i="17"/>
  <c r="I126" i="17"/>
  <c r="T121" i="17"/>
  <c r="S121" i="17"/>
  <c r="R121" i="17"/>
  <c r="Q121" i="17"/>
  <c r="P121" i="17"/>
  <c r="O121" i="17"/>
  <c r="N121" i="17"/>
  <c r="M121" i="17"/>
  <c r="L121" i="17"/>
  <c r="K121" i="17"/>
  <c r="J121" i="17"/>
  <c r="I121" i="17"/>
  <c r="C74" i="16"/>
  <c r="D74" i="16"/>
  <c r="E74" i="16"/>
  <c r="F74" i="16"/>
  <c r="G74" i="16"/>
  <c r="H74" i="16"/>
  <c r="I74" i="16"/>
  <c r="J74" i="16"/>
  <c r="K74" i="16"/>
  <c r="L74" i="16"/>
  <c r="M74" i="16"/>
  <c r="N74" i="16"/>
  <c r="O74" i="16"/>
  <c r="P74" i="16"/>
  <c r="Q74" i="16"/>
  <c r="R74" i="16"/>
  <c r="S74" i="16"/>
  <c r="T74" i="16"/>
  <c r="T73" i="16"/>
  <c r="T72" i="16"/>
  <c r="T71" i="16"/>
  <c r="T70" i="16"/>
  <c r="T69" i="16"/>
  <c r="T68" i="16"/>
  <c r="T67" i="16"/>
  <c r="T66" i="16"/>
  <c r="T65" i="16"/>
  <c r="T64" i="16"/>
  <c r="T63" i="16"/>
  <c r="T62" i="16"/>
  <c r="T61" i="16"/>
  <c r="T60" i="16"/>
  <c r="T58" i="16"/>
  <c r="T57" i="16"/>
  <c r="T56" i="16"/>
  <c r="T55" i="16"/>
  <c r="T54" i="16"/>
  <c r="T53" i="16"/>
  <c r="C50" i="16"/>
  <c r="D50" i="16"/>
  <c r="E50" i="16"/>
  <c r="F50" i="16"/>
  <c r="G50" i="16"/>
  <c r="H50" i="16"/>
  <c r="I50" i="16"/>
  <c r="J50" i="16"/>
  <c r="K50" i="16"/>
  <c r="L50" i="16"/>
  <c r="M50" i="16"/>
  <c r="N50" i="16"/>
  <c r="O50" i="16"/>
  <c r="P50" i="16"/>
  <c r="Q50" i="16"/>
  <c r="R50" i="16"/>
  <c r="S50" i="16"/>
  <c r="T50" i="16"/>
  <c r="T49" i="16"/>
  <c r="T48" i="16"/>
  <c r="T47" i="16"/>
  <c r="T46" i="16"/>
  <c r="T45" i="16"/>
  <c r="T44" i="16"/>
  <c r="T43" i="16"/>
  <c r="T42" i="16"/>
  <c r="T41" i="16"/>
  <c r="T40" i="16"/>
  <c r="T39" i="16"/>
  <c r="T38" i="16"/>
  <c r="T37" i="16"/>
  <c r="T36" i="16"/>
  <c r="T35" i="16"/>
  <c r="T34" i="16"/>
  <c r="T33" i="16"/>
  <c r="T32" i="16"/>
  <c r="T31" i="16"/>
  <c r="T30" i="16"/>
  <c r="T29" i="16"/>
  <c r="T26" i="16"/>
  <c r="T25" i="16"/>
  <c r="T24" i="16"/>
  <c r="T23" i="16"/>
  <c r="T22" i="16"/>
  <c r="T21" i="16"/>
  <c r="T20" i="16"/>
  <c r="T19" i="16"/>
  <c r="T18" i="16"/>
  <c r="T17" i="16"/>
  <c r="T16" i="16"/>
  <c r="T15" i="16"/>
  <c r="T14" i="16"/>
  <c r="T13" i="16"/>
  <c r="T12" i="16"/>
  <c r="T10" i="16"/>
  <c r="T9" i="16"/>
  <c r="T8" i="16"/>
  <c r="T7" i="16"/>
  <c r="T6" i="16"/>
  <c r="T5" i="16"/>
  <c r="T32" i="15"/>
  <c r="S9" i="15"/>
  <c r="R9" i="15"/>
  <c r="Q9" i="15"/>
  <c r="P9" i="15"/>
  <c r="O9" i="15"/>
  <c r="N9" i="15"/>
  <c r="M9" i="15"/>
  <c r="L9" i="15"/>
  <c r="K9" i="15"/>
  <c r="J9" i="15"/>
  <c r="I9" i="15"/>
  <c r="H9" i="15"/>
  <c r="G9" i="15"/>
  <c r="F9" i="15"/>
  <c r="E9" i="15"/>
  <c r="D9" i="15"/>
  <c r="C9" i="15"/>
  <c r="T47" i="15"/>
  <c r="S47" i="15"/>
  <c r="R47" i="15"/>
  <c r="Q47" i="15"/>
  <c r="P47" i="15"/>
  <c r="O47" i="15"/>
  <c r="N47" i="15"/>
  <c r="M47" i="15"/>
  <c r="L47" i="15"/>
  <c r="K47" i="15"/>
  <c r="J47" i="15"/>
  <c r="I47" i="15"/>
  <c r="H47" i="15"/>
  <c r="G47" i="15"/>
  <c r="F47" i="15"/>
  <c r="E47" i="15"/>
  <c r="D47" i="15"/>
  <c r="C47" i="15"/>
  <c r="T23" i="15"/>
  <c r="T22" i="15"/>
  <c r="T21" i="15"/>
  <c r="T20" i="15"/>
  <c r="T19" i="15"/>
  <c r="T18" i="15"/>
  <c r="T17" i="15"/>
  <c r="T16" i="15"/>
  <c r="T15" i="15"/>
  <c r="T14" i="15"/>
  <c r="T13" i="15"/>
  <c r="T12" i="15"/>
  <c r="T11" i="15"/>
  <c r="T10" i="15"/>
  <c r="T9" i="15"/>
  <c r="T8" i="15"/>
  <c r="T7" i="15"/>
  <c r="T6" i="15"/>
  <c r="T5" i="15"/>
  <c r="T4" i="15"/>
  <c r="T3" i="15"/>
  <c r="T32" i="14"/>
  <c r="S9" i="14"/>
  <c r="R9" i="14"/>
  <c r="Q9" i="14"/>
  <c r="P9" i="14"/>
  <c r="O9" i="14"/>
  <c r="N9" i="14"/>
  <c r="M9" i="14"/>
  <c r="L9" i="14"/>
  <c r="K9" i="14"/>
  <c r="J9" i="14"/>
  <c r="I9" i="14"/>
  <c r="H9" i="14"/>
  <c r="G9" i="14"/>
  <c r="F9" i="14"/>
  <c r="E9" i="14"/>
  <c r="D9" i="14"/>
  <c r="C9" i="14"/>
  <c r="T47" i="14"/>
  <c r="S47" i="14"/>
  <c r="R47" i="14"/>
  <c r="Q47" i="14"/>
  <c r="P47" i="14"/>
  <c r="O47" i="14"/>
  <c r="N47" i="14"/>
  <c r="M47" i="14"/>
  <c r="L47" i="14"/>
  <c r="K47" i="14"/>
  <c r="J47" i="14"/>
  <c r="I47" i="14"/>
  <c r="H47" i="14"/>
  <c r="G47" i="14"/>
  <c r="F47" i="14"/>
  <c r="E47" i="14"/>
  <c r="D47" i="14"/>
  <c r="C47" i="14"/>
  <c r="T23" i="14"/>
  <c r="T22" i="14"/>
  <c r="T21" i="14"/>
  <c r="T20" i="14"/>
  <c r="T19" i="14"/>
  <c r="T18" i="14"/>
  <c r="T17" i="14"/>
  <c r="T16" i="14"/>
  <c r="T15" i="14"/>
  <c r="T14" i="14"/>
  <c r="T13" i="14"/>
  <c r="T12" i="14"/>
  <c r="T11" i="14"/>
  <c r="T10" i="14"/>
  <c r="T9" i="14"/>
  <c r="T8" i="14"/>
  <c r="T7" i="14"/>
  <c r="T6" i="14"/>
  <c r="T5" i="14"/>
  <c r="T4" i="14"/>
  <c r="T3" i="14"/>
  <c r="I100" i="10"/>
  <c r="E23" i="12"/>
  <c r="I80" i="10"/>
  <c r="D23" i="12"/>
  <c r="I20" i="10"/>
  <c r="I40" i="10"/>
  <c r="I60" i="10"/>
  <c r="C23" i="12"/>
  <c r="I99" i="10"/>
  <c r="E22" i="12"/>
  <c r="I79" i="10"/>
  <c r="D22" i="12"/>
  <c r="I19" i="10"/>
  <c r="I39" i="10"/>
  <c r="I59" i="10"/>
  <c r="C22" i="12"/>
  <c r="K21" i="12"/>
  <c r="G42" i="9"/>
  <c r="G62" i="9"/>
  <c r="K20" i="12"/>
  <c r="G41" i="9"/>
  <c r="G61" i="9"/>
  <c r="K19" i="12"/>
  <c r="G40" i="9"/>
  <c r="G60" i="9"/>
  <c r="K18" i="12"/>
  <c r="G39" i="9"/>
  <c r="G59" i="9"/>
  <c r="K17" i="12"/>
  <c r="G38" i="9"/>
  <c r="G58" i="9"/>
  <c r="K16" i="12"/>
  <c r="G37" i="9"/>
  <c r="G57" i="9"/>
  <c r="K15" i="12"/>
  <c r="G36" i="9"/>
  <c r="G56" i="9"/>
  <c r="K14" i="12"/>
  <c r="G35" i="9"/>
  <c r="G55" i="9"/>
  <c r="K13" i="12"/>
  <c r="G34" i="9"/>
  <c r="G54" i="9"/>
  <c r="K12" i="12"/>
  <c r="G33" i="9"/>
  <c r="G53" i="9"/>
  <c r="K11" i="12"/>
  <c r="G32" i="9"/>
  <c r="G52" i="9"/>
  <c r="K10" i="12"/>
  <c r="G31" i="9"/>
  <c r="G51" i="9"/>
  <c r="K9" i="12"/>
  <c r="G30" i="9"/>
  <c r="G50" i="9"/>
  <c r="K8" i="12"/>
  <c r="G29" i="9"/>
  <c r="G49" i="9"/>
  <c r="K7" i="12"/>
  <c r="G28" i="9"/>
  <c r="G48" i="9"/>
  <c r="K6" i="12"/>
  <c r="G27" i="9"/>
  <c r="G47" i="9"/>
  <c r="K5" i="12"/>
  <c r="G26" i="9"/>
  <c r="G46" i="9"/>
  <c r="K4" i="12"/>
  <c r="G24" i="9"/>
  <c r="G44" i="9"/>
  <c r="K3" i="12"/>
  <c r="G23" i="9"/>
  <c r="G43" i="9"/>
  <c r="L3" i="12"/>
  <c r="M3" i="12"/>
  <c r="N3" i="12"/>
  <c r="L4" i="12"/>
  <c r="M4" i="12"/>
  <c r="N4" i="12"/>
  <c r="L5" i="12"/>
  <c r="M5" i="12"/>
  <c r="N5" i="12"/>
  <c r="L6" i="12"/>
  <c r="M6" i="12"/>
  <c r="N6" i="12"/>
  <c r="L7" i="12"/>
  <c r="M7" i="12"/>
  <c r="N7" i="12"/>
  <c r="L8" i="12"/>
  <c r="M8" i="12"/>
  <c r="N8" i="12"/>
  <c r="L9" i="12"/>
  <c r="M9" i="12"/>
  <c r="N9" i="12"/>
  <c r="L10" i="12"/>
  <c r="M10" i="12"/>
  <c r="N10" i="12"/>
  <c r="L11" i="12"/>
  <c r="M11" i="12"/>
  <c r="N11" i="12"/>
  <c r="L12" i="12"/>
  <c r="M12" i="12"/>
  <c r="N12" i="12"/>
  <c r="L13" i="12"/>
  <c r="M13" i="12"/>
  <c r="N13" i="12"/>
  <c r="L14" i="12"/>
  <c r="M14" i="12"/>
  <c r="N14" i="12"/>
  <c r="L15" i="12"/>
  <c r="M15" i="12"/>
  <c r="N15" i="12"/>
  <c r="L16" i="12"/>
  <c r="M16" i="12"/>
  <c r="N16" i="12"/>
  <c r="L17" i="12"/>
  <c r="M17" i="12"/>
  <c r="N17" i="12"/>
  <c r="C48" i="12"/>
  <c r="F23" i="12"/>
  <c r="W23" i="12"/>
  <c r="F22" i="12"/>
  <c r="W22" i="12"/>
  <c r="C42" i="12"/>
  <c r="L18" i="12"/>
  <c r="M18" i="12"/>
  <c r="N18" i="12"/>
  <c r="L19" i="12"/>
  <c r="M19" i="12"/>
  <c r="N19" i="12"/>
  <c r="C43" i="12"/>
  <c r="C44" i="12"/>
  <c r="C45" i="12"/>
  <c r="C46" i="12"/>
  <c r="L21" i="12"/>
  <c r="M21" i="12"/>
  <c r="L20" i="12"/>
  <c r="M20" i="12"/>
  <c r="F31" i="12"/>
  <c r="F30" i="12"/>
  <c r="H6" i="11"/>
  <c r="G6" i="11"/>
  <c r="H5" i="11"/>
  <c r="G5" i="11"/>
  <c r="H4" i="11"/>
  <c r="G4" i="11"/>
  <c r="H3" i="11"/>
  <c r="G3" i="11"/>
  <c r="H2" i="11"/>
  <c r="G2" i="11"/>
  <c r="I102" i="10"/>
  <c r="I101" i="10"/>
  <c r="I98" i="10"/>
  <c r="I97" i="10"/>
  <c r="I96" i="10"/>
  <c r="I95" i="10"/>
  <c r="I94" i="10"/>
  <c r="I93" i="10"/>
  <c r="I92" i="10"/>
  <c r="I91" i="10"/>
  <c r="I90" i="10"/>
  <c r="I89" i="10"/>
  <c r="I88" i="10"/>
  <c r="I87" i="10"/>
  <c r="I86" i="10"/>
  <c r="I85" i="10"/>
  <c r="I84" i="10"/>
  <c r="I83" i="10"/>
  <c r="I82" i="10"/>
  <c r="I81" i="10"/>
  <c r="I78" i="10"/>
  <c r="I77" i="10"/>
  <c r="I76" i="10"/>
  <c r="I75" i="10"/>
  <c r="I74" i="10"/>
  <c r="I73" i="10"/>
  <c r="I72" i="10"/>
  <c r="I71" i="10"/>
  <c r="I70" i="10"/>
  <c r="I69" i="10"/>
  <c r="I68" i="10"/>
  <c r="I67" i="10"/>
  <c r="I66" i="10"/>
  <c r="I65" i="10"/>
  <c r="I64" i="10"/>
  <c r="I63" i="10"/>
  <c r="I62" i="10"/>
  <c r="I61" i="10"/>
  <c r="I58" i="10"/>
  <c r="I57" i="10"/>
  <c r="I56" i="10"/>
  <c r="I55" i="10"/>
  <c r="I54" i="10"/>
  <c r="I53" i="10"/>
  <c r="I52" i="10"/>
  <c r="I51" i="10"/>
  <c r="I50" i="10"/>
  <c r="I49" i="10"/>
  <c r="I48" i="10"/>
  <c r="I47" i="10"/>
  <c r="I46" i="10"/>
  <c r="I45" i="10"/>
  <c r="I44" i="10"/>
  <c r="I43" i="10"/>
  <c r="I42" i="10"/>
  <c r="I41" i="10"/>
  <c r="I38" i="10"/>
  <c r="I37" i="10"/>
  <c r="I36" i="10"/>
  <c r="I35" i="10"/>
  <c r="I34" i="10"/>
  <c r="I33" i="10"/>
  <c r="I32" i="10"/>
  <c r="I31" i="10"/>
  <c r="I30" i="10"/>
  <c r="I29" i="10"/>
  <c r="I28" i="10"/>
  <c r="I27" i="10"/>
  <c r="I26" i="10"/>
  <c r="I25" i="10"/>
  <c r="I24" i="10"/>
  <c r="I23" i="10"/>
  <c r="I22" i="10"/>
  <c r="I21" i="10"/>
  <c r="I18" i="10"/>
  <c r="I17" i="10"/>
  <c r="I16" i="10"/>
  <c r="I15" i="10"/>
  <c r="I14" i="10"/>
  <c r="I13" i="10"/>
  <c r="I12" i="10"/>
  <c r="I11" i="10"/>
  <c r="I10" i="10"/>
  <c r="I9" i="10"/>
  <c r="I8" i="10"/>
  <c r="I7" i="10"/>
  <c r="I6" i="10"/>
  <c r="I5" i="10"/>
  <c r="I4" i="10"/>
  <c r="I3" i="10"/>
  <c r="G85" i="9"/>
  <c r="I85" i="9"/>
  <c r="G65" i="9"/>
  <c r="I65" i="9"/>
  <c r="G45" i="9"/>
  <c r="I45" i="9"/>
  <c r="G25" i="9"/>
  <c r="I25" i="9"/>
  <c r="G5" i="9"/>
  <c r="I5" i="9"/>
  <c r="R114" i="5"/>
  <c r="R113" i="5"/>
  <c r="M112" i="5"/>
  <c r="N112" i="5"/>
  <c r="O112" i="5"/>
  <c r="P112" i="5"/>
  <c r="J112" i="5"/>
  <c r="K112" i="5"/>
  <c r="L112" i="5"/>
  <c r="Q112" i="5"/>
  <c r="R112" i="5"/>
  <c r="R111" i="5"/>
  <c r="R110" i="5"/>
  <c r="R109" i="5"/>
  <c r="R108" i="5"/>
  <c r="R107" i="5"/>
  <c r="M106" i="5"/>
  <c r="N106" i="5"/>
  <c r="O106" i="5"/>
  <c r="P106" i="5"/>
  <c r="J106" i="5"/>
  <c r="K106" i="5"/>
  <c r="L106" i="5"/>
  <c r="Q106" i="5"/>
  <c r="R106" i="5"/>
  <c r="R105" i="5"/>
  <c r="R104" i="5"/>
  <c r="R103" i="5"/>
  <c r="R102" i="5"/>
  <c r="R101" i="5"/>
  <c r="R100" i="5"/>
  <c r="R99" i="5"/>
  <c r="R98" i="5"/>
  <c r="R97" i="5"/>
  <c r="M96" i="5"/>
  <c r="N96" i="5"/>
  <c r="O96" i="5"/>
  <c r="P96" i="5"/>
  <c r="J96" i="5"/>
  <c r="K96" i="5"/>
  <c r="L96" i="5"/>
  <c r="Q96" i="5"/>
  <c r="R96" i="5"/>
  <c r="R95" i="5"/>
  <c r="R94" i="5"/>
  <c r="R93" i="5"/>
  <c r="R92" i="5"/>
  <c r="R91" i="5"/>
  <c r="M90" i="5"/>
  <c r="N90" i="5"/>
  <c r="O90" i="5"/>
  <c r="P90" i="5"/>
  <c r="J90" i="5"/>
  <c r="K90" i="5"/>
  <c r="L90" i="5"/>
  <c r="Q90" i="5"/>
  <c r="R90" i="5"/>
  <c r="M89" i="5"/>
  <c r="N89" i="5"/>
  <c r="O89" i="5"/>
  <c r="P89" i="5"/>
  <c r="J89" i="5"/>
  <c r="K89" i="5"/>
  <c r="L89" i="5"/>
  <c r="Q89" i="5"/>
  <c r="R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M59" i="5"/>
  <c r="N59" i="5"/>
  <c r="O59" i="5"/>
  <c r="P59" i="5"/>
  <c r="J59" i="5"/>
  <c r="K59" i="5"/>
  <c r="L59" i="5"/>
  <c r="Q59" i="5"/>
  <c r="R59" i="5"/>
  <c r="R58" i="5"/>
  <c r="R57" i="5"/>
  <c r="R56" i="5"/>
  <c r="R55" i="5"/>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R13" i="5"/>
  <c r="R12" i="5"/>
  <c r="R11" i="5"/>
  <c r="R10" i="5"/>
  <c r="R9" i="5"/>
  <c r="R8" i="5"/>
  <c r="R7" i="5"/>
  <c r="R6" i="5"/>
  <c r="R5" i="5"/>
  <c r="R4" i="5"/>
  <c r="R3" i="5"/>
  <c r="T4" i="3"/>
  <c r="T6" i="3"/>
  <c r="E4" i="8"/>
  <c r="E5" i="8"/>
  <c r="E6" i="8"/>
  <c r="E7" i="8"/>
  <c r="E8" i="8"/>
  <c r="E9" i="8"/>
  <c r="E10" i="8"/>
  <c r="E11" i="8"/>
  <c r="E12" i="8"/>
  <c r="E13" i="8"/>
  <c r="E14" i="8"/>
  <c r="E15" i="8"/>
  <c r="E16" i="8"/>
  <c r="E17" i="8"/>
  <c r="E18" i="8"/>
  <c r="E19" i="8"/>
  <c r="E20" i="8"/>
  <c r="E21" i="8"/>
  <c r="E22" i="8"/>
  <c r="E23" i="8"/>
  <c r="E24" i="8"/>
  <c r="E25" i="8"/>
  <c r="E30" i="8"/>
  <c r="T80" i="3"/>
  <c r="T82" i="3"/>
  <c r="E26" i="8"/>
  <c r="T98" i="3"/>
  <c r="T100" i="3"/>
  <c r="E27" i="8"/>
  <c r="E28" i="8"/>
  <c r="D25" i="8"/>
  <c r="D28" i="8"/>
  <c r="C25" i="8"/>
  <c r="C28" i="8"/>
  <c r="F4" i="8"/>
  <c r="F5" i="8"/>
  <c r="F6" i="8"/>
  <c r="F7" i="8"/>
  <c r="F8" i="8"/>
  <c r="F9" i="8"/>
  <c r="F10" i="8"/>
  <c r="F11" i="8"/>
  <c r="F12" i="8"/>
  <c r="F13" i="8"/>
  <c r="F14" i="8"/>
  <c r="F15" i="8"/>
  <c r="F16" i="8"/>
  <c r="F17" i="8"/>
  <c r="F18" i="8"/>
  <c r="F19" i="8"/>
  <c r="F20" i="8"/>
  <c r="F21" i="8"/>
  <c r="F22" i="8"/>
  <c r="F23" i="8"/>
  <c r="F24" i="8"/>
  <c r="F25" i="8"/>
  <c r="G25" i="8"/>
  <c r="T118" i="5"/>
  <c r="T128" i="5"/>
  <c r="T133" i="5"/>
  <c r="T119" i="5"/>
  <c r="T129" i="5"/>
  <c r="T134" i="5"/>
  <c r="T120" i="5"/>
  <c r="T130" i="5"/>
  <c r="T135" i="5"/>
  <c r="T136" i="5"/>
  <c r="S118" i="5"/>
  <c r="S128" i="5"/>
  <c r="S133" i="5"/>
  <c r="S119" i="5"/>
  <c r="S129" i="5"/>
  <c r="S134" i="5"/>
  <c r="S120" i="5"/>
  <c r="S130" i="5"/>
  <c r="S135" i="5"/>
  <c r="S136" i="5"/>
  <c r="R118" i="5"/>
  <c r="R128" i="5"/>
  <c r="R133" i="5"/>
  <c r="R119" i="5"/>
  <c r="R129" i="5"/>
  <c r="R134" i="5"/>
  <c r="R120" i="5"/>
  <c r="R130" i="5"/>
  <c r="R135" i="5"/>
  <c r="R136" i="5"/>
  <c r="Q118" i="5"/>
  <c r="Q128" i="5"/>
  <c r="Q133" i="5"/>
  <c r="Q119" i="5"/>
  <c r="Q129" i="5"/>
  <c r="Q134" i="5"/>
  <c r="Q120" i="5"/>
  <c r="Q130" i="5"/>
  <c r="Q135" i="5"/>
  <c r="Q136" i="5"/>
  <c r="P118" i="5"/>
  <c r="P128" i="5"/>
  <c r="P133" i="5"/>
  <c r="P119" i="5"/>
  <c r="P129" i="5"/>
  <c r="P134" i="5"/>
  <c r="P120" i="5"/>
  <c r="P130" i="5"/>
  <c r="P135" i="5"/>
  <c r="P136" i="5"/>
  <c r="O118" i="5"/>
  <c r="O128" i="5"/>
  <c r="O133" i="5"/>
  <c r="O119" i="5"/>
  <c r="O129" i="5"/>
  <c r="O134" i="5"/>
  <c r="O120" i="5"/>
  <c r="O130" i="5"/>
  <c r="O135" i="5"/>
  <c r="O136" i="5"/>
  <c r="N118" i="5"/>
  <c r="N128" i="5"/>
  <c r="N133" i="5"/>
  <c r="N119" i="5"/>
  <c r="N129" i="5"/>
  <c r="N134" i="5"/>
  <c r="N120" i="5"/>
  <c r="N130" i="5"/>
  <c r="N135" i="5"/>
  <c r="N136" i="5"/>
  <c r="M118" i="5"/>
  <c r="M128" i="5"/>
  <c r="M133" i="5"/>
  <c r="M119" i="5"/>
  <c r="M129" i="5"/>
  <c r="M134" i="5"/>
  <c r="M120" i="5"/>
  <c r="M130" i="5"/>
  <c r="M135" i="5"/>
  <c r="M136" i="5"/>
  <c r="L118" i="5"/>
  <c r="L128" i="5"/>
  <c r="L133" i="5"/>
  <c r="L119" i="5"/>
  <c r="L129" i="5"/>
  <c r="L134" i="5"/>
  <c r="L120" i="5"/>
  <c r="L130" i="5"/>
  <c r="L135" i="5"/>
  <c r="L136" i="5"/>
  <c r="K118" i="5"/>
  <c r="K128" i="5"/>
  <c r="K133" i="5"/>
  <c r="K119" i="5"/>
  <c r="K129" i="5"/>
  <c r="K134" i="5"/>
  <c r="K120" i="5"/>
  <c r="K130" i="5"/>
  <c r="K135" i="5"/>
  <c r="K136" i="5"/>
  <c r="J118" i="5"/>
  <c r="J128" i="5"/>
  <c r="J133" i="5"/>
  <c r="J119" i="5"/>
  <c r="J129" i="5"/>
  <c r="J134" i="5"/>
  <c r="J120" i="5"/>
  <c r="J130" i="5"/>
  <c r="J135" i="5"/>
  <c r="J136" i="5"/>
  <c r="I118" i="5"/>
  <c r="I128" i="5"/>
  <c r="I133" i="5"/>
  <c r="I119" i="5"/>
  <c r="I129" i="5"/>
  <c r="I134" i="5"/>
  <c r="I120" i="5"/>
  <c r="I130" i="5"/>
  <c r="I135" i="5"/>
  <c r="I136" i="5"/>
  <c r="T131" i="5"/>
  <c r="S131" i="5"/>
  <c r="R131" i="5"/>
  <c r="Q131" i="5"/>
  <c r="P131" i="5"/>
  <c r="O131" i="5"/>
  <c r="N131" i="5"/>
  <c r="M131" i="5"/>
  <c r="L131" i="5"/>
  <c r="K131" i="5"/>
  <c r="J131" i="5"/>
  <c r="I131" i="5"/>
  <c r="T126" i="5"/>
  <c r="S123" i="5"/>
  <c r="S124" i="5"/>
  <c r="S125" i="5"/>
  <c r="S126" i="5"/>
  <c r="R123" i="5"/>
  <c r="R124" i="5"/>
  <c r="R125" i="5"/>
  <c r="R126" i="5"/>
  <c r="Q123" i="5"/>
  <c r="Q124" i="5"/>
  <c r="Q125" i="5"/>
  <c r="Q126" i="5"/>
  <c r="P123" i="5"/>
  <c r="P124" i="5"/>
  <c r="P125" i="5"/>
  <c r="P126" i="5"/>
  <c r="O123" i="5"/>
  <c r="O124" i="5"/>
  <c r="O125" i="5"/>
  <c r="O126" i="5"/>
  <c r="N123" i="5"/>
  <c r="N124" i="5"/>
  <c r="N125" i="5"/>
  <c r="N126" i="5"/>
  <c r="M123" i="5"/>
  <c r="M124" i="5"/>
  <c r="M125" i="5"/>
  <c r="M126" i="5"/>
  <c r="L123" i="5"/>
  <c r="L124" i="5"/>
  <c r="L125" i="5"/>
  <c r="L126" i="5"/>
  <c r="K123" i="5"/>
  <c r="K124" i="5"/>
  <c r="K125" i="5"/>
  <c r="K126" i="5"/>
  <c r="J123" i="5"/>
  <c r="J124" i="5"/>
  <c r="J125" i="5"/>
  <c r="J126" i="5"/>
  <c r="I123" i="5"/>
  <c r="I124" i="5"/>
  <c r="I125" i="5"/>
  <c r="I126" i="5"/>
  <c r="T121" i="5"/>
  <c r="S121" i="5"/>
  <c r="R121" i="5"/>
  <c r="Q121" i="5"/>
  <c r="P121" i="5"/>
  <c r="O121" i="5"/>
  <c r="N121" i="5"/>
  <c r="M121" i="5"/>
  <c r="L121" i="5"/>
  <c r="K121" i="5"/>
  <c r="J121" i="5"/>
  <c r="I121" i="5"/>
  <c r="O113" i="7"/>
  <c r="O107" i="7"/>
  <c r="O97" i="7"/>
  <c r="O91" i="7"/>
  <c r="O90" i="7"/>
  <c r="O60" i="7"/>
  <c r="I105" i="7"/>
  <c r="I115" i="7"/>
  <c r="P115" i="7"/>
  <c r="J105" i="7"/>
  <c r="J115" i="7"/>
  <c r="Q115" i="7"/>
  <c r="K105" i="7"/>
  <c r="K115" i="7"/>
  <c r="R115" i="7"/>
  <c r="L105" i="7"/>
  <c r="L115" i="7"/>
  <c r="S115" i="7"/>
  <c r="I104" i="7"/>
  <c r="I114" i="7"/>
  <c r="P114" i="7"/>
  <c r="J104" i="7"/>
  <c r="J114" i="7"/>
  <c r="Q114" i="7"/>
  <c r="K104" i="7"/>
  <c r="K114" i="7"/>
  <c r="R114" i="7"/>
  <c r="L104" i="7"/>
  <c r="L114" i="7"/>
  <c r="S114" i="7"/>
  <c r="W115" i="7"/>
  <c r="V115" i="7"/>
  <c r="U115" i="7"/>
  <c r="T115" i="7"/>
  <c r="P113" i="7"/>
  <c r="Q113" i="7"/>
  <c r="R113" i="7"/>
  <c r="S113" i="7"/>
  <c r="P112" i="7"/>
  <c r="Q112" i="7"/>
  <c r="R112" i="7"/>
  <c r="S112" i="7"/>
  <c r="W113" i="7"/>
  <c r="V113" i="7"/>
  <c r="U113" i="7"/>
  <c r="T113" i="7"/>
  <c r="P111" i="7"/>
  <c r="Q111" i="7"/>
  <c r="R111" i="7"/>
  <c r="S111" i="7"/>
  <c r="P110" i="7"/>
  <c r="Q110" i="7"/>
  <c r="R110" i="7"/>
  <c r="S110" i="7"/>
  <c r="W111" i="7"/>
  <c r="V111" i="7"/>
  <c r="U111" i="7"/>
  <c r="T111" i="7"/>
  <c r="I109" i="7"/>
  <c r="P109" i="7"/>
  <c r="J109" i="7"/>
  <c r="Q109" i="7"/>
  <c r="K109" i="7"/>
  <c r="R109" i="7"/>
  <c r="L109" i="7"/>
  <c r="S109" i="7"/>
  <c r="I108" i="7"/>
  <c r="P108" i="7"/>
  <c r="J108" i="7"/>
  <c r="Q108" i="7"/>
  <c r="K108" i="7"/>
  <c r="R108" i="7"/>
  <c r="L108" i="7"/>
  <c r="S108" i="7"/>
  <c r="W109" i="7"/>
  <c r="V109" i="7"/>
  <c r="U109" i="7"/>
  <c r="T109" i="7"/>
  <c r="I13" i="7"/>
  <c r="I107" i="7"/>
  <c r="P107" i="7"/>
  <c r="J13" i="7"/>
  <c r="J107" i="7"/>
  <c r="Q107" i="7"/>
  <c r="K13" i="7"/>
  <c r="K107" i="7"/>
  <c r="R107" i="7"/>
  <c r="L13" i="7"/>
  <c r="L107" i="7"/>
  <c r="S107" i="7"/>
  <c r="I12" i="7"/>
  <c r="I106" i="7"/>
  <c r="P106" i="7"/>
  <c r="J12" i="7"/>
  <c r="J106" i="7"/>
  <c r="Q106" i="7"/>
  <c r="K12" i="7"/>
  <c r="K106" i="7"/>
  <c r="R106" i="7"/>
  <c r="L12" i="7"/>
  <c r="L106" i="7"/>
  <c r="S106" i="7"/>
  <c r="W107" i="7"/>
  <c r="V107" i="7"/>
  <c r="U107" i="7"/>
  <c r="T107" i="7"/>
  <c r="P105" i="7"/>
  <c r="Q105" i="7"/>
  <c r="R105" i="7"/>
  <c r="S105" i="7"/>
  <c r="P104" i="7"/>
  <c r="Q104" i="7"/>
  <c r="R104" i="7"/>
  <c r="S104" i="7"/>
  <c r="W105" i="7"/>
  <c r="V105" i="7"/>
  <c r="U105" i="7"/>
  <c r="T105" i="7"/>
  <c r="I103" i="7"/>
  <c r="P103" i="7"/>
  <c r="J103" i="7"/>
  <c r="Q103" i="7"/>
  <c r="K103" i="7"/>
  <c r="R103" i="7"/>
  <c r="L103" i="7"/>
  <c r="S103" i="7"/>
  <c r="I102" i="7"/>
  <c r="P102" i="7"/>
  <c r="J102" i="7"/>
  <c r="Q102" i="7"/>
  <c r="K102" i="7"/>
  <c r="R102" i="7"/>
  <c r="L102" i="7"/>
  <c r="S102" i="7"/>
  <c r="W103" i="7"/>
  <c r="V103" i="7"/>
  <c r="U103" i="7"/>
  <c r="T103" i="7"/>
  <c r="I7" i="7"/>
  <c r="I101" i="7"/>
  <c r="P101" i="7"/>
  <c r="J7" i="7"/>
  <c r="J101" i="7"/>
  <c r="Q101" i="7"/>
  <c r="K7" i="7"/>
  <c r="K101" i="7"/>
  <c r="R101" i="7"/>
  <c r="L7" i="7"/>
  <c r="L101" i="7"/>
  <c r="S101" i="7"/>
  <c r="I6" i="7"/>
  <c r="I100" i="7"/>
  <c r="P100" i="7"/>
  <c r="J6" i="7"/>
  <c r="J100" i="7"/>
  <c r="Q100" i="7"/>
  <c r="K6" i="7"/>
  <c r="K100" i="7"/>
  <c r="R100" i="7"/>
  <c r="L6" i="7"/>
  <c r="L100" i="7"/>
  <c r="S100" i="7"/>
  <c r="W101" i="7"/>
  <c r="V101" i="7"/>
  <c r="U101" i="7"/>
  <c r="T101" i="7"/>
  <c r="I99" i="7"/>
  <c r="P99" i="7"/>
  <c r="J99" i="7"/>
  <c r="Q99" i="7"/>
  <c r="K99" i="7"/>
  <c r="R99" i="7"/>
  <c r="L99" i="7"/>
  <c r="S99" i="7"/>
  <c r="I98" i="7"/>
  <c r="P98" i="7"/>
  <c r="J98" i="7"/>
  <c r="Q98" i="7"/>
  <c r="K98" i="7"/>
  <c r="R98" i="7"/>
  <c r="L98" i="7"/>
  <c r="S98" i="7"/>
  <c r="W99" i="7"/>
  <c r="V99" i="7"/>
  <c r="U99" i="7"/>
  <c r="T99" i="7"/>
  <c r="I87" i="7"/>
  <c r="I97" i="7"/>
  <c r="P97" i="7"/>
  <c r="J87" i="7"/>
  <c r="J97" i="7"/>
  <c r="Q97" i="7"/>
  <c r="K87" i="7"/>
  <c r="K97" i="7"/>
  <c r="R97" i="7"/>
  <c r="L87" i="7"/>
  <c r="L97" i="7"/>
  <c r="S97" i="7"/>
  <c r="I86" i="7"/>
  <c r="I96" i="7"/>
  <c r="P96" i="7"/>
  <c r="J86" i="7"/>
  <c r="J96" i="7"/>
  <c r="Q96" i="7"/>
  <c r="K86" i="7"/>
  <c r="K96" i="7"/>
  <c r="R96" i="7"/>
  <c r="L86" i="7"/>
  <c r="L96" i="7"/>
  <c r="S96" i="7"/>
  <c r="W97" i="7"/>
  <c r="V97" i="7"/>
  <c r="U97" i="7"/>
  <c r="T97" i="7"/>
  <c r="P95" i="7"/>
  <c r="Q95" i="7"/>
  <c r="R95" i="7"/>
  <c r="S95" i="7"/>
  <c r="P94" i="7"/>
  <c r="Q94" i="7"/>
  <c r="R94" i="7"/>
  <c r="S94" i="7"/>
  <c r="W95" i="7"/>
  <c r="V95" i="7"/>
  <c r="U95" i="7"/>
  <c r="T95" i="7"/>
  <c r="P93" i="7"/>
  <c r="Q93" i="7"/>
  <c r="R93" i="7"/>
  <c r="S93" i="7"/>
  <c r="P92" i="7"/>
  <c r="Q92" i="7"/>
  <c r="R92" i="7"/>
  <c r="S92" i="7"/>
  <c r="W93" i="7"/>
  <c r="V93" i="7"/>
  <c r="U93" i="7"/>
  <c r="T93" i="7"/>
  <c r="I91" i="7"/>
  <c r="P91" i="7"/>
  <c r="J91" i="7"/>
  <c r="Q91" i="7"/>
  <c r="K91" i="7"/>
  <c r="R91" i="7"/>
  <c r="L91" i="7"/>
  <c r="S91" i="7"/>
  <c r="I90" i="7"/>
  <c r="P90" i="7"/>
  <c r="J90" i="7"/>
  <c r="Q90" i="7"/>
  <c r="K90" i="7"/>
  <c r="R90" i="7"/>
  <c r="L90" i="7"/>
  <c r="S90" i="7"/>
  <c r="W91" i="7"/>
  <c r="V91" i="7"/>
  <c r="U91" i="7"/>
  <c r="T91" i="7"/>
  <c r="I89" i="7"/>
  <c r="P89" i="7"/>
  <c r="J89" i="7"/>
  <c r="Q89" i="7"/>
  <c r="K89" i="7"/>
  <c r="R89" i="7"/>
  <c r="L89" i="7"/>
  <c r="S89" i="7"/>
  <c r="I88" i="7"/>
  <c r="P88" i="7"/>
  <c r="J88" i="7"/>
  <c r="Q88" i="7"/>
  <c r="K88" i="7"/>
  <c r="R88" i="7"/>
  <c r="L88" i="7"/>
  <c r="S88" i="7"/>
  <c r="W89" i="7"/>
  <c r="V89" i="7"/>
  <c r="U89" i="7"/>
  <c r="T89" i="7"/>
  <c r="P87" i="7"/>
  <c r="Q87" i="7"/>
  <c r="R87" i="7"/>
  <c r="S87" i="7"/>
  <c r="P86" i="7"/>
  <c r="Q86" i="7"/>
  <c r="R86" i="7"/>
  <c r="S86" i="7"/>
  <c r="W87" i="7"/>
  <c r="V87" i="7"/>
  <c r="U87" i="7"/>
  <c r="T87" i="7"/>
  <c r="I85" i="7"/>
  <c r="P85" i="7"/>
  <c r="J85" i="7"/>
  <c r="Q85" i="7"/>
  <c r="K85" i="7"/>
  <c r="R85" i="7"/>
  <c r="L85" i="7"/>
  <c r="S85" i="7"/>
  <c r="I84" i="7"/>
  <c r="P84" i="7"/>
  <c r="J84" i="7"/>
  <c r="Q84" i="7"/>
  <c r="K84" i="7"/>
  <c r="R84" i="7"/>
  <c r="L84" i="7"/>
  <c r="S84" i="7"/>
  <c r="W85" i="7"/>
  <c r="V85" i="7"/>
  <c r="U85" i="7"/>
  <c r="T85" i="7"/>
  <c r="I83" i="7"/>
  <c r="P83" i="7"/>
  <c r="J83" i="7"/>
  <c r="Q83" i="7"/>
  <c r="K83" i="7"/>
  <c r="R83" i="7"/>
  <c r="L83" i="7"/>
  <c r="S83" i="7"/>
  <c r="I82" i="7"/>
  <c r="P82" i="7"/>
  <c r="J82" i="7"/>
  <c r="Q82" i="7"/>
  <c r="K82" i="7"/>
  <c r="R82" i="7"/>
  <c r="L82" i="7"/>
  <c r="S82" i="7"/>
  <c r="W83" i="7"/>
  <c r="V83" i="7"/>
  <c r="U83" i="7"/>
  <c r="T83" i="7"/>
  <c r="I81" i="7"/>
  <c r="P81" i="7"/>
  <c r="J81" i="7"/>
  <c r="Q81" i="7"/>
  <c r="K81" i="7"/>
  <c r="R81" i="7"/>
  <c r="L81" i="7"/>
  <c r="S81" i="7"/>
  <c r="I80" i="7"/>
  <c r="P80" i="7"/>
  <c r="J80" i="7"/>
  <c r="Q80" i="7"/>
  <c r="K80" i="7"/>
  <c r="R80" i="7"/>
  <c r="L80" i="7"/>
  <c r="S80" i="7"/>
  <c r="W81" i="7"/>
  <c r="V81" i="7"/>
  <c r="U81" i="7"/>
  <c r="T81" i="7"/>
  <c r="P79" i="7"/>
  <c r="Q79" i="7"/>
  <c r="R79" i="7"/>
  <c r="S79" i="7"/>
  <c r="P78" i="7"/>
  <c r="Q78" i="7"/>
  <c r="R78" i="7"/>
  <c r="S78" i="7"/>
  <c r="W79" i="7"/>
  <c r="V79" i="7"/>
  <c r="U79" i="7"/>
  <c r="T79" i="7"/>
  <c r="P77" i="7"/>
  <c r="Q77" i="7"/>
  <c r="R77" i="7"/>
  <c r="S77" i="7"/>
  <c r="P76" i="7"/>
  <c r="Q76" i="7"/>
  <c r="R76" i="7"/>
  <c r="S76" i="7"/>
  <c r="W77" i="7"/>
  <c r="V77" i="7"/>
  <c r="U77" i="7"/>
  <c r="T77" i="7"/>
  <c r="P75" i="7"/>
  <c r="Q75" i="7"/>
  <c r="R75" i="7"/>
  <c r="S75" i="7"/>
  <c r="P74" i="7"/>
  <c r="Q74" i="7"/>
  <c r="R74" i="7"/>
  <c r="S74" i="7"/>
  <c r="W75" i="7"/>
  <c r="V75" i="7"/>
  <c r="U75" i="7"/>
  <c r="T75" i="7"/>
  <c r="P73" i="7"/>
  <c r="Q73" i="7"/>
  <c r="R73" i="7"/>
  <c r="S73" i="7"/>
  <c r="P72" i="7"/>
  <c r="Q72" i="7"/>
  <c r="R72" i="7"/>
  <c r="S72" i="7"/>
  <c r="W73" i="7"/>
  <c r="V73" i="7"/>
  <c r="U73" i="7"/>
  <c r="T73" i="7"/>
  <c r="P71" i="7"/>
  <c r="Q71" i="7"/>
  <c r="R71" i="7"/>
  <c r="S71" i="7"/>
  <c r="P70" i="7"/>
  <c r="Q70" i="7"/>
  <c r="R70" i="7"/>
  <c r="S70" i="7"/>
  <c r="W71" i="7"/>
  <c r="V71" i="7"/>
  <c r="U71" i="7"/>
  <c r="T71" i="7"/>
  <c r="P69" i="7"/>
  <c r="Q69" i="7"/>
  <c r="R69" i="7"/>
  <c r="S69" i="7"/>
  <c r="P68" i="7"/>
  <c r="Q68" i="7"/>
  <c r="R68" i="7"/>
  <c r="S68" i="7"/>
  <c r="W69" i="7"/>
  <c r="V69" i="7"/>
  <c r="U69" i="7"/>
  <c r="T69" i="7"/>
  <c r="P67" i="7"/>
  <c r="Q67" i="7"/>
  <c r="R67" i="7"/>
  <c r="S67" i="7"/>
  <c r="P66" i="7"/>
  <c r="Q66" i="7"/>
  <c r="R66" i="7"/>
  <c r="S66" i="7"/>
  <c r="W67" i="7"/>
  <c r="V67" i="7"/>
  <c r="U67" i="7"/>
  <c r="T67" i="7"/>
  <c r="P65" i="7"/>
  <c r="Q65" i="7"/>
  <c r="R65" i="7"/>
  <c r="S65" i="7"/>
  <c r="P64" i="7"/>
  <c r="Q64" i="7"/>
  <c r="R64" i="7"/>
  <c r="S64" i="7"/>
  <c r="W65" i="7"/>
  <c r="V65" i="7"/>
  <c r="U65" i="7"/>
  <c r="T65" i="7"/>
  <c r="P63" i="7"/>
  <c r="Q63" i="7"/>
  <c r="R63" i="7"/>
  <c r="S63" i="7"/>
  <c r="P62" i="7"/>
  <c r="Q62" i="7"/>
  <c r="R62" i="7"/>
  <c r="S62" i="7"/>
  <c r="W63" i="7"/>
  <c r="V63" i="7"/>
  <c r="U63" i="7"/>
  <c r="T63" i="7"/>
  <c r="P61" i="7"/>
  <c r="Q61" i="7"/>
  <c r="R61" i="7"/>
  <c r="S61" i="7"/>
  <c r="P60" i="7"/>
  <c r="Q60" i="7"/>
  <c r="R60" i="7"/>
  <c r="S60" i="7"/>
  <c r="W61" i="7"/>
  <c r="V61" i="7"/>
  <c r="U61" i="7"/>
  <c r="T61" i="7"/>
  <c r="P59" i="7"/>
  <c r="Q59" i="7"/>
  <c r="R59" i="7"/>
  <c r="S59" i="7"/>
  <c r="P58" i="7"/>
  <c r="Q58" i="7"/>
  <c r="R58" i="7"/>
  <c r="S58" i="7"/>
  <c r="W59" i="7"/>
  <c r="V59" i="7"/>
  <c r="U59" i="7"/>
  <c r="T59" i="7"/>
  <c r="P57" i="7"/>
  <c r="Q57" i="7"/>
  <c r="R57" i="7"/>
  <c r="S57" i="7"/>
  <c r="P56" i="7"/>
  <c r="Q56" i="7"/>
  <c r="R56" i="7"/>
  <c r="S56" i="7"/>
  <c r="W57" i="7"/>
  <c r="V57" i="7"/>
  <c r="U57" i="7"/>
  <c r="T57" i="7"/>
  <c r="P55" i="7"/>
  <c r="Q55" i="7"/>
  <c r="R55" i="7"/>
  <c r="S55" i="7"/>
  <c r="P54" i="7"/>
  <c r="Q54" i="7"/>
  <c r="R54" i="7"/>
  <c r="S54" i="7"/>
  <c r="W55" i="7"/>
  <c r="V55" i="7"/>
  <c r="U55" i="7"/>
  <c r="T55" i="7"/>
  <c r="P53" i="7"/>
  <c r="Q53" i="7"/>
  <c r="R53" i="7"/>
  <c r="S53" i="7"/>
  <c r="P52" i="7"/>
  <c r="Q52" i="7"/>
  <c r="R52" i="7"/>
  <c r="S52" i="7"/>
  <c r="W53" i="7"/>
  <c r="V53" i="7"/>
  <c r="U53" i="7"/>
  <c r="T53" i="7"/>
  <c r="P51" i="7"/>
  <c r="Q51" i="7"/>
  <c r="R51" i="7"/>
  <c r="S51" i="7"/>
  <c r="P50" i="7"/>
  <c r="Q50" i="7"/>
  <c r="R50" i="7"/>
  <c r="S50" i="7"/>
  <c r="W51" i="7"/>
  <c r="V51" i="7"/>
  <c r="U51" i="7"/>
  <c r="T51" i="7"/>
  <c r="P49" i="7"/>
  <c r="Q49" i="7"/>
  <c r="R49" i="7"/>
  <c r="S49" i="7"/>
  <c r="P48" i="7"/>
  <c r="Q48" i="7"/>
  <c r="R48" i="7"/>
  <c r="S48" i="7"/>
  <c r="W49" i="7"/>
  <c r="V49" i="7"/>
  <c r="U49" i="7"/>
  <c r="T49" i="7"/>
  <c r="P47" i="7"/>
  <c r="Q47" i="7"/>
  <c r="R47" i="7"/>
  <c r="S47" i="7"/>
  <c r="P46" i="7"/>
  <c r="Q46" i="7"/>
  <c r="R46" i="7"/>
  <c r="S46" i="7"/>
  <c r="W47" i="7"/>
  <c r="V47" i="7"/>
  <c r="U47" i="7"/>
  <c r="T47" i="7"/>
  <c r="P45" i="7"/>
  <c r="Q45" i="7"/>
  <c r="R45" i="7"/>
  <c r="S45" i="7"/>
  <c r="P44" i="7"/>
  <c r="Q44" i="7"/>
  <c r="R44" i="7"/>
  <c r="S44" i="7"/>
  <c r="W45" i="7"/>
  <c r="V45" i="7"/>
  <c r="U45" i="7"/>
  <c r="T45" i="7"/>
  <c r="P43" i="7"/>
  <c r="Q43" i="7"/>
  <c r="R43" i="7"/>
  <c r="S43" i="7"/>
  <c r="P42" i="7"/>
  <c r="Q42" i="7"/>
  <c r="R42" i="7"/>
  <c r="S42" i="7"/>
  <c r="W43" i="7"/>
  <c r="V43" i="7"/>
  <c r="U43" i="7"/>
  <c r="T43" i="7"/>
  <c r="P41" i="7"/>
  <c r="Q41" i="7"/>
  <c r="R41" i="7"/>
  <c r="S41" i="7"/>
  <c r="P40" i="7"/>
  <c r="Q40" i="7"/>
  <c r="R40" i="7"/>
  <c r="S40" i="7"/>
  <c r="W41" i="7"/>
  <c r="V41" i="7"/>
  <c r="U41" i="7"/>
  <c r="T41" i="7"/>
  <c r="P39" i="7"/>
  <c r="Q39" i="7"/>
  <c r="R39" i="7"/>
  <c r="S39" i="7"/>
  <c r="P38" i="7"/>
  <c r="Q38" i="7"/>
  <c r="R38" i="7"/>
  <c r="S38" i="7"/>
  <c r="W39" i="7"/>
  <c r="V39" i="7"/>
  <c r="U39" i="7"/>
  <c r="T39" i="7"/>
  <c r="P37" i="7"/>
  <c r="Q37" i="7"/>
  <c r="R37" i="7"/>
  <c r="S37" i="7"/>
  <c r="P36" i="7"/>
  <c r="Q36" i="7"/>
  <c r="R36" i="7"/>
  <c r="S36" i="7"/>
  <c r="W37" i="7"/>
  <c r="V37" i="7"/>
  <c r="U37" i="7"/>
  <c r="T37" i="7"/>
  <c r="P35" i="7"/>
  <c r="Q35" i="7"/>
  <c r="R35" i="7"/>
  <c r="S35" i="7"/>
  <c r="P34" i="7"/>
  <c r="Q34" i="7"/>
  <c r="R34" i="7"/>
  <c r="S34" i="7"/>
  <c r="W35" i="7"/>
  <c r="V35" i="7"/>
  <c r="U35" i="7"/>
  <c r="T35" i="7"/>
  <c r="P33" i="7"/>
  <c r="Q33" i="7"/>
  <c r="R33" i="7"/>
  <c r="S33" i="7"/>
  <c r="P32" i="7"/>
  <c r="Q32" i="7"/>
  <c r="R32" i="7"/>
  <c r="S32" i="7"/>
  <c r="W33" i="7"/>
  <c r="V33" i="7"/>
  <c r="U33" i="7"/>
  <c r="T33" i="7"/>
  <c r="P31" i="7"/>
  <c r="Q31" i="7"/>
  <c r="R31" i="7"/>
  <c r="S31" i="7"/>
  <c r="P30" i="7"/>
  <c r="Q30" i="7"/>
  <c r="R30" i="7"/>
  <c r="S30" i="7"/>
  <c r="W31" i="7"/>
  <c r="V31" i="7"/>
  <c r="U31" i="7"/>
  <c r="T31" i="7"/>
  <c r="P29" i="7"/>
  <c r="Q29" i="7"/>
  <c r="R29" i="7"/>
  <c r="S29" i="7"/>
  <c r="P28" i="7"/>
  <c r="Q28" i="7"/>
  <c r="R28" i="7"/>
  <c r="S28" i="7"/>
  <c r="W29" i="7"/>
  <c r="V29" i="7"/>
  <c r="U29" i="7"/>
  <c r="T29" i="7"/>
  <c r="P27" i="7"/>
  <c r="Q27" i="7"/>
  <c r="R27" i="7"/>
  <c r="S27" i="7"/>
  <c r="P26" i="7"/>
  <c r="Q26" i="7"/>
  <c r="R26" i="7"/>
  <c r="S26" i="7"/>
  <c r="W27" i="7"/>
  <c r="V27" i="7"/>
  <c r="U27" i="7"/>
  <c r="T27" i="7"/>
  <c r="P25" i="7"/>
  <c r="Q25" i="7"/>
  <c r="R25" i="7"/>
  <c r="S25" i="7"/>
  <c r="P24" i="7"/>
  <c r="Q24" i="7"/>
  <c r="R24" i="7"/>
  <c r="S24" i="7"/>
  <c r="W25" i="7"/>
  <c r="V25" i="7"/>
  <c r="U25" i="7"/>
  <c r="T25" i="7"/>
  <c r="P23" i="7"/>
  <c r="Q23" i="7"/>
  <c r="R23" i="7"/>
  <c r="S23" i="7"/>
  <c r="P22" i="7"/>
  <c r="Q22" i="7"/>
  <c r="R22" i="7"/>
  <c r="S22" i="7"/>
  <c r="W23" i="7"/>
  <c r="V23" i="7"/>
  <c r="U23" i="7"/>
  <c r="T23" i="7"/>
  <c r="P21" i="7"/>
  <c r="Q21" i="7"/>
  <c r="R21" i="7"/>
  <c r="S21" i="7"/>
  <c r="P20" i="7"/>
  <c r="Q20" i="7"/>
  <c r="R20" i="7"/>
  <c r="S20" i="7"/>
  <c r="W21" i="7"/>
  <c r="V21" i="7"/>
  <c r="U21" i="7"/>
  <c r="T21" i="7"/>
  <c r="P19" i="7"/>
  <c r="Q19" i="7"/>
  <c r="R19" i="7"/>
  <c r="S19" i="7"/>
  <c r="P18" i="7"/>
  <c r="Q18" i="7"/>
  <c r="R18" i="7"/>
  <c r="S18" i="7"/>
  <c r="W19" i="7"/>
  <c r="V19" i="7"/>
  <c r="U19" i="7"/>
  <c r="T19" i="7"/>
  <c r="P17" i="7"/>
  <c r="Q17" i="7"/>
  <c r="R17" i="7"/>
  <c r="S17" i="7"/>
  <c r="P16" i="7"/>
  <c r="Q16" i="7"/>
  <c r="R16" i="7"/>
  <c r="S16" i="7"/>
  <c r="W17" i="7"/>
  <c r="V17" i="7"/>
  <c r="U17" i="7"/>
  <c r="T17" i="7"/>
  <c r="P15" i="7"/>
  <c r="Q15" i="7"/>
  <c r="R15" i="7"/>
  <c r="S15" i="7"/>
  <c r="P14" i="7"/>
  <c r="Q14" i="7"/>
  <c r="R14" i="7"/>
  <c r="S14" i="7"/>
  <c r="W15" i="7"/>
  <c r="V15" i="7"/>
  <c r="U15" i="7"/>
  <c r="T15" i="7"/>
  <c r="P13" i="7"/>
  <c r="Q13" i="7"/>
  <c r="R13" i="7"/>
  <c r="S13" i="7"/>
  <c r="P12" i="7"/>
  <c r="Q12" i="7"/>
  <c r="R12" i="7"/>
  <c r="S12" i="7"/>
  <c r="W13" i="7"/>
  <c r="V13" i="7"/>
  <c r="U13" i="7"/>
  <c r="T13" i="7"/>
  <c r="P11" i="7"/>
  <c r="Q11" i="7"/>
  <c r="R11" i="7"/>
  <c r="S11" i="7"/>
  <c r="P10" i="7"/>
  <c r="Q10" i="7"/>
  <c r="R10" i="7"/>
  <c r="S10" i="7"/>
  <c r="W11" i="7"/>
  <c r="V11" i="7"/>
  <c r="U11" i="7"/>
  <c r="T11" i="7"/>
  <c r="P9" i="7"/>
  <c r="Q9" i="7"/>
  <c r="R9" i="7"/>
  <c r="S9" i="7"/>
  <c r="P8" i="7"/>
  <c r="Q8" i="7"/>
  <c r="R8" i="7"/>
  <c r="S8" i="7"/>
  <c r="W9" i="7"/>
  <c r="V9" i="7"/>
  <c r="U9" i="7"/>
  <c r="T9" i="7"/>
  <c r="P7" i="7"/>
  <c r="Q7" i="7"/>
  <c r="R7" i="7"/>
  <c r="S7" i="7"/>
  <c r="P6" i="7"/>
  <c r="Q6" i="7"/>
  <c r="R6" i="7"/>
  <c r="S6" i="7"/>
  <c r="W7" i="7"/>
  <c r="V7" i="7"/>
  <c r="U7" i="7"/>
  <c r="T7" i="7"/>
  <c r="P5" i="7"/>
  <c r="Q5" i="7"/>
  <c r="R5" i="7"/>
  <c r="S5" i="7"/>
  <c r="P4" i="7"/>
  <c r="Q4" i="7"/>
  <c r="R4" i="7"/>
  <c r="S4" i="7"/>
  <c r="W5" i="7"/>
  <c r="V5" i="7"/>
  <c r="U5" i="7"/>
  <c r="T5" i="7"/>
  <c r="T83" i="3"/>
  <c r="T84" i="3"/>
  <c r="T85" i="3"/>
  <c r="T86" i="3"/>
  <c r="T87" i="3"/>
  <c r="T88" i="3"/>
  <c r="T91" i="3"/>
  <c r="T93" i="3"/>
  <c r="T92" i="3"/>
  <c r="T94" i="3"/>
  <c r="T95" i="3"/>
  <c r="T101" i="3"/>
  <c r="T102" i="3"/>
  <c r="T103" i="3"/>
  <c r="T104" i="3"/>
  <c r="T105" i="3"/>
  <c r="T107" i="3"/>
  <c r="T108" i="3"/>
  <c r="T109" i="3"/>
  <c r="T111" i="3"/>
  <c r="T110" i="3"/>
  <c r="T113" i="3"/>
  <c r="T114" i="3"/>
  <c r="D27" i="6"/>
  <c r="E27" i="6"/>
  <c r="D26" i="6"/>
  <c r="E26" i="6"/>
  <c r="T71" i="3"/>
  <c r="T73" i="3"/>
  <c r="T75" i="3"/>
  <c r="T77" i="3"/>
  <c r="T7" i="3"/>
  <c r="T8" i="3"/>
  <c r="T9" i="3"/>
  <c r="T10" i="3"/>
  <c r="T11" i="3"/>
  <c r="T13" i="3"/>
  <c r="T12" i="3"/>
  <c r="T14" i="3"/>
  <c r="T15" i="3"/>
  <c r="T17" i="3"/>
  <c r="T16" i="3"/>
  <c r="T18" i="3"/>
  <c r="T19" i="3"/>
  <c r="T21" i="3"/>
  <c r="T20" i="3"/>
  <c r="T22" i="3"/>
  <c r="T23" i="3"/>
  <c r="T24" i="3"/>
  <c r="T25" i="3"/>
  <c r="T27" i="3"/>
  <c r="T26" i="3"/>
  <c r="T28" i="3"/>
  <c r="T29" i="3"/>
  <c r="T31" i="3"/>
  <c r="T30" i="3"/>
  <c r="T32" i="3"/>
  <c r="T33" i="3"/>
  <c r="T35" i="3"/>
  <c r="T34" i="3"/>
  <c r="T36" i="3"/>
  <c r="T37" i="3"/>
  <c r="T39" i="3"/>
  <c r="T41" i="3"/>
  <c r="T38" i="3"/>
  <c r="T40" i="3"/>
  <c r="T42" i="3"/>
  <c r="T45" i="3"/>
  <c r="T46" i="3"/>
  <c r="T47" i="3"/>
  <c r="T48" i="3"/>
  <c r="T49" i="3"/>
  <c r="T50" i="3"/>
  <c r="T51" i="3"/>
  <c r="T53" i="3"/>
  <c r="T52" i="3"/>
  <c r="T54" i="3"/>
  <c r="T55" i="3"/>
  <c r="T56" i="3"/>
  <c r="T57" i="3"/>
  <c r="T58" i="3"/>
  <c r="T60" i="3"/>
  <c r="T61" i="3"/>
  <c r="T62" i="3"/>
  <c r="T63" i="3"/>
  <c r="T65" i="3"/>
  <c r="T67" i="3"/>
  <c r="T69" i="3"/>
  <c r="T64" i="3"/>
  <c r="T66" i="3"/>
  <c r="T68" i="3"/>
  <c r="T70" i="3"/>
  <c r="T72" i="3"/>
  <c r="T74" i="3"/>
  <c r="T76" i="3"/>
  <c r="T78" i="3"/>
  <c r="D24" i="6"/>
  <c r="E24" i="6"/>
  <c r="D23" i="6"/>
  <c r="E23" i="6"/>
  <c r="D22" i="6"/>
  <c r="E22" i="6"/>
  <c r="D21" i="6"/>
  <c r="E21" i="6"/>
  <c r="D20" i="6"/>
  <c r="E20" i="6"/>
  <c r="D19" i="6"/>
  <c r="E19" i="6"/>
  <c r="D18" i="6"/>
  <c r="E18" i="6"/>
  <c r="D17" i="6"/>
  <c r="E17" i="6"/>
  <c r="D16" i="6"/>
  <c r="E16" i="6"/>
  <c r="D15" i="6"/>
  <c r="E15" i="6"/>
  <c r="D14" i="6"/>
  <c r="E14" i="6"/>
  <c r="D13" i="6"/>
  <c r="E13" i="6"/>
  <c r="D12" i="6"/>
  <c r="E12" i="6"/>
  <c r="D11" i="6"/>
  <c r="E11" i="6"/>
  <c r="D10" i="6"/>
  <c r="E10" i="6"/>
  <c r="D9" i="6"/>
  <c r="E9" i="6"/>
  <c r="D8" i="6"/>
  <c r="E8" i="6"/>
  <c r="D7" i="6"/>
  <c r="E7" i="6"/>
  <c r="D6" i="6"/>
  <c r="E6" i="6"/>
  <c r="D5" i="6"/>
  <c r="E5" i="6"/>
  <c r="D4" i="6"/>
  <c r="E4" i="6"/>
  <c r="C27" i="6"/>
  <c r="C26" i="6"/>
  <c r="C24" i="6"/>
  <c r="C23" i="6"/>
  <c r="C22" i="6"/>
  <c r="C21" i="6"/>
  <c r="C20" i="6"/>
  <c r="C19" i="6"/>
  <c r="C18" i="6"/>
  <c r="C17" i="6"/>
  <c r="C16" i="6"/>
  <c r="C15" i="6"/>
  <c r="C14" i="6"/>
  <c r="C13" i="6"/>
  <c r="C12" i="6"/>
  <c r="C11" i="6"/>
  <c r="C10" i="6"/>
  <c r="C9" i="6"/>
  <c r="C8" i="6"/>
  <c r="C7" i="6"/>
  <c r="C6" i="6"/>
  <c r="C5" i="6"/>
  <c r="C4" i="6"/>
  <c r="E25" i="6"/>
  <c r="E30" i="6"/>
  <c r="E28" i="6"/>
  <c r="D25" i="6"/>
  <c r="D28" i="6"/>
  <c r="C25" i="6"/>
  <c r="C28" i="6"/>
  <c r="F4" i="6"/>
  <c r="F5" i="6"/>
  <c r="F6" i="6"/>
  <c r="F7" i="6"/>
  <c r="F8" i="6"/>
  <c r="F9" i="6"/>
  <c r="F10" i="6"/>
  <c r="F11" i="6"/>
  <c r="F12" i="6"/>
  <c r="F13" i="6"/>
  <c r="F14" i="6"/>
  <c r="F15" i="6"/>
  <c r="F16" i="6"/>
  <c r="F17" i="6"/>
  <c r="F18" i="6"/>
  <c r="F19" i="6"/>
  <c r="F20" i="6"/>
  <c r="F21" i="6"/>
  <c r="F22" i="6"/>
  <c r="F23" i="6"/>
  <c r="F24" i="6"/>
  <c r="F25" i="6"/>
  <c r="G25" i="6"/>
  <c r="T118" i="3"/>
  <c r="T128" i="3"/>
  <c r="T133" i="3"/>
  <c r="T119" i="3"/>
  <c r="T129" i="3"/>
  <c r="T134" i="3"/>
  <c r="T120" i="3"/>
  <c r="T130" i="3"/>
  <c r="T135" i="3"/>
  <c r="T136" i="3"/>
  <c r="T131" i="3"/>
  <c r="T126" i="3"/>
  <c r="T121" i="3"/>
  <c r="S118" i="3"/>
  <c r="S128" i="3"/>
  <c r="S133" i="3"/>
  <c r="S119" i="3"/>
  <c r="S129" i="3"/>
  <c r="S134" i="3"/>
  <c r="S120" i="3"/>
  <c r="S130" i="3"/>
  <c r="S135" i="3"/>
  <c r="S136" i="3"/>
  <c r="S131" i="3"/>
  <c r="S123" i="3"/>
  <c r="S124" i="3"/>
  <c r="S125" i="3"/>
  <c r="S126" i="3"/>
  <c r="S121" i="3"/>
  <c r="L105" i="2"/>
  <c r="L115" i="2"/>
  <c r="K105" i="2"/>
  <c r="K115" i="2"/>
  <c r="J105" i="2"/>
  <c r="J115" i="2"/>
  <c r="I105" i="2"/>
  <c r="I115" i="2"/>
  <c r="L104" i="2"/>
  <c r="L114" i="2"/>
  <c r="K104" i="2"/>
  <c r="K114" i="2"/>
  <c r="J104" i="2"/>
  <c r="J114" i="2"/>
  <c r="I104" i="2"/>
  <c r="I114" i="2"/>
  <c r="L109" i="2"/>
  <c r="K109" i="2"/>
  <c r="J109" i="2"/>
  <c r="I109" i="2"/>
  <c r="L108" i="2"/>
  <c r="K108" i="2"/>
  <c r="J108" i="2"/>
  <c r="I108" i="2"/>
  <c r="L13" i="2"/>
  <c r="L107" i="2"/>
  <c r="K13" i="2"/>
  <c r="K107" i="2"/>
  <c r="J13" i="2"/>
  <c r="J107" i="2"/>
  <c r="I13" i="2"/>
  <c r="I107" i="2"/>
  <c r="L12" i="2"/>
  <c r="L106" i="2"/>
  <c r="K12" i="2"/>
  <c r="K106" i="2"/>
  <c r="J12" i="2"/>
  <c r="J106" i="2"/>
  <c r="I12" i="2"/>
  <c r="I106" i="2"/>
  <c r="L103" i="2"/>
  <c r="K103" i="2"/>
  <c r="J103" i="2"/>
  <c r="I103" i="2"/>
  <c r="L102" i="2"/>
  <c r="K102" i="2"/>
  <c r="J102" i="2"/>
  <c r="I102" i="2"/>
  <c r="L6" i="2"/>
  <c r="L7" i="2"/>
  <c r="L101" i="2"/>
  <c r="K6" i="2"/>
  <c r="K7" i="2"/>
  <c r="K101" i="2"/>
  <c r="J6" i="2"/>
  <c r="J7" i="2"/>
  <c r="J101" i="2"/>
  <c r="I6" i="2"/>
  <c r="I7" i="2"/>
  <c r="I101" i="2"/>
  <c r="L100" i="2"/>
  <c r="K100" i="2"/>
  <c r="J100" i="2"/>
  <c r="I100" i="2"/>
  <c r="L99" i="2"/>
  <c r="K99" i="2"/>
  <c r="J99" i="2"/>
  <c r="I99" i="2"/>
  <c r="L98" i="2"/>
  <c r="K98" i="2"/>
  <c r="J98" i="2"/>
  <c r="I98" i="2"/>
  <c r="L87" i="2"/>
  <c r="L97" i="2"/>
  <c r="K87" i="2"/>
  <c r="K97" i="2"/>
  <c r="J87" i="2"/>
  <c r="J97" i="2"/>
  <c r="I87" i="2"/>
  <c r="I97" i="2"/>
  <c r="L86" i="2"/>
  <c r="L96" i="2"/>
  <c r="K86" i="2"/>
  <c r="K96" i="2"/>
  <c r="J86" i="2"/>
  <c r="J96" i="2"/>
  <c r="I86" i="2"/>
  <c r="I96" i="2"/>
  <c r="L91" i="2"/>
  <c r="K91" i="2"/>
  <c r="J91" i="2"/>
  <c r="I91" i="2"/>
  <c r="L90" i="2"/>
  <c r="K90" i="2"/>
  <c r="J90" i="2"/>
  <c r="I90" i="2"/>
  <c r="L89" i="2"/>
  <c r="K89" i="2"/>
  <c r="J89" i="2"/>
  <c r="I89" i="2"/>
  <c r="L88" i="2"/>
  <c r="K88" i="2"/>
  <c r="J88" i="2"/>
  <c r="I88" i="2"/>
  <c r="L85" i="2"/>
  <c r="K85" i="2"/>
  <c r="J85" i="2"/>
  <c r="I85" i="2"/>
  <c r="L84" i="2"/>
  <c r="K84" i="2"/>
  <c r="J84" i="2"/>
  <c r="I84" i="2"/>
  <c r="L83" i="2"/>
  <c r="K83" i="2"/>
  <c r="J83" i="2"/>
  <c r="I83" i="2"/>
  <c r="L82" i="2"/>
  <c r="K82" i="2"/>
  <c r="J82" i="2"/>
  <c r="I82" i="2"/>
  <c r="L81" i="2"/>
  <c r="K81" i="2"/>
  <c r="J81" i="2"/>
  <c r="I81" i="2"/>
  <c r="L80" i="2"/>
  <c r="K80" i="2"/>
  <c r="J80" i="2"/>
  <c r="I80" i="2"/>
  <c r="O115" i="2"/>
  <c r="P115" i="2"/>
  <c r="Q115" i="2"/>
  <c r="R115" i="2"/>
  <c r="O114" i="2"/>
  <c r="P114" i="2"/>
  <c r="Q114" i="2"/>
  <c r="R114" i="2"/>
  <c r="X115" i="2"/>
  <c r="W115" i="2"/>
  <c r="V115" i="2"/>
  <c r="U115" i="2"/>
  <c r="O113" i="2"/>
  <c r="P113" i="2"/>
  <c r="Q113" i="2"/>
  <c r="R113" i="2"/>
  <c r="O111" i="2"/>
  <c r="P111" i="2"/>
  <c r="Q111" i="2"/>
  <c r="R111" i="2"/>
  <c r="O112" i="2"/>
  <c r="P112" i="2"/>
  <c r="Q112" i="2"/>
  <c r="R112" i="2"/>
  <c r="X113" i="2"/>
  <c r="W113" i="2"/>
  <c r="V113" i="2"/>
  <c r="U113" i="2"/>
  <c r="O110" i="2"/>
  <c r="P110" i="2"/>
  <c r="Q110" i="2"/>
  <c r="R110" i="2"/>
  <c r="X111" i="2"/>
  <c r="W111" i="2"/>
  <c r="V111" i="2"/>
  <c r="U111" i="2"/>
  <c r="O109" i="2"/>
  <c r="P109" i="2"/>
  <c r="Q109" i="2"/>
  <c r="R109" i="2"/>
  <c r="O108" i="2"/>
  <c r="P108" i="2"/>
  <c r="Q108" i="2"/>
  <c r="R108" i="2"/>
  <c r="O107" i="2"/>
  <c r="P107" i="2"/>
  <c r="Q107" i="2"/>
  <c r="R107" i="2"/>
  <c r="X109" i="2"/>
  <c r="W109" i="2"/>
  <c r="V109" i="2"/>
  <c r="U109" i="2"/>
  <c r="O106" i="2"/>
  <c r="P106" i="2"/>
  <c r="Q106" i="2"/>
  <c r="R106" i="2"/>
  <c r="X107" i="2"/>
  <c r="W107" i="2"/>
  <c r="V107" i="2"/>
  <c r="U107" i="2"/>
  <c r="O105" i="2"/>
  <c r="P105" i="2"/>
  <c r="Q105" i="2"/>
  <c r="R105" i="2"/>
  <c r="O104" i="2"/>
  <c r="P104" i="2"/>
  <c r="Q104" i="2"/>
  <c r="R104" i="2"/>
  <c r="X105" i="2"/>
  <c r="W105" i="2"/>
  <c r="V105" i="2"/>
  <c r="U105" i="2"/>
  <c r="O103" i="2"/>
  <c r="P103" i="2"/>
  <c r="Q103" i="2"/>
  <c r="R103" i="2"/>
  <c r="O102" i="2"/>
  <c r="P102" i="2"/>
  <c r="Q102" i="2"/>
  <c r="R102" i="2"/>
  <c r="X103" i="2"/>
  <c r="W103" i="2"/>
  <c r="V103" i="2"/>
  <c r="U103" i="2"/>
  <c r="O101" i="2"/>
  <c r="P101" i="2"/>
  <c r="Q101" i="2"/>
  <c r="R101" i="2"/>
  <c r="O100" i="2"/>
  <c r="P100" i="2"/>
  <c r="Q100" i="2"/>
  <c r="R100" i="2"/>
  <c r="O99" i="2"/>
  <c r="P99" i="2"/>
  <c r="Q99" i="2"/>
  <c r="R99" i="2"/>
  <c r="X101" i="2"/>
  <c r="W101" i="2"/>
  <c r="V101" i="2"/>
  <c r="U101" i="2"/>
  <c r="O98" i="2"/>
  <c r="P98" i="2"/>
  <c r="Q98" i="2"/>
  <c r="R98" i="2"/>
  <c r="X99" i="2"/>
  <c r="W99" i="2"/>
  <c r="V99" i="2"/>
  <c r="U99" i="2"/>
  <c r="O97" i="2"/>
  <c r="P97" i="2"/>
  <c r="Q97" i="2"/>
  <c r="R97" i="2"/>
  <c r="O96" i="2"/>
  <c r="P96" i="2"/>
  <c r="Q96" i="2"/>
  <c r="R96" i="2"/>
  <c r="X97" i="2"/>
  <c r="W97" i="2"/>
  <c r="V97" i="2"/>
  <c r="U97" i="2"/>
  <c r="O95" i="2"/>
  <c r="P95" i="2"/>
  <c r="Q95" i="2"/>
  <c r="R95" i="2"/>
  <c r="O93" i="2"/>
  <c r="P93" i="2"/>
  <c r="Q93" i="2"/>
  <c r="R93" i="2"/>
  <c r="O94" i="2"/>
  <c r="P94" i="2"/>
  <c r="Q94" i="2"/>
  <c r="R94" i="2"/>
  <c r="X95" i="2"/>
  <c r="W95" i="2"/>
  <c r="V95" i="2"/>
  <c r="U95" i="2"/>
  <c r="O92" i="2"/>
  <c r="P92" i="2"/>
  <c r="Q92" i="2"/>
  <c r="R92" i="2"/>
  <c r="X93" i="2"/>
  <c r="W93" i="2"/>
  <c r="V93" i="2"/>
  <c r="U93" i="2"/>
  <c r="O91" i="2"/>
  <c r="P91" i="2"/>
  <c r="Q91" i="2"/>
  <c r="R91" i="2"/>
  <c r="O90" i="2"/>
  <c r="P90" i="2"/>
  <c r="Q90" i="2"/>
  <c r="R90" i="2"/>
  <c r="O89" i="2"/>
  <c r="P89" i="2"/>
  <c r="Q89" i="2"/>
  <c r="R89" i="2"/>
  <c r="X91" i="2"/>
  <c r="W91" i="2"/>
  <c r="V91" i="2"/>
  <c r="U91" i="2"/>
  <c r="O88" i="2"/>
  <c r="P88" i="2"/>
  <c r="Q88" i="2"/>
  <c r="R88" i="2"/>
  <c r="X89" i="2"/>
  <c r="W89" i="2"/>
  <c r="V89" i="2"/>
  <c r="U89" i="2"/>
  <c r="O87" i="2"/>
  <c r="P87" i="2"/>
  <c r="Q87" i="2"/>
  <c r="R87" i="2"/>
  <c r="O86" i="2"/>
  <c r="P86" i="2"/>
  <c r="Q86" i="2"/>
  <c r="R86" i="2"/>
  <c r="X87" i="2"/>
  <c r="W87" i="2"/>
  <c r="V87" i="2"/>
  <c r="U87" i="2"/>
  <c r="O85" i="2"/>
  <c r="P85" i="2"/>
  <c r="Q85" i="2"/>
  <c r="R85" i="2"/>
  <c r="O84" i="2"/>
  <c r="P84" i="2"/>
  <c r="Q84" i="2"/>
  <c r="R84" i="2"/>
  <c r="X85" i="2"/>
  <c r="W85" i="2"/>
  <c r="V85" i="2"/>
  <c r="U85" i="2"/>
  <c r="O83" i="2"/>
  <c r="P83" i="2"/>
  <c r="Q83" i="2"/>
  <c r="R83" i="2"/>
  <c r="O82" i="2"/>
  <c r="P82" i="2"/>
  <c r="Q82" i="2"/>
  <c r="R82" i="2"/>
  <c r="O81" i="2"/>
  <c r="P81" i="2"/>
  <c r="Q81" i="2"/>
  <c r="R81" i="2"/>
  <c r="X83" i="2"/>
  <c r="W83" i="2"/>
  <c r="V83" i="2"/>
  <c r="U83" i="2"/>
  <c r="O80" i="2"/>
  <c r="P80" i="2"/>
  <c r="Q80" i="2"/>
  <c r="R80" i="2"/>
  <c r="X81" i="2"/>
  <c r="W81" i="2"/>
  <c r="V81" i="2"/>
  <c r="U81" i="2"/>
  <c r="O79" i="2"/>
  <c r="P79" i="2"/>
  <c r="Q79" i="2"/>
  <c r="R79" i="2"/>
  <c r="O77" i="2"/>
  <c r="P77" i="2"/>
  <c r="Q77" i="2"/>
  <c r="R77" i="2"/>
  <c r="O78" i="2"/>
  <c r="P78" i="2"/>
  <c r="Q78" i="2"/>
  <c r="R78" i="2"/>
  <c r="X79" i="2"/>
  <c r="W79" i="2"/>
  <c r="V79" i="2"/>
  <c r="U79" i="2"/>
  <c r="O75" i="2"/>
  <c r="P75" i="2"/>
  <c r="Q75" i="2"/>
  <c r="R75" i="2"/>
  <c r="O73" i="2"/>
  <c r="P73" i="2"/>
  <c r="Q73" i="2"/>
  <c r="R73" i="2"/>
  <c r="O76" i="2"/>
  <c r="P76" i="2"/>
  <c r="Q76" i="2"/>
  <c r="R76" i="2"/>
  <c r="X77" i="2"/>
  <c r="W77" i="2"/>
  <c r="V77" i="2"/>
  <c r="U77" i="2"/>
  <c r="O74" i="2"/>
  <c r="P74" i="2"/>
  <c r="Q74" i="2"/>
  <c r="R74" i="2"/>
  <c r="X75" i="2"/>
  <c r="W75" i="2"/>
  <c r="V75" i="2"/>
  <c r="U75" i="2"/>
  <c r="O72" i="2"/>
  <c r="P72" i="2"/>
  <c r="Q72" i="2"/>
  <c r="R72" i="2"/>
  <c r="X73" i="2"/>
  <c r="W73" i="2"/>
  <c r="V73" i="2"/>
  <c r="U73" i="2"/>
  <c r="O71" i="2"/>
  <c r="P71" i="2"/>
  <c r="Q71" i="2"/>
  <c r="R71" i="2"/>
  <c r="O69" i="2"/>
  <c r="P69" i="2"/>
  <c r="Q69" i="2"/>
  <c r="R69" i="2"/>
  <c r="O70" i="2"/>
  <c r="P70" i="2"/>
  <c r="Q70" i="2"/>
  <c r="R70" i="2"/>
  <c r="X71" i="2"/>
  <c r="W71" i="2"/>
  <c r="V71" i="2"/>
  <c r="U71" i="2"/>
  <c r="O67" i="2"/>
  <c r="P67" i="2"/>
  <c r="Q67" i="2"/>
  <c r="R67" i="2"/>
  <c r="O65" i="2"/>
  <c r="P65" i="2"/>
  <c r="Q65" i="2"/>
  <c r="R65" i="2"/>
  <c r="O68" i="2"/>
  <c r="P68" i="2"/>
  <c r="Q68" i="2"/>
  <c r="R68" i="2"/>
  <c r="X69" i="2"/>
  <c r="W69" i="2"/>
  <c r="V69" i="2"/>
  <c r="U69" i="2"/>
  <c r="O66" i="2"/>
  <c r="P66" i="2"/>
  <c r="Q66" i="2"/>
  <c r="R66" i="2"/>
  <c r="X67" i="2"/>
  <c r="W67" i="2"/>
  <c r="V67" i="2"/>
  <c r="U67" i="2"/>
  <c r="O64" i="2"/>
  <c r="P64" i="2"/>
  <c r="Q64" i="2"/>
  <c r="R64" i="2"/>
  <c r="X65" i="2"/>
  <c r="W65" i="2"/>
  <c r="V65" i="2"/>
  <c r="U65" i="2"/>
  <c r="O63" i="2"/>
  <c r="P63" i="2"/>
  <c r="Q63" i="2"/>
  <c r="R63" i="2"/>
  <c r="O62" i="2"/>
  <c r="P62" i="2"/>
  <c r="Q62" i="2"/>
  <c r="R62" i="2"/>
  <c r="X63" i="2"/>
  <c r="W63" i="2"/>
  <c r="V63" i="2"/>
  <c r="U63" i="2"/>
  <c r="O61" i="2"/>
  <c r="P61" i="2"/>
  <c r="Q61" i="2"/>
  <c r="R61" i="2"/>
  <c r="O59" i="2"/>
  <c r="P59" i="2"/>
  <c r="Q59" i="2"/>
  <c r="R59" i="2"/>
  <c r="O60" i="2"/>
  <c r="P60" i="2"/>
  <c r="Q60" i="2"/>
  <c r="R60" i="2"/>
  <c r="X61" i="2"/>
  <c r="W61" i="2"/>
  <c r="V61" i="2"/>
  <c r="U61" i="2"/>
  <c r="O58" i="2"/>
  <c r="P58" i="2"/>
  <c r="Q58" i="2"/>
  <c r="R58" i="2"/>
  <c r="X59" i="2"/>
  <c r="W59" i="2"/>
  <c r="V59" i="2"/>
  <c r="U59" i="2"/>
  <c r="O57" i="2"/>
  <c r="P57" i="2"/>
  <c r="Q57" i="2"/>
  <c r="R57" i="2"/>
  <c r="O56" i="2"/>
  <c r="P56" i="2"/>
  <c r="Q56" i="2"/>
  <c r="R56" i="2"/>
  <c r="X57" i="2"/>
  <c r="W57" i="2"/>
  <c r="V57" i="2"/>
  <c r="U57" i="2"/>
  <c r="O55" i="2"/>
  <c r="P55" i="2"/>
  <c r="Q55" i="2"/>
  <c r="R55" i="2"/>
  <c r="O53" i="2"/>
  <c r="P53" i="2"/>
  <c r="Q53" i="2"/>
  <c r="R53" i="2"/>
  <c r="O54" i="2"/>
  <c r="P54" i="2"/>
  <c r="Q54" i="2"/>
  <c r="R54" i="2"/>
  <c r="X55" i="2"/>
  <c r="W55" i="2"/>
  <c r="V55" i="2"/>
  <c r="U55" i="2"/>
  <c r="O52" i="2"/>
  <c r="P52" i="2"/>
  <c r="Q52" i="2"/>
  <c r="R52" i="2"/>
  <c r="X53" i="2"/>
  <c r="W53" i="2"/>
  <c r="V53" i="2"/>
  <c r="U53" i="2"/>
  <c r="O51" i="2"/>
  <c r="P51" i="2"/>
  <c r="Q51" i="2"/>
  <c r="R51" i="2"/>
  <c r="O50" i="2"/>
  <c r="P50" i="2"/>
  <c r="Q50" i="2"/>
  <c r="R50" i="2"/>
  <c r="X51" i="2"/>
  <c r="W51" i="2"/>
  <c r="V51" i="2"/>
  <c r="U51" i="2"/>
  <c r="O49" i="2"/>
  <c r="P49" i="2"/>
  <c r="Q49" i="2"/>
  <c r="R49" i="2"/>
  <c r="O48" i="2"/>
  <c r="P48" i="2"/>
  <c r="Q48" i="2"/>
  <c r="R48" i="2"/>
  <c r="X49" i="2"/>
  <c r="W49" i="2"/>
  <c r="V49" i="2"/>
  <c r="U49" i="2"/>
  <c r="O47" i="2"/>
  <c r="P47" i="2"/>
  <c r="Q47" i="2"/>
  <c r="R47" i="2"/>
  <c r="O46" i="2"/>
  <c r="P46" i="2"/>
  <c r="Q46" i="2"/>
  <c r="R46" i="2"/>
  <c r="X47" i="2"/>
  <c r="W47" i="2"/>
  <c r="V47" i="2"/>
  <c r="U47" i="2"/>
  <c r="O45" i="2"/>
  <c r="P45" i="2"/>
  <c r="Q45" i="2"/>
  <c r="R45" i="2"/>
  <c r="O43" i="2"/>
  <c r="P43" i="2"/>
  <c r="Q43" i="2"/>
  <c r="R43" i="2"/>
  <c r="O44" i="2"/>
  <c r="P44" i="2"/>
  <c r="Q44" i="2"/>
  <c r="R44" i="2"/>
  <c r="X45" i="2"/>
  <c r="W45" i="2"/>
  <c r="V45" i="2"/>
  <c r="U45" i="2"/>
  <c r="O41" i="2"/>
  <c r="P41" i="2"/>
  <c r="Q41" i="2"/>
  <c r="R41" i="2"/>
  <c r="O39" i="2"/>
  <c r="P39" i="2"/>
  <c r="Q39" i="2"/>
  <c r="R39" i="2"/>
  <c r="O42" i="2"/>
  <c r="P42" i="2"/>
  <c r="Q42" i="2"/>
  <c r="R42" i="2"/>
  <c r="X43" i="2"/>
  <c r="W43" i="2"/>
  <c r="V43" i="2"/>
  <c r="U43" i="2"/>
  <c r="O40" i="2"/>
  <c r="P40" i="2"/>
  <c r="Q40" i="2"/>
  <c r="R40" i="2"/>
  <c r="X41" i="2"/>
  <c r="W41" i="2"/>
  <c r="V41" i="2"/>
  <c r="U41" i="2"/>
  <c r="O38" i="2"/>
  <c r="P38" i="2"/>
  <c r="Q38" i="2"/>
  <c r="R38" i="2"/>
  <c r="X39" i="2"/>
  <c r="W39" i="2"/>
  <c r="V39" i="2"/>
  <c r="U39" i="2"/>
  <c r="O37" i="2"/>
  <c r="P37" i="2"/>
  <c r="Q37" i="2"/>
  <c r="R37" i="2"/>
  <c r="O35" i="2"/>
  <c r="P35" i="2"/>
  <c r="Q35" i="2"/>
  <c r="R35" i="2"/>
  <c r="O36" i="2"/>
  <c r="P36" i="2"/>
  <c r="Q36" i="2"/>
  <c r="R36" i="2"/>
  <c r="X37" i="2"/>
  <c r="W37" i="2"/>
  <c r="V37" i="2"/>
  <c r="U37" i="2"/>
  <c r="O34" i="2"/>
  <c r="P34" i="2"/>
  <c r="Q34" i="2"/>
  <c r="R34" i="2"/>
  <c r="X35" i="2"/>
  <c r="W35" i="2"/>
  <c r="V35" i="2"/>
  <c r="U35" i="2"/>
  <c r="O33" i="2"/>
  <c r="P33" i="2"/>
  <c r="Q33" i="2"/>
  <c r="R33" i="2"/>
  <c r="O31" i="2"/>
  <c r="P31" i="2"/>
  <c r="Q31" i="2"/>
  <c r="R31" i="2"/>
  <c r="O32" i="2"/>
  <c r="P32" i="2"/>
  <c r="Q32" i="2"/>
  <c r="R32" i="2"/>
  <c r="X33" i="2"/>
  <c r="W33" i="2"/>
  <c r="V33" i="2"/>
  <c r="U33" i="2"/>
  <c r="O30" i="2"/>
  <c r="P30" i="2"/>
  <c r="Q30" i="2"/>
  <c r="R30" i="2"/>
  <c r="X31" i="2"/>
  <c r="W31" i="2"/>
  <c r="V31" i="2"/>
  <c r="U31" i="2"/>
  <c r="O29" i="2"/>
  <c r="P29" i="2"/>
  <c r="Q29" i="2"/>
  <c r="R29" i="2"/>
  <c r="O27" i="2"/>
  <c r="P27" i="2"/>
  <c r="Q27" i="2"/>
  <c r="R27" i="2"/>
  <c r="O28" i="2"/>
  <c r="P28" i="2"/>
  <c r="Q28" i="2"/>
  <c r="R28" i="2"/>
  <c r="X29" i="2"/>
  <c r="W29" i="2"/>
  <c r="V29" i="2"/>
  <c r="U29" i="2"/>
  <c r="O26" i="2"/>
  <c r="P26" i="2"/>
  <c r="Q26" i="2"/>
  <c r="R26" i="2"/>
  <c r="X27" i="2"/>
  <c r="W27" i="2"/>
  <c r="V27" i="2"/>
  <c r="U27" i="2"/>
  <c r="O25" i="2"/>
  <c r="P25" i="2"/>
  <c r="Q25" i="2"/>
  <c r="R25" i="2"/>
  <c r="O24" i="2"/>
  <c r="P24" i="2"/>
  <c r="Q24" i="2"/>
  <c r="R24" i="2"/>
  <c r="X25" i="2"/>
  <c r="W25" i="2"/>
  <c r="V25" i="2"/>
  <c r="U25" i="2"/>
  <c r="O23" i="2"/>
  <c r="P23" i="2"/>
  <c r="Q23" i="2"/>
  <c r="R23" i="2"/>
  <c r="O21" i="2"/>
  <c r="P21" i="2"/>
  <c r="Q21" i="2"/>
  <c r="R21" i="2"/>
  <c r="O22" i="2"/>
  <c r="P22" i="2"/>
  <c r="Q22" i="2"/>
  <c r="R22" i="2"/>
  <c r="X23" i="2"/>
  <c r="W23" i="2"/>
  <c r="V23" i="2"/>
  <c r="U23" i="2"/>
  <c r="O20" i="2"/>
  <c r="P20" i="2"/>
  <c r="Q20" i="2"/>
  <c r="R20" i="2"/>
  <c r="X21" i="2"/>
  <c r="W21" i="2"/>
  <c r="V21" i="2"/>
  <c r="U21" i="2"/>
  <c r="O19" i="2"/>
  <c r="P19" i="2"/>
  <c r="Q19" i="2"/>
  <c r="R19" i="2"/>
  <c r="O17" i="2"/>
  <c r="P17" i="2"/>
  <c r="Q17" i="2"/>
  <c r="R17" i="2"/>
  <c r="O18" i="2"/>
  <c r="P18" i="2"/>
  <c r="Q18" i="2"/>
  <c r="R18" i="2"/>
  <c r="X19" i="2"/>
  <c r="W19" i="2"/>
  <c r="V19" i="2"/>
  <c r="U19" i="2"/>
  <c r="O16" i="2"/>
  <c r="P16" i="2"/>
  <c r="Q16" i="2"/>
  <c r="R16" i="2"/>
  <c r="X17" i="2"/>
  <c r="W17" i="2"/>
  <c r="V17" i="2"/>
  <c r="U17" i="2"/>
  <c r="O15" i="2"/>
  <c r="P15" i="2"/>
  <c r="Q15" i="2"/>
  <c r="R15" i="2"/>
  <c r="O13" i="2"/>
  <c r="P13" i="2"/>
  <c r="Q13" i="2"/>
  <c r="R13" i="2"/>
  <c r="O14" i="2"/>
  <c r="P14" i="2"/>
  <c r="Q14" i="2"/>
  <c r="R14" i="2"/>
  <c r="X15" i="2"/>
  <c r="W15" i="2"/>
  <c r="V15" i="2"/>
  <c r="U15" i="2"/>
  <c r="O12" i="2"/>
  <c r="P12" i="2"/>
  <c r="Q12" i="2"/>
  <c r="R12" i="2"/>
  <c r="X13" i="2"/>
  <c r="W13" i="2"/>
  <c r="V13" i="2"/>
  <c r="U13" i="2"/>
  <c r="O11" i="2"/>
  <c r="P11" i="2"/>
  <c r="Q11" i="2"/>
  <c r="R11" i="2"/>
  <c r="O10" i="2"/>
  <c r="P10" i="2"/>
  <c r="Q10" i="2"/>
  <c r="R10" i="2"/>
  <c r="X11" i="2"/>
  <c r="W11" i="2"/>
  <c r="V11" i="2"/>
  <c r="U11" i="2"/>
  <c r="O9" i="2"/>
  <c r="P9" i="2"/>
  <c r="Q9" i="2"/>
  <c r="R9" i="2"/>
  <c r="O8" i="2"/>
  <c r="P8" i="2"/>
  <c r="Q8" i="2"/>
  <c r="R8" i="2"/>
  <c r="X9" i="2"/>
  <c r="W9" i="2"/>
  <c r="V9" i="2"/>
  <c r="U9" i="2"/>
  <c r="O7" i="2"/>
  <c r="P7" i="2"/>
  <c r="Q7" i="2"/>
  <c r="R7" i="2"/>
  <c r="O6" i="2"/>
  <c r="P6" i="2"/>
  <c r="Q6" i="2"/>
  <c r="R6" i="2"/>
  <c r="O5" i="2"/>
  <c r="P5" i="2"/>
  <c r="Q5" i="2"/>
  <c r="R5" i="2"/>
  <c r="X7" i="2"/>
  <c r="W7" i="2"/>
  <c r="V7" i="2"/>
  <c r="U7" i="2"/>
  <c r="O4" i="2"/>
  <c r="P4" i="2"/>
  <c r="Q4" i="2"/>
  <c r="R4" i="2"/>
  <c r="X5" i="2"/>
  <c r="W5" i="2"/>
  <c r="V5" i="2"/>
  <c r="U5" i="2"/>
  <c r="O118" i="3"/>
  <c r="O128" i="3"/>
  <c r="O133" i="3"/>
  <c r="O119" i="3"/>
  <c r="O129" i="3"/>
  <c r="O134" i="3"/>
  <c r="O120" i="3"/>
  <c r="O130" i="3"/>
  <c r="O135" i="3"/>
  <c r="O136" i="3"/>
  <c r="N118" i="3"/>
  <c r="N128" i="3"/>
  <c r="N133" i="3"/>
  <c r="N119" i="3"/>
  <c r="N129" i="3"/>
  <c r="N134" i="3"/>
  <c r="N120" i="3"/>
  <c r="N130" i="3"/>
  <c r="N135" i="3"/>
  <c r="N136" i="3"/>
  <c r="M118" i="3"/>
  <c r="M128" i="3"/>
  <c r="M133" i="3"/>
  <c r="M119" i="3"/>
  <c r="M129" i="3"/>
  <c r="M134" i="3"/>
  <c r="M120" i="3"/>
  <c r="M130" i="3"/>
  <c r="M135" i="3"/>
  <c r="M136" i="3"/>
  <c r="O131" i="3"/>
  <c r="N131" i="3"/>
  <c r="M131" i="3"/>
  <c r="O123" i="3"/>
  <c r="O124" i="3"/>
  <c r="O125" i="3"/>
  <c r="O126" i="3"/>
  <c r="N123" i="3"/>
  <c r="N124" i="3"/>
  <c r="N125" i="3"/>
  <c r="N126" i="3"/>
  <c r="M123" i="3"/>
  <c r="M124" i="3"/>
  <c r="M125" i="3"/>
  <c r="M126" i="3"/>
  <c r="O121" i="3"/>
  <c r="N121" i="3"/>
  <c r="M121" i="3"/>
  <c r="P118" i="3"/>
  <c r="P119" i="3"/>
  <c r="P120" i="3"/>
  <c r="P121" i="3"/>
  <c r="P123" i="3"/>
  <c r="P124" i="3"/>
  <c r="P125" i="3"/>
  <c r="P126" i="3"/>
  <c r="P128" i="3"/>
  <c r="P129" i="3"/>
  <c r="P130" i="3"/>
  <c r="P131" i="3"/>
  <c r="P133" i="3"/>
  <c r="P134" i="3"/>
  <c r="P135" i="3"/>
  <c r="P136" i="3"/>
  <c r="Q118" i="3"/>
  <c r="Q119" i="3"/>
  <c r="Q120" i="3"/>
  <c r="Q121" i="3"/>
  <c r="Q123" i="3"/>
  <c r="Q124" i="3"/>
  <c r="Q125" i="3"/>
  <c r="Q126" i="3"/>
  <c r="Q128" i="3"/>
  <c r="Q129" i="3"/>
  <c r="Q130" i="3"/>
  <c r="Q131" i="3"/>
  <c r="Q133" i="3"/>
  <c r="Q134" i="3"/>
  <c r="Q135" i="3"/>
  <c r="Q136" i="3"/>
  <c r="R118" i="3"/>
  <c r="R119" i="3"/>
  <c r="R120" i="3"/>
  <c r="R121" i="3"/>
  <c r="R123" i="3"/>
  <c r="R124" i="3"/>
  <c r="R125" i="3"/>
  <c r="R126" i="3"/>
  <c r="R128" i="3"/>
  <c r="R129" i="3"/>
  <c r="R130" i="3"/>
  <c r="R131" i="3"/>
  <c r="R133" i="3"/>
  <c r="R134" i="3"/>
  <c r="R135" i="3"/>
  <c r="R136" i="3"/>
  <c r="L125" i="3"/>
  <c r="K125" i="3"/>
  <c r="J125" i="3"/>
  <c r="L124" i="3"/>
  <c r="K124" i="3"/>
  <c r="J124" i="3"/>
  <c r="L123" i="3"/>
  <c r="K123" i="3"/>
  <c r="J123" i="3"/>
  <c r="L120" i="3"/>
  <c r="K120" i="3"/>
  <c r="J120" i="3"/>
  <c r="L119" i="3"/>
  <c r="K119" i="3"/>
  <c r="J119" i="3"/>
  <c r="I120" i="3"/>
  <c r="I119" i="3"/>
  <c r="L118" i="3"/>
  <c r="K118" i="3"/>
  <c r="J118" i="3"/>
  <c r="L128" i="3"/>
  <c r="L133" i="3"/>
  <c r="L129" i="3"/>
  <c r="L134" i="3"/>
  <c r="L130" i="3"/>
  <c r="L135" i="3"/>
  <c r="L136" i="3"/>
  <c r="K128" i="3"/>
  <c r="K133" i="3"/>
  <c r="K129" i="3"/>
  <c r="K134" i="3"/>
  <c r="K130" i="3"/>
  <c r="K135" i="3"/>
  <c r="K136" i="3"/>
  <c r="J128" i="3"/>
  <c r="J133" i="3"/>
  <c r="J129" i="3"/>
  <c r="J134" i="3"/>
  <c r="J130" i="3"/>
  <c r="J135" i="3"/>
  <c r="J136" i="3"/>
  <c r="L131" i="3"/>
  <c r="K131" i="3"/>
  <c r="J131" i="3"/>
  <c r="L126" i="3"/>
  <c r="K126" i="3"/>
  <c r="J126" i="3"/>
  <c r="I129" i="3"/>
  <c r="I134" i="3"/>
  <c r="I130" i="3"/>
  <c r="I135" i="3"/>
  <c r="I118" i="3"/>
  <c r="I128" i="3"/>
  <c r="I133" i="3"/>
  <c r="I136" i="3"/>
  <c r="I131" i="3"/>
  <c r="I125" i="3"/>
  <c r="I123" i="3"/>
  <c r="I124" i="3"/>
  <c r="I126" i="3"/>
  <c r="I121" i="3"/>
  <c r="J121" i="3"/>
  <c r="K121" i="3"/>
  <c r="L121" i="3"/>
</calcChain>
</file>

<file path=xl/sharedStrings.xml><?xml version="1.0" encoding="utf-8"?>
<sst xmlns="http://schemas.openxmlformats.org/spreadsheetml/2006/main" count="7157" uniqueCount="351">
  <si>
    <t>0</t>
  </si>
  <si>
    <t>01</t>
  </si>
  <si>
    <t>Undergraduate</t>
  </si>
  <si>
    <t>1</t>
  </si>
  <si>
    <t>Resident</t>
  </si>
  <si>
    <t>2</t>
  </si>
  <si>
    <t>Nonresident</t>
  </si>
  <si>
    <t>03</t>
  </si>
  <si>
    <t>02</t>
  </si>
  <si>
    <t>Graduate Tier I</t>
  </si>
  <si>
    <t>05</t>
  </si>
  <si>
    <t>Graduate Tier II</t>
  </si>
  <si>
    <t>07</t>
  </si>
  <si>
    <t>04</t>
  </si>
  <si>
    <t>Graduate Tier III</t>
  </si>
  <si>
    <t>09</t>
  </si>
  <si>
    <t>06</t>
  </si>
  <si>
    <t>Coll Environ Graduate</t>
  </si>
  <si>
    <t>11</t>
  </si>
  <si>
    <t>Education Graduate</t>
  </si>
  <si>
    <t>15</t>
  </si>
  <si>
    <t>17</t>
  </si>
  <si>
    <t>MSW</t>
  </si>
  <si>
    <t>19</t>
  </si>
  <si>
    <t>10</t>
  </si>
  <si>
    <t>Public Health Graduate</t>
  </si>
  <si>
    <t>21</t>
  </si>
  <si>
    <t>MPH</t>
  </si>
  <si>
    <t>25</t>
  </si>
  <si>
    <t>13</t>
  </si>
  <si>
    <t>CBE Masters</t>
  </si>
  <si>
    <t>27</t>
  </si>
  <si>
    <t>14</t>
  </si>
  <si>
    <t>Engineering Masters</t>
  </si>
  <si>
    <t>33</t>
  </si>
  <si>
    <t>MPA</t>
  </si>
  <si>
    <t>MBA</t>
  </si>
  <si>
    <t>39</t>
  </si>
  <si>
    <t>22</t>
  </si>
  <si>
    <t>Law (JD)</t>
  </si>
  <si>
    <t>41</t>
  </si>
  <si>
    <t>23</t>
  </si>
  <si>
    <t>Law Graduate</t>
  </si>
  <si>
    <t>Nursing Graduate</t>
  </si>
  <si>
    <t>20</t>
  </si>
  <si>
    <t>PharmD</t>
  </si>
  <si>
    <t>Medicine (MD)</t>
  </si>
  <si>
    <t>26</t>
  </si>
  <si>
    <t>Dentistry (DDS)</t>
  </si>
  <si>
    <t>Dentistry Graduate</t>
  </si>
  <si>
    <t>Nursing</t>
  </si>
  <si>
    <t>Undergraduate Post-Bacc / Non-Matric</t>
  </si>
  <si>
    <t>Graduate Post-Bacc / Non-Matric</t>
  </si>
  <si>
    <t>College of the Environment Graduate Programs</t>
  </si>
  <si>
    <t>43</t>
  </si>
  <si>
    <t>Master in Earth and Space Sciences (ESS)</t>
  </si>
  <si>
    <t>Master of Education and Master in Teaching</t>
  </si>
  <si>
    <t>28</t>
  </si>
  <si>
    <t>Doctor of Education and Education PhD</t>
  </si>
  <si>
    <t>Master of Social Work</t>
  </si>
  <si>
    <t>38</t>
  </si>
  <si>
    <t>Public Health Masters Programs (excl MPH)</t>
  </si>
  <si>
    <t>42</t>
  </si>
  <si>
    <t>Public Health PhD Program</t>
  </si>
  <si>
    <t>Master of Public Health (Incoming)</t>
  </si>
  <si>
    <t>Master of Public Health (Continuing)</t>
  </si>
  <si>
    <t>College of Built Environ - MArch &amp; MSRE</t>
  </si>
  <si>
    <t>Coll of Built Environ - Masters in Const Mgmt, Land Arch, Urb Des Plan</t>
  </si>
  <si>
    <t>29</t>
  </si>
  <si>
    <t>Master of Chemical Engineering</t>
  </si>
  <si>
    <t>30</t>
  </si>
  <si>
    <t>Master of Material Science and Engineering</t>
  </si>
  <si>
    <t>40</t>
  </si>
  <si>
    <t>Master of Industrial and Systems Engineering</t>
  </si>
  <si>
    <t>Master of Public Administration</t>
  </si>
  <si>
    <t>Master of Business Administration (Incoming)</t>
  </si>
  <si>
    <t>Master of Business Administration (Continuing)</t>
  </si>
  <si>
    <t>24</t>
  </si>
  <si>
    <t>Master of Laws (LLM)</t>
  </si>
  <si>
    <t>Law PhD</t>
  </si>
  <si>
    <t>12</t>
  </si>
  <si>
    <t>Master of Nursing and Doctor of Nursing Practice</t>
  </si>
  <si>
    <t>Doctor of Pharmacy</t>
  </si>
  <si>
    <t>Medical Professional (MD)</t>
  </si>
  <si>
    <t>Dental Professional -Year 2</t>
  </si>
  <si>
    <t>Dental Professional - Year 1</t>
  </si>
  <si>
    <t>31</t>
  </si>
  <si>
    <t>Dental Professional - Year 3</t>
  </si>
  <si>
    <t>32</t>
  </si>
  <si>
    <t>Dental Professional - Year 4</t>
  </si>
  <si>
    <t>Graduate Dentistry - Oral Biology</t>
  </si>
  <si>
    <t>34</t>
  </si>
  <si>
    <t>Graduate Dentistry - Oral Med, Ped Dent, Periodontics, Prosthodontics</t>
  </si>
  <si>
    <t>35</t>
  </si>
  <si>
    <t>Graduate Dentistry - Endodontics</t>
  </si>
  <si>
    <t>36</t>
  </si>
  <si>
    <t>Graduate Dentistry - Orthodontics</t>
  </si>
  <si>
    <t>Master of Nursing</t>
  </si>
  <si>
    <t>% Change</t>
  </si>
  <si>
    <t>Operating Fee Amount</t>
  </si>
  <si>
    <t>Campus</t>
  </si>
  <si>
    <t>TC</t>
  </si>
  <si>
    <t>TG</t>
  </si>
  <si>
    <t>Res</t>
  </si>
  <si>
    <t>Tuition Category</t>
  </si>
  <si>
    <t>Tuition Group</t>
  </si>
  <si>
    <t>Residency</t>
  </si>
  <si>
    <t>2016-17</t>
  </si>
  <si>
    <t>2017-18</t>
  </si>
  <si>
    <t>2018-19</t>
  </si>
  <si>
    <t>2019-20</t>
  </si>
  <si>
    <t>2020-21</t>
  </si>
  <si>
    <t>2015-16</t>
  </si>
  <si>
    <t>OWaiv</t>
  </si>
  <si>
    <t>FTE</t>
  </si>
  <si>
    <t>GROp</t>
  </si>
  <si>
    <t>Gop</t>
  </si>
  <si>
    <t>NMOp</t>
  </si>
  <si>
    <t>SetOp</t>
  </si>
  <si>
    <t>NetOp</t>
  </si>
  <si>
    <t>Seattle Total</t>
  </si>
  <si>
    <t>Bothell Total</t>
  </si>
  <si>
    <t>Seattle RUG</t>
  </si>
  <si>
    <t>Bothell RUG</t>
  </si>
  <si>
    <t>Tacoma RUG</t>
  </si>
  <si>
    <t>Seattle UG</t>
  </si>
  <si>
    <t>Bothell UG</t>
  </si>
  <si>
    <t>Tacoma UG</t>
  </si>
  <si>
    <t>Seattle Grad/Prof</t>
  </si>
  <si>
    <t>Bothell Grad/Prof</t>
  </si>
  <si>
    <t>Tacoma Grad/Prof</t>
  </si>
  <si>
    <t>OWaivG</t>
  </si>
  <si>
    <t>OWaivR</t>
  </si>
  <si>
    <t>OWaivN</t>
  </si>
  <si>
    <t>Resident % Change</t>
  </si>
  <si>
    <t>Master of Bioengineering</t>
  </si>
  <si>
    <t>Non-Resident Differential Change</t>
  </si>
  <si>
    <t>--</t>
  </si>
  <si>
    <t>Total Grad/Prof</t>
  </si>
  <si>
    <t>Total UG</t>
  </si>
  <si>
    <t>Total RUG</t>
  </si>
  <si>
    <t>Total</t>
  </si>
  <si>
    <t>Tacoma Total</t>
  </si>
  <si>
    <t>Addi'l Aid</t>
  </si>
  <si>
    <t>NetNet</t>
  </si>
  <si>
    <t>FY16 Projected Tuition (Net Operating Fee) Revenue by Tuition Group with 5% RUG Operating Fee Reduction</t>
  </si>
  <si>
    <t>After Subtraction of Risk Pool</t>
  </si>
  <si>
    <t>70% of Total</t>
  </si>
  <si>
    <t>NAME</t>
  </si>
  <si>
    <t>SumOfFTE1</t>
  </si>
  <si>
    <t>SumOfGOp1</t>
  </si>
  <si>
    <t>SumOfNM1</t>
  </si>
  <si>
    <t>SumOfOWvr1</t>
  </si>
  <si>
    <t>SumOfSet1</t>
  </si>
  <si>
    <t>SumOfNet1</t>
  </si>
  <si>
    <t>MLIS</t>
  </si>
  <si>
    <t>37</t>
  </si>
  <si>
    <t>45</t>
  </si>
  <si>
    <t>47</t>
  </si>
  <si>
    <t>49</t>
  </si>
  <si>
    <t>51</t>
  </si>
  <si>
    <t>53</t>
  </si>
  <si>
    <t>30% Tax</t>
  </si>
  <si>
    <t>UW Seattle Total</t>
  </si>
  <si>
    <t>BOTHELL</t>
  </si>
  <si>
    <t>UW Bothell</t>
  </si>
  <si>
    <t>TACOMA</t>
  </si>
  <si>
    <t>UW Tacoma</t>
  </si>
  <si>
    <t>UW Total</t>
  </si>
  <si>
    <t>TGSort</t>
  </si>
  <si>
    <t>Change FY16 to FY17</t>
  </si>
  <si>
    <t>FY17 Projected Tuition (Net Operating Fee) Revenue by Tuition Group with Legislated RUG Operating Fee Reduction</t>
  </si>
  <si>
    <t>FY16</t>
  </si>
  <si>
    <t>FY17</t>
  </si>
  <si>
    <t>FY17 Addl</t>
  </si>
  <si>
    <t>EmpTypeOrder</t>
  </si>
  <si>
    <t>EmpTypeName</t>
  </si>
  <si>
    <t>COLL</t>
  </si>
  <si>
    <t>COLL_NAME</t>
  </si>
  <si>
    <t>Salary</t>
  </si>
  <si>
    <t>Sal Incr</t>
  </si>
  <si>
    <t>Benefits Assoc w Salary Incr</t>
  </si>
  <si>
    <t>Faculty</t>
  </si>
  <si>
    <t>252</t>
  </si>
  <si>
    <t xml:space="preserve">BUILT ENVIRONMENTS            </t>
  </si>
  <si>
    <t>254</t>
  </si>
  <si>
    <t xml:space="preserve">COLL ARTS &amp; SCIENCES          </t>
  </si>
  <si>
    <t>255</t>
  </si>
  <si>
    <t xml:space="preserve">EDUCATIONAL OUTREACH          </t>
  </si>
  <si>
    <t>256</t>
  </si>
  <si>
    <t xml:space="preserve">FOSTER BUSINESS SCHOOL        </t>
  </si>
  <si>
    <t>258</t>
  </si>
  <si>
    <t xml:space="preserve">COLLEGE OF EDUCATION          </t>
  </si>
  <si>
    <t>260</t>
  </si>
  <si>
    <t xml:space="preserve">COLLEGE OF ENGINEERING        </t>
  </si>
  <si>
    <t>263</t>
  </si>
  <si>
    <t xml:space="preserve">COLLEGE OF ENVIRONMENT        </t>
  </si>
  <si>
    <t>267</t>
  </si>
  <si>
    <t xml:space="preserve">THE INFORMATION SCHOOL        </t>
  </si>
  <si>
    <t>268</t>
  </si>
  <si>
    <t xml:space="preserve">SCHOOL OF LAW                 </t>
  </si>
  <si>
    <t>270</t>
  </si>
  <si>
    <t xml:space="preserve">EVANS SCH PUBPOL &amp; GOV        </t>
  </si>
  <si>
    <t>272</t>
  </si>
  <si>
    <t xml:space="preserve">SCHOOL OF SOCIAL WORK         </t>
  </si>
  <si>
    <t>302</t>
  </si>
  <si>
    <t xml:space="preserve">SCHOOL OF DENTISTRY           </t>
  </si>
  <si>
    <t>304</t>
  </si>
  <si>
    <t xml:space="preserve">SCHOOL OF MEDICINE            </t>
  </si>
  <si>
    <t>306</t>
  </si>
  <si>
    <t xml:space="preserve">SCHOOL OF NURSING             </t>
  </si>
  <si>
    <t>308</t>
  </si>
  <si>
    <t xml:space="preserve">SCHOOL OF PHARMACY            </t>
  </si>
  <si>
    <t>310</t>
  </si>
  <si>
    <t xml:space="preserve">SCH OF PUBLIC HEALTH          </t>
  </si>
  <si>
    <t>400</t>
  </si>
  <si>
    <t>CENTRAL/ADMINISTRATION</t>
  </si>
  <si>
    <t>401</t>
  </si>
  <si>
    <t>DEANS/CHANCELLORS</t>
  </si>
  <si>
    <t>500</t>
  </si>
  <si>
    <t>UW BOTHELL</t>
  </si>
  <si>
    <t>600</t>
  </si>
  <si>
    <t>UW TACOMA</t>
  </si>
  <si>
    <t>Auxiliary Teaching Staff</t>
  </si>
  <si>
    <t>3</t>
  </si>
  <si>
    <t>Professional Staff</t>
  </si>
  <si>
    <t>4</t>
  </si>
  <si>
    <t>Classified Staff</t>
  </si>
  <si>
    <t>5</t>
  </si>
  <si>
    <t>Academic Student Employees</t>
  </si>
  <si>
    <t>AcctCodeCalcGp</t>
  </si>
  <si>
    <t>FY15</t>
  </si>
  <si>
    <t>ChgRate FY16</t>
  </si>
  <si>
    <t>ChgRate FY17</t>
  </si>
  <si>
    <t>AuxTeaching</t>
  </si>
  <si>
    <t>Professional</t>
  </si>
  <si>
    <t>Union</t>
  </si>
  <si>
    <t>ASE</t>
  </si>
  <si>
    <t>FY17 Cost of Salary and Benefit Increases</t>
  </si>
  <si>
    <t>Increase - Faculty &amp; Professional</t>
  </si>
  <si>
    <t>Increase - Classified</t>
  </si>
  <si>
    <t>Increase - ASEs</t>
  </si>
  <si>
    <t>2016 GOF Salary Base</t>
  </si>
  <si>
    <t>State Compensation Funding</t>
  </si>
  <si>
    <t>Loss From Tuition Reduction</t>
  </si>
  <si>
    <t>Backfill</t>
  </si>
  <si>
    <t xml:space="preserve">Built Environments            </t>
  </si>
  <si>
    <t>Salary Increases</t>
  </si>
  <si>
    <t xml:space="preserve">Coll Arts &amp; Sciences          </t>
  </si>
  <si>
    <t xml:space="preserve">Foster Business School        </t>
  </si>
  <si>
    <t xml:space="preserve">College Of Education          </t>
  </si>
  <si>
    <t xml:space="preserve">College Of Engineering        </t>
  </si>
  <si>
    <t xml:space="preserve">College Of Environment        </t>
  </si>
  <si>
    <t xml:space="preserve">The Information School        </t>
  </si>
  <si>
    <t xml:space="preserve">School Of Law                 </t>
  </si>
  <si>
    <t>Assumptions</t>
  </si>
  <si>
    <t xml:space="preserve">Evans Sch Of Public Af        </t>
  </si>
  <si>
    <t>% of increase covered for administrative/central units</t>
  </si>
  <si>
    <t xml:space="preserve">School Of Social Work         </t>
  </si>
  <si>
    <t>State-funded plus Provost-funded increase ("baseline")</t>
  </si>
  <si>
    <t xml:space="preserve">School Of Dentistry           </t>
  </si>
  <si>
    <t>State compensation funding</t>
  </si>
  <si>
    <t xml:space="preserve">School Of Medicine            </t>
  </si>
  <si>
    <t>% Tuition backfill covered by state</t>
  </si>
  <si>
    <t xml:space="preserve">School Of Nursing             </t>
  </si>
  <si>
    <t xml:space="preserve">School Of Pharmacy            </t>
  </si>
  <si>
    <t>Permanent PRF Required</t>
  </si>
  <si>
    <t xml:space="preserve">Sch Of Public Health          </t>
  </si>
  <si>
    <t>Academic units - supplement to reach baseline %</t>
  </si>
  <si>
    <t>Central/Administrative Units</t>
  </si>
  <si>
    <t>Central/admin units - supplement to reach baseline %</t>
  </si>
  <si>
    <t>Deans/Chancellors</t>
  </si>
  <si>
    <t>Central/admin units - shortfall</t>
  </si>
  <si>
    <t>Bothell Campus</t>
  </si>
  <si>
    <t>Central/admin units - DOF positions</t>
  </si>
  <si>
    <t>Tacoma Campus</t>
  </si>
  <si>
    <t>Total permanent cost to Provost</t>
  </si>
  <si>
    <t>Central/Administrative Units - DOF</t>
  </si>
  <si>
    <t>Deans/Chancellors - DOF</t>
  </si>
  <si>
    <t>Additional temporary funds to cover academic unit shortfalls</t>
  </si>
  <si>
    <t xml:space="preserve">EVANS SCH OF PUBLIC AF        </t>
  </si>
  <si>
    <t xml:space="preserve">UNDERGRAD ACAD AFFAIRS        </t>
  </si>
  <si>
    <t xml:space="preserve">GRADUATE SCHOOL               </t>
  </si>
  <si>
    <t>UG Degrees</t>
  </si>
  <si>
    <t>Grad Tier I</t>
  </si>
  <si>
    <t>Grad Tier II</t>
  </si>
  <si>
    <t>Grad Tier III</t>
  </si>
  <si>
    <t>CBE Graduate</t>
  </si>
  <si>
    <t>Nursing Master and DNP</t>
  </si>
  <si>
    <t>Graduate Dentistry</t>
  </si>
  <si>
    <t>College</t>
  </si>
  <si>
    <t>FY16 Projected SCH (no change from FY15 actuals)</t>
  </si>
  <si>
    <t xml:space="preserve">Undergrad Acad Affairs        </t>
  </si>
  <si>
    <t xml:space="preserve">Dean-Graduate School          </t>
  </si>
  <si>
    <t>TOTAL</t>
  </si>
  <si>
    <t>Total Distributed</t>
  </si>
  <si>
    <t>Distributed Based on SCH</t>
  </si>
  <si>
    <t>SCH</t>
  </si>
  <si>
    <t>Distributed Based on Degrees (UG)/Majors (Grad)</t>
  </si>
  <si>
    <t>Calculations FY16 - No RUG reduction</t>
  </si>
  <si>
    <t>Calculations FY16 - with RUG reduction</t>
  </si>
  <si>
    <t>Percentage of Incremental Tuition to go to Activity Generating Units</t>
  </si>
  <si>
    <t>Undergrad</t>
  </si>
  <si>
    <t>Grad/Prof</t>
  </si>
  <si>
    <t>Percentage of tuition revenue distributed on basis of SCH</t>
  </si>
  <si>
    <t>Percentage of tuition revenue distributed on basis of major enrollments</t>
  </si>
  <si>
    <t>Percentage of tuition revenue distributed on basis of degree majors</t>
  </si>
  <si>
    <t>FY16 Projected major enrollments (same as FY15) FY15 preliminary estimate of undergrad degrees</t>
  </si>
  <si>
    <t>Calculations FY17 - with RUG reduction</t>
  </si>
  <si>
    <t>Loss From Reduction</t>
  </si>
  <si>
    <t>Bothell</t>
  </si>
  <si>
    <t>Tacoma</t>
  </si>
  <si>
    <t>Estimated FY16 
True-Up</t>
  </si>
  <si>
    <t>Projected
Incremental Tuition Revenue FY17</t>
  </si>
  <si>
    <t>Salary Increase (includes associated benefit increase)</t>
  </si>
  <si>
    <t>Baseline increase - Faculty &amp; Professional</t>
  </si>
  <si>
    <t>Baseline Increase - Classified</t>
  </si>
  <si>
    <t>Baseline Increase - ASEs</t>
  </si>
  <si>
    <t>Provost - Backfill to Baseline</t>
  </si>
  <si>
    <t>d</t>
  </si>
  <si>
    <t>s</t>
  </si>
  <si>
    <t>Total Baseline Increase</t>
  </si>
  <si>
    <t>% of FY16 GOF Salary Base</t>
  </si>
  <si>
    <t>Dist for Tuition Reduction</t>
  </si>
  <si>
    <t>Note that loss from true-up to PRF not noted</t>
  </si>
  <si>
    <t>-1.933m</t>
  </si>
  <si>
    <r>
      <t xml:space="preserve">FY16 Projected Net Operating Fee Revenue </t>
    </r>
    <r>
      <rPr>
        <b/>
        <sz val="12"/>
        <color theme="1"/>
        <rFont val="Calibri"/>
        <family val="2"/>
        <scheme val="minor"/>
      </rPr>
      <t>(in $1,000s) , no reduction in RUG op fee, Updated using Autumn 2015 Enrollments and 2014-15 Degrees</t>
    </r>
  </si>
  <si>
    <t>FY17 TuitRev0</t>
  </si>
  <si>
    <t>FY16TuitRev0</t>
  </si>
  <si>
    <t>Remaining Salary Increase</t>
  </si>
  <si>
    <t>Revenue, Provost, and State funds less Salary Increase</t>
  </si>
  <si>
    <t>Enter Tuition Changes for FY17 (in yellow cells only)</t>
  </si>
  <si>
    <t>Seattle Campus</t>
  </si>
  <si>
    <t>SPREADSHEET TITLE</t>
  </si>
  <si>
    <t>Created by</t>
  </si>
  <si>
    <t>Carol Diem</t>
  </si>
  <si>
    <t>Contact</t>
  </si>
  <si>
    <t>cdiem@uw.edu</t>
  </si>
  <si>
    <t>Date created</t>
  </si>
  <si>
    <t>Purpose</t>
  </si>
  <si>
    <t>Navigating the File</t>
  </si>
  <si>
    <t>Source data</t>
  </si>
  <si>
    <r>
      <t xml:space="preserve">1. The </t>
    </r>
    <r>
      <rPr>
        <b/>
        <i/>
        <sz val="11"/>
        <color theme="1"/>
        <rFont val="Calibri"/>
        <family val="2"/>
        <scheme val="minor"/>
      </rPr>
      <t>Tuition Schedule Model</t>
    </r>
    <r>
      <rPr>
        <i/>
        <sz val="11"/>
        <color theme="1"/>
        <rFont val="Calibri"/>
        <family val="2"/>
        <scheme val="minor"/>
      </rPr>
      <t>. This database does the calculations required to provide the amount of operating fees charged to a student in a given year and quarter given the campus of enrollment, tuition category, residency, and credits taken. 
Table: "Quarterly Per Credit TF w NRDiff"
File:///I:\groups\opb\USERS\Janis%20Campbell\Databases%20(Access)\New%20Tuition%20Models\Tuition%20Schedule%20Model.accdb</t>
    </r>
  </si>
  <si>
    <r>
      <t xml:space="preserve">2. The </t>
    </r>
    <r>
      <rPr>
        <b/>
        <i/>
        <sz val="11"/>
        <color theme="1"/>
        <rFont val="Calibri"/>
        <family val="2"/>
        <scheme val="minor"/>
      </rPr>
      <t>Tuition Revenue Projection Model</t>
    </r>
    <r>
      <rPr>
        <i/>
        <sz val="11"/>
        <color theme="1"/>
        <rFont val="Calibri"/>
        <family val="2"/>
        <scheme val="minor"/>
      </rPr>
      <t>. This database does the calculations required to project or estimate tuition revenue for a given fiscal year. It combines information about census day enrollment by credits taken, campus, tuition category, and residency with the tuition schedule (noted in #1) to determine "gross tuition revenue" (the total amount charged). It then uses information (from EDW) about financial aid awards, along with internal logic about financial aid set-asides, to project or estimate total net revenue. The output of this database can be found in the FYXXRevenue and FYXXProjRev tabs.
file: ///I:\groups\opb\OFFICE\IR\Activity%20Based%20Budgeting\Tuition%20Revenue\Tuition%20Revenue%20Projection%20FY2016%20-%20NewTC.accdb</t>
    </r>
  </si>
  <si>
    <r>
      <t xml:space="preserve">3. </t>
    </r>
    <r>
      <rPr>
        <b/>
        <i/>
        <sz val="11"/>
        <color theme="1"/>
        <rFont val="Calibri"/>
        <family val="2"/>
        <scheme val="minor"/>
      </rPr>
      <t>Distribution Parameters Model</t>
    </r>
    <r>
      <rPr>
        <i/>
        <sz val="11"/>
        <color theme="1"/>
        <rFont val="Calibri"/>
        <family val="2"/>
        <scheme val="minor"/>
      </rPr>
      <t>. This database determines the number (and percentage) of SCH, major enrollments, and degree majors from each tuition group generated by each school or college. The calculations in which the distribution parameters are combined with revenue projections or estimates are all contained in this Excel file. They can be found in the FYXXRevToColl and FYXXProjRevToColl tabs.
file:///I:\groups\opb\OFFICE\IR\Activity%20Based%20Budgeting\Tuition%20Distribution\ABB%20Distribution%20Parameters.accdb</t>
    </r>
  </si>
  <si>
    <t>TuitSalModel.xlsx</t>
  </si>
  <si>
    <t>This spreadsheet allows the user to vary:
• Tuition rate changes
• Enrollment changes
• Salary increases
And then to see:
• The expense of salary increases
• Expected state support for compensation
• Provost support for compensation
• Incremental tuition revenue
To see how difficult it will be for schools and colleges to increase GOF-funded salaries.</t>
  </si>
  <si>
    <t>Note that much of the information about tuition revenue can be found in the published ABB files. It is expected that all data needed for the tuition revenue and distribution calculations will be available in the Enterprise Data Warehouse (EDW) by the beginning of the FY17 year (and perhaps sooner). At that time, reports will be built out of EDW that will provide the type of information included here (as well as providing additional information). In the meantime, it is still the case that the source data for these calculations are derived from three Access databases housed in OPB, which use data from both the Planning and Budgeting Database (PNBDB) and the EDW. These databases are:</t>
  </si>
  <si>
    <t>Information about salaries are derived from BGT. As of October 5, 2015, and download of budgeted positions and associated salaries was pulled from BGT. This, in combination with projected benefit load rates for FY17 form the basis of the estimated cost of salary increases.</t>
  </si>
  <si>
    <r>
      <t xml:space="preserve">All the tabs used in the calculations can be seen. There are three tabs with which the user will interact:
</t>
    </r>
    <r>
      <rPr>
        <b/>
        <i/>
        <sz val="11"/>
        <color theme="1"/>
        <rFont val="Calibri"/>
        <family val="2"/>
        <scheme val="minor"/>
      </rPr>
      <t>OpFee</t>
    </r>
    <r>
      <rPr>
        <i/>
        <sz val="11"/>
        <color theme="1"/>
        <rFont val="Calibri"/>
        <family val="2"/>
        <scheme val="minor"/>
      </rPr>
      <t xml:space="preserve">: This tab allows the user to vary the rate of change for tuition for different categories. THe cells that are coded in yellow are those that the user might wish to change. The resident undergraduate rate is determined by the budget bill, and other rates (not coded yellow) are tied to other rates (for example, the undergrad and grad tier rates are the same across all campuses).
</t>
    </r>
    <r>
      <rPr>
        <b/>
        <i/>
        <sz val="11"/>
        <color theme="1"/>
        <rFont val="Calibri"/>
        <family val="2"/>
        <scheme val="minor"/>
      </rPr>
      <t>FTE:</t>
    </r>
    <r>
      <rPr>
        <i/>
        <sz val="11"/>
        <color theme="1"/>
        <rFont val="Calibri"/>
        <family val="2"/>
        <scheme val="minor"/>
      </rPr>
      <t xml:space="preserve"> This tab allows the user to make assumptions about enrollment changes. Enter the additional FTE enrollment in each category in the yellow cells.
</t>
    </r>
    <r>
      <rPr>
        <b/>
        <i/>
        <sz val="11"/>
        <color theme="1"/>
        <rFont val="Calibri"/>
        <family val="2"/>
        <scheme val="minor"/>
      </rPr>
      <t xml:space="preserve">Salary v Revenue: </t>
    </r>
    <r>
      <rPr>
        <i/>
        <sz val="11"/>
        <color theme="1"/>
        <rFont val="Calibri"/>
        <family val="2"/>
        <scheme val="minor"/>
      </rPr>
      <t xml:space="preserve">Here too,the cells the user might manipulate are colored yellow. Several things can be changed:
• Salary increases for various types of faculty/staff
• The percentage of the increase in administrative units that will be paid by the Provost
•  The "baseline" increase that will be covered by the Provost where not covered by the state. The budget bill is to cover 1.8% salary increases for FY17, but they only cover a portion of the cost. The Provost has agreed to add additional funds. The "baseline" percentage is the percentage increase that the Provost and state combined will cover.
</t>
    </r>
  </si>
  <si>
    <t>Enter FTE Changes (in yellow cells)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</si>
</sst>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_(&quot;$&quot;* \(#,##0.00\);_(&quot;$&quot;* &quot;-&quot;??_);_(@_)"/>
    <numFmt numFmtId="43" formatCode="_(* #,##0.00_);_(* \(#,##0.00\);_(* &quot;-&quot;??_);_(@_)"/>
    <numFmt numFmtId="164" formatCode="_-* #,##0.00_-;\-* #,##0.00_-;_-* &quot;-&quot;??_-;_-@_-"/>
    <numFmt numFmtId="165" formatCode="&quot;$&quot;#,##0"/>
    <numFmt numFmtId="166" formatCode="_-* #,##0_-;\-* #,##0_-;_-* &quot;-&quot;??_-;_-@_-"/>
    <numFmt numFmtId="167" formatCode="0.0%"/>
    <numFmt numFmtId="168" formatCode="_(* #,##0_);_(* \(#,##0\);_(* &quot;-&quot;??_);_(@_)"/>
    <numFmt numFmtId="169" formatCode="&quot;$&quot;#,##0.00"/>
    <numFmt numFmtId="170" formatCode="_(* #,##0.0_);_(* \(#,##0.0\);_(* &quot;-&quot;??_);_(@_)"/>
    <numFmt numFmtId="171" formatCode="0.0000"/>
    <numFmt numFmtId="172" formatCode="0.000"/>
    <numFmt numFmtId="173" formatCode="#,##0_ ;\-#,##0\ "/>
    <numFmt numFmtId="174" formatCode="&quot;$&quot;#,##0.0,,&quot;m&quot;;[Red]\-&quot;$&quot;#,##0.0,,&quot;m&quot;"/>
    <numFmt numFmtId="175" formatCode="&quot;$&quot;#,##0,"/>
    <numFmt numFmtId="176" formatCode="&quot;$&quot;#,##0.000,"/>
    <numFmt numFmtId="177" formatCode="&quot;$&quot;#,##0.0000,"/>
  </numFmts>
  <fonts count="38" x14ac:knownFonts="1">
    <font>
      <sz val="11"/>
      <color theme="1"/>
      <name val="Calibri"/>
      <family val="2"/>
      <scheme val="minor"/>
    </font>
    <font>
      <sz val="12"/>
      <color theme="1"/>
      <name val="Calibri"/>
      <family val="2"/>
      <scheme val="minor"/>
    </font>
    <font>
      <sz val="12"/>
      <color theme="1"/>
      <name val="Calibri"/>
      <family val="2"/>
      <scheme val="minor"/>
    </font>
    <font>
      <sz val="11"/>
      <color indexed="8"/>
      <name val="Calibri"/>
      <family val="2"/>
    </font>
    <font>
      <sz val="10"/>
      <color indexed="8"/>
      <name val="Arial"/>
      <family val="2"/>
    </font>
    <font>
      <sz val="11"/>
      <color theme="1"/>
      <name val="Calibri"/>
      <family val="2"/>
      <scheme val="minor"/>
    </font>
    <font>
      <b/>
      <sz val="12"/>
      <color theme="1"/>
      <name val="Calibri"/>
      <family val="2"/>
      <scheme val="minor"/>
    </font>
    <font>
      <b/>
      <sz val="11"/>
      <color indexed="8"/>
      <name val="Calibri"/>
      <family val="2"/>
    </font>
    <font>
      <b/>
      <sz val="11"/>
      <color theme="1"/>
      <name val="Calibri"/>
      <family val="2"/>
      <scheme val="minor"/>
    </font>
    <font>
      <b/>
      <i/>
      <sz val="11"/>
      <color theme="1"/>
      <name val="Calibri"/>
      <family val="2"/>
      <scheme val="minor"/>
    </font>
    <font>
      <sz val="11"/>
      <color theme="1"/>
      <name val="Calibri"/>
      <family val="2"/>
    </font>
    <font>
      <sz val="10"/>
      <name val="Verdana"/>
      <family val="2"/>
    </font>
    <font>
      <sz val="10"/>
      <color theme="1"/>
      <name val="Calibri"/>
      <family val="2"/>
    </font>
    <font>
      <b/>
      <sz val="14"/>
      <color theme="1"/>
      <name val="Calibri"/>
      <family val="2"/>
    </font>
    <font>
      <sz val="9"/>
      <color theme="1"/>
      <name val="Calibri"/>
      <family val="2"/>
    </font>
    <font>
      <sz val="10"/>
      <color indexed="8"/>
      <name val="Calibri"/>
      <family val="2"/>
    </font>
    <font>
      <b/>
      <sz val="9"/>
      <color theme="1"/>
      <name val="Calibri"/>
      <family val="2"/>
    </font>
    <font>
      <sz val="9"/>
      <color indexed="8"/>
      <name val="Calibri"/>
      <family val="2"/>
    </font>
    <font>
      <b/>
      <sz val="10"/>
      <color indexed="8"/>
      <name val="Calibri"/>
      <family val="2"/>
    </font>
    <font>
      <b/>
      <sz val="10"/>
      <color theme="0" tint="-0.499984740745262"/>
      <name val="Calibri"/>
      <family val="2"/>
    </font>
    <font>
      <b/>
      <sz val="10"/>
      <color theme="1"/>
      <name val="Calibri"/>
      <family val="2"/>
    </font>
    <font>
      <b/>
      <sz val="14"/>
      <color indexed="8"/>
      <name val="Calibri"/>
      <family val="2"/>
    </font>
    <font>
      <sz val="12"/>
      <color indexed="8"/>
      <name val="Calibri"/>
      <family val="2"/>
    </font>
    <font>
      <b/>
      <sz val="12"/>
      <color indexed="8"/>
      <name val="Calibri"/>
      <family val="2"/>
    </font>
    <font>
      <sz val="12"/>
      <color indexed="8"/>
      <name val="Calibri"/>
      <family val="2"/>
      <scheme val="minor"/>
    </font>
    <font>
      <b/>
      <sz val="12"/>
      <color indexed="8"/>
      <name val="Calibri"/>
      <family val="2"/>
      <scheme val="minor"/>
    </font>
    <font>
      <sz val="8"/>
      <color indexed="8"/>
      <name val="Calibri"/>
      <family val="2"/>
    </font>
    <font>
      <sz val="8"/>
      <color theme="1"/>
      <name val="Calibri"/>
      <family val="2"/>
      <scheme val="minor"/>
    </font>
    <font>
      <sz val="9"/>
      <color theme="1"/>
      <name val="Calibri"/>
      <family val="2"/>
      <scheme val="minor"/>
    </font>
    <font>
      <sz val="9"/>
      <color indexed="8"/>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color theme="7" tint="-0.499984740745262"/>
      <name val="Calibri"/>
      <family val="2"/>
    </font>
    <font>
      <b/>
      <sz val="11"/>
      <color theme="7" tint="-0.499984740745262"/>
      <name val="Calibri"/>
      <family val="2"/>
      <scheme val="minor"/>
    </font>
    <font>
      <b/>
      <sz val="12"/>
      <color theme="7" tint="-0.499984740745262"/>
      <name val="Calibri"/>
      <family val="2"/>
      <scheme val="minor"/>
    </font>
    <font>
      <i/>
      <sz val="11"/>
      <color theme="1"/>
      <name val="Calibri"/>
      <family val="2"/>
      <scheme val="minor"/>
    </font>
    <font>
      <u/>
      <sz val="11"/>
      <color theme="10"/>
      <name val="Calibri"/>
      <family val="2"/>
      <scheme val="minor"/>
    </font>
  </fonts>
  <fills count="16">
    <fill>
      <patternFill patternType="none"/>
    </fill>
    <fill>
      <patternFill patternType="gray125"/>
    </fill>
    <fill>
      <patternFill patternType="solid">
        <fgColor rgb="FFFFFFC2"/>
        <bgColor indexed="64"/>
      </patternFill>
    </fill>
    <fill>
      <patternFill patternType="solid">
        <fgColor indexed="22"/>
        <bgColor indexed="0"/>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77111117893"/>
        <bgColor indexed="0"/>
      </patternFill>
    </fill>
    <fill>
      <patternFill patternType="solid">
        <fgColor rgb="FFEAE5EF"/>
        <bgColor indexed="64"/>
      </patternFill>
    </fill>
    <fill>
      <patternFill patternType="solid">
        <fgColor rgb="FFD5EDFF"/>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99"/>
        <bgColor indexed="64"/>
      </patternFill>
    </fill>
    <fill>
      <patternFill patternType="solid">
        <fgColor rgb="FFABDBFF"/>
        <bgColor indexed="64"/>
      </patternFill>
    </fill>
    <fill>
      <patternFill patternType="solid">
        <fgColor rgb="FFDAA8FF"/>
        <bgColor indexed="64"/>
      </patternFill>
    </fill>
    <fill>
      <patternFill patternType="solid">
        <fgColor rgb="FFE8CAFF"/>
        <bgColor indexed="64"/>
      </patternFill>
    </fill>
    <fill>
      <patternFill patternType="solid">
        <fgColor rgb="FFFFFF0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top/>
      <bottom style="thin">
        <color auto="1"/>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style="thin">
        <color auto="1"/>
      </right>
      <top style="thin">
        <color auto="1"/>
      </top>
      <bottom style="thin">
        <color auto="1"/>
      </bottom>
      <diagonal/>
    </border>
    <border>
      <left/>
      <right style="thin">
        <color auto="1"/>
      </right>
      <top/>
      <bottom style="double">
        <color auto="1"/>
      </bottom>
      <diagonal/>
    </border>
    <border>
      <left/>
      <right/>
      <top style="thin">
        <color auto="1"/>
      </top>
      <bottom style="thin">
        <color auto="1"/>
      </bottom>
      <diagonal/>
    </border>
    <border>
      <left/>
      <right/>
      <top/>
      <bottom style="double">
        <color auto="1"/>
      </bottom>
      <diagonal/>
    </border>
    <border>
      <left style="thin">
        <color indexed="8"/>
      </left>
      <right style="thin">
        <color indexed="8"/>
      </right>
      <top/>
      <bottom/>
      <diagonal/>
    </border>
    <border>
      <left style="thin">
        <color indexed="22"/>
      </left>
      <right style="thin">
        <color indexed="22"/>
      </right>
      <top/>
      <bottom/>
      <diagonal/>
    </border>
    <border>
      <left style="thin">
        <color auto="1"/>
      </left>
      <right style="thin">
        <color auto="1"/>
      </right>
      <top style="thin">
        <color auto="1"/>
      </top>
      <bottom style="thin">
        <color theme="0" tint="-0.14996795556505021"/>
      </bottom>
      <diagonal/>
    </border>
    <border>
      <left style="thin">
        <color auto="1"/>
      </left>
      <right/>
      <top style="thin">
        <color auto="1"/>
      </top>
      <bottom style="thin">
        <color auto="1"/>
      </bottom>
      <diagonal/>
    </border>
    <border>
      <left style="thin">
        <color auto="1"/>
      </left>
      <right style="thin">
        <color auto="1"/>
      </right>
      <top style="thin">
        <color theme="0" tint="-0.14996795556505021"/>
      </top>
      <bottom style="thin">
        <color theme="0" tint="-0.14996795556505021"/>
      </bottom>
      <diagonal/>
    </border>
    <border>
      <left/>
      <right/>
      <top style="double">
        <color auto="1"/>
      </top>
      <bottom/>
      <diagonal/>
    </border>
    <border>
      <left style="thin">
        <color auto="1"/>
      </left>
      <right style="thin">
        <color auto="1"/>
      </right>
      <top style="thin">
        <color theme="0" tint="-0.14996795556505021"/>
      </top>
      <bottom/>
      <diagonal/>
    </border>
    <border>
      <left style="thin">
        <color auto="1"/>
      </left>
      <right style="thin">
        <color auto="1"/>
      </right>
      <top/>
      <bottom style="thin">
        <color theme="0" tint="-0.14996795556505021"/>
      </bottom>
      <diagonal/>
    </border>
    <border>
      <left style="thin">
        <color auto="1"/>
      </left>
      <right/>
      <top/>
      <bottom/>
      <diagonal/>
    </border>
    <border>
      <left style="thin">
        <color auto="1"/>
      </left>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style="thin">
        <color auto="1"/>
      </right>
      <top style="thin">
        <color theme="0" tint="-0.14996795556505021"/>
      </top>
      <bottom style="thin">
        <color auto="1"/>
      </bottom>
      <diagonal/>
    </border>
    <border>
      <left style="thin">
        <color auto="1"/>
      </left>
      <right/>
      <top/>
      <bottom style="thin">
        <color auto="1"/>
      </bottom>
      <diagonal/>
    </border>
    <border>
      <left style="thin">
        <color auto="1"/>
      </left>
      <right/>
      <top style="thin">
        <color theme="0" tint="-0.2499465926084170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medium">
        <color theme="7" tint="-0.499984740745262"/>
      </left>
      <right style="medium">
        <color theme="7" tint="-0.499984740745262"/>
      </right>
      <top style="medium">
        <color theme="7" tint="-0.499984740745262"/>
      </top>
      <bottom style="medium">
        <color theme="7" tint="-0.499984740745262"/>
      </bottom>
      <diagonal/>
    </border>
    <border>
      <left style="medium">
        <color theme="7" tint="-0.499984740745262"/>
      </left>
      <right/>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s>
  <cellStyleXfs count="29">
    <xf numFmtId="0" fontId="0" fillId="0" borderId="0"/>
    <xf numFmtId="0" fontId="4" fillId="0" borderId="0"/>
    <xf numFmtId="0" fontId="4" fillId="0" borderId="0"/>
    <xf numFmtId="164" fontId="5" fillId="0" borderId="0" applyFont="0" applyFill="0" applyBorder="0" applyAlignment="0" applyProtection="0"/>
    <xf numFmtId="0" fontId="4" fillId="0" borderId="0"/>
    <xf numFmtId="0" fontId="4" fillId="0" borderId="0"/>
    <xf numFmtId="0" fontId="4" fillId="0" borderId="0"/>
    <xf numFmtId="0" fontId="4" fillId="0" borderId="0"/>
    <xf numFmtId="0" fontId="10" fillId="0" borderId="0"/>
    <xf numFmtId="43" fontId="10" fillId="0" borderId="0" applyFont="0" applyFill="0" applyBorder="0" applyAlignment="0" applyProtection="0"/>
    <xf numFmtId="0" fontId="4" fillId="0" borderId="0"/>
    <xf numFmtId="0" fontId="4" fillId="0" borderId="0"/>
    <xf numFmtId="44" fontId="10" fillId="0" borderId="0" applyFont="0" applyFill="0" applyBorder="0" applyAlignment="0" applyProtection="0"/>
    <xf numFmtId="43" fontId="5" fillId="0" borderId="0" applyFont="0" applyFill="0" applyBorder="0" applyAlignment="0" applyProtection="0"/>
    <xf numFmtId="0" fontId="3" fillId="0" borderId="0"/>
    <xf numFmtId="0" fontId="11" fillId="0" borderId="0"/>
    <xf numFmtId="0" fontId="3" fillId="0" borderId="0"/>
    <xf numFmtId="0" fontId="5"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applyNumberFormat="0" applyFill="0" applyBorder="0" applyAlignment="0" applyProtection="0"/>
  </cellStyleXfs>
  <cellXfs count="503">
    <xf numFmtId="0" fontId="0" fillId="0" borderId="0" xfId="0"/>
    <xf numFmtId="0" fontId="0" fillId="0" borderId="0" xfId="0" applyAlignment="1">
      <alignment horizontal="center" vertical="center"/>
    </xf>
    <xf numFmtId="166" fontId="0" fillId="0" borderId="0" xfId="3" applyNumberFormat="1" applyFont="1"/>
    <xf numFmtId="166" fontId="0" fillId="0" borderId="0" xfId="0" applyNumberFormat="1"/>
    <xf numFmtId="0" fontId="0" fillId="0" borderId="0" xfId="0" applyBorder="1"/>
    <xf numFmtId="0" fontId="0" fillId="0" borderId="0" xfId="0" applyBorder="1" applyAlignment="1">
      <alignment horizontal="center" vertical="center"/>
    </xf>
    <xf numFmtId="165" fontId="0" fillId="0" borderId="0" xfId="0" applyNumberFormat="1" applyBorder="1"/>
    <xf numFmtId="10" fontId="0" fillId="0" borderId="0" xfId="0" applyNumberFormat="1" applyBorder="1"/>
    <xf numFmtId="165" fontId="0" fillId="0" borderId="1" xfId="0" applyNumberFormat="1" applyBorder="1" applyAlignment="1">
      <alignment horizontal="center" vertical="center"/>
    </xf>
    <xf numFmtId="0" fontId="3" fillId="0" borderId="2" xfId="1" applyFont="1" applyFill="1" applyBorder="1" applyAlignment="1">
      <alignment wrapText="1"/>
    </xf>
    <xf numFmtId="165" fontId="0" fillId="0" borderId="2" xfId="0" applyNumberFormat="1" applyBorder="1"/>
    <xf numFmtId="0" fontId="3" fillId="0" borderId="3" xfId="1" applyFont="1" applyFill="1" applyBorder="1" applyAlignment="1">
      <alignment wrapText="1"/>
    </xf>
    <xf numFmtId="165" fontId="0" fillId="0" borderId="3" xfId="0" applyNumberFormat="1" applyBorder="1"/>
    <xf numFmtId="165" fontId="0" fillId="0" borderId="8" xfId="0" applyNumberFormat="1" applyBorder="1" applyAlignment="1">
      <alignment horizontal="center" vertical="center"/>
    </xf>
    <xf numFmtId="0" fontId="3" fillId="0" borderId="9" xfId="1" applyFont="1" applyFill="1" applyBorder="1" applyAlignment="1">
      <alignment wrapText="1"/>
    </xf>
    <xf numFmtId="0" fontId="3" fillId="0" borderId="11" xfId="1" applyFont="1" applyFill="1" applyBorder="1" applyAlignment="1">
      <alignment wrapText="1"/>
    </xf>
    <xf numFmtId="0" fontId="3" fillId="0" borderId="13" xfId="1" applyFont="1" applyFill="1" applyBorder="1" applyAlignment="1">
      <alignment wrapText="1"/>
    </xf>
    <xf numFmtId="0" fontId="3" fillId="0" borderId="14" xfId="1" applyFont="1" applyFill="1" applyBorder="1" applyAlignment="1">
      <alignment wrapText="1"/>
    </xf>
    <xf numFmtId="165" fontId="0" fillId="0" borderId="14" xfId="0" applyNumberFormat="1" applyBorder="1"/>
    <xf numFmtId="165" fontId="0" fillId="0" borderId="7" xfId="0" applyNumberFormat="1" applyBorder="1" applyAlignment="1">
      <alignment horizontal="center" vertical="center"/>
    </xf>
    <xf numFmtId="165" fontId="3" fillId="0" borderId="9" xfId="2" applyNumberFormat="1" applyFont="1" applyFill="1" applyBorder="1" applyAlignment="1">
      <alignment horizontal="right" wrapText="1"/>
    </xf>
    <xf numFmtId="165" fontId="0" fillId="0" borderId="10" xfId="0" applyNumberFormat="1" applyBorder="1"/>
    <xf numFmtId="165" fontId="3" fillId="0" borderId="11" xfId="2" applyNumberFormat="1" applyFont="1" applyFill="1" applyBorder="1" applyAlignment="1">
      <alignment horizontal="right" wrapText="1"/>
    </xf>
    <xf numFmtId="165" fontId="0" fillId="0" borderId="12" xfId="0" applyNumberFormat="1" applyBorder="1"/>
    <xf numFmtId="165" fontId="3" fillId="0" borderId="13" xfId="2" applyNumberFormat="1" applyFont="1" applyFill="1" applyBorder="1" applyAlignment="1">
      <alignment horizontal="right" wrapText="1"/>
    </xf>
    <xf numFmtId="165" fontId="0" fillId="0" borderId="15" xfId="0" applyNumberFormat="1" applyBorder="1"/>
    <xf numFmtId="0" fontId="3" fillId="0" borderId="10" xfId="1" applyFont="1" applyFill="1" applyBorder="1" applyAlignment="1">
      <alignment wrapText="1"/>
    </xf>
    <xf numFmtId="0" fontId="3" fillId="0" borderId="12" xfId="1" applyFont="1" applyFill="1" applyBorder="1" applyAlignment="1">
      <alignment wrapText="1"/>
    </xf>
    <xf numFmtId="0" fontId="3" fillId="0" borderId="15" xfId="1" applyFont="1" applyFill="1" applyBorder="1" applyAlignment="1">
      <alignment wrapText="1"/>
    </xf>
    <xf numFmtId="167" fontId="0" fillId="0" borderId="7" xfId="0" applyNumberFormat="1" applyBorder="1" applyAlignment="1">
      <alignment horizontal="center" vertical="center"/>
    </xf>
    <xf numFmtId="167" fontId="0" fillId="0" borderId="1" xfId="0" applyNumberFormat="1" applyBorder="1" applyAlignment="1">
      <alignment horizontal="center" vertical="center"/>
    </xf>
    <xf numFmtId="167" fontId="0" fillId="0" borderId="8" xfId="0" applyNumberFormat="1" applyBorder="1" applyAlignment="1">
      <alignment horizontal="center" vertical="center"/>
    </xf>
    <xf numFmtId="167" fontId="3" fillId="0" borderId="9" xfId="2" applyNumberFormat="1" applyFont="1" applyFill="1" applyBorder="1" applyAlignment="1">
      <alignment wrapText="1"/>
    </xf>
    <xf numFmtId="167" fontId="3" fillId="2" borderId="2" xfId="2" applyNumberFormat="1" applyFont="1" applyFill="1" applyBorder="1" applyAlignment="1">
      <alignment wrapText="1"/>
    </xf>
    <xf numFmtId="167" fontId="3" fillId="2" borderId="10" xfId="2" applyNumberFormat="1" applyFont="1" applyFill="1" applyBorder="1" applyAlignment="1">
      <alignment wrapText="1"/>
    </xf>
    <xf numFmtId="167" fontId="3" fillId="2" borderId="11" xfId="2" applyNumberFormat="1" applyFont="1" applyFill="1" applyBorder="1" applyAlignment="1">
      <alignment wrapText="1"/>
    </xf>
    <xf numFmtId="167" fontId="3" fillId="2" borderId="3" xfId="2" applyNumberFormat="1" applyFont="1" applyFill="1" applyBorder="1" applyAlignment="1">
      <alignment wrapText="1"/>
    </xf>
    <xf numFmtId="167" fontId="3" fillId="2" borderId="12" xfId="2" applyNumberFormat="1" applyFont="1" applyFill="1" applyBorder="1" applyAlignment="1">
      <alignment wrapText="1"/>
    </xf>
    <xf numFmtId="167" fontId="3" fillId="0" borderId="11" xfId="2" applyNumberFormat="1" applyFont="1" applyFill="1" applyBorder="1" applyAlignment="1">
      <alignment wrapText="1"/>
    </xf>
    <xf numFmtId="167" fontId="3" fillId="0" borderId="3" xfId="2" applyNumberFormat="1" applyFont="1" applyFill="1" applyBorder="1" applyAlignment="1">
      <alignment wrapText="1"/>
    </xf>
    <xf numFmtId="167" fontId="3" fillId="0" borderId="12" xfId="2" applyNumberFormat="1" applyFont="1" applyFill="1" applyBorder="1" applyAlignment="1">
      <alignment wrapText="1"/>
    </xf>
    <xf numFmtId="167" fontId="3" fillId="0" borderId="13" xfId="2" applyNumberFormat="1" applyFont="1" applyFill="1" applyBorder="1" applyAlignment="1">
      <alignment wrapText="1"/>
    </xf>
    <xf numFmtId="167" fontId="3" fillId="0" borderId="14" xfId="2" applyNumberFormat="1" applyFont="1" applyFill="1" applyBorder="1" applyAlignment="1">
      <alignment wrapText="1"/>
    </xf>
    <xf numFmtId="167" fontId="3" fillId="0" borderId="15" xfId="2" applyNumberFormat="1" applyFont="1" applyFill="1" applyBorder="1" applyAlignment="1">
      <alignment wrapText="1"/>
    </xf>
    <xf numFmtId="167" fontId="0" fillId="0" borderId="0" xfId="0" applyNumberFormat="1" applyBorder="1"/>
    <xf numFmtId="167" fontId="3" fillId="0" borderId="11" xfId="2" quotePrefix="1" applyNumberFormat="1" applyFont="1" applyFill="1" applyBorder="1" applyAlignment="1">
      <alignment horizontal="right" wrapText="1"/>
    </xf>
    <xf numFmtId="1" fontId="0" fillId="0" borderId="0" xfId="0" applyNumberFormat="1"/>
    <xf numFmtId="3" fontId="0" fillId="0" borderId="0" xfId="0" applyNumberFormat="1"/>
    <xf numFmtId="168" fontId="0" fillId="0" borderId="0" xfId="3" applyNumberFormat="1" applyFont="1"/>
    <xf numFmtId="0" fontId="7" fillId="0" borderId="1" xfId="4" applyFont="1" applyFill="1" applyBorder="1" applyAlignment="1">
      <alignment horizontal="center" vertical="center"/>
    </xf>
    <xf numFmtId="165" fontId="7" fillId="0" borderId="1" xfId="4" applyNumberFormat="1" applyFont="1" applyFill="1" applyBorder="1" applyAlignment="1">
      <alignment horizontal="center" vertical="center"/>
    </xf>
    <xf numFmtId="165"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Border="1" applyAlignment="1">
      <alignment horizontal="center" vertical="center"/>
    </xf>
    <xf numFmtId="168" fontId="0" fillId="0" borderId="0" xfId="3" applyNumberFormat="1" applyFont="1" applyAlignment="1">
      <alignment horizontal="center" vertical="center"/>
    </xf>
    <xf numFmtId="0" fontId="7" fillId="0" borderId="2" xfId="4" applyFont="1" applyFill="1" applyBorder="1" applyAlignment="1">
      <alignment horizontal="center" vertical="center"/>
    </xf>
    <xf numFmtId="0" fontId="7" fillId="0" borderId="17" xfId="4" applyFont="1" applyFill="1" applyBorder="1" applyAlignment="1">
      <alignment horizontal="center" vertical="center"/>
    </xf>
    <xf numFmtId="165" fontId="7" fillId="0" borderId="2" xfId="4" applyNumberFormat="1" applyFont="1" applyFill="1" applyBorder="1" applyAlignment="1">
      <alignment horizontal="center" vertical="center"/>
    </xf>
    <xf numFmtId="0" fontId="8" fillId="0" borderId="2" xfId="0" applyFont="1" applyBorder="1" applyAlignment="1">
      <alignment horizontal="center" vertical="center"/>
    </xf>
    <xf numFmtId="0" fontId="3" fillId="3" borderId="18" xfId="5" applyFont="1" applyFill="1" applyBorder="1" applyAlignment="1">
      <alignment horizontal="center"/>
    </xf>
    <xf numFmtId="0" fontId="3" fillId="0" borderId="2" xfId="4" applyFont="1" applyFill="1" applyBorder="1" applyAlignment="1">
      <alignment wrapText="1"/>
    </xf>
    <xf numFmtId="168" fontId="3" fillId="0" borderId="17" xfId="3" applyNumberFormat="1" applyFont="1" applyFill="1" applyBorder="1" applyAlignment="1">
      <alignment horizontal="right" wrapText="1"/>
    </xf>
    <xf numFmtId="165" fontId="3" fillId="0" borderId="2" xfId="4" applyNumberFormat="1" applyFont="1" applyFill="1" applyBorder="1" applyAlignment="1">
      <alignment horizontal="right" wrapText="1"/>
    </xf>
    <xf numFmtId="165" fontId="0" fillId="0" borderId="2" xfId="0" applyNumberFormat="1" applyFill="1" applyBorder="1"/>
    <xf numFmtId="165" fontId="3" fillId="0" borderId="2" xfId="6" applyNumberFormat="1" applyFont="1" applyFill="1" applyBorder="1" applyAlignment="1">
      <alignment horizontal="right" wrapText="1"/>
    </xf>
    <xf numFmtId="165" fontId="3" fillId="0" borderId="0" xfId="6" applyNumberFormat="1" applyFont="1" applyFill="1" applyBorder="1" applyAlignment="1">
      <alignment horizontal="right" wrapText="1"/>
    </xf>
    <xf numFmtId="0" fontId="3" fillId="0" borderId="19" xfId="5" applyFont="1" applyFill="1" applyBorder="1" applyAlignment="1">
      <alignment wrapText="1"/>
    </xf>
    <xf numFmtId="168" fontId="3" fillId="0" borderId="19" xfId="3" applyNumberFormat="1" applyFont="1" applyFill="1" applyBorder="1" applyAlignment="1">
      <alignment horizontal="right" wrapText="1"/>
    </xf>
    <xf numFmtId="0" fontId="3" fillId="0" borderId="3" xfId="4" applyFont="1" applyFill="1" applyBorder="1" applyAlignment="1">
      <alignment wrapText="1"/>
    </xf>
    <xf numFmtId="168" fontId="3" fillId="0" borderId="20" xfId="3" applyNumberFormat="1" applyFont="1" applyFill="1" applyBorder="1" applyAlignment="1">
      <alignment horizontal="right" wrapText="1"/>
    </xf>
    <xf numFmtId="165" fontId="3" fillId="0" borderId="3" xfId="4" applyNumberFormat="1" applyFont="1" applyFill="1" applyBorder="1" applyAlignment="1">
      <alignment horizontal="right" wrapText="1"/>
    </xf>
    <xf numFmtId="165" fontId="0" fillId="0" borderId="3" xfId="0" applyNumberFormat="1" applyFill="1" applyBorder="1"/>
    <xf numFmtId="165" fontId="3" fillId="0" borderId="3" xfId="6" applyNumberFormat="1" applyFont="1" applyFill="1" applyBorder="1" applyAlignment="1">
      <alignment horizontal="right" wrapText="1"/>
    </xf>
    <xf numFmtId="169" fontId="0" fillId="0" borderId="0" xfId="0" applyNumberFormat="1"/>
    <xf numFmtId="170" fontId="3" fillId="0" borderId="20" xfId="3" applyNumberFormat="1" applyFont="1" applyFill="1" applyBorder="1" applyAlignment="1">
      <alignment horizontal="right" wrapText="1"/>
    </xf>
    <xf numFmtId="0" fontId="8" fillId="0" borderId="1" xfId="0" applyFont="1" applyBorder="1" applyAlignment="1">
      <alignment horizontal="center"/>
    </xf>
    <xf numFmtId="0" fontId="7" fillId="0" borderId="1" xfId="6" applyFont="1" applyFill="1" applyBorder="1" applyAlignment="1">
      <alignment wrapText="1"/>
    </xf>
    <xf numFmtId="168" fontId="8" fillId="0" borderId="1" xfId="3" applyNumberFormat="1" applyFont="1" applyBorder="1"/>
    <xf numFmtId="165" fontId="8" fillId="0" borderId="1" xfId="0" applyNumberFormat="1" applyFont="1" applyBorder="1"/>
    <xf numFmtId="165" fontId="7" fillId="0" borderId="1" xfId="6" applyNumberFormat="1" applyFont="1" applyFill="1" applyBorder="1" applyAlignment="1">
      <alignment horizontal="right" wrapText="1"/>
    </xf>
    <xf numFmtId="165" fontId="0" fillId="0" borderId="1" xfId="0" applyNumberFormat="1" applyBorder="1" applyAlignment="1">
      <alignment horizontal="center"/>
    </xf>
    <xf numFmtId="165" fontId="0" fillId="0" borderId="0" xfId="0" applyNumberFormat="1"/>
    <xf numFmtId="0" fontId="7" fillId="0" borderId="2" xfId="6" applyFont="1" applyFill="1" applyBorder="1" applyAlignment="1">
      <alignment wrapText="1"/>
    </xf>
    <xf numFmtId="168" fontId="3" fillId="0" borderId="2" xfId="3" applyNumberFormat="1" applyFont="1" applyFill="1" applyBorder="1" applyAlignment="1">
      <alignment horizontal="right" wrapText="1"/>
    </xf>
    <xf numFmtId="165" fontId="8" fillId="0" borderId="2" xfId="0" applyNumberFormat="1" applyFont="1" applyBorder="1"/>
    <xf numFmtId="0" fontId="0" fillId="4" borderId="2" xfId="0" applyFill="1" applyBorder="1"/>
    <xf numFmtId="0" fontId="7" fillId="0" borderId="21" xfId="6" applyFont="1" applyFill="1" applyBorder="1" applyAlignment="1">
      <alignment wrapText="1"/>
    </xf>
    <xf numFmtId="168" fontId="3" fillId="0" borderId="21" xfId="3" applyNumberFormat="1" applyFont="1" applyFill="1" applyBorder="1" applyAlignment="1">
      <alignment horizontal="right" wrapText="1"/>
    </xf>
    <xf numFmtId="165" fontId="3" fillId="0" borderId="21" xfId="4" applyNumberFormat="1" applyFont="1" applyFill="1" applyBorder="1" applyAlignment="1">
      <alignment horizontal="right" wrapText="1"/>
    </xf>
    <xf numFmtId="165" fontId="8" fillId="0" borderId="21" xfId="0" applyNumberFormat="1" applyFont="1" applyBorder="1"/>
    <xf numFmtId="0" fontId="0" fillId="4" borderId="21" xfId="0" applyFill="1" applyBorder="1"/>
    <xf numFmtId="0" fontId="9" fillId="0" borderId="1" xfId="0" applyFont="1" applyBorder="1"/>
    <xf numFmtId="168" fontId="9" fillId="0" borderId="1" xfId="3" applyNumberFormat="1" applyFont="1" applyBorder="1"/>
    <xf numFmtId="165" fontId="9" fillId="0" borderId="1" xfId="0" applyNumberFormat="1" applyFont="1" applyBorder="1"/>
    <xf numFmtId="165" fontId="3" fillId="4" borderId="1" xfId="7" applyNumberFormat="1" applyFont="1" applyFill="1" applyBorder="1" applyAlignment="1">
      <alignment horizontal="right" wrapText="1"/>
    </xf>
    <xf numFmtId="0" fontId="9" fillId="0" borderId="0" xfId="0" applyFont="1" applyBorder="1"/>
    <xf numFmtId="168" fontId="9" fillId="0" borderId="22" xfId="3" applyNumberFormat="1" applyFont="1" applyBorder="1"/>
    <xf numFmtId="165" fontId="9" fillId="0" borderId="0" xfId="0" applyNumberFormat="1" applyFont="1" applyBorder="1"/>
    <xf numFmtId="168" fontId="9" fillId="0" borderId="0" xfId="3" applyNumberFormat="1" applyFont="1" applyBorder="1"/>
    <xf numFmtId="171" fontId="9" fillId="0" borderId="0" xfId="0" applyNumberFormat="1" applyFont="1" applyBorder="1"/>
    <xf numFmtId="43" fontId="9" fillId="0" borderId="0" xfId="3" applyNumberFormat="1" applyFont="1" applyBorder="1"/>
    <xf numFmtId="0" fontId="3" fillId="0" borderId="19" xfId="5" applyFont="1" applyFill="1" applyBorder="1" applyAlignment="1">
      <alignment horizontal="right" wrapText="1"/>
    </xf>
    <xf numFmtId="0" fontId="0" fillId="0" borderId="0" xfId="0" quotePrefix="1"/>
    <xf numFmtId="172" fontId="8" fillId="0" borderId="2" xfId="0" applyNumberFormat="1" applyFont="1" applyBorder="1" applyAlignment="1">
      <alignment horizontal="center" vertical="center" wrapText="1"/>
    </xf>
    <xf numFmtId="0" fontId="0" fillId="0" borderId="0" xfId="0" applyBorder="1" applyAlignment="1">
      <alignment vertical="center"/>
    </xf>
    <xf numFmtId="10" fontId="0" fillId="0" borderId="24" xfId="0" applyNumberFormat="1" applyBorder="1" applyAlignment="1">
      <alignment horizontal="center" vertical="center"/>
    </xf>
    <xf numFmtId="10" fontId="0" fillId="0" borderId="25" xfId="0" applyNumberFormat="1" applyBorder="1"/>
    <xf numFmtId="10" fontId="0" fillId="0" borderId="26" xfId="0" applyNumberFormat="1" applyBorder="1"/>
    <xf numFmtId="10" fontId="0" fillId="0" borderId="27" xfId="0" applyNumberFormat="1" applyBorder="1"/>
    <xf numFmtId="10" fontId="0" fillId="0" borderId="29" xfId="0" applyNumberFormat="1" applyBorder="1" applyAlignment="1">
      <alignment horizontal="center" vertical="center" wrapText="1"/>
    </xf>
    <xf numFmtId="10" fontId="0" fillId="0" borderId="30" xfId="0" applyNumberFormat="1" applyBorder="1" applyAlignment="1">
      <alignment horizontal="center" vertical="center" wrapText="1"/>
    </xf>
    <xf numFmtId="10" fontId="0" fillId="0" borderId="23" xfId="0" applyNumberFormat="1" applyBorder="1" applyAlignment="1">
      <alignment horizontal="center" vertical="center" wrapText="1"/>
    </xf>
    <xf numFmtId="173" fontId="3" fillId="0" borderId="11" xfId="3" applyNumberFormat="1" applyFont="1" applyFill="1" applyBorder="1" applyAlignment="1">
      <alignment horizontal="right" wrapText="1"/>
    </xf>
    <xf numFmtId="3" fontId="3" fillId="0" borderId="11" xfId="2" applyNumberFormat="1" applyFont="1" applyFill="1" applyBorder="1" applyAlignment="1">
      <alignment horizontal="right" wrapText="1"/>
    </xf>
    <xf numFmtId="3" fontId="3" fillId="0" borderId="13" xfId="2" applyNumberFormat="1" applyFont="1" applyFill="1" applyBorder="1" applyAlignment="1">
      <alignment horizontal="right" wrapText="1"/>
    </xf>
    <xf numFmtId="0" fontId="3" fillId="0" borderId="3" xfId="1" quotePrefix="1" applyFont="1" applyFill="1" applyBorder="1" applyAlignment="1">
      <alignment wrapText="1"/>
    </xf>
    <xf numFmtId="167" fontId="0" fillId="0" borderId="7" xfId="0" applyNumberFormat="1" applyFill="1" applyBorder="1" applyAlignment="1">
      <alignment horizontal="center" vertical="center"/>
    </xf>
    <xf numFmtId="167" fontId="0" fillId="0" borderId="0" xfId="0" applyNumberFormat="1" applyFill="1" applyBorder="1"/>
    <xf numFmtId="166" fontId="0" fillId="0" borderId="0" xfId="3" applyNumberFormat="1" applyFont="1" applyBorder="1"/>
    <xf numFmtId="165" fontId="0" fillId="0" borderId="29" xfId="0" applyNumberFormat="1" applyBorder="1" applyAlignment="1">
      <alignment vertical="center"/>
    </xf>
    <xf numFmtId="165" fontId="0" fillId="0" borderId="30" xfId="0" applyNumberFormat="1" applyBorder="1" applyAlignment="1">
      <alignment vertical="center"/>
    </xf>
    <xf numFmtId="165" fontId="0" fillId="0" borderId="31" xfId="0" applyNumberFormat="1" applyBorder="1" applyAlignment="1">
      <alignment horizontal="center" vertical="center"/>
    </xf>
    <xf numFmtId="165" fontId="0" fillId="0" borderId="17" xfId="0" applyNumberFormat="1" applyBorder="1"/>
    <xf numFmtId="165" fontId="0" fillId="0" borderId="20" xfId="0" applyNumberFormat="1" applyBorder="1"/>
    <xf numFmtId="165" fontId="0" fillId="0" borderId="32" xfId="0" applyNumberFormat="1" applyBorder="1"/>
    <xf numFmtId="166" fontId="0" fillId="0" borderId="12" xfId="3" applyNumberFormat="1" applyFont="1" applyBorder="1"/>
    <xf numFmtId="166" fontId="0" fillId="0" borderId="15" xfId="3" applyNumberFormat="1" applyFont="1" applyBorder="1"/>
    <xf numFmtId="173" fontId="3" fillId="2" borderId="0" xfId="3" applyNumberFormat="1" applyFont="1" applyFill="1" applyBorder="1" applyAlignment="1">
      <alignment horizontal="right" wrapText="1"/>
    </xf>
    <xf numFmtId="3" fontId="3" fillId="2" borderId="0" xfId="2" applyNumberFormat="1" applyFont="1" applyFill="1" applyBorder="1" applyAlignment="1">
      <alignment horizontal="right" wrapText="1"/>
    </xf>
    <xf numFmtId="3" fontId="3" fillId="2" borderId="34" xfId="2" applyNumberFormat="1" applyFont="1" applyFill="1" applyBorder="1" applyAlignment="1">
      <alignment horizontal="right" wrapText="1"/>
    </xf>
    <xf numFmtId="0" fontId="0" fillId="0" borderId="0" xfId="0" quotePrefix="1" applyBorder="1"/>
    <xf numFmtId="0" fontId="3" fillId="0" borderId="0" xfId="1" applyFont="1" applyFill="1" applyBorder="1" applyAlignment="1">
      <alignment wrapText="1"/>
    </xf>
    <xf numFmtId="3" fontId="0" fillId="0" borderId="0" xfId="3" applyNumberFormat="1" applyFont="1"/>
    <xf numFmtId="0" fontId="10" fillId="5" borderId="1" xfId="8" applyFill="1" applyBorder="1"/>
    <xf numFmtId="165" fontId="0" fillId="5" borderId="1" xfId="9" applyNumberFormat="1" applyFont="1" applyFill="1" applyBorder="1" applyAlignment="1">
      <alignment horizontal="center" vertical="center" wrapText="1"/>
    </xf>
    <xf numFmtId="165" fontId="10" fillId="5" borderId="1" xfId="8" applyNumberFormat="1" applyFill="1" applyBorder="1" applyAlignment="1">
      <alignment horizontal="center" vertical="center" wrapText="1"/>
    </xf>
    <xf numFmtId="0" fontId="10" fillId="5" borderId="1" xfId="8" applyFill="1" applyBorder="1" applyAlignment="1">
      <alignment horizontal="center" vertical="center" wrapText="1"/>
    </xf>
    <xf numFmtId="0" fontId="10" fillId="0" borderId="0" xfId="8"/>
    <xf numFmtId="0" fontId="3" fillId="3" borderId="18" xfId="10" applyFont="1" applyFill="1" applyBorder="1" applyAlignment="1">
      <alignment horizontal="center"/>
    </xf>
    <xf numFmtId="165" fontId="3" fillId="3" borderId="18" xfId="9" applyNumberFormat="1" applyFont="1" applyFill="1" applyBorder="1" applyAlignment="1">
      <alignment horizontal="center"/>
    </xf>
    <xf numFmtId="165" fontId="3" fillId="6" borderId="1" xfId="11" applyNumberFormat="1" applyFont="1" applyFill="1" applyBorder="1" applyAlignment="1">
      <alignment horizontal="center" wrapText="1"/>
    </xf>
    <xf numFmtId="0" fontId="3" fillId="6" borderId="1" xfId="11" applyFont="1" applyFill="1" applyBorder="1" applyAlignment="1">
      <alignment horizontal="center" wrapText="1"/>
    </xf>
    <xf numFmtId="0" fontId="10" fillId="0" borderId="0" xfId="8" applyAlignment="1">
      <alignment wrapText="1"/>
    </xf>
    <xf numFmtId="0" fontId="3" fillId="0" borderId="19" xfId="10" applyFont="1" applyFill="1" applyBorder="1" applyAlignment="1">
      <alignment wrapText="1"/>
    </xf>
    <xf numFmtId="165" fontId="3" fillId="0" borderId="19" xfId="9" applyNumberFormat="1" applyFont="1" applyFill="1" applyBorder="1" applyAlignment="1">
      <alignment horizontal="right" wrapText="1"/>
    </xf>
    <xf numFmtId="165" fontId="0" fillId="0" borderId="0" xfId="12" applyNumberFormat="1" applyFont="1"/>
    <xf numFmtId="165" fontId="10" fillId="0" borderId="0" xfId="8" applyNumberFormat="1"/>
    <xf numFmtId="165" fontId="0" fillId="0" borderId="0" xfId="9" applyNumberFormat="1" applyFont="1"/>
    <xf numFmtId="0" fontId="3" fillId="3" borderId="18" xfId="18" applyFont="1" applyFill="1" applyBorder="1" applyAlignment="1">
      <alignment horizontal="center"/>
    </xf>
    <xf numFmtId="0" fontId="3" fillId="0" borderId="19" xfId="18" applyFont="1" applyFill="1" applyBorder="1" applyAlignment="1">
      <alignment wrapText="1"/>
    </xf>
    <xf numFmtId="0" fontId="3" fillId="0" borderId="19" xfId="18" applyFont="1" applyFill="1" applyBorder="1" applyAlignment="1">
      <alignment horizontal="right" wrapText="1"/>
    </xf>
    <xf numFmtId="0" fontId="3" fillId="3" borderId="18" xfId="19" applyFont="1" applyFill="1" applyBorder="1" applyAlignment="1">
      <alignment horizontal="center"/>
    </xf>
    <xf numFmtId="0" fontId="3" fillId="3" borderId="35" xfId="19" applyFont="1" applyFill="1" applyBorder="1" applyAlignment="1">
      <alignment horizontal="center"/>
    </xf>
    <xf numFmtId="0" fontId="3" fillId="0" borderId="19" xfId="19" applyFont="1" applyFill="1" applyBorder="1" applyAlignment="1">
      <alignment wrapText="1"/>
    </xf>
    <xf numFmtId="0" fontId="3" fillId="0" borderId="19" xfId="11" applyFont="1" applyFill="1" applyBorder="1" applyAlignment="1">
      <alignment wrapText="1"/>
    </xf>
    <xf numFmtId="0" fontId="3" fillId="0" borderId="19" xfId="19" applyFont="1" applyFill="1" applyBorder="1" applyAlignment="1">
      <alignment horizontal="right" wrapText="1"/>
    </xf>
    <xf numFmtId="0" fontId="3" fillId="0" borderId="0" xfId="19" applyFont="1" applyFill="1" applyBorder="1" applyAlignment="1">
      <alignment horizontal="right" wrapText="1"/>
    </xf>
    <xf numFmtId="0" fontId="3" fillId="0" borderId="36" xfId="19" applyFont="1" applyFill="1" applyBorder="1" applyAlignment="1">
      <alignment wrapText="1"/>
    </xf>
    <xf numFmtId="0" fontId="3" fillId="0" borderId="36" xfId="11" applyFont="1" applyFill="1" applyBorder="1" applyAlignment="1">
      <alignment wrapText="1"/>
    </xf>
    <xf numFmtId="172" fontId="3" fillId="0" borderId="36" xfId="19" applyNumberFormat="1" applyFont="1" applyFill="1" applyBorder="1" applyAlignment="1">
      <alignment wrapText="1"/>
    </xf>
    <xf numFmtId="172" fontId="3" fillId="0" borderId="36" xfId="19" applyNumberFormat="1" applyFont="1" applyFill="1" applyBorder="1" applyAlignment="1">
      <alignment horizontal="right" wrapText="1"/>
    </xf>
    <xf numFmtId="172" fontId="10" fillId="0" borderId="0" xfId="8" applyNumberFormat="1"/>
    <xf numFmtId="174" fontId="12" fillId="0" borderId="1" xfId="9" applyNumberFormat="1" applyFont="1" applyBorder="1" applyAlignment="1">
      <alignment horizontal="center" vertical="center" wrapText="1"/>
    </xf>
    <xf numFmtId="174" fontId="15" fillId="0" borderId="3" xfId="20" applyNumberFormat="1" applyFont="1" applyFill="1" applyBorder="1" applyAlignment="1">
      <alignment wrapText="1"/>
    </xf>
    <xf numFmtId="174" fontId="15" fillId="0" borderId="39" xfId="20" applyNumberFormat="1" applyFont="1" applyFill="1" applyBorder="1" applyAlignment="1">
      <alignment wrapText="1"/>
    </xf>
    <xf numFmtId="174" fontId="12" fillId="0" borderId="39" xfId="9" applyNumberFormat="1" applyFont="1" applyBorder="1"/>
    <xf numFmtId="174" fontId="12" fillId="0" borderId="43" xfId="9" applyNumberFormat="1" applyFont="1" applyBorder="1"/>
    <xf numFmtId="174" fontId="12" fillId="0" borderId="45" xfId="9" applyNumberFormat="1" applyFont="1" applyBorder="1"/>
    <xf numFmtId="167" fontId="12" fillId="0" borderId="3" xfId="9" applyNumberFormat="1" applyFont="1" applyBorder="1"/>
    <xf numFmtId="174" fontId="12" fillId="0" borderId="42" xfId="9" applyNumberFormat="1" applyFont="1" applyBorder="1"/>
    <xf numFmtId="174" fontId="17" fillId="0" borderId="1" xfId="19" applyNumberFormat="1" applyFont="1" applyFill="1" applyBorder="1" applyAlignment="1">
      <alignment wrapText="1"/>
    </xf>
    <xf numFmtId="174" fontId="14" fillId="0" borderId="1" xfId="9" applyNumberFormat="1" applyFont="1" applyBorder="1"/>
    <xf numFmtId="49" fontId="15" fillId="0" borderId="3" xfId="20" applyNumberFormat="1" applyFont="1" applyFill="1" applyBorder="1" applyAlignment="1">
      <alignment wrapText="1"/>
    </xf>
    <xf numFmtId="174" fontId="15" fillId="7" borderId="39" xfId="20" applyNumberFormat="1" applyFont="1" applyFill="1" applyBorder="1" applyAlignment="1">
      <alignment wrapText="1"/>
    </xf>
    <xf numFmtId="174" fontId="12" fillId="7" borderId="39" xfId="9" applyNumberFormat="1" applyFont="1" applyFill="1" applyBorder="1"/>
    <xf numFmtId="174" fontId="12" fillId="7" borderId="43" xfId="9" applyNumberFormat="1" applyFont="1" applyFill="1" applyBorder="1"/>
    <xf numFmtId="174" fontId="12" fillId="7" borderId="49" xfId="9" applyNumberFormat="1" applyFont="1" applyFill="1" applyBorder="1"/>
    <xf numFmtId="167" fontId="12" fillId="7" borderId="2" xfId="9" applyNumberFormat="1" applyFont="1" applyFill="1" applyBorder="1"/>
    <xf numFmtId="174" fontId="12" fillId="7" borderId="2" xfId="9" applyNumberFormat="1" applyFont="1" applyFill="1" applyBorder="1"/>
    <xf numFmtId="174" fontId="15" fillId="7" borderId="3" xfId="20" applyNumberFormat="1" applyFont="1" applyFill="1" applyBorder="1" applyAlignment="1">
      <alignment wrapText="1"/>
    </xf>
    <xf numFmtId="174" fontId="12" fillId="7" borderId="3" xfId="9" applyNumberFormat="1" applyFont="1" applyFill="1" applyBorder="1"/>
    <xf numFmtId="167" fontId="12" fillId="7" borderId="3" xfId="9" applyNumberFormat="1" applyFont="1" applyFill="1" applyBorder="1"/>
    <xf numFmtId="174" fontId="15" fillId="0" borderId="0" xfId="20" applyNumberFormat="1" applyFont="1" applyFill="1" applyBorder="1" applyAlignment="1">
      <alignment wrapText="1"/>
    </xf>
    <xf numFmtId="174" fontId="15" fillId="0" borderId="2" xfId="20" applyNumberFormat="1" applyFont="1" applyFill="1" applyBorder="1" applyAlignment="1">
      <alignment wrapText="1"/>
    </xf>
    <xf numFmtId="174" fontId="12" fillId="0" borderId="2" xfId="9" applyNumberFormat="1" applyFont="1" applyBorder="1"/>
    <xf numFmtId="167" fontId="12" fillId="0" borderId="2" xfId="9" applyNumberFormat="1" applyFont="1" applyBorder="1"/>
    <xf numFmtId="174" fontId="15" fillId="0" borderId="21" xfId="20" applyNumberFormat="1" applyFont="1" applyFill="1" applyBorder="1" applyAlignment="1">
      <alignment wrapText="1"/>
    </xf>
    <xf numFmtId="174" fontId="12" fillId="0" borderId="21" xfId="9" applyNumberFormat="1" applyFont="1" applyBorder="1"/>
    <xf numFmtId="167" fontId="12" fillId="0" borderId="21" xfId="9" applyNumberFormat="1" applyFont="1" applyBorder="1"/>
    <xf numFmtId="49" fontId="18" fillId="0" borderId="39" xfId="20" applyNumberFormat="1" applyFont="1" applyFill="1" applyBorder="1" applyAlignment="1">
      <alignment wrapText="1"/>
    </xf>
    <xf numFmtId="174" fontId="12" fillId="4" borderId="2" xfId="9" applyNumberFormat="1" applyFont="1" applyFill="1" applyBorder="1"/>
    <xf numFmtId="49" fontId="15" fillId="0" borderId="39" xfId="20" applyNumberFormat="1" applyFont="1" applyFill="1" applyBorder="1" applyAlignment="1">
      <alignment wrapText="1"/>
    </xf>
    <xf numFmtId="174" fontId="12" fillId="4" borderId="21" xfId="9" applyNumberFormat="1" applyFont="1" applyFill="1" applyBorder="1"/>
    <xf numFmtId="49" fontId="15" fillId="0" borderId="0" xfId="20" applyNumberFormat="1" applyFont="1" applyFill="1" applyBorder="1" applyAlignment="1">
      <alignment wrapText="1"/>
    </xf>
    <xf numFmtId="174" fontId="12" fillId="0" borderId="0" xfId="9" applyNumberFormat="1" applyFont="1" applyFill="1" applyBorder="1"/>
    <xf numFmtId="174" fontId="12" fillId="0" borderId="37" xfId="0" applyNumberFormat="1" applyFont="1" applyBorder="1" applyAlignment="1">
      <alignment vertical="center"/>
    </xf>
    <xf numFmtId="174" fontId="12" fillId="0" borderId="1" xfId="0" applyNumberFormat="1" applyFont="1" applyBorder="1" applyAlignment="1">
      <alignment horizontal="center" vertical="center" wrapText="1"/>
    </xf>
    <xf numFmtId="174" fontId="12" fillId="0" borderId="0" xfId="0" applyNumberFormat="1" applyFont="1" applyAlignment="1">
      <alignment vertical="center"/>
    </xf>
    <xf numFmtId="174" fontId="12" fillId="0" borderId="0" xfId="0" applyNumberFormat="1" applyFont="1" applyBorder="1" applyAlignment="1">
      <alignment vertical="center"/>
    </xf>
    <xf numFmtId="174" fontId="12" fillId="0" borderId="39" xfId="0" applyNumberFormat="1" applyFont="1" applyBorder="1" applyAlignment="1">
      <alignment horizontal="center" vertical="center"/>
    </xf>
    <xf numFmtId="174" fontId="12" fillId="0" borderId="1" xfId="0" applyNumberFormat="1" applyFont="1" applyBorder="1" applyAlignment="1">
      <alignment horizontal="center" vertical="center"/>
    </xf>
    <xf numFmtId="174" fontId="12" fillId="0" borderId="0" xfId="0" applyNumberFormat="1" applyFont="1" applyAlignment="1">
      <alignment horizontal="center" vertical="center"/>
    </xf>
    <xf numFmtId="174" fontId="12" fillId="0" borderId="0" xfId="0" applyNumberFormat="1" applyFont="1"/>
    <xf numFmtId="0" fontId="14" fillId="0" borderId="0" xfId="0" applyFont="1" applyBorder="1"/>
    <xf numFmtId="0" fontId="14" fillId="0" borderId="1" xfId="0" applyFont="1" applyBorder="1"/>
    <xf numFmtId="174" fontId="14" fillId="0" borderId="0" xfId="0" applyNumberFormat="1" applyFont="1" applyBorder="1"/>
    <xf numFmtId="0" fontId="14" fillId="0" borderId="1" xfId="0" applyFont="1" applyFill="1" applyBorder="1"/>
    <xf numFmtId="174" fontId="14" fillId="0" borderId="1" xfId="0" applyNumberFormat="1" applyFont="1" applyFill="1" applyBorder="1"/>
    <xf numFmtId="174" fontId="12" fillId="0" borderId="0" xfId="0" applyNumberFormat="1" applyFont="1" applyFill="1"/>
    <xf numFmtId="0" fontId="0" fillId="0" borderId="0" xfId="0" applyFill="1"/>
    <xf numFmtId="174" fontId="14" fillId="0" borderId="1" xfId="0" applyNumberFormat="1" applyFont="1" applyBorder="1"/>
    <xf numFmtId="174" fontId="12" fillId="0" borderId="0" xfId="0" applyNumberFormat="1" applyFont="1" applyBorder="1"/>
    <xf numFmtId="174" fontId="12" fillId="4" borderId="2" xfId="0" applyNumberFormat="1" applyFont="1" applyFill="1" applyBorder="1"/>
    <xf numFmtId="174" fontId="19" fillId="4" borderId="2" xfId="0" applyNumberFormat="1" applyFont="1" applyFill="1" applyBorder="1"/>
    <xf numFmtId="174" fontId="20" fillId="4" borderId="2" xfId="0" applyNumberFormat="1" applyFont="1" applyFill="1" applyBorder="1"/>
    <xf numFmtId="174" fontId="12" fillId="0" borderId="2" xfId="0" applyNumberFormat="1" applyFont="1" applyFill="1" applyBorder="1"/>
    <xf numFmtId="174" fontId="14" fillId="0" borderId="0" xfId="0" applyNumberFormat="1" applyFont="1" applyFill="1" applyBorder="1"/>
    <xf numFmtId="174" fontId="12" fillId="4" borderId="21" xfId="0" applyNumberFormat="1" applyFont="1" applyFill="1" applyBorder="1"/>
    <xf numFmtId="174" fontId="19" fillId="4" borderId="21" xfId="0" applyNumberFormat="1" applyFont="1" applyFill="1" applyBorder="1"/>
    <xf numFmtId="174" fontId="20" fillId="4" borderId="21" xfId="0" applyNumberFormat="1" applyFont="1" applyFill="1" applyBorder="1"/>
    <xf numFmtId="174" fontId="12" fillId="0" borderId="21" xfId="0" applyNumberFormat="1" applyFont="1" applyFill="1" applyBorder="1"/>
    <xf numFmtId="174" fontId="12" fillId="0" borderId="0" xfId="0" applyNumberFormat="1" applyFont="1" applyFill="1" applyBorder="1"/>
    <xf numFmtId="174" fontId="19" fillId="0" borderId="0" xfId="0" applyNumberFormat="1" applyFont="1" applyFill="1" applyBorder="1"/>
    <xf numFmtId="174" fontId="20" fillId="0" borderId="0" xfId="0" applyNumberFormat="1" applyFont="1" applyFill="1" applyBorder="1"/>
    <xf numFmtId="10" fontId="0" fillId="0" borderId="23" xfId="0" applyNumberFormat="1" applyBorder="1" applyAlignment="1">
      <alignment horizontal="center" vertical="center" wrapText="1"/>
    </xf>
    <xf numFmtId="0" fontId="22" fillId="8" borderId="1" xfId="23" applyFont="1" applyFill="1" applyBorder="1" applyAlignment="1">
      <alignment horizontal="center" vertical="center" wrapText="1"/>
    </xf>
    <xf numFmtId="0" fontId="22" fillId="8" borderId="1" xfId="24" applyFont="1" applyFill="1" applyBorder="1" applyAlignment="1">
      <alignment wrapText="1"/>
    </xf>
    <xf numFmtId="0" fontId="6" fillId="0" borderId="0" xfId="0" applyFont="1" applyAlignment="1">
      <alignment vertical="center"/>
    </xf>
    <xf numFmtId="0" fontId="2" fillId="0" borderId="0" xfId="0" applyFont="1"/>
    <xf numFmtId="0" fontId="23" fillId="0" borderId="16" xfId="22" applyFont="1" applyFill="1" applyBorder="1" applyAlignment="1">
      <alignment vertical="center" wrapText="1"/>
    </xf>
    <xf numFmtId="0" fontId="23" fillId="0" borderId="50" xfId="22" applyFont="1" applyFill="1" applyBorder="1" applyAlignment="1">
      <alignment vertical="center" wrapText="1"/>
    </xf>
    <xf numFmtId="0" fontId="22" fillId="0" borderId="51" xfId="4" applyFont="1" applyFill="1" applyBorder="1" applyAlignment="1">
      <alignment vertical="center" wrapText="1"/>
    </xf>
    <xf numFmtId="0" fontId="22" fillId="0" borderId="51" xfId="22" applyFont="1" applyFill="1" applyBorder="1" applyAlignment="1">
      <alignment horizontal="left" vertical="center" wrapText="1"/>
    </xf>
    <xf numFmtId="167" fontId="24" fillId="9" borderId="51" xfId="25" applyNumberFormat="1" applyFont="1" applyFill="1" applyBorder="1" applyAlignment="1">
      <alignment horizontal="right" vertical="center" wrapText="1"/>
    </xf>
    <xf numFmtId="0" fontId="2" fillId="0" borderId="0" xfId="0" applyFont="1" applyAlignment="1">
      <alignment vertical="center"/>
    </xf>
    <xf numFmtId="0" fontId="22" fillId="0" borderId="52" xfId="4" applyFont="1" applyFill="1" applyBorder="1" applyAlignment="1">
      <alignment vertical="center" wrapText="1"/>
    </xf>
    <xf numFmtId="0" fontId="22" fillId="0" borderId="52" xfId="22" applyFont="1" applyFill="1" applyBorder="1" applyAlignment="1">
      <alignment horizontal="left" vertical="center" wrapText="1"/>
    </xf>
    <xf numFmtId="167" fontId="24" fillId="9" borderId="52" xfId="25" applyNumberFormat="1" applyFont="1" applyFill="1" applyBorder="1" applyAlignment="1">
      <alignment horizontal="right" vertical="center" wrapText="1"/>
    </xf>
    <xf numFmtId="0" fontId="22" fillId="0" borderId="52" xfId="4" quotePrefix="1" applyFont="1" applyFill="1" applyBorder="1" applyAlignment="1">
      <alignment vertical="center" wrapText="1"/>
    </xf>
    <xf numFmtId="0" fontId="22" fillId="0" borderId="52" xfId="25" applyFont="1" applyFill="1" applyBorder="1" applyAlignment="1">
      <alignment horizontal="left" vertical="center" wrapText="1"/>
    </xf>
    <xf numFmtId="0" fontId="25" fillId="0" borderId="0" xfId="0" applyFont="1" applyAlignment="1">
      <alignment vertical="center"/>
    </xf>
    <xf numFmtId="0" fontId="22" fillId="0" borderId="53" xfId="4" applyFont="1" applyFill="1" applyBorder="1" applyAlignment="1">
      <alignment vertical="center" wrapText="1"/>
    </xf>
    <xf numFmtId="0" fontId="22" fillId="0" borderId="53" xfId="25" applyFont="1" applyFill="1" applyBorder="1" applyAlignment="1">
      <alignment horizontal="left" vertical="center" wrapText="1"/>
    </xf>
    <xf numFmtId="167" fontId="24" fillId="9" borderId="53" xfId="25" applyNumberFormat="1" applyFont="1" applyFill="1" applyBorder="1" applyAlignment="1">
      <alignment horizontal="right" vertical="center" wrapText="1"/>
    </xf>
    <xf numFmtId="0" fontId="2" fillId="0" borderId="0" xfId="0" applyFont="1" applyFill="1" applyAlignment="1">
      <alignment horizontal="left"/>
    </xf>
    <xf numFmtId="0" fontId="22" fillId="0" borderId="54" xfId="22" applyFont="1" applyFill="1" applyBorder="1" applyAlignment="1">
      <alignment horizontal="left" vertical="center" wrapText="1"/>
    </xf>
    <xf numFmtId="0" fontId="24" fillId="9" borderId="2" xfId="25" applyFont="1" applyFill="1" applyBorder="1" applyAlignment="1">
      <alignment horizontal="center" vertical="center" wrapText="1"/>
    </xf>
    <xf numFmtId="0" fontId="2" fillId="9" borderId="2" xfId="0" applyFont="1" applyFill="1" applyBorder="1" applyAlignment="1">
      <alignment horizontal="center" vertical="center"/>
    </xf>
    <xf numFmtId="0" fontId="24" fillId="9" borderId="51" xfId="25" applyFont="1" applyFill="1" applyBorder="1" applyAlignment="1">
      <alignment horizontal="right" vertical="center" wrapText="1"/>
    </xf>
    <xf numFmtId="168" fontId="2" fillId="9" borderId="51" xfId="13" applyNumberFormat="1" applyFont="1" applyFill="1" applyBorder="1" applyAlignment="1">
      <alignment vertical="center"/>
    </xf>
    <xf numFmtId="168" fontId="24" fillId="9" borderId="52" xfId="13" applyNumberFormat="1" applyFont="1" applyFill="1" applyBorder="1" applyAlignment="1">
      <alignment horizontal="right" vertical="center" wrapText="1"/>
    </xf>
    <xf numFmtId="168" fontId="24" fillId="9" borderId="52" xfId="13" applyNumberFormat="1" applyFont="1" applyFill="1" applyBorder="1" applyAlignment="1">
      <alignment vertical="center"/>
    </xf>
    <xf numFmtId="168" fontId="2" fillId="9" borderId="52" xfId="13" applyNumberFormat="1" applyFont="1" applyFill="1" applyBorder="1" applyAlignment="1">
      <alignment vertical="center"/>
    </xf>
    <xf numFmtId="168" fontId="24" fillId="9" borderId="53" xfId="13" applyNumberFormat="1" applyFont="1" applyFill="1" applyBorder="1" applyAlignment="1">
      <alignment vertical="center"/>
    </xf>
    <xf numFmtId="168" fontId="24" fillId="9" borderId="53" xfId="13" applyNumberFormat="1" applyFont="1" applyFill="1" applyBorder="1" applyAlignment="1">
      <alignment horizontal="right" vertical="center" wrapText="1"/>
    </xf>
    <xf numFmtId="168" fontId="2" fillId="9" borderId="53" xfId="13" applyNumberFormat="1" applyFont="1" applyFill="1" applyBorder="1" applyAlignment="1">
      <alignment vertical="center"/>
    </xf>
    <xf numFmtId="0" fontId="22" fillId="0" borderId="1" xfId="25" applyFont="1" applyFill="1" applyBorder="1" applyAlignment="1">
      <alignment horizontal="left" vertical="center" wrapText="1"/>
    </xf>
    <xf numFmtId="168" fontId="24" fillId="9" borderId="1" xfId="13" applyNumberFormat="1" applyFont="1" applyFill="1" applyBorder="1"/>
    <xf numFmtId="168" fontId="24" fillId="9" borderId="1" xfId="13" applyNumberFormat="1" applyFont="1" applyFill="1" applyBorder="1" applyAlignment="1">
      <alignment horizontal="right" wrapText="1"/>
    </xf>
    <xf numFmtId="168" fontId="2" fillId="9" borderId="1" xfId="13" applyNumberFormat="1" applyFont="1" applyFill="1" applyBorder="1"/>
    <xf numFmtId="0" fontId="0" fillId="0" borderId="0" xfId="0" applyAlignment="1">
      <alignment horizontal="center" vertical="center" wrapText="1"/>
    </xf>
    <xf numFmtId="0" fontId="8" fillId="0" borderId="0" xfId="0" applyFont="1" applyAlignment="1">
      <alignment vertical="center" wrapText="1"/>
    </xf>
    <xf numFmtId="0" fontId="26" fillId="10" borderId="1" xfId="25" applyFont="1" applyFill="1" applyBorder="1" applyAlignment="1">
      <alignment horizontal="center" vertical="center" wrapText="1"/>
    </xf>
    <xf numFmtId="167" fontId="27" fillId="10"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8" fillId="0" borderId="16" xfId="0" applyFont="1" applyBorder="1" applyAlignment="1">
      <alignment vertical="center" wrapText="1"/>
    </xf>
    <xf numFmtId="0" fontId="8" fillId="0" borderId="50" xfId="0" applyFont="1" applyBorder="1" applyAlignment="1">
      <alignment vertical="center" wrapText="1"/>
    </xf>
    <xf numFmtId="0" fontId="17" fillId="10" borderId="2" xfId="25" applyFont="1" applyFill="1" applyBorder="1" applyAlignment="1">
      <alignment horizontal="right" vertical="center" wrapText="1"/>
    </xf>
    <xf numFmtId="167" fontId="28" fillId="10" borderId="2" xfId="0" applyNumberFormat="1" applyFont="1" applyFill="1" applyBorder="1" applyAlignment="1">
      <alignment horizontal="right" vertical="center" wrapText="1"/>
    </xf>
    <xf numFmtId="0" fontId="6" fillId="0" borderId="0" xfId="0" applyFont="1" applyAlignment="1">
      <alignment vertical="center" wrapText="1"/>
    </xf>
    <xf numFmtId="0" fontId="0" fillId="0" borderId="0" xfId="0" applyAlignment="1">
      <alignment wrapText="1"/>
    </xf>
    <xf numFmtId="0" fontId="17" fillId="0" borderId="51" xfId="4" applyFont="1" applyFill="1" applyBorder="1" applyAlignment="1">
      <alignment horizontal="left" vertical="center" wrapText="1"/>
    </xf>
    <xf numFmtId="0" fontId="17" fillId="0" borderId="51" xfId="22" applyFont="1" applyFill="1" applyBorder="1" applyAlignment="1">
      <alignment horizontal="left" vertical="center" wrapText="1"/>
    </xf>
    <xf numFmtId="167" fontId="17" fillId="10" borderId="51" xfId="13" applyNumberFormat="1" applyFont="1" applyFill="1" applyBorder="1" applyAlignment="1">
      <alignment horizontal="right" vertical="center" wrapText="1"/>
    </xf>
    <xf numFmtId="0" fontId="0" fillId="0" borderId="0" xfId="0" applyAlignment="1">
      <alignment vertical="center"/>
    </xf>
    <xf numFmtId="0" fontId="17" fillId="0" borderId="52" xfId="4" applyFont="1" applyFill="1" applyBorder="1" applyAlignment="1">
      <alignment horizontal="left" wrapText="1"/>
    </xf>
    <xf numFmtId="0" fontId="17" fillId="0" borderId="52" xfId="22" applyFont="1" applyFill="1" applyBorder="1" applyAlignment="1">
      <alignment horizontal="left" vertical="center" wrapText="1"/>
    </xf>
    <xf numFmtId="167" fontId="17" fillId="10" borderId="52" xfId="13" applyNumberFormat="1" applyFont="1" applyFill="1" applyBorder="1" applyAlignment="1">
      <alignment horizontal="right" vertical="center" wrapText="1"/>
    </xf>
    <xf numFmtId="0" fontId="17" fillId="0" borderId="52" xfId="4" applyFont="1" applyFill="1" applyBorder="1" applyAlignment="1">
      <alignment horizontal="left" vertical="center" wrapText="1"/>
    </xf>
    <xf numFmtId="0" fontId="17" fillId="0" borderId="52" xfId="4" quotePrefix="1" applyFont="1" applyFill="1" applyBorder="1" applyAlignment="1">
      <alignment horizontal="left" wrapText="1"/>
    </xf>
    <xf numFmtId="0" fontId="17" fillId="0" borderId="52" xfId="25" applyFont="1" applyFill="1" applyBorder="1" applyAlignment="1">
      <alignment horizontal="left" vertical="center" wrapText="1"/>
    </xf>
    <xf numFmtId="0" fontId="17" fillId="0" borderId="53" xfId="4" applyFont="1" applyFill="1" applyBorder="1" applyAlignment="1">
      <alignment horizontal="left" wrapText="1"/>
    </xf>
    <xf numFmtId="0" fontId="17" fillId="0" borderId="53" xfId="25" applyFont="1" applyFill="1" applyBorder="1" applyAlignment="1">
      <alignment horizontal="left" vertical="center" wrapText="1"/>
    </xf>
    <xf numFmtId="167" fontId="17" fillId="10" borderId="53" xfId="13" applyNumberFormat="1" applyFont="1" applyFill="1" applyBorder="1" applyAlignment="1">
      <alignment horizontal="right" vertical="center" wrapText="1"/>
    </xf>
    <xf numFmtId="0" fontId="28" fillId="0" borderId="0" xfId="0" applyFont="1" applyAlignment="1">
      <alignment horizontal="left"/>
    </xf>
    <xf numFmtId="0" fontId="28" fillId="0" borderId="0" xfId="0" applyFont="1" applyAlignment="1">
      <alignment horizontal="right"/>
    </xf>
    <xf numFmtId="0" fontId="28" fillId="0" borderId="0" xfId="0" applyFont="1" applyAlignment="1">
      <alignment horizontal="center" vertical="center"/>
    </xf>
    <xf numFmtId="0" fontId="17" fillId="0" borderId="54" xfId="22" applyFont="1" applyFill="1" applyBorder="1" applyAlignment="1">
      <alignment horizontal="center" vertical="center" wrapText="1"/>
    </xf>
    <xf numFmtId="0" fontId="26" fillId="10" borderId="2" xfId="25" applyFont="1" applyFill="1" applyBorder="1" applyAlignment="1">
      <alignment horizontal="center" vertical="center" wrapText="1"/>
    </xf>
    <xf numFmtId="0" fontId="27" fillId="10" borderId="2" xfId="0" applyFont="1" applyFill="1" applyBorder="1" applyAlignment="1">
      <alignment horizontal="center" vertical="center"/>
    </xf>
    <xf numFmtId="168" fontId="17" fillId="10" borderId="51" xfId="13" applyNumberFormat="1" applyFont="1" applyFill="1" applyBorder="1" applyAlignment="1">
      <alignment horizontal="right" vertical="center" wrapText="1"/>
    </xf>
    <xf numFmtId="168" fontId="14" fillId="10" borderId="51" xfId="13" applyNumberFormat="1" applyFont="1" applyFill="1" applyBorder="1" applyAlignment="1">
      <alignment horizontal="right" vertical="center"/>
    </xf>
    <xf numFmtId="168" fontId="17" fillId="10" borderId="52" xfId="13" applyNumberFormat="1" applyFont="1" applyFill="1" applyBorder="1" applyAlignment="1">
      <alignment horizontal="right" vertical="center" wrapText="1"/>
    </xf>
    <xf numFmtId="168" fontId="17" fillId="10" borderId="52" xfId="13" applyNumberFormat="1" applyFont="1" applyFill="1" applyBorder="1" applyAlignment="1">
      <alignment horizontal="right" vertical="center"/>
    </xf>
    <xf numFmtId="168" fontId="14" fillId="10" borderId="52" xfId="13" applyNumberFormat="1" applyFont="1" applyFill="1" applyBorder="1" applyAlignment="1">
      <alignment horizontal="right" vertical="center"/>
    </xf>
    <xf numFmtId="0" fontId="17" fillId="0" borderId="52" xfId="4" quotePrefix="1" applyFont="1" applyFill="1" applyBorder="1" applyAlignment="1">
      <alignment horizontal="left" vertical="center" wrapText="1"/>
    </xf>
    <xf numFmtId="0" fontId="17" fillId="0" borderId="53" xfId="4" applyFont="1" applyFill="1" applyBorder="1" applyAlignment="1">
      <alignment horizontal="left" vertical="center" wrapText="1"/>
    </xf>
    <xf numFmtId="168" fontId="17" fillId="10" borderId="53" xfId="13" applyNumberFormat="1" applyFont="1" applyFill="1" applyBorder="1" applyAlignment="1">
      <alignment horizontal="right" vertical="center"/>
    </xf>
    <xf numFmtId="168" fontId="17" fillId="10" borderId="53" xfId="13" applyNumberFormat="1" applyFont="1" applyFill="1" applyBorder="1" applyAlignment="1">
      <alignment horizontal="right" vertical="center" wrapText="1"/>
    </xf>
    <xf numFmtId="168" fontId="14" fillId="10" borderId="53" xfId="13" applyNumberFormat="1" applyFont="1" applyFill="1" applyBorder="1" applyAlignment="1">
      <alignment horizontal="right" vertical="center"/>
    </xf>
    <xf numFmtId="0" fontId="28" fillId="0" borderId="0" xfId="0" applyFont="1" applyAlignment="1">
      <alignment horizontal="left" vertical="center"/>
    </xf>
    <xf numFmtId="0" fontId="29" fillId="0" borderId="1" xfId="25" applyFont="1" applyFill="1" applyBorder="1" applyAlignment="1">
      <alignment horizontal="left" vertical="center" wrapText="1"/>
    </xf>
    <xf numFmtId="168" fontId="29" fillId="10" borderId="1" xfId="13" applyNumberFormat="1" applyFont="1" applyFill="1" applyBorder="1" applyAlignment="1">
      <alignment horizontal="right" vertical="center"/>
    </xf>
    <xf numFmtId="168" fontId="29" fillId="10" borderId="1" xfId="13" applyNumberFormat="1" applyFont="1" applyFill="1" applyBorder="1" applyAlignment="1">
      <alignment horizontal="right" vertical="center" wrapText="1"/>
    </xf>
    <xf numFmtId="168" fontId="28" fillId="10" borderId="1" xfId="13" applyNumberFormat="1" applyFont="1" applyFill="1" applyBorder="1" applyAlignment="1">
      <alignment horizontal="right" vertical="center"/>
    </xf>
    <xf numFmtId="0" fontId="0" fillId="0" borderId="0" xfId="0" applyFont="1" applyAlignment="1">
      <alignment vertical="center"/>
    </xf>
    <xf numFmtId="168" fontId="0" fillId="0" borderId="0" xfId="0" applyNumberFormat="1"/>
    <xf numFmtId="0" fontId="0" fillId="0" borderId="0" xfId="0" applyAlignment="1">
      <alignment horizontal="center"/>
    </xf>
    <xf numFmtId="0" fontId="0" fillId="0" borderId="43" xfId="0" applyBorder="1" applyAlignment="1">
      <alignment horizontal="center"/>
    </xf>
    <xf numFmtId="176" fontId="0" fillId="0" borderId="0" xfId="0" applyNumberFormat="1"/>
    <xf numFmtId="0" fontId="17" fillId="0" borderId="43" xfId="4" applyFont="1" applyFill="1" applyBorder="1" applyAlignment="1">
      <alignment horizontal="left" wrapText="1"/>
    </xf>
    <xf numFmtId="0" fontId="3" fillId="0" borderId="52" xfId="4" applyFont="1" applyFill="1" applyBorder="1" applyAlignment="1">
      <alignment horizontal="left" vertical="center" wrapText="1"/>
    </xf>
    <xf numFmtId="175" fontId="0" fillId="0" borderId="52" xfId="0" applyNumberFormat="1" applyFont="1" applyFill="1" applyBorder="1" applyAlignment="1">
      <alignment vertical="center"/>
    </xf>
    <xf numFmtId="177" fontId="0" fillId="0" borderId="0" xfId="0" applyNumberFormat="1"/>
    <xf numFmtId="0" fontId="7" fillId="0" borderId="0" xfId="4" applyFont="1" applyFill="1" applyBorder="1" applyAlignment="1">
      <alignment wrapText="1"/>
    </xf>
    <xf numFmtId="0" fontId="0" fillId="0" borderId="0" xfId="0" applyFill="1" applyBorder="1"/>
    <xf numFmtId="0" fontId="3" fillId="0" borderId="0" xfId="4" applyFont="1" applyFill="1" applyBorder="1" applyAlignment="1">
      <alignment wrapText="1"/>
    </xf>
    <xf numFmtId="0" fontId="0" fillId="0" borderId="43" xfId="0" applyBorder="1"/>
    <xf numFmtId="0" fontId="7" fillId="0" borderId="55" xfId="26" applyFont="1" applyFill="1" applyBorder="1" applyAlignment="1">
      <alignment horizontal="center" vertical="center" wrapText="1"/>
    </xf>
    <xf numFmtId="0" fontId="7" fillId="0" borderId="55" xfId="27" applyFont="1" applyFill="1" applyBorder="1" applyAlignment="1">
      <alignment horizontal="center" vertical="center" wrapText="1"/>
    </xf>
    <xf numFmtId="0" fontId="7" fillId="0" borderId="21" xfId="26" applyFont="1" applyFill="1" applyBorder="1" applyAlignment="1">
      <alignment horizontal="center" vertical="center" wrapText="1"/>
    </xf>
    <xf numFmtId="0" fontId="17" fillId="0" borderId="57" xfId="4" applyFont="1" applyFill="1" applyBorder="1" applyAlignment="1">
      <alignment horizontal="left" wrapText="1"/>
    </xf>
    <xf numFmtId="175" fontId="3" fillId="10" borderId="51" xfId="4" applyNumberFormat="1" applyFont="1" applyFill="1" applyBorder="1" applyAlignment="1">
      <alignment horizontal="left" vertical="center" wrapText="1"/>
    </xf>
    <xf numFmtId="175" fontId="0" fillId="10" borderId="51" xfId="0" applyNumberFormat="1" applyFont="1" applyFill="1" applyBorder="1" applyAlignment="1">
      <alignment vertical="center"/>
    </xf>
    <xf numFmtId="175" fontId="8" fillId="10" borderId="51" xfId="0" applyNumberFormat="1" applyFont="1" applyFill="1" applyBorder="1" applyAlignment="1">
      <alignment vertical="center"/>
    </xf>
    <xf numFmtId="0" fontId="17" fillId="0" borderId="58" xfId="4" applyFont="1" applyFill="1" applyBorder="1" applyAlignment="1">
      <alignment horizontal="left" wrapText="1"/>
    </xf>
    <xf numFmtId="175" fontId="3" fillId="0" borderId="52" xfId="4" applyNumberFormat="1" applyFont="1" applyFill="1" applyBorder="1" applyAlignment="1">
      <alignment horizontal="left" vertical="center" wrapText="1"/>
    </xf>
    <xf numFmtId="175" fontId="8" fillId="0" borderId="52" xfId="0" applyNumberFormat="1" applyFont="1" applyFill="1" applyBorder="1" applyAlignment="1">
      <alignment vertical="center"/>
    </xf>
    <xf numFmtId="175" fontId="3" fillId="10" borderId="52" xfId="4" applyNumberFormat="1" applyFont="1" applyFill="1" applyBorder="1" applyAlignment="1">
      <alignment horizontal="left" vertical="center" wrapText="1"/>
    </xf>
    <xf numFmtId="175" fontId="0" fillId="10" borderId="52" xfId="0" applyNumberFormat="1" applyFont="1" applyFill="1" applyBorder="1" applyAlignment="1">
      <alignment vertical="center"/>
    </xf>
    <xf numFmtId="175" fontId="8" fillId="10" borderId="52" xfId="0" applyNumberFormat="1" applyFont="1" applyFill="1" applyBorder="1" applyAlignment="1">
      <alignment vertical="center"/>
    </xf>
    <xf numFmtId="0" fontId="17" fillId="0" borderId="58" xfId="4" quotePrefix="1" applyFont="1" applyFill="1" applyBorder="1" applyAlignment="1">
      <alignment horizontal="left" wrapText="1"/>
    </xf>
    <xf numFmtId="175" fontId="3" fillId="10" borderId="53" xfId="4" applyNumberFormat="1" applyFont="1" applyFill="1" applyBorder="1" applyAlignment="1">
      <alignment horizontal="left" vertical="center" wrapText="1"/>
    </xf>
    <xf numFmtId="175" fontId="32" fillId="10" borderId="52" xfId="0" applyNumberFormat="1" applyFont="1" applyFill="1" applyBorder="1" applyAlignment="1">
      <alignment horizontal="right" vertical="center"/>
    </xf>
    <xf numFmtId="0" fontId="0" fillId="0" borderId="59" xfId="0" applyBorder="1"/>
    <xf numFmtId="175" fontId="8" fillId="11" borderId="21" xfId="0" applyNumberFormat="1" applyFont="1" applyFill="1" applyBorder="1" applyAlignment="1">
      <alignment vertical="center"/>
    </xf>
    <xf numFmtId="175" fontId="8" fillId="11" borderId="1" xfId="0" applyNumberFormat="1" applyFont="1" applyFill="1" applyBorder="1" applyAlignment="1">
      <alignment vertical="center"/>
    </xf>
    <xf numFmtId="175" fontId="7" fillId="0" borderId="0" xfId="4" applyNumberFormat="1" applyFont="1" applyFill="1" applyBorder="1" applyAlignment="1">
      <alignment wrapText="1"/>
    </xf>
    <xf numFmtId="175" fontId="7" fillId="8" borderId="55" xfId="26" applyNumberFormat="1" applyFont="1" applyFill="1" applyBorder="1" applyAlignment="1">
      <alignment horizontal="center" vertical="center" wrapText="1"/>
    </xf>
    <xf numFmtId="175" fontId="7" fillId="8" borderId="55" xfId="27" applyNumberFormat="1" applyFont="1" applyFill="1" applyBorder="1" applyAlignment="1">
      <alignment horizontal="center" vertical="center" wrapText="1"/>
    </xf>
    <xf numFmtId="175" fontId="7" fillId="8" borderId="21" xfId="26" applyNumberFormat="1" applyFont="1" applyFill="1" applyBorder="1" applyAlignment="1">
      <alignment horizontal="center" vertical="center" wrapText="1"/>
    </xf>
    <xf numFmtId="175" fontId="8" fillId="8" borderId="21" xfId="0" applyNumberFormat="1" applyFont="1" applyFill="1" applyBorder="1" applyAlignment="1">
      <alignment horizontal="center" vertical="center"/>
    </xf>
    <xf numFmtId="175" fontId="3" fillId="8" borderId="51" xfId="4" applyNumberFormat="1" applyFont="1" applyFill="1" applyBorder="1" applyAlignment="1">
      <alignment horizontal="left" vertical="center" wrapText="1"/>
    </xf>
    <xf numFmtId="175" fontId="0" fillId="8" borderId="51" xfId="0" applyNumberFormat="1" applyFont="1" applyFill="1" applyBorder="1" applyAlignment="1">
      <alignment vertical="center"/>
    </xf>
    <xf numFmtId="175" fontId="3" fillId="8" borderId="52" xfId="4" applyNumberFormat="1" applyFont="1" applyFill="1" applyBorder="1" applyAlignment="1">
      <alignment horizontal="left" vertical="center" wrapText="1"/>
    </xf>
    <xf numFmtId="175" fontId="0" fillId="8" borderId="52" xfId="0" applyNumberFormat="1" applyFont="1" applyFill="1" applyBorder="1" applyAlignment="1">
      <alignment vertical="center"/>
    </xf>
    <xf numFmtId="0" fontId="17" fillId="0" borderId="59" xfId="4" applyFont="1" applyFill="1" applyBorder="1" applyAlignment="1">
      <alignment horizontal="left" wrapText="1"/>
    </xf>
    <xf numFmtId="175" fontId="3" fillId="8" borderId="53" xfId="4" applyNumberFormat="1" applyFont="1" applyFill="1" applyBorder="1" applyAlignment="1">
      <alignment horizontal="left" vertical="center" wrapText="1"/>
    </xf>
    <xf numFmtId="175" fontId="8" fillId="12" borderId="53" xfId="0" applyNumberFormat="1" applyFont="1" applyFill="1" applyBorder="1" applyAlignment="1">
      <alignment vertical="center"/>
    </xf>
    <xf numFmtId="175" fontId="8" fillId="12" borderId="1" xfId="0" applyNumberFormat="1" applyFont="1" applyFill="1" applyBorder="1" applyAlignment="1">
      <alignment vertical="center"/>
    </xf>
    <xf numFmtId="0" fontId="33" fillId="0" borderId="43" xfId="27" applyFont="1" applyFill="1" applyBorder="1" applyAlignment="1">
      <alignment horizontal="center" wrapText="1"/>
    </xf>
    <xf numFmtId="37" fontId="3" fillId="0" borderId="0" xfId="27" applyNumberFormat="1" applyFont="1" applyFill="1" applyBorder="1" applyAlignment="1">
      <alignment horizontal="center" wrapText="1"/>
    </xf>
    <xf numFmtId="9" fontId="8" fillId="0" borderId="60" xfId="0" applyNumberFormat="1" applyFont="1" applyFill="1" applyBorder="1" applyAlignment="1" applyProtection="1">
      <alignment horizontal="center" vertical="center"/>
      <protection locked="0"/>
    </xf>
    <xf numFmtId="0" fontId="3" fillId="0" borderId="0" xfId="27" applyFont="1" applyFill="1" applyBorder="1" applyAlignment="1">
      <alignment horizontal="center" wrapText="1"/>
    </xf>
    <xf numFmtId="9" fontId="0" fillId="0" borderId="0" xfId="0" applyNumberFormat="1" applyFill="1" applyBorder="1" applyAlignment="1" applyProtection="1">
      <alignment horizontal="center" vertical="center"/>
      <protection locked="0"/>
    </xf>
    <xf numFmtId="0" fontId="34" fillId="0" borderId="61" xfId="0" applyFont="1" applyFill="1" applyBorder="1" applyAlignment="1">
      <alignment horizontal="center" vertical="center" wrapText="1"/>
    </xf>
    <xf numFmtId="9" fontId="35" fillId="0" borderId="60" xfId="0" applyNumberFormat="1" applyFont="1" applyFill="1" applyBorder="1" applyAlignment="1">
      <alignment horizontal="center" vertical="center" wrapText="1"/>
    </xf>
    <xf numFmtId="0" fontId="1" fillId="0" borderId="0" xfId="0" applyFont="1" applyFill="1"/>
    <xf numFmtId="0" fontId="35" fillId="0" borderId="0" xfId="0" applyFont="1" applyFill="1" applyBorder="1" applyAlignment="1">
      <alignment horizontal="center" vertical="center" wrapText="1"/>
    </xf>
    <xf numFmtId="0" fontId="32" fillId="0" borderId="0" xfId="0" applyFont="1"/>
    <xf numFmtId="176" fontId="8" fillId="11" borderId="1" xfId="0" applyNumberFormat="1" applyFont="1" applyFill="1" applyBorder="1" applyAlignment="1">
      <alignment vertical="center"/>
    </xf>
    <xf numFmtId="0" fontId="8" fillId="13" borderId="1" xfId="0" applyFont="1" applyFill="1" applyBorder="1" applyAlignment="1">
      <alignment vertical="center" wrapText="1"/>
    </xf>
    <xf numFmtId="0" fontId="7" fillId="13" borderId="1" xfId="26" applyFont="1" applyFill="1" applyBorder="1" applyAlignment="1">
      <alignment horizontal="center" vertical="center" wrapText="1"/>
    </xf>
    <xf numFmtId="0" fontId="7" fillId="13" borderId="1" xfId="27" applyFont="1" applyFill="1" applyBorder="1" applyAlignment="1">
      <alignment horizontal="center" vertical="center" wrapText="1"/>
    </xf>
    <xf numFmtId="0" fontId="8" fillId="13" borderId="1" xfId="0" applyFont="1" applyFill="1" applyBorder="1" applyAlignment="1">
      <alignment horizontal="center" vertical="center"/>
    </xf>
    <xf numFmtId="0" fontId="8" fillId="13" borderId="55" xfId="0" applyFont="1" applyFill="1" applyBorder="1" applyAlignment="1">
      <alignment horizontal="left"/>
    </xf>
    <xf numFmtId="0" fontId="7" fillId="13" borderId="55" xfId="26" applyFont="1" applyFill="1" applyBorder="1" applyAlignment="1">
      <alignment horizontal="center" vertical="center" wrapText="1"/>
    </xf>
    <xf numFmtId="0" fontId="7" fillId="13" borderId="55" xfId="27" applyFont="1" applyFill="1" applyBorder="1" applyAlignment="1">
      <alignment horizontal="center" vertical="center" wrapText="1"/>
    </xf>
    <xf numFmtId="0" fontId="8" fillId="13" borderId="55" xfId="0" applyFont="1" applyFill="1" applyBorder="1" applyAlignment="1">
      <alignment horizontal="center" vertical="center"/>
    </xf>
    <xf numFmtId="0" fontId="17" fillId="14" borderId="49" xfId="4" applyFont="1" applyFill="1" applyBorder="1" applyAlignment="1">
      <alignment horizontal="left" wrapText="1"/>
    </xf>
    <xf numFmtId="0" fontId="3" fillId="14" borderId="51" xfId="4" applyFont="1" applyFill="1" applyBorder="1" applyAlignment="1">
      <alignment horizontal="left" vertical="center" wrapText="1"/>
    </xf>
    <xf numFmtId="175" fontId="0" fillId="14" borderId="51" xfId="0" applyNumberFormat="1" applyFont="1" applyFill="1" applyBorder="1" applyAlignment="1">
      <alignment vertical="center"/>
    </xf>
    <xf numFmtId="0" fontId="17" fillId="14" borderId="43" xfId="4" applyFont="1" applyFill="1" applyBorder="1" applyAlignment="1">
      <alignment horizontal="left" wrapText="1"/>
    </xf>
    <xf numFmtId="0" fontId="3" fillId="14" borderId="52" xfId="4" applyFont="1" applyFill="1" applyBorder="1" applyAlignment="1">
      <alignment horizontal="left" vertical="center" wrapText="1"/>
    </xf>
    <xf numFmtId="175" fontId="0" fillId="14" borderId="52" xfId="0" applyNumberFormat="1" applyFont="1" applyFill="1" applyBorder="1" applyAlignment="1">
      <alignment vertical="center"/>
    </xf>
    <xf numFmtId="0" fontId="17" fillId="14" borderId="47" xfId="4" applyFont="1" applyFill="1" applyBorder="1" applyAlignment="1">
      <alignment horizontal="left" wrapText="1"/>
    </xf>
    <xf numFmtId="0" fontId="3" fillId="14" borderId="53" xfId="4" applyFont="1" applyFill="1" applyBorder="1" applyAlignment="1">
      <alignment horizontal="left" vertical="center" wrapText="1"/>
    </xf>
    <xf numFmtId="175" fontId="0" fillId="14" borderId="53" xfId="0" applyNumberFormat="1" applyFont="1" applyFill="1" applyBorder="1" applyAlignment="1">
      <alignment vertical="center"/>
    </xf>
    <xf numFmtId="175" fontId="31" fillId="14" borderId="53" xfId="0" applyNumberFormat="1" applyFont="1" applyFill="1" applyBorder="1" applyAlignment="1">
      <alignment horizontal="right" vertical="center"/>
    </xf>
    <xf numFmtId="0" fontId="0" fillId="13" borderId="38" xfId="0" applyFill="1" applyBorder="1"/>
    <xf numFmtId="0" fontId="8" fillId="13" borderId="1" xfId="0" applyFont="1" applyFill="1" applyBorder="1" applyAlignment="1">
      <alignment vertical="center"/>
    </xf>
    <xf numFmtId="176" fontId="32" fillId="13" borderId="1" xfId="0" applyNumberFormat="1" applyFont="1" applyFill="1" applyBorder="1" applyAlignment="1">
      <alignment horizontal="right" vertical="center"/>
    </xf>
    <xf numFmtId="176" fontId="8" fillId="13" borderId="1" xfId="0" applyNumberFormat="1" applyFont="1" applyFill="1" applyBorder="1" applyAlignment="1">
      <alignment horizontal="right" vertical="center"/>
    </xf>
    <xf numFmtId="175" fontId="8" fillId="13" borderId="1" xfId="0" applyNumberFormat="1" applyFont="1" applyFill="1" applyBorder="1" applyAlignment="1">
      <alignment horizontal="right" vertical="center"/>
    </xf>
    <xf numFmtId="175" fontId="32" fillId="13" borderId="1" xfId="0" applyNumberFormat="1" applyFont="1" applyFill="1" applyBorder="1" applyAlignment="1">
      <alignment horizontal="right" vertical="center"/>
    </xf>
    <xf numFmtId="167" fontId="0" fillId="0" borderId="4" xfId="0" applyNumberFormat="1" applyFill="1" applyBorder="1" applyAlignment="1">
      <alignment horizontal="center" vertical="center"/>
    </xf>
    <xf numFmtId="164" fontId="0" fillId="0" borderId="0" xfId="0" applyNumberFormat="1"/>
    <xf numFmtId="174" fontId="15" fillId="14" borderId="3" xfId="20" applyNumberFormat="1" applyFont="1" applyFill="1" applyBorder="1" applyAlignment="1">
      <alignment wrapText="1"/>
    </xf>
    <xf numFmtId="174" fontId="15" fillId="14" borderId="39" xfId="20" applyNumberFormat="1" applyFont="1" applyFill="1" applyBorder="1" applyAlignment="1">
      <alignment wrapText="1"/>
    </xf>
    <xf numFmtId="174" fontId="12" fillId="14" borderId="39" xfId="9" applyNumberFormat="1" applyFont="1" applyFill="1" applyBorder="1"/>
    <xf numFmtId="174" fontId="12" fillId="14" borderId="43" xfId="9" applyNumberFormat="1" applyFont="1" applyFill="1" applyBorder="1"/>
    <xf numFmtId="174" fontId="12" fillId="14" borderId="45" xfId="9" applyNumberFormat="1" applyFont="1" applyFill="1" applyBorder="1"/>
    <xf numFmtId="167" fontId="12" fillId="14" borderId="3" xfId="9" applyNumberFormat="1" applyFont="1" applyFill="1" applyBorder="1"/>
    <xf numFmtId="174" fontId="12" fillId="14" borderId="42" xfId="9" applyNumberFormat="1" applyFont="1" applyFill="1" applyBorder="1"/>
    <xf numFmtId="174" fontId="15" fillId="14" borderId="41" xfId="20" applyNumberFormat="1" applyFont="1" applyFill="1" applyBorder="1" applyAlignment="1">
      <alignment wrapText="1"/>
    </xf>
    <xf numFmtId="174" fontId="15" fillId="14" borderId="42" xfId="20" applyNumberFormat="1" applyFont="1" applyFill="1" applyBorder="1" applyAlignment="1">
      <alignment wrapText="1"/>
    </xf>
    <xf numFmtId="174" fontId="12" fillId="14" borderId="44" xfId="9" applyNumberFormat="1" applyFont="1" applyFill="1" applyBorder="1"/>
    <xf numFmtId="167" fontId="12" fillId="14" borderId="43" xfId="9" applyNumberFormat="1" applyFont="1" applyFill="1" applyBorder="1"/>
    <xf numFmtId="174" fontId="15" fillId="14" borderId="46" xfId="20" applyNumberFormat="1" applyFont="1" applyFill="1" applyBorder="1" applyAlignment="1">
      <alignment wrapText="1"/>
    </xf>
    <xf numFmtId="174" fontId="12" fillId="14" borderId="46" xfId="9" applyNumberFormat="1" applyFont="1" applyFill="1" applyBorder="1"/>
    <xf numFmtId="174" fontId="12" fillId="14" borderId="47" xfId="9" applyNumberFormat="1" applyFont="1" applyFill="1" applyBorder="1"/>
    <xf numFmtId="174" fontId="12" fillId="14" borderId="48" xfId="9" applyNumberFormat="1" applyFont="1" applyFill="1" applyBorder="1"/>
    <xf numFmtId="167" fontId="12" fillId="14" borderId="21" xfId="9" applyNumberFormat="1" applyFont="1" applyFill="1" applyBorder="1"/>
    <xf numFmtId="174" fontId="12" fillId="14" borderId="21" xfId="9" applyNumberFormat="1" applyFont="1" applyFill="1" applyBorder="1"/>
    <xf numFmtId="10" fontId="12" fillId="14" borderId="42" xfId="9" applyNumberFormat="1" applyFont="1" applyFill="1" applyBorder="1"/>
    <xf numFmtId="10" fontId="12" fillId="0" borderId="42" xfId="9" applyNumberFormat="1" applyFont="1" applyBorder="1"/>
    <xf numFmtId="10" fontId="12" fillId="14" borderId="21" xfId="9" applyNumberFormat="1" applyFont="1" applyFill="1" applyBorder="1"/>
    <xf numFmtId="10" fontId="12" fillId="7" borderId="2" xfId="9" applyNumberFormat="1" applyFont="1" applyFill="1" applyBorder="1"/>
    <xf numFmtId="174" fontId="12" fillId="0" borderId="0" xfId="0" quotePrefix="1" applyNumberFormat="1" applyFont="1"/>
    <xf numFmtId="0" fontId="0" fillId="15" borderId="0" xfId="0" applyFill="1"/>
    <xf numFmtId="0" fontId="0" fillId="15" borderId="0" xfId="0" applyFill="1" applyBorder="1"/>
    <xf numFmtId="0" fontId="0" fillId="15" borderId="0" xfId="0" quotePrefix="1" applyFill="1" applyBorder="1"/>
    <xf numFmtId="0" fontId="3" fillId="15" borderId="0" xfId="1" applyFont="1" applyFill="1" applyBorder="1" applyAlignment="1">
      <alignment wrapText="1"/>
    </xf>
    <xf numFmtId="166" fontId="0" fillId="15" borderId="0" xfId="3" applyNumberFormat="1" applyFont="1" applyFill="1"/>
    <xf numFmtId="166" fontId="0" fillId="15" borderId="0" xfId="3" applyNumberFormat="1" applyFont="1" applyFill="1" applyBorder="1"/>
    <xf numFmtId="166" fontId="0" fillId="15" borderId="0" xfId="0" applyNumberFormat="1" applyFill="1"/>
    <xf numFmtId="167" fontId="0" fillId="0" borderId="23" xfId="0" applyNumberFormat="1" applyBorder="1" applyAlignment="1">
      <alignment horizontal="center" vertical="center" wrapText="1"/>
    </xf>
    <xf numFmtId="167" fontId="0" fillId="0" borderId="24" xfId="0" applyNumberFormat="1" applyBorder="1" applyAlignment="1">
      <alignment horizontal="center" vertical="center"/>
    </xf>
    <xf numFmtId="167" fontId="0" fillId="0" borderId="25" xfId="0" applyNumberFormat="1" applyBorder="1"/>
    <xf numFmtId="167" fontId="0" fillId="0" borderId="26" xfId="0" applyNumberFormat="1" applyBorder="1"/>
    <xf numFmtId="167" fontId="0" fillId="0" borderId="27" xfId="0" applyNumberFormat="1" applyBorder="1"/>
    <xf numFmtId="174" fontId="17" fillId="0" borderId="21" xfId="19" applyNumberFormat="1" applyFont="1" applyFill="1" applyBorder="1" applyAlignment="1">
      <alignment wrapText="1"/>
    </xf>
    <xf numFmtId="0" fontId="14" fillId="0" borderId="21" xfId="0" applyFont="1" applyBorder="1"/>
    <xf numFmtId="167" fontId="0" fillId="0" borderId="9" xfId="0" applyNumberFormat="1" applyFill="1" applyBorder="1" applyAlignment="1">
      <alignment horizontal="center" vertical="center"/>
    </xf>
    <xf numFmtId="167" fontId="0" fillId="0" borderId="2" xfId="0" applyNumberFormat="1" applyBorder="1" applyAlignment="1">
      <alignment horizontal="center" vertical="center"/>
    </xf>
    <xf numFmtId="167" fontId="0" fillId="0" borderId="10" xfId="0" applyNumberFormat="1" applyBorder="1" applyAlignment="1">
      <alignment horizontal="center" vertical="center"/>
    </xf>
    <xf numFmtId="165" fontId="0" fillId="0" borderId="9" xfId="0" applyNumberFormat="1" applyBorder="1" applyAlignment="1">
      <alignment horizontal="center" vertical="center"/>
    </xf>
    <xf numFmtId="165" fontId="0" fillId="0" borderId="22" xfId="0" applyNumberFormat="1" applyBorder="1" applyAlignment="1">
      <alignment horizontal="center" vertical="center" wrapText="1"/>
    </xf>
    <xf numFmtId="165" fontId="0" fillId="0" borderId="10" xfId="0" applyNumberFormat="1" applyBorder="1" applyAlignment="1">
      <alignment horizontal="center" vertical="center"/>
    </xf>
    <xf numFmtId="0" fontId="3" fillId="0" borderId="63" xfId="1" applyFont="1" applyFill="1" applyBorder="1" applyAlignment="1">
      <alignment wrapText="1"/>
    </xf>
    <xf numFmtId="0" fontId="3" fillId="0" borderId="64" xfId="1" applyFont="1" applyFill="1" applyBorder="1" applyAlignment="1">
      <alignment wrapText="1"/>
    </xf>
    <xf numFmtId="167" fontId="3" fillId="0" borderId="62" xfId="2" applyNumberFormat="1" applyFont="1" applyFill="1" applyBorder="1" applyAlignment="1">
      <alignment wrapText="1"/>
    </xf>
    <xf numFmtId="167" fontId="3" fillId="2" borderId="63" xfId="2" applyNumberFormat="1" applyFont="1" applyFill="1" applyBorder="1" applyAlignment="1">
      <alignment wrapText="1"/>
    </xf>
    <xf numFmtId="167" fontId="3" fillId="2" borderId="64" xfId="2" applyNumberFormat="1" applyFont="1" applyFill="1" applyBorder="1" applyAlignment="1">
      <alignment wrapText="1"/>
    </xf>
    <xf numFmtId="173" fontId="3" fillId="0" borderId="62" xfId="3" applyNumberFormat="1" applyFont="1" applyFill="1" applyBorder="1" applyAlignment="1">
      <alignment horizontal="right" wrapText="1"/>
    </xf>
    <xf numFmtId="173" fontId="3" fillId="2" borderId="40" xfId="3" applyNumberFormat="1" applyFont="1" applyFill="1" applyBorder="1" applyAlignment="1">
      <alignment horizontal="right" wrapText="1"/>
    </xf>
    <xf numFmtId="166" fontId="0" fillId="0" borderId="64" xfId="3" applyNumberFormat="1" applyFont="1" applyBorder="1"/>
    <xf numFmtId="167" fontId="3" fillId="2" borderId="14" xfId="2" applyNumberFormat="1" applyFont="1" applyFill="1" applyBorder="1" applyAlignment="1">
      <alignment wrapText="1"/>
    </xf>
    <xf numFmtId="167" fontId="3" fillId="2" borderId="15" xfId="2" applyNumberFormat="1" applyFont="1" applyFill="1" applyBorder="1" applyAlignment="1">
      <alignment wrapText="1"/>
    </xf>
    <xf numFmtId="173" fontId="3" fillId="0" borderId="13" xfId="3" applyNumberFormat="1" applyFont="1" applyFill="1" applyBorder="1" applyAlignment="1">
      <alignment horizontal="right" wrapText="1"/>
    </xf>
    <xf numFmtId="173" fontId="3" fillId="2" borderId="34" xfId="3" applyNumberFormat="1" applyFont="1" applyFill="1" applyBorder="1" applyAlignment="1">
      <alignment horizontal="right" wrapText="1"/>
    </xf>
    <xf numFmtId="167" fontId="3" fillId="0" borderId="63" xfId="2" applyNumberFormat="1" applyFont="1" applyFill="1" applyBorder="1" applyAlignment="1">
      <alignment wrapText="1"/>
    </xf>
    <xf numFmtId="167" fontId="3" fillId="0" borderId="64" xfId="2" applyNumberFormat="1" applyFont="1" applyFill="1" applyBorder="1" applyAlignment="1">
      <alignment wrapText="1"/>
    </xf>
    <xf numFmtId="0" fontId="8" fillId="0" borderId="0" xfId="0" applyFont="1"/>
    <xf numFmtId="0" fontId="36" fillId="0" borderId="0" xfId="0" applyFont="1" applyAlignment="1">
      <alignment wrapText="1"/>
    </xf>
    <xf numFmtId="0" fontId="8" fillId="5" borderId="0" xfId="0" applyFont="1" applyFill="1"/>
    <xf numFmtId="0" fontId="0" fillId="5" borderId="0" xfId="0" applyFill="1" applyAlignment="1">
      <alignment wrapText="1"/>
    </xf>
    <xf numFmtId="0" fontId="36" fillId="0" borderId="0" xfId="0" applyFont="1" applyFill="1" applyAlignment="1">
      <alignment wrapText="1"/>
    </xf>
    <xf numFmtId="0" fontId="37" fillId="0" borderId="0" xfId="28" applyFill="1" applyAlignment="1">
      <alignment wrapText="1"/>
    </xf>
    <xf numFmtId="0" fontId="8" fillId="0" borderId="0" xfId="0" applyFont="1" applyAlignment="1">
      <alignment vertical="top"/>
    </xf>
    <xf numFmtId="0" fontId="36" fillId="0" borderId="0" xfId="0" applyFont="1" applyFill="1" applyAlignment="1">
      <alignment vertical="top" wrapText="1"/>
    </xf>
    <xf numFmtId="0" fontId="8" fillId="0" borderId="0" xfId="0" applyFont="1" applyAlignment="1">
      <alignment horizontal="left" vertical="top"/>
    </xf>
    <xf numFmtId="167" fontId="14" fillId="2" borderId="21" xfId="0" applyNumberFormat="1" applyFont="1" applyFill="1" applyBorder="1"/>
    <xf numFmtId="167" fontId="14" fillId="2" borderId="1" xfId="0" applyNumberFormat="1" applyFont="1" applyFill="1" applyBorder="1"/>
    <xf numFmtId="9" fontId="14" fillId="2" borderId="21" xfId="0" applyNumberFormat="1" applyFont="1" applyFill="1" applyBorder="1"/>
    <xf numFmtId="0" fontId="36" fillId="0" borderId="0" xfId="0" applyFont="1" applyFill="1" applyAlignment="1">
      <alignment horizontal="left" vertical="center" wrapText="1"/>
    </xf>
    <xf numFmtId="9" fontId="14" fillId="0" borderId="1" xfId="0" applyNumberFormat="1" applyFont="1" applyFill="1" applyBorder="1"/>
    <xf numFmtId="0" fontId="8" fillId="0" borderId="0" xfId="0" applyFont="1" applyAlignment="1">
      <alignment horizontal="left" vertical="top"/>
    </xf>
    <xf numFmtId="174" fontId="13" fillId="0" borderId="1" xfId="0" applyNumberFormat="1" applyFont="1" applyBorder="1" applyAlignment="1">
      <alignment horizontal="center" vertical="center" wrapText="1"/>
    </xf>
    <xf numFmtId="0" fontId="16" fillId="0" borderId="38" xfId="0" applyFont="1" applyBorder="1" applyAlignment="1">
      <alignment horizontal="center"/>
    </xf>
    <xf numFmtId="0" fontId="16" fillId="0" borderId="31" xfId="0" applyFont="1" applyBorder="1" applyAlignment="1">
      <alignment horizontal="center"/>
    </xf>
    <xf numFmtId="174" fontId="16" fillId="0" borderId="38" xfId="9" applyNumberFormat="1" applyFont="1" applyFill="1" applyBorder="1" applyAlignment="1">
      <alignment horizontal="center" vertical="center" wrapText="1"/>
    </xf>
    <xf numFmtId="174" fontId="16" fillId="0" borderId="33" xfId="9" applyNumberFormat="1" applyFont="1" applyFill="1" applyBorder="1" applyAlignment="1">
      <alignment horizontal="center" vertical="center" wrapText="1"/>
    </xf>
    <xf numFmtId="174" fontId="16" fillId="0" borderId="31" xfId="9" applyNumberFormat="1" applyFont="1" applyFill="1" applyBorder="1" applyAlignment="1">
      <alignment horizontal="center" vertical="center" wrapText="1"/>
    </xf>
    <xf numFmtId="0" fontId="16" fillId="0" borderId="33" xfId="0" applyFont="1" applyBorder="1" applyAlignment="1">
      <alignment horizontal="center"/>
    </xf>
    <xf numFmtId="0" fontId="6" fillId="0" borderId="34" xfId="0" applyFont="1" applyBorder="1" applyAlignment="1">
      <alignment horizontal="center"/>
    </xf>
    <xf numFmtId="165" fontId="0" fillId="0" borderId="28" xfId="0" applyNumberFormat="1" applyBorder="1" applyAlignment="1">
      <alignment horizontal="center" vertical="center"/>
    </xf>
    <xf numFmtId="165" fontId="0" fillId="0" borderId="29" xfId="0" applyNumberForma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167" fontId="0" fillId="0" borderId="4" xfId="0" applyNumberFormat="1" applyBorder="1" applyAlignment="1">
      <alignment horizontal="center" vertical="center"/>
    </xf>
    <xf numFmtId="167" fontId="0" fillId="0" borderId="5" xfId="0" applyNumberFormat="1" applyBorder="1" applyAlignment="1">
      <alignment horizontal="center" vertical="center"/>
    </xf>
    <xf numFmtId="167"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165" fontId="0" fillId="0" borderId="30" xfId="0" applyNumberFormat="1" applyBorder="1" applyAlignment="1">
      <alignment horizontal="center" vertical="center"/>
    </xf>
    <xf numFmtId="0" fontId="8" fillId="0" borderId="34" xfId="0" applyFont="1" applyBorder="1" applyAlignment="1">
      <alignment horizontal="center"/>
    </xf>
    <xf numFmtId="0" fontId="0" fillId="0" borderId="9" xfId="0" applyBorder="1" applyAlignment="1">
      <alignment horizontal="center" vertical="center"/>
    </xf>
    <xf numFmtId="0" fontId="0" fillId="0" borderId="2" xfId="0" applyBorder="1" applyAlignment="1">
      <alignment horizontal="center" vertical="center"/>
    </xf>
    <xf numFmtId="0" fontId="7" fillId="0" borderId="62" xfId="1" applyFont="1" applyFill="1" applyBorder="1" applyAlignment="1">
      <alignment horizontal="center" vertical="top" wrapText="1"/>
    </xf>
    <xf numFmtId="0" fontId="7" fillId="0" borderId="11" xfId="1" applyFont="1" applyFill="1" applyBorder="1" applyAlignment="1">
      <alignment horizontal="center" vertical="top" wrapText="1"/>
    </xf>
    <xf numFmtId="0" fontId="7" fillId="0" borderId="13" xfId="1" applyFont="1" applyFill="1" applyBorder="1" applyAlignment="1">
      <alignment horizontal="center" vertical="top" wrapText="1"/>
    </xf>
    <xf numFmtId="0" fontId="7" fillId="0" borderId="62"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13" xfId="1" applyFont="1" applyFill="1" applyBorder="1" applyAlignment="1">
      <alignment horizontal="left" vertical="top" wrapText="1"/>
    </xf>
    <xf numFmtId="0" fontId="3" fillId="0" borderId="11" xfId="1" applyFont="1" applyFill="1" applyBorder="1" applyAlignment="1">
      <alignment horizontal="left" vertical="top" wrapText="1"/>
    </xf>
    <xf numFmtId="0" fontId="3" fillId="0" borderId="13" xfId="1" applyFont="1" applyFill="1" applyBorder="1" applyAlignment="1">
      <alignment horizontal="left" vertical="top" wrapText="1"/>
    </xf>
    <xf numFmtId="0" fontId="0" fillId="0" borderId="10" xfId="0"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horizontal="center" vertical="center" wrapText="1"/>
    </xf>
    <xf numFmtId="0" fontId="21" fillId="0" borderId="0" xfId="22" applyFont="1" applyFill="1" applyBorder="1" applyAlignment="1">
      <alignment horizontal="left" vertical="center" wrapText="1"/>
    </xf>
    <xf numFmtId="0" fontId="21" fillId="0" borderId="20" xfId="22" applyFont="1" applyFill="1" applyBorder="1" applyAlignment="1">
      <alignment horizontal="left" vertical="center" wrapText="1"/>
    </xf>
    <xf numFmtId="0" fontId="30" fillId="0" borderId="16" xfId="0" applyFont="1" applyBorder="1" applyAlignment="1">
      <alignment horizontal="left" vertical="center" wrapText="1"/>
    </xf>
    <xf numFmtId="0" fontId="0" fillId="13" borderId="49" xfId="0" applyFill="1" applyBorder="1" applyAlignment="1">
      <alignment horizontal="center"/>
    </xf>
    <xf numFmtId="0" fontId="0" fillId="13" borderId="47" xfId="0" applyFill="1" applyBorder="1" applyAlignment="1">
      <alignment horizontal="center"/>
    </xf>
    <xf numFmtId="0" fontId="6" fillId="0" borderId="56" xfId="0" applyFont="1" applyBorder="1" applyAlignment="1">
      <alignment horizontal="center" vertical="center"/>
    </xf>
    <xf numFmtId="0" fontId="6" fillId="0" borderId="38" xfId="0" applyFont="1" applyBorder="1" applyAlignment="1">
      <alignment horizontal="center" vertical="center"/>
    </xf>
    <xf numFmtId="0" fontId="6" fillId="0" borderId="33" xfId="0" applyFont="1" applyBorder="1" applyAlignment="1">
      <alignment horizontal="center" vertical="center"/>
    </xf>
    <xf numFmtId="175" fontId="7" fillId="0" borderId="33" xfId="4" applyNumberFormat="1" applyFont="1" applyFill="1" applyBorder="1" applyAlignment="1">
      <alignment horizontal="center" vertical="center" wrapText="1"/>
    </xf>
    <xf numFmtId="0" fontId="10" fillId="5" borderId="1" xfId="8" applyFill="1" applyBorder="1" applyAlignment="1">
      <alignment horizontal="center" vertical="center" wrapText="1"/>
    </xf>
    <xf numFmtId="14" fontId="36" fillId="0" borderId="0" xfId="0" applyNumberFormat="1" applyFont="1" applyFill="1" applyAlignment="1">
      <alignment horizontal="left" wrapText="1"/>
    </xf>
  </cellXfs>
  <cellStyles count="29">
    <cellStyle name="Comma" xfId="3" builtinId="3"/>
    <cellStyle name="Comma 2" xfId="9"/>
    <cellStyle name="Comma 3" xfId="13"/>
    <cellStyle name="Currency 2" xfId="12"/>
    <cellStyle name="Hyperlink" xfId="28" builtinId="8"/>
    <cellStyle name="Normal" xfId="0" builtinId="0"/>
    <cellStyle name="Normal 2" xfId="8"/>
    <cellStyle name="Normal 2 2" xfId="14"/>
    <cellStyle name="Normal 2 3" xfId="21"/>
    <cellStyle name="Normal 3" xfId="15"/>
    <cellStyle name="Normal 4" xfId="16"/>
    <cellStyle name="Normal 5" xfId="17"/>
    <cellStyle name="Normal_Degrees" xfId="24"/>
    <cellStyle name="Normal_DOFSalbyUnitbyEmpType_1" xfId="18"/>
    <cellStyle name="Normal_FY12IncrRev" xfId="7"/>
    <cellStyle name="Normal_FY14Revenue" xfId="4"/>
    <cellStyle name="Normal_FY16ProjRev" xfId="5"/>
    <cellStyle name="Normal_GOFSalbyUnitByEmpType_1" xfId="10"/>
    <cellStyle name="Normal_Incremental Revenue" xfId="6"/>
    <cellStyle name="Normal_LoadRates" xfId="19"/>
    <cellStyle name="Normal_Majors" xfId="22"/>
    <cellStyle name="Normal_Majors2012" xfId="23"/>
    <cellStyle name="Normal_SallbyUnitByEmpType_1" xfId="11"/>
    <cellStyle name="Normal_Sheet1" xfId="27"/>
    <cellStyle name="Normal_Sheet2" xfId="2"/>
    <cellStyle name="Normal_Sheet2 2 2" xfId="25"/>
    <cellStyle name="Normal_Sheet3" xfId="26"/>
    <cellStyle name="Normal_Sheet4" xfId="1"/>
    <cellStyle name="Normal_Sheet5" xfId="20"/>
  </cellStyles>
  <dxfs count="0"/>
  <tableStyles count="0" defaultTableStyle="TableStyleMedium2" defaultPivotStyle="PivotStyleLight16"/>
  <colors>
    <mruColors>
      <color rgb="FFFFFFC2"/>
      <color rgb="FFE8CAFF"/>
      <color rgb="FFDAA8FF"/>
      <color rgb="FF9585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1</xdr:col>
      <xdr:colOff>2496200</xdr:colOff>
      <xdr:row>3</xdr:row>
      <xdr:rowOff>76201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1"/>
          <a:ext cx="47060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diem@uw.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7:B21"/>
  <sheetViews>
    <sheetView tabSelected="1" workbookViewId="0">
      <selection activeCell="B11" sqref="B11"/>
    </sheetView>
  </sheetViews>
  <sheetFormatPr defaultColWidth="8.85546875" defaultRowHeight="15" x14ac:dyDescent="0.25"/>
  <cols>
    <col min="1" max="1" width="29" style="443" customWidth="1"/>
    <col min="2" max="2" width="141.42578125" style="270" customWidth="1"/>
  </cols>
  <sheetData>
    <row r="7" spans="1:2" x14ac:dyDescent="0.25">
      <c r="A7" s="443" t="s">
        <v>333</v>
      </c>
      <c r="B7" s="444" t="s">
        <v>345</v>
      </c>
    </row>
    <row r="8" spans="1:2" x14ac:dyDescent="0.25">
      <c r="A8" s="445"/>
      <c r="B8" s="446"/>
    </row>
    <row r="9" spans="1:2" x14ac:dyDescent="0.25">
      <c r="A9" s="443" t="s">
        <v>334</v>
      </c>
      <c r="B9" s="447" t="s">
        <v>335</v>
      </c>
    </row>
    <row r="10" spans="1:2" x14ac:dyDescent="0.25">
      <c r="A10" s="443" t="s">
        <v>336</v>
      </c>
      <c r="B10" s="448" t="s">
        <v>337</v>
      </c>
    </row>
    <row r="11" spans="1:2" x14ac:dyDescent="0.25">
      <c r="A11" s="443" t="s">
        <v>338</v>
      </c>
      <c r="B11" s="502">
        <v>42316</v>
      </c>
    </row>
    <row r="12" spans="1:2" x14ac:dyDescent="0.25">
      <c r="A12" s="445"/>
      <c r="B12" s="446"/>
    </row>
    <row r="13" spans="1:2" ht="180" x14ac:dyDescent="0.25">
      <c r="A13" s="449" t="s">
        <v>339</v>
      </c>
      <c r="B13" s="450" t="s">
        <v>346</v>
      </c>
    </row>
    <row r="14" spans="1:2" ht="225" x14ac:dyDescent="0.25">
      <c r="A14" s="451" t="s">
        <v>340</v>
      </c>
      <c r="B14" s="450" t="s">
        <v>349</v>
      </c>
    </row>
    <row r="15" spans="1:2" x14ac:dyDescent="0.25">
      <c r="A15" s="445"/>
      <c r="B15" s="446"/>
    </row>
    <row r="16" spans="1:2" ht="72" customHeight="1" x14ac:dyDescent="0.25">
      <c r="A16" s="457" t="s">
        <v>341</v>
      </c>
      <c r="B16" s="455" t="s">
        <v>347</v>
      </c>
    </row>
    <row r="17" spans="1:2" ht="60" x14ac:dyDescent="0.25">
      <c r="A17" s="457"/>
      <c r="B17" s="447" t="s">
        <v>342</v>
      </c>
    </row>
    <row r="18" spans="1:2" ht="75" x14ac:dyDescent="0.25">
      <c r="A18" s="457"/>
      <c r="B18" s="447" t="s">
        <v>343</v>
      </c>
    </row>
    <row r="19" spans="1:2" ht="60" x14ac:dyDescent="0.25">
      <c r="A19" s="457"/>
      <c r="B19" s="447" t="s">
        <v>344</v>
      </c>
    </row>
    <row r="20" spans="1:2" ht="33.950000000000003" customHeight="1" x14ac:dyDescent="0.25">
      <c r="A20" s="457"/>
      <c r="B20" s="447" t="s">
        <v>348</v>
      </c>
    </row>
    <row r="21" spans="1:2" x14ac:dyDescent="0.25">
      <c r="A21" s="445"/>
      <c r="B21" s="446"/>
    </row>
  </sheetData>
  <mergeCells count="1">
    <mergeCell ref="A16:A20"/>
  </mergeCells>
  <hyperlinks>
    <hyperlink ref="B10"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workbookViewId="0">
      <selection activeCell="F15" sqref="F15"/>
    </sheetView>
  </sheetViews>
  <sheetFormatPr defaultColWidth="8.85546875" defaultRowHeight="15" x14ac:dyDescent="0.25"/>
  <cols>
    <col min="1" max="1" width="5.140625" customWidth="1"/>
    <col min="2" max="2" width="19.7109375" customWidth="1"/>
    <col min="3" max="4" width="15.85546875" customWidth="1"/>
    <col min="5" max="5" width="18.140625" customWidth="1"/>
    <col min="6" max="6" width="18.7109375" customWidth="1"/>
    <col min="7" max="7" width="22.42578125" customWidth="1"/>
    <col min="8" max="8" width="21.85546875" customWidth="1"/>
    <col min="9" max="9" width="40.42578125" style="47" hidden="1" customWidth="1"/>
    <col min="10" max="10" width="13.140625" style="47" hidden="1" customWidth="1"/>
    <col min="11" max="11" width="15.42578125" style="47" hidden="1" customWidth="1"/>
    <col min="12" max="14" width="14.42578125" style="47" hidden="1" customWidth="1"/>
    <col min="15" max="15" width="15.42578125" hidden="1" customWidth="1"/>
    <col min="16" max="16" width="14.85546875" style="48" hidden="1" customWidth="1"/>
  </cols>
  <sheetData>
    <row r="1" spans="1:16" ht="15.75" x14ac:dyDescent="0.25">
      <c r="B1" s="491" t="s">
        <v>171</v>
      </c>
      <c r="C1" s="491"/>
      <c r="D1" s="491"/>
      <c r="E1" s="491"/>
      <c r="F1" s="491"/>
    </row>
    <row r="2" spans="1:16" s="1" customFormat="1" ht="30" x14ac:dyDescent="0.25">
      <c r="B2" s="49" t="s">
        <v>105</v>
      </c>
      <c r="C2" s="49" t="s">
        <v>114</v>
      </c>
      <c r="D2" s="50" t="s">
        <v>119</v>
      </c>
      <c r="E2" s="51" t="s">
        <v>146</v>
      </c>
      <c r="F2" s="52" t="s">
        <v>147</v>
      </c>
      <c r="G2" s="53"/>
      <c r="P2" s="54"/>
    </row>
    <row r="3" spans="1:16" s="1" customFormat="1" x14ac:dyDescent="0.25">
      <c r="B3" s="55"/>
      <c r="C3" s="56"/>
      <c r="D3" s="57"/>
      <c r="E3" s="103">
        <v>5.0000000000000001E-3</v>
      </c>
      <c r="F3" s="58"/>
      <c r="G3" s="53"/>
      <c r="I3" s="59" t="s">
        <v>148</v>
      </c>
      <c r="J3" s="59" t="s">
        <v>149</v>
      </c>
      <c r="K3" s="59" t="s">
        <v>150</v>
      </c>
      <c r="L3" s="59" t="s">
        <v>151</v>
      </c>
      <c r="M3" s="59" t="s">
        <v>152</v>
      </c>
      <c r="N3" s="59" t="s">
        <v>153</v>
      </c>
      <c r="O3" s="59" t="s">
        <v>154</v>
      </c>
      <c r="P3" s="54"/>
    </row>
    <row r="4" spans="1:16" x14ac:dyDescent="0.25">
      <c r="A4" t="s">
        <v>1</v>
      </c>
      <c r="B4" s="60" t="s">
        <v>2</v>
      </c>
      <c r="C4" s="61">
        <f>SUMIF(FY17Calc!$D$3:$D$78,$A4,FY17Calc!$I$3:$I$78)</f>
        <v>27317.578205376372</v>
      </c>
      <c r="D4" s="61">
        <f>SUMIF(FY17Calc!$D$3:$D$78,$A4,FY17Calc!$T$3:$T$78)</f>
        <v>382253584.6908567</v>
      </c>
      <c r="E4" s="63">
        <f>+(1-$E$3)*D4</f>
        <v>380342316.76740241</v>
      </c>
      <c r="F4" s="64">
        <f>+E4*0.7</f>
        <v>266239621.73718166</v>
      </c>
      <c r="G4" s="65"/>
      <c r="I4" s="66" t="s">
        <v>2</v>
      </c>
      <c r="J4" s="67">
        <v>27216.738749455024</v>
      </c>
      <c r="K4" s="67">
        <v>458514580.44778383</v>
      </c>
      <c r="L4" s="67">
        <v>11268293.183462847</v>
      </c>
      <c r="M4" s="67">
        <v>981824.07106655231</v>
      </c>
      <c r="N4" s="67">
        <v>22313223.159662709</v>
      </c>
      <c r="O4" s="67">
        <v>423951240.03359103</v>
      </c>
    </row>
    <row r="5" spans="1:16" x14ac:dyDescent="0.25">
      <c r="A5" t="s">
        <v>7</v>
      </c>
      <c r="B5" s="68" t="s">
        <v>9</v>
      </c>
      <c r="C5" s="69">
        <f>SUMIF(FY17Calc!$D$3:$D$78,$A5,FY17Calc!$I$3:$I$78)</f>
        <v>3001.4488143440913</v>
      </c>
      <c r="D5" s="70">
        <f>SUMIF(FY17Calc!$D$3:$D$78,$A5,FY17Calc!$T$3:$T$78)</f>
        <v>20184084.501198873</v>
      </c>
      <c r="E5" s="71">
        <f t="shared" ref="E5:E24" si="0">+(1-$E$3)*D5</f>
        <v>20083164.07869288</v>
      </c>
      <c r="F5" s="72">
        <f t="shared" ref="F5:F24" si="1">+E5*0.7</f>
        <v>14058214.855085015</v>
      </c>
      <c r="G5" s="65"/>
      <c r="H5" s="73"/>
      <c r="I5" s="66" t="s">
        <v>9</v>
      </c>
      <c r="J5" s="67">
        <v>2987.2444444276334</v>
      </c>
      <c r="K5" s="67">
        <v>60794681.547260709</v>
      </c>
      <c r="L5" s="67">
        <v>1580337.3170779936</v>
      </c>
      <c r="M5" s="67">
        <v>37993351.423641443</v>
      </c>
      <c r="N5" s="67">
        <v>1061049.6403270641</v>
      </c>
      <c r="O5" s="67">
        <v>20159943.166214217</v>
      </c>
    </row>
    <row r="6" spans="1:16" x14ac:dyDescent="0.25">
      <c r="A6" t="s">
        <v>10</v>
      </c>
      <c r="B6" s="68" t="s">
        <v>11</v>
      </c>
      <c r="C6" s="69">
        <f>SUMIF(FY17Calc!$D$3:$D$78,$A6,FY17Calc!$I$3:$I$78)</f>
        <v>165.04918966582989</v>
      </c>
      <c r="D6" s="70">
        <f>SUMIF(FY17Calc!$D$3:$D$78,$A6,FY17Calc!$T$3:$T$78)</f>
        <v>1744528.4286626251</v>
      </c>
      <c r="E6" s="71">
        <f t="shared" si="0"/>
        <v>1735805.7865193121</v>
      </c>
      <c r="F6" s="72">
        <f t="shared" si="1"/>
        <v>1215064.0505635184</v>
      </c>
      <c r="G6" s="65"/>
      <c r="I6" s="66" t="s">
        <v>11</v>
      </c>
      <c r="J6" s="67">
        <v>157.23888888812041</v>
      </c>
      <c r="K6" s="67">
        <v>2344795.5954718241</v>
      </c>
      <c r="L6" s="67">
        <v>72879.074864658323</v>
      </c>
      <c r="M6" s="67">
        <v>540860.49378181447</v>
      </c>
      <c r="N6" s="67">
        <v>86552.80134126771</v>
      </c>
      <c r="O6" s="67">
        <v>1644503.2254840855</v>
      </c>
    </row>
    <row r="7" spans="1:16" x14ac:dyDescent="0.25">
      <c r="A7" t="s">
        <v>12</v>
      </c>
      <c r="B7" s="68" t="s">
        <v>14</v>
      </c>
      <c r="C7" s="69">
        <f>SUMIF(FY17Calc!$D$3:$D$78,$A7,FY17Calc!$I$3:$I$78)</f>
        <v>1189.7820022568926</v>
      </c>
      <c r="D7" s="70">
        <f>SUMIF(FY17Calc!$D$3:$D$78,$A7,FY17Calc!$T$3:$T$78)</f>
        <v>12725853.230955947</v>
      </c>
      <c r="E7" s="71">
        <f t="shared" si="0"/>
        <v>12662223.964801168</v>
      </c>
      <c r="F7" s="72">
        <f t="shared" si="1"/>
        <v>8863556.7753608171</v>
      </c>
      <c r="G7" s="65"/>
      <c r="I7" s="66" t="s">
        <v>14</v>
      </c>
      <c r="J7" s="67">
        <v>1165.6444444296301</v>
      </c>
      <c r="K7" s="67">
        <v>25855486.590973187</v>
      </c>
      <c r="L7" s="67">
        <v>655309.23754839075</v>
      </c>
      <c r="M7" s="67">
        <v>12624602.907788677</v>
      </c>
      <c r="N7" s="67">
        <v>628778.72228180582</v>
      </c>
      <c r="O7" s="67">
        <v>11946795.723354323</v>
      </c>
    </row>
    <row r="8" spans="1:16" ht="30" x14ac:dyDescent="0.25">
      <c r="A8" t="s">
        <v>15</v>
      </c>
      <c r="B8" s="68" t="s">
        <v>17</v>
      </c>
      <c r="C8" s="69">
        <f>SUMIF(FY17Calc!$D$3:$D$78,$A8,FY17Calc!$I$3:$I$78)</f>
        <v>503.79034973479509</v>
      </c>
      <c r="D8" s="70">
        <f>SUMIF(FY17Calc!$D$3:$D$78,$A8,FY17Calc!$T$3:$T$78)</f>
        <v>5013589.16956471</v>
      </c>
      <c r="E8" s="71">
        <f t="shared" si="0"/>
        <v>4988521.2237168867</v>
      </c>
      <c r="F8" s="72">
        <f t="shared" si="1"/>
        <v>3491964.8566018203</v>
      </c>
      <c r="G8" s="65"/>
      <c r="I8" s="66" t="s">
        <v>17</v>
      </c>
      <c r="J8" s="67">
        <v>523.99999999573902</v>
      </c>
      <c r="K8" s="67">
        <v>9914097.8561357949</v>
      </c>
      <c r="L8" s="67">
        <v>264943.81583338714</v>
      </c>
      <c r="M8" s="67">
        <v>4160437.1937173661</v>
      </c>
      <c r="N8" s="67">
        <v>274435.84232925187</v>
      </c>
      <c r="O8" s="67">
        <v>5214281.0042557828</v>
      </c>
    </row>
    <row r="9" spans="1:16" x14ac:dyDescent="0.25">
      <c r="A9" t="s">
        <v>18</v>
      </c>
      <c r="B9" s="68" t="s">
        <v>19</v>
      </c>
      <c r="C9" s="69">
        <f>SUMIF(FY17Calc!$D$3:$D$78,$A9,FY17Calc!$I$3:$I$78)</f>
        <v>630.49255751900387</v>
      </c>
      <c r="D9" s="70">
        <f>SUMIF(FY17Calc!$D$3:$D$78,$A9,FY17Calc!$T$3:$T$78)</f>
        <v>6363556.8523383811</v>
      </c>
      <c r="E9" s="71">
        <f t="shared" si="0"/>
        <v>6331739.0680766888</v>
      </c>
      <c r="F9" s="72">
        <f t="shared" si="1"/>
        <v>4432217.3476536814</v>
      </c>
      <c r="G9" s="65"/>
      <c r="I9" s="66" t="s">
        <v>19</v>
      </c>
      <c r="J9" s="67">
        <v>654.72222221887398</v>
      </c>
      <c r="K9" s="67">
        <v>10050643.722381759</v>
      </c>
      <c r="L9" s="67">
        <v>316648.05664508819</v>
      </c>
      <c r="M9" s="67">
        <v>2949486.1420840002</v>
      </c>
      <c r="N9" s="67">
        <v>339225.47618263337</v>
      </c>
      <c r="O9" s="67">
        <v>6445284.0474700388</v>
      </c>
    </row>
    <row r="10" spans="1:16" x14ac:dyDescent="0.25">
      <c r="A10" t="s">
        <v>20</v>
      </c>
      <c r="B10" s="68" t="s">
        <v>155</v>
      </c>
      <c r="C10" s="74">
        <f>SUMIF(FY17Calc!$D$3:$D$78,$A10,FY17Calc!$I$3:$I$78)</f>
        <v>0</v>
      </c>
      <c r="D10" s="70">
        <f>SUMIF(FY17Calc!$D$3:$D$78,$A10,FY17Calc!$T$3:$T$78)</f>
        <v>0</v>
      </c>
      <c r="E10" s="71">
        <f t="shared" si="0"/>
        <v>0</v>
      </c>
      <c r="F10" s="72">
        <f t="shared" si="1"/>
        <v>0</v>
      </c>
      <c r="G10" s="65"/>
      <c r="I10" s="66" t="s">
        <v>155</v>
      </c>
      <c r="J10" s="67">
        <v>0.39999999999000002</v>
      </c>
      <c r="K10" s="67">
        <v>8349.506051996028</v>
      </c>
      <c r="L10" s="67">
        <v>333.98024207984116</v>
      </c>
      <c r="M10" s="67">
        <v>0</v>
      </c>
      <c r="N10" s="67">
        <v>400.77629049580929</v>
      </c>
      <c r="O10" s="67">
        <v>7614.7495194203775</v>
      </c>
    </row>
    <row r="11" spans="1:16" x14ac:dyDescent="0.25">
      <c r="A11" t="s">
        <v>21</v>
      </c>
      <c r="B11" s="68" t="s">
        <v>22</v>
      </c>
      <c r="C11" s="69">
        <f>SUMIF(FY17Calc!$D$3:$D$78,$A11,FY17Calc!$I$3:$I$78)</f>
        <v>330.07248046490901</v>
      </c>
      <c r="D11" s="70">
        <f>SUMIF(FY17Calc!$D$3:$D$78,$A11,FY17Calc!$T$3:$T$78)</f>
        <v>4563904.4117514146</v>
      </c>
      <c r="E11" s="71">
        <f t="shared" si="0"/>
        <v>4541084.8896926576</v>
      </c>
      <c r="F11" s="72">
        <f t="shared" si="1"/>
        <v>3178759.4227848602</v>
      </c>
      <c r="G11" s="65"/>
      <c r="I11" s="66" t="s">
        <v>22</v>
      </c>
      <c r="J11" s="67">
        <v>340.95555555375103</v>
      </c>
      <c r="K11" s="67">
        <v>5005161.71163355</v>
      </c>
      <c r="L11" s="67">
        <v>170419.49648224071</v>
      </c>
      <c r="M11" s="67">
        <v>198405.8884876949</v>
      </c>
      <c r="N11" s="67">
        <v>231816.8163331814</v>
      </c>
      <c r="O11" s="67">
        <v>4404519.5103304414</v>
      </c>
    </row>
    <row r="12" spans="1:16" ht="30" x14ac:dyDescent="0.25">
      <c r="A12" t="s">
        <v>23</v>
      </c>
      <c r="B12" s="68" t="s">
        <v>25</v>
      </c>
      <c r="C12" s="69">
        <f>SUMIF(FY17Calc!$D$3:$D$78,$A12,FY17Calc!$I$3:$I$78)</f>
        <v>336.45476060129533</v>
      </c>
      <c r="D12" s="70">
        <f>SUMIF(FY17Calc!$D$3:$D$78,$A12,FY17Calc!$T$3:$T$78)</f>
        <v>3568755.8433027426</v>
      </c>
      <c r="E12" s="71">
        <f t="shared" si="0"/>
        <v>3550912.0640862291</v>
      </c>
      <c r="F12" s="72">
        <f t="shared" si="1"/>
        <v>2485638.4448603601</v>
      </c>
      <c r="G12" s="65"/>
      <c r="I12" s="66" t="s">
        <v>25</v>
      </c>
      <c r="J12" s="67">
        <v>322.19999999574901</v>
      </c>
      <c r="K12" s="67">
        <v>6754767.1704475321</v>
      </c>
      <c r="L12" s="67">
        <v>184060.87846352029</v>
      </c>
      <c r="M12" s="67">
        <v>2979071.1597328391</v>
      </c>
      <c r="N12" s="67">
        <v>179581.75661255882</v>
      </c>
      <c r="O12" s="67">
        <v>3412053.3756386195</v>
      </c>
    </row>
    <row r="13" spans="1:16" x14ac:dyDescent="0.25">
      <c r="A13" t="s">
        <v>26</v>
      </c>
      <c r="B13" s="68" t="s">
        <v>27</v>
      </c>
      <c r="C13" s="69">
        <f>SUMIF(FY17Calc!$D$3:$D$78,$A13,FY17Calc!$I$3:$I$78)</f>
        <v>240.0191756905655</v>
      </c>
      <c r="D13" s="70">
        <f>SUMIF(FY17Calc!$D$3:$D$78,$A13,FY17Calc!$T$3:$T$78)</f>
        <v>2647584.8432266517</v>
      </c>
      <c r="E13" s="71">
        <f t="shared" si="0"/>
        <v>2634346.9190105186</v>
      </c>
      <c r="F13" s="72">
        <f t="shared" si="1"/>
        <v>1844042.8433073629</v>
      </c>
      <c r="G13" s="65"/>
      <c r="I13" s="66" t="s">
        <v>27</v>
      </c>
      <c r="J13" s="67">
        <v>172.36111110833008</v>
      </c>
      <c r="K13" s="67">
        <v>3198140.1594982781</v>
      </c>
      <c r="L13" s="67">
        <v>86327.243732114992</v>
      </c>
      <c r="M13" s="67">
        <v>1190060.5684644135</v>
      </c>
      <c r="N13" s="67">
        <v>96087.617365087441</v>
      </c>
      <c r="O13" s="67">
        <v>1825664.7299366621</v>
      </c>
    </row>
    <row r="14" spans="1:16" x14ac:dyDescent="0.25">
      <c r="A14" t="s">
        <v>28</v>
      </c>
      <c r="B14" s="68" t="s">
        <v>30</v>
      </c>
      <c r="C14" s="69">
        <f>SUMIF(FY17Calc!$D$3:$D$78,$A14,FY17Calc!$I$3:$I$78)</f>
        <v>412.54863181192331</v>
      </c>
      <c r="D14" s="70">
        <f>SUMIF(FY17Calc!$D$3:$D$78,$A14,FY17Calc!$T$3:$T$78)</f>
        <v>6805296.6213750876</v>
      </c>
      <c r="E14" s="71">
        <f t="shared" si="0"/>
        <v>6771270.1382682119</v>
      </c>
      <c r="F14" s="72">
        <f t="shared" si="1"/>
        <v>4739889.0967877479</v>
      </c>
      <c r="G14" s="65"/>
      <c r="I14" s="66" t="s">
        <v>30</v>
      </c>
      <c r="J14" s="67">
        <v>391.16666666743998</v>
      </c>
      <c r="K14" s="67">
        <v>7595573.0470460728</v>
      </c>
      <c r="L14" s="67">
        <v>196222.22818505837</v>
      </c>
      <c r="M14" s="67">
        <v>693389.03557909478</v>
      </c>
      <c r="N14" s="67">
        <v>335298.08916409622</v>
      </c>
      <c r="O14" s="67">
        <v>6370663.6941178264</v>
      </c>
    </row>
    <row r="15" spans="1:16" x14ac:dyDescent="0.25">
      <c r="A15" t="s">
        <v>31</v>
      </c>
      <c r="B15" s="68" t="s">
        <v>33</v>
      </c>
      <c r="C15" s="69">
        <f>SUMIF(FY17Calc!$D$3:$D$78,$A15,FY17Calc!$I$3:$I$78)</f>
        <v>101.40278406593201</v>
      </c>
      <c r="D15" s="70">
        <f>SUMIF(FY17Calc!$D$3:$D$78,$A15,FY17Calc!$T$3:$T$78)</f>
        <v>2527649.9253572822</v>
      </c>
      <c r="E15" s="71">
        <f t="shared" si="0"/>
        <v>2515011.6757304957</v>
      </c>
      <c r="F15" s="72">
        <f t="shared" si="1"/>
        <v>1760508.173011347</v>
      </c>
      <c r="G15" s="65"/>
      <c r="I15" s="66" t="s">
        <v>33</v>
      </c>
      <c r="J15" s="67">
        <v>71.733333332720008</v>
      </c>
      <c r="K15" s="67">
        <v>1866845.3695289404</v>
      </c>
      <c r="L15" s="67">
        <v>56265.453197479415</v>
      </c>
      <c r="M15" s="67">
        <v>3290.8727880367792</v>
      </c>
      <c r="N15" s="67">
        <v>90364.452177171202</v>
      </c>
      <c r="O15" s="67">
        <v>1716924.5913662522</v>
      </c>
    </row>
    <row r="16" spans="1:16" x14ac:dyDescent="0.25">
      <c r="A16" t="s">
        <v>34</v>
      </c>
      <c r="B16" s="68" t="s">
        <v>35</v>
      </c>
      <c r="C16" s="69">
        <f>SUMIF(FY17Calc!$D$3:$D$78,$A16,FY17Calc!$I$3:$I$78)</f>
        <v>413.777376479054</v>
      </c>
      <c r="D16" s="70">
        <f>SUMIF(FY17Calc!$D$3:$D$78,$A16,FY17Calc!$T$3:$T$78)</f>
        <v>6792401.3514542831</v>
      </c>
      <c r="E16" s="71">
        <f t="shared" si="0"/>
        <v>6758439.3446970116</v>
      </c>
      <c r="F16" s="72">
        <f t="shared" si="1"/>
        <v>4730907.5412879074</v>
      </c>
      <c r="G16" s="65"/>
      <c r="I16" s="66" t="s">
        <v>35</v>
      </c>
      <c r="J16" s="67">
        <v>408.11111110143997</v>
      </c>
      <c r="K16" s="67">
        <v>8309366.6007653903</v>
      </c>
      <c r="L16" s="67">
        <v>248463.71031704699</v>
      </c>
      <c r="M16" s="67">
        <v>1322082.0489724225</v>
      </c>
      <c r="N16" s="67">
        <v>336941.04207379598</v>
      </c>
      <c r="O16" s="67">
        <v>6401879.799402127</v>
      </c>
    </row>
    <row r="17" spans="1:16" x14ac:dyDescent="0.25">
      <c r="A17" t="s">
        <v>156</v>
      </c>
      <c r="B17" s="68" t="s">
        <v>36</v>
      </c>
      <c r="C17" s="69">
        <f>SUMIF(FY17Calc!$D$3:$D$78,$A17,FY17Calc!$I$3:$I$78)</f>
        <v>360.30016806243361</v>
      </c>
      <c r="D17" s="70">
        <f>SUMIF(FY17Calc!$D$3:$D$78,$A17,FY17Calc!$T$3:$T$78)</f>
        <v>6953554.0091589596</v>
      </c>
      <c r="E17" s="71">
        <f t="shared" si="0"/>
        <v>6918786.2391131651</v>
      </c>
      <c r="F17" s="72">
        <f t="shared" si="1"/>
        <v>4843150.3673792155</v>
      </c>
      <c r="G17" s="65"/>
      <c r="I17" s="66" t="s">
        <v>36</v>
      </c>
      <c r="J17" s="67">
        <v>376.91111110668004</v>
      </c>
      <c r="K17" s="67">
        <v>9032597.1087533981</v>
      </c>
      <c r="L17" s="67">
        <v>278801.25345163792</v>
      </c>
      <c r="M17" s="67">
        <v>1436001.6235055097</v>
      </c>
      <c r="N17" s="67">
        <v>365889.71158981282</v>
      </c>
      <c r="O17" s="67">
        <v>6951904.5202064458</v>
      </c>
      <c r="P17"/>
    </row>
    <row r="18" spans="1:16" x14ac:dyDescent="0.25">
      <c r="A18" t="s">
        <v>37</v>
      </c>
      <c r="B18" s="68" t="s">
        <v>39</v>
      </c>
      <c r="C18" s="69">
        <f>SUMIF(FY17Calc!$D$3:$D$78,$A18,FY17Calc!$I$3:$I$78)</f>
        <v>725.83870893099402</v>
      </c>
      <c r="D18" s="70">
        <f>SUMIF(FY17Calc!$D$3:$D$78,$A18,FY17Calc!$T$3:$T$78)</f>
        <v>14001142.619865198</v>
      </c>
      <c r="E18" s="71">
        <f t="shared" si="0"/>
        <v>13931136.906765871</v>
      </c>
      <c r="F18" s="72">
        <f t="shared" si="1"/>
        <v>9751795.8347361088</v>
      </c>
      <c r="G18" s="65"/>
      <c r="I18" s="66" t="s">
        <v>39</v>
      </c>
      <c r="J18" s="67">
        <v>752.78888888645201</v>
      </c>
      <c r="K18" s="67">
        <v>16381031.865349868</v>
      </c>
      <c r="L18" s="67">
        <v>582974.81369824603</v>
      </c>
      <c r="M18" s="67">
        <v>495381.18447997549</v>
      </c>
      <c r="N18" s="67">
        <v>765133.79335858242</v>
      </c>
      <c r="O18" s="67">
        <v>14537542.073813077</v>
      </c>
      <c r="P18"/>
    </row>
    <row r="19" spans="1:16" x14ac:dyDescent="0.25">
      <c r="A19" t="s">
        <v>40</v>
      </c>
      <c r="B19" s="68" t="s">
        <v>42</v>
      </c>
      <c r="C19" s="69">
        <f>SUMIF(FY17Calc!$D$3:$D$78,$A19,FY17Calc!$I$3:$I$78)</f>
        <v>91.061393411020788</v>
      </c>
      <c r="D19" s="70">
        <f>SUMIF(FY17Calc!$D$3:$D$78,$A19,FY17Calc!$T$3:$T$78)</f>
        <v>1949508.5956394724</v>
      </c>
      <c r="E19" s="71">
        <f t="shared" si="0"/>
        <v>1939761.052661275</v>
      </c>
      <c r="F19" s="72">
        <f t="shared" si="1"/>
        <v>1357832.7368628925</v>
      </c>
      <c r="G19" s="65"/>
      <c r="I19" s="66" t="s">
        <v>42</v>
      </c>
      <c r="J19" s="67">
        <v>82.01111111102999</v>
      </c>
      <c r="K19" s="67">
        <v>1983955.4895733581</v>
      </c>
      <c r="L19" s="67">
        <v>46357.815899133202</v>
      </c>
      <c r="M19" s="67">
        <v>126199.62504154917</v>
      </c>
      <c r="N19" s="67">
        <v>90569.902431633818</v>
      </c>
      <c r="O19" s="67">
        <v>1720828.146201042</v>
      </c>
      <c r="P19"/>
    </row>
    <row r="20" spans="1:16" x14ac:dyDescent="0.25">
      <c r="A20" t="s">
        <v>157</v>
      </c>
      <c r="B20" s="68" t="s">
        <v>43</v>
      </c>
      <c r="C20" s="69">
        <f>SUMIF(FY17Calc!$D$3:$D$78,$A20,FY17Calc!$I$3:$I$78)</f>
        <v>92.476395366767392</v>
      </c>
      <c r="D20" s="70">
        <f>SUMIF(FY17Calc!$D$3:$D$78,$A20,FY17Calc!$T$3:$T$78)</f>
        <v>2052527.3457300765</v>
      </c>
      <c r="E20" s="71">
        <f t="shared" si="0"/>
        <v>2042264.7090014261</v>
      </c>
      <c r="F20" s="72">
        <f t="shared" si="1"/>
        <v>1429585.2963009982</v>
      </c>
      <c r="G20" s="65"/>
      <c r="I20" s="66" t="s">
        <v>43</v>
      </c>
      <c r="J20" s="67">
        <v>74.43333333340999</v>
      </c>
      <c r="K20" s="67">
        <v>1984998.6359607507</v>
      </c>
      <c r="L20" s="67">
        <v>69854.859391739548</v>
      </c>
      <c r="M20" s="67">
        <v>244154.12576258095</v>
      </c>
      <c r="N20" s="67">
        <v>83549.482540321565</v>
      </c>
      <c r="O20" s="67">
        <v>1587440.1682661104</v>
      </c>
      <c r="P20"/>
    </row>
    <row r="21" spans="1:16" x14ac:dyDescent="0.25">
      <c r="A21" t="s">
        <v>158</v>
      </c>
      <c r="B21" s="68" t="s">
        <v>45</v>
      </c>
      <c r="C21" s="69">
        <f>SUMIF(FY17Calc!$D$3:$D$78,$A21,FY17Calc!$I$3:$I$78)</f>
        <v>640.86618517690022</v>
      </c>
      <c r="D21" s="70">
        <f>SUMIF(FY17Calc!$D$3:$D$78,$A21,FY17Calc!$T$3:$T$78)</f>
        <v>10218231.519606322</v>
      </c>
      <c r="E21" s="71">
        <f t="shared" si="0"/>
        <v>10167140.36200829</v>
      </c>
      <c r="F21" s="72">
        <f t="shared" si="1"/>
        <v>7116998.2534058029</v>
      </c>
      <c r="G21" s="65"/>
      <c r="I21" s="66" t="s">
        <v>45</v>
      </c>
      <c r="J21" s="67">
        <v>599.68888888794902</v>
      </c>
      <c r="K21" s="67">
        <v>12476884.114314407</v>
      </c>
      <c r="L21" s="67">
        <v>422351.93686797755</v>
      </c>
      <c r="M21" s="67">
        <v>1868302.0170150318</v>
      </c>
      <c r="N21" s="67">
        <v>509311.50802156987</v>
      </c>
      <c r="O21" s="67">
        <v>9676918.6524098329</v>
      </c>
      <c r="P21"/>
    </row>
    <row r="22" spans="1:16" x14ac:dyDescent="0.25">
      <c r="A22" t="s">
        <v>159</v>
      </c>
      <c r="B22" s="68" t="s">
        <v>46</v>
      </c>
      <c r="C22" s="69">
        <f>SUMIF(FY17Calc!$D$3:$D$78,$A22,FY17Calc!$I$3:$I$78)</f>
        <v>1450.1133274830011</v>
      </c>
      <c r="D22" s="70">
        <f>SUMIF(FY17Calc!$D$3:$D$78,$A22,FY17Calc!$T$3:$T$78)</f>
        <v>22561171.518341571</v>
      </c>
      <c r="E22" s="71">
        <f t="shared" si="0"/>
        <v>22448365.660749864</v>
      </c>
      <c r="F22" s="72">
        <f t="shared" si="1"/>
        <v>15713855.962524904</v>
      </c>
      <c r="G22" s="65"/>
      <c r="I22" s="66" t="s">
        <v>46</v>
      </c>
      <c r="J22" s="67">
        <v>1419.133333327557</v>
      </c>
      <c r="K22" s="67">
        <v>31301631.925528362</v>
      </c>
      <c r="L22" s="67">
        <v>903627.89776409045</v>
      </c>
      <c r="M22" s="67">
        <v>8262570.7239263766</v>
      </c>
      <c r="N22" s="67">
        <v>1106771.665191893</v>
      </c>
      <c r="O22" s="67">
        <v>21028661.63864594</v>
      </c>
      <c r="P22"/>
    </row>
    <row r="23" spans="1:16" x14ac:dyDescent="0.25">
      <c r="A23" t="s">
        <v>160</v>
      </c>
      <c r="B23" s="68" t="s">
        <v>48</v>
      </c>
      <c r="C23" s="69">
        <f>SUMIF(FY17Calc!$D$3:$D$78,$A23,FY17Calc!$I$3:$I$78)</f>
        <v>499.34773891319304</v>
      </c>
      <c r="D23" s="70">
        <f>SUMIF(FY17Calc!$D$3:$D$78,$A23,FY17Calc!$T$3:$T$78)</f>
        <v>9165812.8939702772</v>
      </c>
      <c r="E23" s="71">
        <f t="shared" si="0"/>
        <v>9119983.8295004256</v>
      </c>
      <c r="F23" s="72">
        <f t="shared" si="1"/>
        <v>6383988.6806502976</v>
      </c>
      <c r="G23" s="65"/>
      <c r="I23" s="66" t="s">
        <v>48</v>
      </c>
      <c r="J23" s="67">
        <v>542.08888887906096</v>
      </c>
      <c r="K23" s="67">
        <v>10182820.839022091</v>
      </c>
      <c r="L23" s="67">
        <v>380031.87301806634</v>
      </c>
      <c r="M23" s="67">
        <v>312813.98580216005</v>
      </c>
      <c r="N23" s="67">
        <v>474498.74901009322</v>
      </c>
      <c r="O23" s="67">
        <v>9015476.2311917655</v>
      </c>
      <c r="P23"/>
    </row>
    <row r="24" spans="1:16" x14ac:dyDescent="0.25">
      <c r="A24" t="s">
        <v>161</v>
      </c>
      <c r="B24" s="68" t="s">
        <v>49</v>
      </c>
      <c r="C24" s="69">
        <f>SUMIF(FY17Calc!$D$3:$D$78,$A24,FY17Calc!$I$3:$I$78)</f>
        <v>82.600381198737452</v>
      </c>
      <c r="D24" s="70">
        <f>SUMIF(FY17Calc!$D$3:$D$78,$A24,FY17Calc!$T$3:$T$78)</f>
        <v>1316004.1433630357</v>
      </c>
      <c r="E24" s="71">
        <f t="shared" si="0"/>
        <v>1309424.1226462205</v>
      </c>
      <c r="F24" s="72">
        <f t="shared" si="1"/>
        <v>916596.88585235435</v>
      </c>
      <c r="G24" s="75" t="s">
        <v>162</v>
      </c>
      <c r="I24" s="66" t="s">
        <v>49</v>
      </c>
      <c r="J24" s="67">
        <v>83.499999998730004</v>
      </c>
      <c r="K24" s="67">
        <v>1515277.9162424756</v>
      </c>
      <c r="L24" s="67">
        <v>42032.326940502462</v>
      </c>
      <c r="M24" s="67">
        <v>110993.10093606959</v>
      </c>
      <c r="N24" s="67">
        <v>68112.624418295178</v>
      </c>
      <c r="O24" s="67">
        <v>1294139.8639476087</v>
      </c>
      <c r="P24"/>
    </row>
    <row r="25" spans="1:16" x14ac:dyDescent="0.25">
      <c r="B25" s="76" t="s">
        <v>163</v>
      </c>
      <c r="C25" s="77">
        <f>SUM(C4:C24)</f>
        <v>38585.020626553705</v>
      </c>
      <c r="D25" s="78">
        <f>SUM(D4:D24)</f>
        <v>523408742.51571947</v>
      </c>
      <c r="E25" s="78">
        <f>SUM(E4:E24)</f>
        <v>520791698.803141</v>
      </c>
      <c r="F25" s="79">
        <f>SUM(F4:F24)</f>
        <v>364554189.16219866</v>
      </c>
      <c r="G25" s="80">
        <f>+E25-F25</f>
        <v>156237509.64094234</v>
      </c>
      <c r="H25" s="81"/>
      <c r="I25" s="66" t="s">
        <v>164</v>
      </c>
      <c r="J25" s="67">
        <v>4700.2414598625101</v>
      </c>
      <c r="K25" s="67">
        <v>60807351.777703106</v>
      </c>
      <c r="L25" s="67">
        <v>2060763.6396653464</v>
      </c>
      <c r="M25" s="67">
        <v>406134.585383659</v>
      </c>
      <c r="N25" s="67">
        <v>2917022.6776327137</v>
      </c>
      <c r="O25" s="67">
        <v>55423430.875021651</v>
      </c>
      <c r="P25"/>
    </row>
    <row r="26" spans="1:16" x14ac:dyDescent="0.25">
      <c r="A26" s="102" t="s">
        <v>3</v>
      </c>
      <c r="B26" s="82" t="s">
        <v>165</v>
      </c>
      <c r="C26" s="83">
        <f>SUMIF(FY17Calc!$A$79:$A$114,$A26,FY17Calc!$I$79:$I$114)</f>
        <v>4763.4243504533833</v>
      </c>
      <c r="D26" s="62">
        <f>SUMIF(FY17Calc!$A$79:$A$114,$A26,FY17Calc!$T$79:$T$114)</f>
        <v>50550120.368537299</v>
      </c>
      <c r="E26" s="84">
        <f>+(1-$E$3)*D26</f>
        <v>50297369.766694613</v>
      </c>
      <c r="F26" s="85"/>
      <c r="G26" s="6"/>
      <c r="I26" s="66" t="s">
        <v>166</v>
      </c>
      <c r="J26" s="67">
        <v>4114.5833952965304</v>
      </c>
      <c r="K26" s="67">
        <v>51987929.44327683</v>
      </c>
      <c r="L26" s="67">
        <v>1847586.6393447032</v>
      </c>
      <c r="M26" s="67">
        <v>971015.86027909303</v>
      </c>
      <c r="N26" s="67">
        <v>2458466.3471826501</v>
      </c>
      <c r="O26" s="67">
        <v>46710860.596470483</v>
      </c>
      <c r="P26"/>
    </row>
    <row r="27" spans="1:16" x14ac:dyDescent="0.25">
      <c r="A27" s="102" t="s">
        <v>5</v>
      </c>
      <c r="B27" s="86" t="s">
        <v>167</v>
      </c>
      <c r="C27" s="87">
        <f>SUMIF(FY17Calc!$A$79:$A$114,$A27,FY17Calc!$I$79:$I$114)</f>
        <v>4270.5298660643575</v>
      </c>
      <c r="D27" s="88">
        <f>SUMIF(FY17Calc!$A$79:$A$114,$A27,FY17Calc!$T$79:$T$114)</f>
        <v>43480544.393646307</v>
      </c>
      <c r="E27" s="89">
        <f>+(1-$E$3)*D27</f>
        <v>43263141.671678074</v>
      </c>
      <c r="F27" s="90"/>
      <c r="G27" s="6"/>
      <c r="P27"/>
    </row>
    <row r="28" spans="1:16" x14ac:dyDescent="0.25">
      <c r="B28" s="91" t="s">
        <v>168</v>
      </c>
      <c r="C28" s="92">
        <f>SUM(C25:C27)</f>
        <v>47618.974843071446</v>
      </c>
      <c r="D28" s="93">
        <f>SUM(D25:D27)</f>
        <v>617439407.27790308</v>
      </c>
      <c r="E28" s="93">
        <f>SUM(E25:E27)</f>
        <v>614352210.24151373</v>
      </c>
      <c r="F28" s="94"/>
      <c r="G28" s="6"/>
      <c r="P28"/>
    </row>
    <row r="29" spans="1:16" x14ac:dyDescent="0.25">
      <c r="B29" s="95"/>
      <c r="C29" s="96"/>
      <c r="D29" s="97"/>
      <c r="E29" s="97"/>
      <c r="G29" s="81"/>
      <c r="P29"/>
    </row>
    <row r="30" spans="1:16" x14ac:dyDescent="0.25">
      <c r="B30" s="95"/>
      <c r="C30" s="98"/>
      <c r="D30" s="99"/>
      <c r="E30" s="97">
        <f>0.0075*E25</f>
        <v>3905937.7410235573</v>
      </c>
      <c r="F30" s="97" t="s">
        <v>141</v>
      </c>
      <c r="G30" s="81"/>
      <c r="I30" s="59" t="s">
        <v>148</v>
      </c>
      <c r="J30" s="59" t="s">
        <v>149</v>
      </c>
      <c r="K30" s="59" t="s">
        <v>150</v>
      </c>
      <c r="L30" s="59" t="s">
        <v>151</v>
      </c>
      <c r="M30" s="59" t="s">
        <v>152</v>
      </c>
      <c r="N30" s="59" t="s">
        <v>153</v>
      </c>
      <c r="O30" s="59" t="s">
        <v>154</v>
      </c>
      <c r="P30"/>
    </row>
    <row r="31" spans="1:16" x14ac:dyDescent="0.25">
      <c r="B31" s="95"/>
      <c r="C31" s="100"/>
      <c r="D31" s="99"/>
      <c r="E31" s="97"/>
      <c r="F31" s="73"/>
      <c r="I31" s="66" t="s">
        <v>2</v>
      </c>
      <c r="J31" s="101">
        <v>18836.757356330319</v>
      </c>
      <c r="K31" s="101">
        <v>197333634.40070677</v>
      </c>
      <c r="L31" s="101">
        <v>7893345.3760282714</v>
      </c>
      <c r="M31" s="101">
        <v>936621.82474750816</v>
      </c>
      <c r="N31" s="101">
        <v>9425183.3599965498</v>
      </c>
      <c r="O31" s="101">
        <v>179078483.83993444</v>
      </c>
      <c r="P31"/>
    </row>
    <row r="32" spans="1:16" x14ac:dyDescent="0.25">
      <c r="I32"/>
      <c r="J32"/>
      <c r="K32"/>
      <c r="L32"/>
      <c r="M32"/>
      <c r="N32"/>
      <c r="P32"/>
    </row>
    <row r="33" spans="9:16" x14ac:dyDescent="0.25">
      <c r="I33"/>
      <c r="J33"/>
      <c r="K33"/>
      <c r="L33"/>
      <c r="M33"/>
      <c r="N33"/>
      <c r="P33"/>
    </row>
    <row r="34" spans="9:16" x14ac:dyDescent="0.25">
      <c r="I34"/>
      <c r="J34"/>
      <c r="K34"/>
      <c r="L34"/>
      <c r="M34"/>
      <c r="N34"/>
      <c r="P34"/>
    </row>
    <row r="35" spans="9:16" x14ac:dyDescent="0.25">
      <c r="I35"/>
      <c r="J35"/>
      <c r="K35"/>
      <c r="L35"/>
      <c r="M35"/>
      <c r="N35"/>
      <c r="P35"/>
    </row>
    <row r="36" spans="9:16" x14ac:dyDescent="0.25">
      <c r="I36"/>
      <c r="J36"/>
      <c r="K36"/>
      <c r="L36"/>
      <c r="M36"/>
      <c r="N36"/>
      <c r="P36"/>
    </row>
    <row r="37" spans="9:16" x14ac:dyDescent="0.25">
      <c r="I37"/>
      <c r="J37"/>
      <c r="K37"/>
      <c r="L37"/>
      <c r="M37"/>
      <c r="N37"/>
      <c r="P37"/>
    </row>
    <row r="38" spans="9:16" x14ac:dyDescent="0.25">
      <c r="I38"/>
      <c r="J38"/>
      <c r="K38"/>
      <c r="L38"/>
      <c r="M38"/>
      <c r="N38"/>
      <c r="P38"/>
    </row>
    <row r="39" spans="9:16" x14ac:dyDescent="0.25">
      <c r="I39"/>
      <c r="J39"/>
      <c r="K39"/>
      <c r="L39"/>
      <c r="M39"/>
      <c r="N39"/>
      <c r="P39"/>
    </row>
    <row r="40" spans="9:16" x14ac:dyDescent="0.25">
      <c r="I40"/>
      <c r="J40"/>
      <c r="K40"/>
      <c r="L40"/>
      <c r="M40"/>
      <c r="N40"/>
      <c r="P40"/>
    </row>
    <row r="41" spans="9:16" x14ac:dyDescent="0.25">
      <c r="P41"/>
    </row>
    <row r="42" spans="9:16" x14ac:dyDescent="0.25">
      <c r="P42"/>
    </row>
    <row r="43" spans="9:16" x14ac:dyDescent="0.25">
      <c r="P43"/>
    </row>
    <row r="44" spans="9:16" x14ac:dyDescent="0.25">
      <c r="P44"/>
    </row>
    <row r="45" spans="9:16" x14ac:dyDescent="0.25">
      <c r="P45"/>
    </row>
    <row r="46" spans="9:16" x14ac:dyDescent="0.25">
      <c r="P46"/>
    </row>
    <row r="47" spans="9:16" x14ac:dyDescent="0.25">
      <c r="P47"/>
    </row>
    <row r="48" spans="9:16" x14ac:dyDescent="0.25">
      <c r="P48"/>
    </row>
    <row r="49" spans="9:16" x14ac:dyDescent="0.25">
      <c r="I49"/>
      <c r="J49"/>
      <c r="K49"/>
      <c r="L49"/>
      <c r="M49"/>
      <c r="N49"/>
      <c r="P49"/>
    </row>
    <row r="50" spans="9:16" x14ac:dyDescent="0.25">
      <c r="I50"/>
      <c r="J50"/>
      <c r="K50"/>
      <c r="L50"/>
      <c r="M50"/>
      <c r="N50"/>
      <c r="P50"/>
    </row>
    <row r="51" spans="9:16" x14ac:dyDescent="0.25">
      <c r="I51"/>
      <c r="J51"/>
      <c r="K51"/>
      <c r="L51"/>
      <c r="M51"/>
      <c r="N51"/>
      <c r="P51"/>
    </row>
    <row r="52" spans="9:16" x14ac:dyDescent="0.25">
      <c r="I52"/>
      <c r="J52"/>
      <c r="K52"/>
      <c r="L52"/>
      <c r="M52"/>
      <c r="N52"/>
      <c r="P52"/>
    </row>
    <row r="53" spans="9:16" x14ac:dyDescent="0.25">
      <c r="I53"/>
      <c r="J53"/>
      <c r="K53"/>
      <c r="L53"/>
      <c r="M53"/>
      <c r="N53"/>
      <c r="P53"/>
    </row>
    <row r="54" spans="9:16" x14ac:dyDescent="0.25">
      <c r="I54"/>
      <c r="J54"/>
      <c r="K54"/>
      <c r="L54"/>
      <c r="M54"/>
      <c r="N54"/>
      <c r="P54"/>
    </row>
    <row r="55" spans="9:16" x14ac:dyDescent="0.25">
      <c r="I55"/>
      <c r="J55"/>
      <c r="K55"/>
      <c r="L55"/>
      <c r="M55"/>
      <c r="N55"/>
      <c r="P55"/>
    </row>
    <row r="56" spans="9:16" x14ac:dyDescent="0.25">
      <c r="I56"/>
      <c r="J56"/>
      <c r="K56"/>
      <c r="L56"/>
      <c r="M56"/>
      <c r="N56"/>
      <c r="P56"/>
    </row>
    <row r="57" spans="9:16" x14ac:dyDescent="0.25">
      <c r="I57"/>
      <c r="J57"/>
      <c r="K57"/>
      <c r="L57"/>
      <c r="M57"/>
      <c r="N57"/>
      <c r="P57"/>
    </row>
    <row r="58" spans="9:16" x14ac:dyDescent="0.25">
      <c r="I58"/>
      <c r="J58"/>
      <c r="K58"/>
      <c r="L58"/>
      <c r="M58"/>
      <c r="N58"/>
      <c r="P58"/>
    </row>
    <row r="59" spans="9:16" x14ac:dyDescent="0.25">
      <c r="I59"/>
      <c r="J59"/>
      <c r="K59"/>
      <c r="L59"/>
      <c r="M59"/>
      <c r="N59"/>
      <c r="P59"/>
    </row>
    <row r="60" spans="9:16" x14ac:dyDescent="0.25">
      <c r="I60"/>
      <c r="J60"/>
      <c r="K60"/>
      <c r="L60"/>
      <c r="M60"/>
      <c r="N60"/>
      <c r="P60"/>
    </row>
    <row r="61" spans="9:16" x14ac:dyDescent="0.25">
      <c r="I61"/>
      <c r="J61"/>
      <c r="K61"/>
      <c r="L61"/>
      <c r="M61"/>
      <c r="N61"/>
      <c r="P61"/>
    </row>
    <row r="62" spans="9:16" x14ac:dyDescent="0.25">
      <c r="I62"/>
      <c r="J62"/>
      <c r="K62"/>
      <c r="L62"/>
      <c r="M62"/>
      <c r="N62"/>
      <c r="P62"/>
    </row>
    <row r="63" spans="9:16" x14ac:dyDescent="0.25">
      <c r="I63"/>
      <c r="J63"/>
      <c r="K63"/>
      <c r="L63"/>
      <c r="M63"/>
      <c r="N63"/>
      <c r="P63"/>
    </row>
    <row r="64" spans="9:16" x14ac:dyDescent="0.25">
      <c r="I64"/>
      <c r="J64"/>
      <c r="K64"/>
      <c r="L64"/>
      <c r="M64"/>
      <c r="N64"/>
      <c r="P64"/>
    </row>
    <row r="65" spans="3:16" x14ac:dyDescent="0.25">
      <c r="I65"/>
      <c r="J65"/>
      <c r="K65"/>
      <c r="L65"/>
      <c r="M65"/>
      <c r="N65"/>
      <c r="P65"/>
    </row>
    <row r="66" spans="3:16" x14ac:dyDescent="0.25">
      <c r="I66"/>
      <c r="J66"/>
      <c r="K66"/>
      <c r="L66"/>
      <c r="M66"/>
      <c r="N66"/>
      <c r="P66"/>
    </row>
    <row r="67" spans="3:16" x14ac:dyDescent="0.25">
      <c r="I67"/>
      <c r="J67"/>
      <c r="K67"/>
      <c r="L67"/>
      <c r="M67"/>
      <c r="N67"/>
      <c r="P67"/>
    </row>
    <row r="68" spans="3:16" x14ac:dyDescent="0.25">
      <c r="C68" s="47"/>
      <c r="D68" s="47"/>
      <c r="E68" s="47"/>
      <c r="F68" s="47"/>
      <c r="G68" s="47"/>
      <c r="I68"/>
      <c r="J68"/>
      <c r="K68"/>
      <c r="L68"/>
      <c r="M68"/>
      <c r="N68"/>
      <c r="P68"/>
    </row>
    <row r="69" spans="3:16" x14ac:dyDescent="0.25">
      <c r="G69" s="81"/>
      <c r="I69"/>
      <c r="J69"/>
      <c r="K69"/>
      <c r="L69"/>
      <c r="M69"/>
      <c r="N69"/>
      <c r="P69"/>
    </row>
  </sheetData>
  <mergeCells count="1">
    <mergeCell ref="B1:F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topLeftCell="A5" workbookViewId="0">
      <selection sqref="A1:XFD1048576"/>
    </sheetView>
  </sheetViews>
  <sheetFormatPr defaultColWidth="8.85546875" defaultRowHeight="15" x14ac:dyDescent="0.25"/>
  <cols>
    <col min="1" max="1" width="5.140625" customWidth="1"/>
    <col min="2" max="2" width="19.7109375" customWidth="1"/>
    <col min="3" max="4" width="15.85546875" customWidth="1"/>
    <col min="5" max="5" width="18.140625" customWidth="1"/>
    <col min="6" max="6" width="18.7109375" customWidth="1"/>
    <col min="7" max="7" width="22.42578125" customWidth="1"/>
    <col min="8" max="8" width="21.85546875" customWidth="1"/>
    <col min="9" max="9" width="40.42578125" style="47" hidden="1" customWidth="1"/>
    <col min="10" max="10" width="13.140625" style="47" hidden="1" customWidth="1"/>
    <col min="11" max="11" width="15.42578125" style="47" hidden="1" customWidth="1"/>
    <col min="12" max="14" width="14.42578125" style="47" hidden="1" customWidth="1"/>
    <col min="15" max="15" width="15.42578125" hidden="1" customWidth="1"/>
    <col min="16" max="16" width="14.85546875" style="48" hidden="1" customWidth="1"/>
  </cols>
  <sheetData>
    <row r="1" spans="1:16" ht="28.5" customHeight="1" x14ac:dyDescent="0.25">
      <c r="B1" s="490" t="s">
        <v>145</v>
      </c>
      <c r="C1" s="490"/>
      <c r="D1" s="490"/>
      <c r="E1" s="490"/>
      <c r="F1" s="490"/>
    </row>
    <row r="2" spans="1:16" s="1" customFormat="1" ht="30" x14ac:dyDescent="0.25">
      <c r="B2" s="49" t="s">
        <v>105</v>
      </c>
      <c r="C2" s="49" t="s">
        <v>114</v>
      </c>
      <c r="D2" s="50" t="s">
        <v>119</v>
      </c>
      <c r="E2" s="51" t="s">
        <v>146</v>
      </c>
      <c r="F2" s="52" t="s">
        <v>147</v>
      </c>
      <c r="G2" s="53"/>
      <c r="P2" s="54"/>
    </row>
    <row r="3" spans="1:16" s="1" customFormat="1" ht="15" customHeight="1" x14ac:dyDescent="0.25">
      <c r="B3" s="55"/>
      <c r="C3" s="56"/>
      <c r="D3" s="57"/>
      <c r="E3" s="103">
        <v>5.0000000000000001E-3</v>
      </c>
      <c r="F3" s="58"/>
      <c r="G3" s="53"/>
      <c r="I3" s="59" t="s">
        <v>148</v>
      </c>
      <c r="J3" s="59" t="s">
        <v>149</v>
      </c>
      <c r="K3" s="59" t="s">
        <v>150</v>
      </c>
      <c r="L3" s="59" t="s">
        <v>151</v>
      </c>
      <c r="M3" s="59" t="s">
        <v>152</v>
      </c>
      <c r="N3" s="59" t="s">
        <v>153</v>
      </c>
      <c r="O3" s="59" t="s">
        <v>154</v>
      </c>
      <c r="P3" s="54"/>
    </row>
    <row r="4" spans="1:16" ht="18.95" customHeight="1" x14ac:dyDescent="0.25">
      <c r="A4" t="s">
        <v>1</v>
      </c>
      <c r="B4" s="60" t="s">
        <v>2</v>
      </c>
      <c r="C4" s="61">
        <f>SUMIF(FY16Calc0!$D$3:$D$78,$A4,FY16Calc0!$I$3:$I$78)</f>
        <v>27067.578205376372</v>
      </c>
      <c r="D4" s="61">
        <f>SUMIF(FY16Calc0!$D$3:$D$78,$A4,FY16Calc0!$T$3:$T$78)</f>
        <v>401239086.3119415</v>
      </c>
      <c r="E4" s="63">
        <f>+(1-$E$3)*D4</f>
        <v>399232890.88038182</v>
      </c>
      <c r="F4" s="64">
        <f>+E4*0.7</f>
        <v>279463023.61626726</v>
      </c>
      <c r="G4" s="65"/>
      <c r="I4" s="66" t="s">
        <v>2</v>
      </c>
      <c r="J4" s="67">
        <v>27216.738749455024</v>
      </c>
      <c r="K4" s="67">
        <v>458514580.44778383</v>
      </c>
      <c r="L4" s="67">
        <v>11268293.183462847</v>
      </c>
      <c r="M4" s="67">
        <v>981824.07106655231</v>
      </c>
      <c r="N4" s="67">
        <v>22313223.159662709</v>
      </c>
      <c r="O4" s="67">
        <v>423951240.03359103</v>
      </c>
    </row>
    <row r="5" spans="1:16" ht="18.95" customHeight="1" x14ac:dyDescent="0.25">
      <c r="A5" t="s">
        <v>7</v>
      </c>
      <c r="B5" s="68" t="s">
        <v>9</v>
      </c>
      <c r="C5" s="69">
        <f>SUMIF(FY16Calc0!$D$3:$D$78,$A5,FY16Calc0!$I$3:$I$78)</f>
        <v>3001.4488143440913</v>
      </c>
      <c r="D5" s="70">
        <f>SUMIF(FY16Calc0!$D$3:$D$78,$A5,FY16Calc0!$T$3:$T$78)</f>
        <v>18287393.598028459</v>
      </c>
      <c r="E5" s="71">
        <f t="shared" ref="E5:E24" si="0">+(1-$E$3)*D5</f>
        <v>18195956.630038317</v>
      </c>
      <c r="F5" s="72">
        <f t="shared" ref="F5:F24" si="1">+E5*0.7</f>
        <v>12737169.641026821</v>
      </c>
      <c r="G5" s="65"/>
      <c r="H5" s="73"/>
      <c r="I5" s="66" t="s">
        <v>9</v>
      </c>
      <c r="J5" s="67">
        <v>2987.2444444276334</v>
      </c>
      <c r="K5" s="67">
        <v>60794681.547260709</v>
      </c>
      <c r="L5" s="67">
        <v>1580337.3170779936</v>
      </c>
      <c r="M5" s="67">
        <v>37993351.423641443</v>
      </c>
      <c r="N5" s="67">
        <v>1061049.6403270641</v>
      </c>
      <c r="O5" s="67">
        <v>20159943.166214217</v>
      </c>
    </row>
    <row r="6" spans="1:16" ht="18.95" customHeight="1" x14ac:dyDescent="0.25">
      <c r="A6" t="s">
        <v>10</v>
      </c>
      <c r="B6" s="68" t="s">
        <v>11</v>
      </c>
      <c r="C6" s="69">
        <f>SUMIF(FY16Calc0!$D$3:$D$78,$A6,FY16Calc0!$I$3:$I$78)</f>
        <v>165.04918966582989</v>
      </c>
      <c r="D6" s="70">
        <f>SUMIF(FY16Calc0!$D$3:$D$78,$A6,FY16Calc0!$T$3:$T$78)</f>
        <v>1718683.9381011226</v>
      </c>
      <c r="E6" s="71">
        <f t="shared" si="0"/>
        <v>1710090.518410617</v>
      </c>
      <c r="F6" s="72">
        <f t="shared" si="1"/>
        <v>1197063.3628874319</v>
      </c>
      <c r="G6" s="65"/>
      <c r="I6" s="66" t="s">
        <v>11</v>
      </c>
      <c r="J6" s="67">
        <v>157.23888888812041</v>
      </c>
      <c r="K6" s="67">
        <v>2344795.5954718241</v>
      </c>
      <c r="L6" s="67">
        <v>72879.074864658323</v>
      </c>
      <c r="M6" s="67">
        <v>540860.49378181447</v>
      </c>
      <c r="N6" s="67">
        <v>86552.80134126771</v>
      </c>
      <c r="O6" s="67">
        <v>1644503.2254840855</v>
      </c>
    </row>
    <row r="7" spans="1:16" ht="18.95" customHeight="1" x14ac:dyDescent="0.25">
      <c r="A7" t="s">
        <v>12</v>
      </c>
      <c r="B7" s="68" t="s">
        <v>14</v>
      </c>
      <c r="C7" s="69">
        <f>SUMIF(FY16Calc0!$D$3:$D$78,$A7,FY16Calc0!$I$3:$I$78)</f>
        <v>1189.7820022568926</v>
      </c>
      <c r="D7" s="70">
        <f>SUMIF(FY16Calc0!$D$3:$D$78,$A7,FY16Calc0!$T$3:$T$78)</f>
        <v>11717011.61962712</v>
      </c>
      <c r="E7" s="71">
        <f t="shared" si="0"/>
        <v>11658426.561528984</v>
      </c>
      <c r="F7" s="72">
        <f t="shared" si="1"/>
        <v>8160898.5930702882</v>
      </c>
      <c r="G7" s="65"/>
      <c r="I7" s="66" t="s">
        <v>14</v>
      </c>
      <c r="J7" s="67">
        <v>1165.6444444296301</v>
      </c>
      <c r="K7" s="67">
        <v>25855486.590973187</v>
      </c>
      <c r="L7" s="67">
        <v>655309.23754839075</v>
      </c>
      <c r="M7" s="67">
        <v>12624602.907788677</v>
      </c>
      <c r="N7" s="67">
        <v>628778.72228180582</v>
      </c>
      <c r="O7" s="67">
        <v>11946795.723354323</v>
      </c>
    </row>
    <row r="8" spans="1:16" ht="18.95" customHeight="1" x14ac:dyDescent="0.25">
      <c r="A8" t="s">
        <v>15</v>
      </c>
      <c r="B8" s="68" t="s">
        <v>17</v>
      </c>
      <c r="C8" s="69">
        <f>SUMIF(FY16Calc0!$D$3:$D$78,$A8,FY16Calc0!$I$3:$I$78)</f>
        <v>503.79034973479509</v>
      </c>
      <c r="D8" s="70">
        <f>SUMIF(FY16Calc0!$D$3:$D$78,$A8,FY16Calc0!$T$3:$T$78)</f>
        <v>4814000.2715255572</v>
      </c>
      <c r="E8" s="71">
        <f t="shared" si="0"/>
        <v>4789930.2701679291</v>
      </c>
      <c r="F8" s="72">
        <f t="shared" si="1"/>
        <v>3352951.1891175504</v>
      </c>
      <c r="G8" s="65"/>
      <c r="I8" s="66" t="s">
        <v>17</v>
      </c>
      <c r="J8" s="67">
        <v>523.99999999573902</v>
      </c>
      <c r="K8" s="67">
        <v>9914097.8561357949</v>
      </c>
      <c r="L8" s="67">
        <v>264943.81583338714</v>
      </c>
      <c r="M8" s="67">
        <v>4160437.1937173661</v>
      </c>
      <c r="N8" s="67">
        <v>274435.84232925187</v>
      </c>
      <c r="O8" s="67">
        <v>5214281.0042557828</v>
      </c>
    </row>
    <row r="9" spans="1:16" ht="18.95" customHeight="1" x14ac:dyDescent="0.25">
      <c r="A9" t="s">
        <v>18</v>
      </c>
      <c r="B9" s="68" t="s">
        <v>19</v>
      </c>
      <c r="C9" s="69">
        <f>SUMIF(FY16Calc0!$D$3:$D$78,$A9,FY16Calc0!$I$3:$I$78)</f>
        <v>630.49255751900387</v>
      </c>
      <c r="D9" s="70">
        <f>SUMIF(FY16Calc0!$D$3:$D$78,$A9,FY16Calc0!$T$3:$T$78)</f>
        <v>6051097.1124166409</v>
      </c>
      <c r="E9" s="71">
        <f t="shared" si="0"/>
        <v>6020841.6268545575</v>
      </c>
      <c r="F9" s="72">
        <f t="shared" si="1"/>
        <v>4214589.1387981903</v>
      </c>
      <c r="G9" s="65"/>
      <c r="I9" s="66" t="s">
        <v>19</v>
      </c>
      <c r="J9" s="67">
        <v>654.72222221887398</v>
      </c>
      <c r="K9" s="67">
        <v>10050643.722381759</v>
      </c>
      <c r="L9" s="67">
        <v>316648.05664508819</v>
      </c>
      <c r="M9" s="67">
        <v>2949486.1420840002</v>
      </c>
      <c r="N9" s="67">
        <v>339225.47618263337</v>
      </c>
      <c r="O9" s="67">
        <v>6445284.0474700388</v>
      </c>
    </row>
    <row r="10" spans="1:16" ht="18.95" customHeight="1" x14ac:dyDescent="0.25">
      <c r="A10" t="s">
        <v>20</v>
      </c>
      <c r="B10" s="68" t="s">
        <v>155</v>
      </c>
      <c r="C10" s="74">
        <f>SUMIF(FY16Calc0!$D$3:$D$78,$A10,FY16Calc0!$I$3:$I$78)</f>
        <v>0</v>
      </c>
      <c r="D10" s="70">
        <f>SUMIF(FY16Calc0!$D$3:$D$78,$A10,FY16Calc0!$T$3:$T$78)</f>
        <v>0</v>
      </c>
      <c r="E10" s="71">
        <f t="shared" si="0"/>
        <v>0</v>
      </c>
      <c r="F10" s="72">
        <f t="shared" si="1"/>
        <v>0</v>
      </c>
      <c r="G10" s="65"/>
      <c r="I10" s="66" t="s">
        <v>155</v>
      </c>
      <c r="J10" s="67">
        <v>0.39999999999000002</v>
      </c>
      <c r="K10" s="67">
        <v>8349.506051996028</v>
      </c>
      <c r="L10" s="67">
        <v>333.98024207984116</v>
      </c>
      <c r="M10" s="67">
        <v>0</v>
      </c>
      <c r="N10" s="67">
        <v>400.77629049580929</v>
      </c>
      <c r="O10" s="67">
        <v>7614.7495194203775</v>
      </c>
    </row>
    <row r="11" spans="1:16" ht="18.95" customHeight="1" x14ac:dyDescent="0.25">
      <c r="A11" t="s">
        <v>21</v>
      </c>
      <c r="B11" s="68" t="s">
        <v>22</v>
      </c>
      <c r="C11" s="69">
        <f>SUMIF(FY16Calc0!$D$3:$D$78,$A11,FY16Calc0!$I$3:$I$78)</f>
        <v>330.07248046490901</v>
      </c>
      <c r="D11" s="70">
        <f>SUMIF(FY16Calc0!$D$3:$D$78,$A11,FY16Calc0!$T$3:$T$78)</f>
        <v>4420986.6223200969</v>
      </c>
      <c r="E11" s="71">
        <f t="shared" si="0"/>
        <v>4398881.6892084964</v>
      </c>
      <c r="F11" s="72">
        <f t="shared" si="1"/>
        <v>3079217.1824459471</v>
      </c>
      <c r="G11" s="65"/>
      <c r="I11" s="66" t="s">
        <v>22</v>
      </c>
      <c r="J11" s="67">
        <v>340.95555555375103</v>
      </c>
      <c r="K11" s="67">
        <v>5005161.71163355</v>
      </c>
      <c r="L11" s="67">
        <v>170419.49648224071</v>
      </c>
      <c r="M11" s="67">
        <v>198405.8884876949</v>
      </c>
      <c r="N11" s="67">
        <v>231816.8163331814</v>
      </c>
      <c r="O11" s="67">
        <v>4404519.5103304414</v>
      </c>
    </row>
    <row r="12" spans="1:16" ht="18.95" customHeight="1" x14ac:dyDescent="0.25">
      <c r="A12" t="s">
        <v>23</v>
      </c>
      <c r="B12" s="68" t="s">
        <v>25</v>
      </c>
      <c r="C12" s="69">
        <f>SUMIF(FY16Calc0!$D$3:$D$78,$A12,FY16Calc0!$I$3:$I$78)</f>
        <v>336.45476060129533</v>
      </c>
      <c r="D12" s="70">
        <f>SUMIF(FY16Calc0!$D$3:$D$78,$A12,FY16Calc0!$T$3:$T$78)</f>
        <v>3254312.8869196749</v>
      </c>
      <c r="E12" s="71">
        <f t="shared" si="0"/>
        <v>3238041.3224850767</v>
      </c>
      <c r="F12" s="72">
        <f t="shared" si="1"/>
        <v>2266628.9257395538</v>
      </c>
      <c r="G12" s="65"/>
      <c r="I12" s="66" t="s">
        <v>25</v>
      </c>
      <c r="J12" s="67">
        <v>322.19999999574901</v>
      </c>
      <c r="K12" s="67">
        <v>6754767.1704475321</v>
      </c>
      <c r="L12" s="67">
        <v>184060.87846352029</v>
      </c>
      <c r="M12" s="67">
        <v>2979071.1597328391</v>
      </c>
      <c r="N12" s="67">
        <v>179581.75661255882</v>
      </c>
      <c r="O12" s="67">
        <v>3412053.3756386195</v>
      </c>
    </row>
    <row r="13" spans="1:16" ht="18.95" customHeight="1" x14ac:dyDescent="0.25">
      <c r="A13" t="s">
        <v>26</v>
      </c>
      <c r="B13" s="68" t="s">
        <v>27</v>
      </c>
      <c r="C13" s="69">
        <f>SUMIF(FY16Calc0!$D$3:$D$78,$A13,FY16Calc0!$I$3:$I$78)</f>
        <v>240.0191756905655</v>
      </c>
      <c r="D13" s="70">
        <f>SUMIF(FY16Calc0!$D$3:$D$78,$A13,FY16Calc0!$T$3:$T$78)</f>
        <v>2473177.7117628288</v>
      </c>
      <c r="E13" s="71">
        <f t="shared" si="0"/>
        <v>2460811.8232040145</v>
      </c>
      <c r="F13" s="72">
        <f t="shared" si="1"/>
        <v>1722568.2762428101</v>
      </c>
      <c r="G13" s="65"/>
      <c r="I13" s="66" t="s">
        <v>27</v>
      </c>
      <c r="J13" s="67">
        <v>172.36111110833008</v>
      </c>
      <c r="K13" s="67">
        <v>3198140.1594982781</v>
      </c>
      <c r="L13" s="67">
        <v>86327.243732114992</v>
      </c>
      <c r="M13" s="67">
        <v>1190060.5684644135</v>
      </c>
      <c r="N13" s="67">
        <v>96087.617365087441</v>
      </c>
      <c r="O13" s="67">
        <v>1825664.7299366621</v>
      </c>
    </row>
    <row r="14" spans="1:16" ht="18.95" customHeight="1" x14ac:dyDescent="0.25">
      <c r="A14" t="s">
        <v>28</v>
      </c>
      <c r="B14" s="68" t="s">
        <v>30</v>
      </c>
      <c r="C14" s="69">
        <f>SUMIF(FY16Calc0!$D$3:$D$78,$A14,FY16Calc0!$I$3:$I$78)</f>
        <v>412.54863181192331</v>
      </c>
      <c r="D14" s="70">
        <f>SUMIF(FY16Calc0!$D$3:$D$78,$A14,FY16Calc0!$T$3:$T$78)</f>
        <v>6777307.7017070539</v>
      </c>
      <c r="E14" s="71">
        <f t="shared" si="0"/>
        <v>6743421.1631985186</v>
      </c>
      <c r="F14" s="72">
        <f t="shared" si="1"/>
        <v>4720394.8142389627</v>
      </c>
      <c r="G14" s="65"/>
      <c r="I14" s="66" t="s">
        <v>30</v>
      </c>
      <c r="J14" s="67">
        <v>391.16666666743998</v>
      </c>
      <c r="K14" s="67">
        <v>7595573.0470460728</v>
      </c>
      <c r="L14" s="67">
        <v>196222.22818505837</v>
      </c>
      <c r="M14" s="67">
        <v>693389.03557909478</v>
      </c>
      <c r="N14" s="67">
        <v>335298.08916409622</v>
      </c>
      <c r="O14" s="67">
        <v>6370663.6941178264</v>
      </c>
    </row>
    <row r="15" spans="1:16" ht="18.95" customHeight="1" x14ac:dyDescent="0.25">
      <c r="A15" t="s">
        <v>31</v>
      </c>
      <c r="B15" s="68" t="s">
        <v>33</v>
      </c>
      <c r="C15" s="69">
        <f>SUMIF(FY16Calc0!$D$3:$D$78,$A15,FY16Calc0!$I$3:$I$78)</f>
        <v>93.402784065932011</v>
      </c>
      <c r="D15" s="70">
        <f>SUMIF(FY16Calc0!$D$3:$D$78,$A15,FY16Calc0!$T$3:$T$78)</f>
        <v>2219203.6115515097</v>
      </c>
      <c r="E15" s="71">
        <f t="shared" si="0"/>
        <v>2208107.5934937522</v>
      </c>
      <c r="F15" s="72">
        <f t="shared" si="1"/>
        <v>1545675.3154456264</v>
      </c>
      <c r="G15" s="65"/>
      <c r="I15" s="66" t="s">
        <v>33</v>
      </c>
      <c r="J15" s="67">
        <v>71.733333332720008</v>
      </c>
      <c r="K15" s="67">
        <v>1866845.3695289404</v>
      </c>
      <c r="L15" s="67">
        <v>56265.453197479415</v>
      </c>
      <c r="M15" s="67">
        <v>3290.8727880367792</v>
      </c>
      <c r="N15" s="67">
        <v>90364.452177171202</v>
      </c>
      <c r="O15" s="67">
        <v>1716924.5913662522</v>
      </c>
    </row>
    <row r="16" spans="1:16" ht="18.95" customHeight="1" x14ac:dyDescent="0.25">
      <c r="A16" t="s">
        <v>34</v>
      </c>
      <c r="B16" s="68" t="s">
        <v>35</v>
      </c>
      <c r="C16" s="69">
        <f>SUMIF(FY16Calc0!$D$3:$D$78,$A16,FY16Calc0!$I$3:$I$78)</f>
        <v>413.777376479054</v>
      </c>
      <c r="D16" s="70">
        <f>SUMIF(FY16Calc0!$D$3:$D$78,$A16,FY16Calc0!$T$3:$T$78)</f>
        <v>6521813.0015860302</v>
      </c>
      <c r="E16" s="71">
        <f t="shared" si="0"/>
        <v>6489203.9365780996</v>
      </c>
      <c r="F16" s="72">
        <f t="shared" si="1"/>
        <v>4542442.7556046695</v>
      </c>
      <c r="G16" s="65"/>
      <c r="I16" s="66" t="s">
        <v>35</v>
      </c>
      <c r="J16" s="67">
        <v>408.11111110143997</v>
      </c>
      <c r="K16" s="67">
        <v>8309366.6007653903</v>
      </c>
      <c r="L16" s="67">
        <v>248463.71031704699</v>
      </c>
      <c r="M16" s="67">
        <v>1322082.0489724225</v>
      </c>
      <c r="N16" s="67">
        <v>336941.04207379598</v>
      </c>
      <c r="O16" s="67">
        <v>6401879.799402127</v>
      </c>
    </row>
    <row r="17" spans="1:16" ht="18.95" customHeight="1" x14ac:dyDescent="0.25">
      <c r="A17" t="s">
        <v>156</v>
      </c>
      <c r="B17" s="68" t="s">
        <v>36</v>
      </c>
      <c r="C17" s="69">
        <f>SUMIF(FY16Calc0!$D$3:$D$78,$A17,FY16Calc0!$I$3:$I$78)</f>
        <v>360.30016806243361</v>
      </c>
      <c r="D17" s="70">
        <f>SUMIF(FY16Calc0!$D$3:$D$78,$A17,FY16Calc0!$T$3:$T$78)</f>
        <v>6650882.4631331395</v>
      </c>
      <c r="E17" s="71">
        <f t="shared" si="0"/>
        <v>6617628.0508174738</v>
      </c>
      <c r="F17" s="72">
        <f t="shared" si="1"/>
        <v>4632339.6355722314</v>
      </c>
      <c r="G17" s="65"/>
      <c r="I17" s="66" t="s">
        <v>36</v>
      </c>
      <c r="J17" s="67">
        <v>376.91111110668004</v>
      </c>
      <c r="K17" s="67">
        <v>9032597.1087533981</v>
      </c>
      <c r="L17" s="67">
        <v>278801.25345163792</v>
      </c>
      <c r="M17" s="67">
        <v>1436001.6235055097</v>
      </c>
      <c r="N17" s="67">
        <v>365889.71158981282</v>
      </c>
      <c r="O17" s="67">
        <v>6951904.5202064458</v>
      </c>
      <c r="P17"/>
    </row>
    <row r="18" spans="1:16" ht="18.95" customHeight="1" x14ac:dyDescent="0.25">
      <c r="A18" t="s">
        <v>37</v>
      </c>
      <c r="B18" s="68" t="s">
        <v>39</v>
      </c>
      <c r="C18" s="69">
        <f>SUMIF(FY16Calc0!$D$3:$D$78,$A18,FY16Calc0!$I$3:$I$78)</f>
        <v>725.83870893099402</v>
      </c>
      <c r="D18" s="70">
        <f>SUMIF(FY16Calc0!$D$3:$D$78,$A18,FY16Calc0!$T$3:$T$78)</f>
        <v>14083581.917755101</v>
      </c>
      <c r="E18" s="71">
        <f t="shared" si="0"/>
        <v>14013164.008166326</v>
      </c>
      <c r="F18" s="72">
        <f t="shared" si="1"/>
        <v>9809214.805716427</v>
      </c>
      <c r="G18" s="65"/>
      <c r="I18" s="66" t="s">
        <v>39</v>
      </c>
      <c r="J18" s="67">
        <v>752.78888888645201</v>
      </c>
      <c r="K18" s="67">
        <v>16381031.865349868</v>
      </c>
      <c r="L18" s="67">
        <v>582974.81369824603</v>
      </c>
      <c r="M18" s="67">
        <v>495381.18447997549</v>
      </c>
      <c r="N18" s="67">
        <v>765133.79335858242</v>
      </c>
      <c r="O18" s="67">
        <v>14537542.073813077</v>
      </c>
      <c r="P18"/>
    </row>
    <row r="19" spans="1:16" ht="18.95" customHeight="1" x14ac:dyDescent="0.25">
      <c r="A19" t="s">
        <v>40</v>
      </c>
      <c r="B19" s="68" t="s">
        <v>42</v>
      </c>
      <c r="C19" s="69">
        <f>SUMIF(FY16Calc0!$D$3:$D$78,$A19,FY16Calc0!$I$3:$I$78)</f>
        <v>91.061393411020788</v>
      </c>
      <c r="D19" s="70">
        <f>SUMIF(FY16Calc0!$D$3:$D$78,$A19,FY16Calc0!$T$3:$T$78)</f>
        <v>1877807.6719318496</v>
      </c>
      <c r="E19" s="71">
        <f t="shared" si="0"/>
        <v>1868418.6335721903</v>
      </c>
      <c r="F19" s="72">
        <f t="shared" si="1"/>
        <v>1307893.0435005331</v>
      </c>
      <c r="G19" s="65"/>
      <c r="I19" s="66" t="s">
        <v>42</v>
      </c>
      <c r="J19" s="67">
        <v>82.01111111102999</v>
      </c>
      <c r="K19" s="67">
        <v>1983955.4895733581</v>
      </c>
      <c r="L19" s="67">
        <v>46357.815899133202</v>
      </c>
      <c r="M19" s="67">
        <v>126199.62504154917</v>
      </c>
      <c r="N19" s="67">
        <v>90569.902431633818</v>
      </c>
      <c r="O19" s="67">
        <v>1720828.146201042</v>
      </c>
      <c r="P19"/>
    </row>
    <row r="20" spans="1:16" ht="18.95" customHeight="1" x14ac:dyDescent="0.25">
      <c r="A20" t="s">
        <v>157</v>
      </c>
      <c r="B20" s="68" t="s">
        <v>43</v>
      </c>
      <c r="C20" s="69">
        <f>SUMIF(FY16Calc0!$D$3:$D$78,$A20,FY16Calc0!$I$3:$I$78)</f>
        <v>92.476395366767392</v>
      </c>
      <c r="D20" s="70">
        <f>SUMIF(FY16Calc0!$D$3:$D$78,$A20,FY16Calc0!$T$3:$T$78)</f>
        <v>1979881.0822416167</v>
      </c>
      <c r="E20" s="71">
        <f t="shared" si="0"/>
        <v>1969981.6768304086</v>
      </c>
      <c r="F20" s="72">
        <f t="shared" si="1"/>
        <v>1378987.173781286</v>
      </c>
      <c r="G20" s="65"/>
      <c r="I20" s="66" t="s">
        <v>43</v>
      </c>
      <c r="J20" s="67">
        <v>74.43333333340999</v>
      </c>
      <c r="K20" s="67">
        <v>1984998.6359607507</v>
      </c>
      <c r="L20" s="67">
        <v>69854.859391739548</v>
      </c>
      <c r="M20" s="67">
        <v>244154.12576258095</v>
      </c>
      <c r="N20" s="67">
        <v>83549.482540321565</v>
      </c>
      <c r="O20" s="67">
        <v>1587440.1682661104</v>
      </c>
      <c r="P20"/>
    </row>
    <row r="21" spans="1:16" ht="18.95" customHeight="1" x14ac:dyDescent="0.25">
      <c r="A21" t="s">
        <v>158</v>
      </c>
      <c r="B21" s="68" t="s">
        <v>45</v>
      </c>
      <c r="C21" s="69">
        <f>SUMIF(FY16Calc0!$D$3:$D$78,$A21,FY16Calc0!$I$3:$I$78)</f>
        <v>640.86618517690022</v>
      </c>
      <c r="D21" s="70">
        <f>SUMIF(FY16Calc0!$D$3:$D$78,$A21,FY16Calc0!$T$3:$T$78)</f>
        <v>9899514.2702377774</v>
      </c>
      <c r="E21" s="71">
        <f t="shared" si="0"/>
        <v>9850016.6988865882</v>
      </c>
      <c r="F21" s="72">
        <f t="shared" si="1"/>
        <v>6895011.689220611</v>
      </c>
      <c r="G21" s="65"/>
      <c r="I21" s="66" t="s">
        <v>45</v>
      </c>
      <c r="J21" s="67">
        <v>599.68888888794902</v>
      </c>
      <c r="K21" s="67">
        <v>12476884.114314407</v>
      </c>
      <c r="L21" s="67">
        <v>422351.93686797755</v>
      </c>
      <c r="M21" s="67">
        <v>1868302.0170150318</v>
      </c>
      <c r="N21" s="67">
        <v>509311.50802156987</v>
      </c>
      <c r="O21" s="67">
        <v>9676918.6524098329</v>
      </c>
      <c r="P21"/>
    </row>
    <row r="22" spans="1:16" ht="18.95" customHeight="1" x14ac:dyDescent="0.25">
      <c r="A22" t="s">
        <v>159</v>
      </c>
      <c r="B22" s="68" t="s">
        <v>46</v>
      </c>
      <c r="C22" s="69">
        <f>SUMIF(FY16Calc0!$D$3:$D$78,$A22,FY16Calc0!$I$3:$I$78)</f>
        <v>1450.1133274830011</v>
      </c>
      <c r="D22" s="70">
        <f>SUMIF(FY16Calc0!$D$3:$D$78,$A22,FY16Calc0!$T$3:$T$78)</f>
        <v>21066987.040818222</v>
      </c>
      <c r="E22" s="71">
        <f t="shared" si="0"/>
        <v>20961652.105614129</v>
      </c>
      <c r="F22" s="72">
        <f t="shared" si="1"/>
        <v>14673156.47392989</v>
      </c>
      <c r="G22" s="65"/>
      <c r="I22" s="66" t="s">
        <v>46</v>
      </c>
      <c r="J22" s="67">
        <v>1419.133333327557</v>
      </c>
      <c r="K22" s="67">
        <v>31301631.925528362</v>
      </c>
      <c r="L22" s="67">
        <v>903627.89776409045</v>
      </c>
      <c r="M22" s="67">
        <v>8262570.7239263766</v>
      </c>
      <c r="N22" s="67">
        <v>1106771.665191893</v>
      </c>
      <c r="O22" s="67">
        <v>21028661.63864594</v>
      </c>
      <c r="P22"/>
    </row>
    <row r="23" spans="1:16" ht="18.95" customHeight="1" x14ac:dyDescent="0.25">
      <c r="A23" t="s">
        <v>160</v>
      </c>
      <c r="B23" s="68" t="s">
        <v>48</v>
      </c>
      <c r="C23" s="69">
        <f>SUMIF(FY16Calc0!$D$3:$D$78,$A23,FY16Calc0!$I$3:$I$78)</f>
        <v>499.34773891319304</v>
      </c>
      <c r="D23" s="70">
        <f>SUMIF(FY16Calc0!$D$3:$D$78,$A23,FY16Calc0!$T$3:$T$78)</f>
        <v>8317132.3694998631</v>
      </c>
      <c r="E23" s="71">
        <f t="shared" si="0"/>
        <v>8275546.7076523639</v>
      </c>
      <c r="F23" s="72">
        <f t="shared" si="1"/>
        <v>5792882.695356654</v>
      </c>
      <c r="G23" s="65"/>
      <c r="I23" s="66" t="s">
        <v>48</v>
      </c>
      <c r="J23" s="67">
        <v>542.08888887906096</v>
      </c>
      <c r="K23" s="67">
        <v>10182820.839022091</v>
      </c>
      <c r="L23" s="67">
        <v>380031.87301806634</v>
      </c>
      <c r="M23" s="67">
        <v>312813.98580216005</v>
      </c>
      <c r="N23" s="67">
        <v>474498.74901009322</v>
      </c>
      <c r="O23" s="67">
        <v>9015476.2311917655</v>
      </c>
      <c r="P23"/>
    </row>
    <row r="24" spans="1:16" ht="18.95" customHeight="1" x14ac:dyDescent="0.25">
      <c r="A24" t="s">
        <v>161</v>
      </c>
      <c r="B24" s="68" t="s">
        <v>49</v>
      </c>
      <c r="C24" s="69">
        <f>SUMIF(FY16Calc0!$D$3:$D$78,$A24,FY16Calc0!$I$3:$I$78)</f>
        <v>82.600381198737452</v>
      </c>
      <c r="D24" s="70">
        <f>SUMIF(FY16Calc0!$D$3:$D$78,$A24,FY16Calc0!$T$3:$T$78)</f>
        <v>1262656.6194846705</v>
      </c>
      <c r="E24" s="71">
        <f t="shared" si="0"/>
        <v>1256343.3363872471</v>
      </c>
      <c r="F24" s="72">
        <f t="shared" si="1"/>
        <v>879440.33547107293</v>
      </c>
      <c r="G24" s="75" t="s">
        <v>162</v>
      </c>
      <c r="I24" s="66" t="s">
        <v>49</v>
      </c>
      <c r="J24" s="67">
        <v>83.499999998730004</v>
      </c>
      <c r="K24" s="67">
        <v>1515277.9162424756</v>
      </c>
      <c r="L24" s="67">
        <v>42032.326940502462</v>
      </c>
      <c r="M24" s="67">
        <v>110993.10093606959</v>
      </c>
      <c r="N24" s="67">
        <v>68112.624418295178</v>
      </c>
      <c r="O24" s="67">
        <v>1294139.8639476087</v>
      </c>
      <c r="P24"/>
    </row>
    <row r="25" spans="1:16" ht="18.95" customHeight="1" x14ac:dyDescent="0.25">
      <c r="B25" s="76" t="s">
        <v>163</v>
      </c>
      <c r="C25" s="77">
        <f>SUM(C4:C24)</f>
        <v>38327.020626553705</v>
      </c>
      <c r="D25" s="78">
        <f>SUM(D4:D24)</f>
        <v>534632517.82258993</v>
      </c>
      <c r="E25" s="78">
        <f>SUM(E4:E24)</f>
        <v>531959355.233477</v>
      </c>
      <c r="F25" s="79">
        <f>SUM(F4:F24)</f>
        <v>372371548.66343379</v>
      </c>
      <c r="G25" s="80">
        <f>+E25-F25</f>
        <v>159587806.57004321</v>
      </c>
      <c r="H25" s="81"/>
      <c r="I25" s="66" t="s">
        <v>164</v>
      </c>
      <c r="J25" s="67">
        <v>4700.2414598625101</v>
      </c>
      <c r="K25" s="67">
        <v>60807351.777703106</v>
      </c>
      <c r="L25" s="67">
        <v>2060763.6396653464</v>
      </c>
      <c r="M25" s="67">
        <v>406134.585383659</v>
      </c>
      <c r="N25" s="67">
        <v>2917022.6776327137</v>
      </c>
      <c r="O25" s="67">
        <v>55423430.875021651</v>
      </c>
      <c r="P25"/>
    </row>
    <row r="26" spans="1:16" ht="18.95" customHeight="1" x14ac:dyDescent="0.25">
      <c r="A26" s="102" t="s">
        <v>3</v>
      </c>
      <c r="B26" s="82" t="s">
        <v>165</v>
      </c>
      <c r="C26" s="83">
        <f>SUMIF(FY16Calc0!$A$79:$A$114,$A26,FY16Calc0!$I$79:$I$114)</f>
        <v>4556.4243504533833</v>
      </c>
      <c r="D26" s="62">
        <f>SUMIF(FY16Calc0!$A$79:$A$114,$A26,FY16Calc0!$T$79:$T$114)</f>
        <v>53459765.194203734</v>
      </c>
      <c r="E26" s="84">
        <f>+(1-$E$3)*D26</f>
        <v>53192466.368232712</v>
      </c>
      <c r="F26" s="85"/>
      <c r="G26" s="6"/>
      <c r="I26" s="66" t="s">
        <v>166</v>
      </c>
      <c r="J26" s="67">
        <v>4114.5833952965304</v>
      </c>
      <c r="K26" s="67">
        <v>51987929.44327683</v>
      </c>
      <c r="L26" s="67">
        <v>1847586.6393447032</v>
      </c>
      <c r="M26" s="67">
        <v>971015.86027909303</v>
      </c>
      <c r="N26" s="67">
        <v>2458466.3471826501</v>
      </c>
      <c r="O26" s="67">
        <v>46710860.596470483</v>
      </c>
      <c r="P26"/>
    </row>
    <row r="27" spans="1:16" ht="18.95" customHeight="1" x14ac:dyDescent="0.25">
      <c r="A27" s="102" t="s">
        <v>5</v>
      </c>
      <c r="B27" s="86" t="s">
        <v>167</v>
      </c>
      <c r="C27" s="87">
        <f>SUMIF(FY16Calc0!$A$79:$A$114,$A27,FY16Calc0!$I$79:$I$114)</f>
        <v>4095.529866064358</v>
      </c>
      <c r="D27" s="88">
        <f>SUMIF(FY16Calc0!$A$79:$A$114,$A27,FY16Calc0!$T$79:$T$114)</f>
        <v>46234147.657924913</v>
      </c>
      <c r="E27" s="89">
        <f>+(1-$E$3)*D27</f>
        <v>46002976.919635288</v>
      </c>
      <c r="F27" s="90"/>
      <c r="G27" s="6"/>
      <c r="P27"/>
    </row>
    <row r="28" spans="1:16" ht="18.95" customHeight="1" x14ac:dyDescent="0.25">
      <c r="B28" s="91" t="s">
        <v>168</v>
      </c>
      <c r="C28" s="92">
        <f>SUM(C25:C27)</f>
        <v>46978.974843071446</v>
      </c>
      <c r="D28" s="93">
        <f>SUM(D25:D27)</f>
        <v>634326430.67471862</v>
      </c>
      <c r="E28" s="93">
        <f>SUM(E25:E27)</f>
        <v>631154798.52134502</v>
      </c>
      <c r="F28" s="94"/>
      <c r="G28" s="6"/>
      <c r="P28"/>
    </row>
    <row r="29" spans="1:16" x14ac:dyDescent="0.25">
      <c r="B29" s="95"/>
      <c r="C29" s="96"/>
      <c r="D29" s="97"/>
      <c r="E29" s="97"/>
      <c r="G29" s="81"/>
      <c r="P29"/>
    </row>
    <row r="30" spans="1:16" x14ac:dyDescent="0.25">
      <c r="B30" s="95"/>
      <c r="C30" s="98"/>
      <c r="D30" s="99"/>
      <c r="E30" s="97">
        <f>0.0075*E25</f>
        <v>3989695.1642510775</v>
      </c>
      <c r="F30" s="97" t="s">
        <v>141</v>
      </c>
      <c r="G30" s="81"/>
      <c r="I30" s="59" t="s">
        <v>148</v>
      </c>
      <c r="J30" s="59" t="s">
        <v>149</v>
      </c>
      <c r="K30" s="59" t="s">
        <v>150</v>
      </c>
      <c r="L30" s="59" t="s">
        <v>151</v>
      </c>
      <c r="M30" s="59" t="s">
        <v>152</v>
      </c>
      <c r="N30" s="59" t="s">
        <v>153</v>
      </c>
      <c r="O30" s="59" t="s">
        <v>154</v>
      </c>
      <c r="P30"/>
    </row>
    <row r="31" spans="1:16" x14ac:dyDescent="0.25">
      <c r="B31" s="95"/>
      <c r="C31" s="100"/>
      <c r="D31" s="99"/>
      <c r="E31" s="97"/>
      <c r="F31" s="73"/>
      <c r="I31" s="66" t="s">
        <v>2</v>
      </c>
      <c r="J31" s="101">
        <v>18836.757356330319</v>
      </c>
      <c r="K31" s="101">
        <v>197333634.40070677</v>
      </c>
      <c r="L31" s="101">
        <v>7893345.3760282714</v>
      </c>
      <c r="M31" s="101">
        <v>936621.82474750816</v>
      </c>
      <c r="N31" s="101">
        <v>9425183.3599965498</v>
      </c>
      <c r="O31" s="101">
        <v>179078483.83993444</v>
      </c>
      <c r="P31"/>
    </row>
    <row r="32" spans="1:16" x14ac:dyDescent="0.25">
      <c r="I32"/>
      <c r="J32"/>
      <c r="K32"/>
      <c r="L32"/>
      <c r="M32"/>
      <c r="N32"/>
      <c r="P32"/>
    </row>
    <row r="33" spans="9:16" x14ac:dyDescent="0.25">
      <c r="I33"/>
      <c r="J33"/>
      <c r="K33"/>
      <c r="L33"/>
      <c r="M33"/>
      <c r="N33"/>
      <c r="P33"/>
    </row>
    <row r="34" spans="9:16" x14ac:dyDescent="0.25">
      <c r="I34"/>
      <c r="J34"/>
      <c r="K34"/>
      <c r="L34"/>
      <c r="M34"/>
      <c r="N34"/>
      <c r="P34"/>
    </row>
    <row r="35" spans="9:16" x14ac:dyDescent="0.25">
      <c r="I35"/>
      <c r="J35"/>
      <c r="K35"/>
      <c r="L35"/>
      <c r="M35"/>
      <c r="N35"/>
      <c r="P35"/>
    </row>
    <row r="36" spans="9:16" x14ac:dyDescent="0.25">
      <c r="I36"/>
      <c r="J36"/>
      <c r="K36"/>
      <c r="L36"/>
      <c r="M36"/>
      <c r="N36"/>
      <c r="P36"/>
    </row>
    <row r="37" spans="9:16" x14ac:dyDescent="0.25">
      <c r="I37"/>
      <c r="J37"/>
      <c r="K37"/>
      <c r="L37"/>
      <c r="M37"/>
      <c r="N37"/>
      <c r="P37"/>
    </row>
    <row r="38" spans="9:16" x14ac:dyDescent="0.25">
      <c r="I38"/>
      <c r="J38"/>
      <c r="K38"/>
      <c r="L38"/>
      <c r="M38"/>
      <c r="N38"/>
      <c r="P38"/>
    </row>
    <row r="39" spans="9:16" x14ac:dyDescent="0.25">
      <c r="I39"/>
      <c r="J39"/>
      <c r="K39"/>
      <c r="L39"/>
      <c r="M39"/>
      <c r="N39"/>
      <c r="P39"/>
    </row>
    <row r="40" spans="9:16" x14ac:dyDescent="0.25">
      <c r="I40"/>
      <c r="J40"/>
      <c r="K40"/>
      <c r="L40"/>
      <c r="M40"/>
      <c r="N40"/>
      <c r="P40"/>
    </row>
    <row r="41" spans="9:16" x14ac:dyDescent="0.25">
      <c r="P41"/>
    </row>
    <row r="42" spans="9:16" x14ac:dyDescent="0.25">
      <c r="P42"/>
    </row>
    <row r="43" spans="9:16" x14ac:dyDescent="0.25">
      <c r="P43"/>
    </row>
    <row r="44" spans="9:16" x14ac:dyDescent="0.25">
      <c r="P44"/>
    </row>
    <row r="45" spans="9:16" x14ac:dyDescent="0.25">
      <c r="P45"/>
    </row>
    <row r="46" spans="9:16" x14ac:dyDescent="0.25">
      <c r="P46"/>
    </row>
    <row r="47" spans="9:16" x14ac:dyDescent="0.25">
      <c r="P47"/>
    </row>
    <row r="48" spans="9:16" x14ac:dyDescent="0.25">
      <c r="P48"/>
    </row>
    <row r="49" spans="9:16" x14ac:dyDescent="0.25">
      <c r="I49"/>
      <c r="J49"/>
      <c r="K49"/>
      <c r="L49"/>
      <c r="M49"/>
      <c r="N49"/>
      <c r="P49"/>
    </row>
    <row r="50" spans="9:16" x14ac:dyDescent="0.25">
      <c r="I50"/>
      <c r="J50"/>
      <c r="K50"/>
      <c r="L50"/>
      <c r="M50"/>
      <c r="N50"/>
      <c r="P50"/>
    </row>
    <row r="51" spans="9:16" x14ac:dyDescent="0.25">
      <c r="I51"/>
      <c r="J51"/>
      <c r="K51"/>
      <c r="L51"/>
      <c r="M51"/>
      <c r="N51"/>
      <c r="P51"/>
    </row>
    <row r="52" spans="9:16" x14ac:dyDescent="0.25">
      <c r="I52"/>
      <c r="J52"/>
      <c r="K52"/>
      <c r="L52"/>
      <c r="M52"/>
      <c r="N52"/>
      <c r="P52"/>
    </row>
    <row r="53" spans="9:16" x14ac:dyDescent="0.25">
      <c r="I53"/>
      <c r="J53"/>
      <c r="K53"/>
      <c r="L53"/>
      <c r="M53"/>
      <c r="N53"/>
      <c r="P53"/>
    </row>
    <row r="54" spans="9:16" x14ac:dyDescent="0.25">
      <c r="I54"/>
      <c r="J54"/>
      <c r="K54"/>
      <c r="L54"/>
      <c r="M54"/>
      <c r="N54"/>
      <c r="P54"/>
    </row>
    <row r="55" spans="9:16" x14ac:dyDescent="0.25">
      <c r="I55"/>
      <c r="J55"/>
      <c r="K55"/>
      <c r="L55"/>
      <c r="M55"/>
      <c r="N55"/>
      <c r="P55"/>
    </row>
    <row r="56" spans="9:16" x14ac:dyDescent="0.25">
      <c r="I56"/>
      <c r="J56"/>
      <c r="K56"/>
      <c r="L56"/>
      <c r="M56"/>
      <c r="N56"/>
      <c r="P56"/>
    </row>
    <row r="57" spans="9:16" x14ac:dyDescent="0.25">
      <c r="I57"/>
      <c r="J57"/>
      <c r="K57"/>
      <c r="L57"/>
      <c r="M57"/>
      <c r="N57"/>
      <c r="P57"/>
    </row>
    <row r="58" spans="9:16" x14ac:dyDescent="0.25">
      <c r="I58"/>
      <c r="J58"/>
      <c r="K58"/>
      <c r="L58"/>
      <c r="M58"/>
      <c r="N58"/>
      <c r="P58"/>
    </row>
    <row r="59" spans="9:16" x14ac:dyDescent="0.25">
      <c r="I59"/>
      <c r="J59"/>
      <c r="K59"/>
      <c r="L59"/>
      <c r="M59"/>
      <c r="N59"/>
      <c r="P59"/>
    </row>
    <row r="60" spans="9:16" x14ac:dyDescent="0.25">
      <c r="I60"/>
      <c r="J60"/>
      <c r="K60"/>
      <c r="L60"/>
      <c r="M60"/>
      <c r="N60"/>
      <c r="P60"/>
    </row>
    <row r="61" spans="9:16" x14ac:dyDescent="0.25">
      <c r="I61"/>
      <c r="J61"/>
      <c r="K61"/>
      <c r="L61"/>
      <c r="M61"/>
      <c r="N61"/>
      <c r="P61"/>
    </row>
    <row r="62" spans="9:16" x14ac:dyDescent="0.25">
      <c r="I62"/>
      <c r="J62"/>
      <c r="K62"/>
      <c r="L62"/>
      <c r="M62"/>
      <c r="N62"/>
      <c r="P62"/>
    </row>
    <row r="63" spans="9:16" x14ac:dyDescent="0.25">
      <c r="I63"/>
      <c r="J63"/>
      <c r="K63"/>
      <c r="L63"/>
      <c r="M63"/>
      <c r="N63"/>
      <c r="P63"/>
    </row>
    <row r="64" spans="9:16" x14ac:dyDescent="0.25">
      <c r="I64"/>
      <c r="J64"/>
      <c r="K64"/>
      <c r="L64"/>
      <c r="M64"/>
      <c r="N64"/>
      <c r="P64"/>
    </row>
    <row r="65" spans="3:16" x14ac:dyDescent="0.25">
      <c r="I65"/>
      <c r="J65"/>
      <c r="K65"/>
      <c r="L65"/>
      <c r="M65"/>
      <c r="N65"/>
      <c r="P65"/>
    </row>
    <row r="66" spans="3:16" x14ac:dyDescent="0.25">
      <c r="I66"/>
      <c r="J66"/>
      <c r="K66"/>
      <c r="L66"/>
      <c r="M66"/>
      <c r="N66"/>
      <c r="P66"/>
    </row>
    <row r="67" spans="3:16" x14ac:dyDescent="0.25">
      <c r="I67"/>
      <c r="J67"/>
      <c r="K67"/>
      <c r="L67"/>
      <c r="M67"/>
      <c r="N67"/>
      <c r="P67"/>
    </row>
    <row r="68" spans="3:16" x14ac:dyDescent="0.25">
      <c r="C68" s="47"/>
      <c r="D68" s="47"/>
      <c r="E68" s="47"/>
      <c r="F68" s="47"/>
      <c r="G68" s="47"/>
      <c r="I68"/>
      <c r="J68"/>
      <c r="K68"/>
      <c r="L68"/>
      <c r="M68"/>
      <c r="N68"/>
      <c r="P68"/>
    </row>
    <row r="69" spans="3:16" x14ac:dyDescent="0.25">
      <c r="G69" s="81"/>
      <c r="I69"/>
      <c r="J69"/>
      <c r="K69"/>
      <c r="L69"/>
      <c r="M69"/>
      <c r="N69"/>
      <c r="P69"/>
    </row>
  </sheetData>
  <mergeCells count="1">
    <mergeCell ref="B1:F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workbookViewId="0">
      <selection activeCell="D4" sqref="D4"/>
    </sheetView>
  </sheetViews>
  <sheetFormatPr defaultColWidth="8.85546875" defaultRowHeight="15" x14ac:dyDescent="0.25"/>
  <cols>
    <col min="1" max="1" width="5.140625" customWidth="1"/>
    <col min="2" max="2" width="19.7109375" customWidth="1"/>
    <col min="3" max="4" width="15.85546875" customWidth="1"/>
    <col min="5" max="5" width="18.140625" customWidth="1"/>
    <col min="6" max="6" width="18.7109375" customWidth="1"/>
    <col min="7" max="7" width="22.42578125" customWidth="1"/>
    <col min="8" max="8" width="21.85546875" customWidth="1"/>
    <col min="9" max="9" width="40.42578125" style="47" hidden="1" customWidth="1"/>
    <col min="10" max="10" width="13.140625" style="47" hidden="1" customWidth="1"/>
    <col min="11" max="11" width="15.42578125" style="47" hidden="1" customWidth="1"/>
    <col min="12" max="14" width="14.42578125" style="47" hidden="1" customWidth="1"/>
    <col min="15" max="15" width="15.42578125" hidden="1" customWidth="1"/>
    <col min="16" max="16" width="14.85546875" style="48" hidden="1" customWidth="1"/>
  </cols>
  <sheetData>
    <row r="1" spans="1:16" ht="15.75" x14ac:dyDescent="0.25">
      <c r="B1" s="491" t="s">
        <v>171</v>
      </c>
      <c r="C1" s="491"/>
      <c r="D1" s="491"/>
      <c r="E1" s="491"/>
      <c r="F1" s="491"/>
    </row>
    <row r="2" spans="1:16" s="1" customFormat="1" ht="30" x14ac:dyDescent="0.25">
      <c r="B2" s="49" t="s">
        <v>105</v>
      </c>
      <c r="C2" s="49" t="s">
        <v>114</v>
      </c>
      <c r="D2" s="50" t="s">
        <v>119</v>
      </c>
      <c r="E2" s="51" t="s">
        <v>146</v>
      </c>
      <c r="F2" s="52" t="s">
        <v>147</v>
      </c>
      <c r="G2" s="53"/>
      <c r="P2" s="54"/>
    </row>
    <row r="3" spans="1:16" s="1" customFormat="1" x14ac:dyDescent="0.25">
      <c r="B3" s="55"/>
      <c r="C3" s="56"/>
      <c r="D3" s="57"/>
      <c r="E3" s="103">
        <v>5.0000000000000001E-3</v>
      </c>
      <c r="F3" s="58"/>
      <c r="G3" s="53"/>
      <c r="I3" s="59" t="s">
        <v>148</v>
      </c>
      <c r="J3" s="59" t="s">
        <v>149</v>
      </c>
      <c r="K3" s="59" t="s">
        <v>150</v>
      </c>
      <c r="L3" s="59" t="s">
        <v>151</v>
      </c>
      <c r="M3" s="59" t="s">
        <v>152</v>
      </c>
      <c r="N3" s="59" t="s">
        <v>153</v>
      </c>
      <c r="O3" s="59" t="s">
        <v>154</v>
      </c>
      <c r="P3" s="54"/>
    </row>
    <row r="4" spans="1:16" x14ac:dyDescent="0.25">
      <c r="A4" t="s">
        <v>1</v>
      </c>
      <c r="B4" s="60" t="s">
        <v>2</v>
      </c>
      <c r="C4" s="61">
        <f>SUMIF(FY17Calc0!$D$3:$D$78,$A4,FY17Calc0!$I$3:$I$78)</f>
        <v>27317.578205376372</v>
      </c>
      <c r="D4" s="61">
        <f>SUMIF(FY17Calc0!$D$3:$D$78,$A4,FY17Calc0!$T$3:$T$78)</f>
        <v>408416055.10664141</v>
      </c>
      <c r="E4" s="63">
        <f>+(1-$E$3)*D4</f>
        <v>406373974.83110821</v>
      </c>
      <c r="F4" s="64">
        <f>+E4*0.7</f>
        <v>284461782.38177574</v>
      </c>
      <c r="G4" s="65">
        <f>+F4-FY16Rev0!F4</f>
        <v>4998758.7655084729</v>
      </c>
      <c r="I4" s="66" t="s">
        <v>2</v>
      </c>
      <c r="J4" s="67">
        <v>27216.738749455024</v>
      </c>
      <c r="K4" s="67">
        <v>458514580.44778383</v>
      </c>
      <c r="L4" s="67">
        <v>11268293.183462847</v>
      </c>
      <c r="M4" s="67">
        <v>981824.07106655231</v>
      </c>
      <c r="N4" s="67">
        <v>22313223.159662709</v>
      </c>
      <c r="O4" s="67">
        <v>423951240.03359103</v>
      </c>
    </row>
    <row r="5" spans="1:16" x14ac:dyDescent="0.25">
      <c r="A5" t="s">
        <v>7</v>
      </c>
      <c r="B5" s="68" t="s">
        <v>9</v>
      </c>
      <c r="C5" s="69">
        <f>SUMIF(FY17Calc0!$D$3:$D$78,$A5,FY17Calc0!$I$3:$I$78)</f>
        <v>3001.4488143440913</v>
      </c>
      <c r="D5" s="70">
        <f>SUMIF(FY17Calc0!$D$3:$D$78,$A5,FY17Calc0!$T$3:$T$78)</f>
        <v>20184084.501198873</v>
      </c>
      <c r="E5" s="71">
        <f t="shared" ref="E5:E24" si="0">+(1-$E$3)*D5</f>
        <v>20083164.07869288</v>
      </c>
      <c r="F5" s="72">
        <f t="shared" ref="F5:F24" si="1">+E5*0.7</f>
        <v>14058214.855085015</v>
      </c>
      <c r="G5" s="65"/>
      <c r="H5" s="73"/>
      <c r="I5" s="66" t="s">
        <v>9</v>
      </c>
      <c r="J5" s="67">
        <v>2987.2444444276334</v>
      </c>
      <c r="K5" s="67">
        <v>60794681.547260709</v>
      </c>
      <c r="L5" s="67">
        <v>1580337.3170779936</v>
      </c>
      <c r="M5" s="67">
        <v>37993351.423641443</v>
      </c>
      <c r="N5" s="67">
        <v>1061049.6403270641</v>
      </c>
      <c r="O5" s="67">
        <v>20159943.166214217</v>
      </c>
    </row>
    <row r="6" spans="1:16" x14ac:dyDescent="0.25">
      <c r="A6" t="s">
        <v>10</v>
      </c>
      <c r="B6" s="68" t="s">
        <v>11</v>
      </c>
      <c r="C6" s="69">
        <f>SUMIF(FY17Calc0!$D$3:$D$78,$A6,FY17Calc0!$I$3:$I$78)</f>
        <v>165.04918966582989</v>
      </c>
      <c r="D6" s="70">
        <f>SUMIF(FY17Calc0!$D$3:$D$78,$A6,FY17Calc0!$T$3:$T$78)</f>
        <v>1744528.4286626251</v>
      </c>
      <c r="E6" s="71">
        <f t="shared" si="0"/>
        <v>1735805.7865193121</v>
      </c>
      <c r="F6" s="72">
        <f t="shared" si="1"/>
        <v>1215064.0505635184</v>
      </c>
      <c r="G6" s="65"/>
      <c r="I6" s="66" t="s">
        <v>11</v>
      </c>
      <c r="J6" s="67">
        <v>157.23888888812041</v>
      </c>
      <c r="K6" s="67">
        <v>2344795.5954718241</v>
      </c>
      <c r="L6" s="67">
        <v>72879.074864658323</v>
      </c>
      <c r="M6" s="67">
        <v>540860.49378181447</v>
      </c>
      <c r="N6" s="67">
        <v>86552.80134126771</v>
      </c>
      <c r="O6" s="67">
        <v>1644503.2254840855</v>
      </c>
    </row>
    <row r="7" spans="1:16" x14ac:dyDescent="0.25">
      <c r="A7" t="s">
        <v>12</v>
      </c>
      <c r="B7" s="68" t="s">
        <v>14</v>
      </c>
      <c r="C7" s="69">
        <f>SUMIF(FY17Calc0!$D$3:$D$78,$A7,FY17Calc0!$I$3:$I$78)</f>
        <v>1189.7820022568926</v>
      </c>
      <c r="D7" s="70">
        <f>SUMIF(FY17Calc0!$D$3:$D$78,$A7,FY17Calc0!$T$3:$T$78)</f>
        <v>12725853.230955947</v>
      </c>
      <c r="E7" s="71">
        <f t="shared" si="0"/>
        <v>12662223.964801168</v>
      </c>
      <c r="F7" s="72">
        <f t="shared" si="1"/>
        <v>8863556.7753608171</v>
      </c>
      <c r="G7" s="65"/>
      <c r="I7" s="66" t="s">
        <v>14</v>
      </c>
      <c r="J7" s="67">
        <v>1165.6444444296301</v>
      </c>
      <c r="K7" s="67">
        <v>25855486.590973187</v>
      </c>
      <c r="L7" s="67">
        <v>655309.23754839075</v>
      </c>
      <c r="M7" s="67">
        <v>12624602.907788677</v>
      </c>
      <c r="N7" s="67">
        <v>628778.72228180582</v>
      </c>
      <c r="O7" s="67">
        <v>11946795.723354323</v>
      </c>
    </row>
    <row r="8" spans="1:16" ht="30" x14ac:dyDescent="0.25">
      <c r="A8" t="s">
        <v>15</v>
      </c>
      <c r="B8" s="68" t="s">
        <v>17</v>
      </c>
      <c r="C8" s="69">
        <f>SUMIF(FY17Calc0!$D$3:$D$78,$A8,FY17Calc0!$I$3:$I$78)</f>
        <v>503.79034973479509</v>
      </c>
      <c r="D8" s="70">
        <f>SUMIF(FY17Calc0!$D$3:$D$78,$A8,FY17Calc0!$T$3:$T$78)</f>
        <v>5013589.16956471</v>
      </c>
      <c r="E8" s="71">
        <f t="shared" si="0"/>
        <v>4988521.2237168867</v>
      </c>
      <c r="F8" s="72">
        <f t="shared" si="1"/>
        <v>3491964.8566018203</v>
      </c>
      <c r="G8" s="65"/>
      <c r="I8" s="66" t="s">
        <v>17</v>
      </c>
      <c r="J8" s="67">
        <v>523.99999999573902</v>
      </c>
      <c r="K8" s="67">
        <v>9914097.8561357949</v>
      </c>
      <c r="L8" s="67">
        <v>264943.81583338714</v>
      </c>
      <c r="M8" s="67">
        <v>4160437.1937173661</v>
      </c>
      <c r="N8" s="67">
        <v>274435.84232925187</v>
      </c>
      <c r="O8" s="67">
        <v>5214281.0042557828</v>
      </c>
    </row>
    <row r="9" spans="1:16" x14ac:dyDescent="0.25">
      <c r="A9" t="s">
        <v>18</v>
      </c>
      <c r="B9" s="68" t="s">
        <v>19</v>
      </c>
      <c r="C9" s="69">
        <f>SUMIF(FY17Calc0!$D$3:$D$78,$A9,FY17Calc0!$I$3:$I$78)</f>
        <v>630.49255751900387</v>
      </c>
      <c r="D9" s="70">
        <f>SUMIF(FY17Calc0!$D$3:$D$78,$A9,FY17Calc0!$T$3:$T$78)</f>
        <v>6363556.8523383811</v>
      </c>
      <c r="E9" s="71">
        <f t="shared" si="0"/>
        <v>6331739.0680766888</v>
      </c>
      <c r="F9" s="72">
        <f t="shared" si="1"/>
        <v>4432217.3476536814</v>
      </c>
      <c r="G9" s="65"/>
      <c r="I9" s="66" t="s">
        <v>19</v>
      </c>
      <c r="J9" s="67">
        <v>654.72222221887398</v>
      </c>
      <c r="K9" s="67">
        <v>10050643.722381759</v>
      </c>
      <c r="L9" s="67">
        <v>316648.05664508819</v>
      </c>
      <c r="M9" s="67">
        <v>2949486.1420840002</v>
      </c>
      <c r="N9" s="67">
        <v>339225.47618263337</v>
      </c>
      <c r="O9" s="67">
        <v>6445284.0474700388</v>
      </c>
    </row>
    <row r="10" spans="1:16" x14ac:dyDescent="0.25">
      <c r="A10" t="s">
        <v>20</v>
      </c>
      <c r="B10" s="68" t="s">
        <v>155</v>
      </c>
      <c r="C10" s="74">
        <f>SUMIF(FY17Calc0!$D$3:$D$78,$A10,FY17Calc0!$I$3:$I$78)</f>
        <v>0</v>
      </c>
      <c r="D10" s="70">
        <f>SUMIF(FY17Calc0!$D$3:$D$78,$A10,FY17Calc0!$T$3:$T$78)</f>
        <v>0</v>
      </c>
      <c r="E10" s="71">
        <f t="shared" si="0"/>
        <v>0</v>
      </c>
      <c r="F10" s="72">
        <f t="shared" si="1"/>
        <v>0</v>
      </c>
      <c r="G10" s="65"/>
      <c r="I10" s="66" t="s">
        <v>155</v>
      </c>
      <c r="J10" s="67">
        <v>0.39999999999000002</v>
      </c>
      <c r="K10" s="67">
        <v>8349.506051996028</v>
      </c>
      <c r="L10" s="67">
        <v>333.98024207984116</v>
      </c>
      <c r="M10" s="67">
        <v>0</v>
      </c>
      <c r="N10" s="67">
        <v>400.77629049580929</v>
      </c>
      <c r="O10" s="67">
        <v>7614.7495194203775</v>
      </c>
    </row>
    <row r="11" spans="1:16" x14ac:dyDescent="0.25">
      <c r="A11" t="s">
        <v>21</v>
      </c>
      <c r="B11" s="68" t="s">
        <v>22</v>
      </c>
      <c r="C11" s="69">
        <f>SUMIF(FY17Calc0!$D$3:$D$78,$A11,FY17Calc0!$I$3:$I$78)</f>
        <v>330.07248046490901</v>
      </c>
      <c r="D11" s="70">
        <f>SUMIF(FY17Calc0!$D$3:$D$78,$A11,FY17Calc0!$T$3:$T$78)</f>
        <v>4563904.4117514146</v>
      </c>
      <c r="E11" s="71">
        <f t="shared" si="0"/>
        <v>4541084.8896926576</v>
      </c>
      <c r="F11" s="72">
        <f t="shared" si="1"/>
        <v>3178759.4227848602</v>
      </c>
      <c r="G11" s="65"/>
      <c r="I11" s="66" t="s">
        <v>22</v>
      </c>
      <c r="J11" s="67">
        <v>340.95555555375103</v>
      </c>
      <c r="K11" s="67">
        <v>5005161.71163355</v>
      </c>
      <c r="L11" s="67">
        <v>170419.49648224071</v>
      </c>
      <c r="M11" s="67">
        <v>198405.8884876949</v>
      </c>
      <c r="N11" s="67">
        <v>231816.8163331814</v>
      </c>
      <c r="O11" s="67">
        <v>4404519.5103304414</v>
      </c>
    </row>
    <row r="12" spans="1:16" ht="30" x14ac:dyDescent="0.25">
      <c r="A12" t="s">
        <v>23</v>
      </c>
      <c r="B12" s="68" t="s">
        <v>25</v>
      </c>
      <c r="C12" s="69">
        <f>SUMIF(FY17Calc0!$D$3:$D$78,$A12,FY17Calc0!$I$3:$I$78)</f>
        <v>336.45476060129533</v>
      </c>
      <c r="D12" s="70">
        <f>SUMIF(FY17Calc0!$D$3:$D$78,$A12,FY17Calc0!$T$3:$T$78)</f>
        <v>3568755.8433027426</v>
      </c>
      <c r="E12" s="71">
        <f t="shared" si="0"/>
        <v>3550912.0640862291</v>
      </c>
      <c r="F12" s="72">
        <f t="shared" si="1"/>
        <v>2485638.4448603601</v>
      </c>
      <c r="G12" s="65"/>
      <c r="I12" s="66" t="s">
        <v>25</v>
      </c>
      <c r="J12" s="67">
        <v>322.19999999574901</v>
      </c>
      <c r="K12" s="67">
        <v>6754767.1704475321</v>
      </c>
      <c r="L12" s="67">
        <v>184060.87846352029</v>
      </c>
      <c r="M12" s="67">
        <v>2979071.1597328391</v>
      </c>
      <c r="N12" s="67">
        <v>179581.75661255882</v>
      </c>
      <c r="O12" s="67">
        <v>3412053.3756386195</v>
      </c>
    </row>
    <row r="13" spans="1:16" x14ac:dyDescent="0.25">
      <c r="A13" t="s">
        <v>26</v>
      </c>
      <c r="B13" s="68" t="s">
        <v>27</v>
      </c>
      <c r="C13" s="69">
        <f>SUMIF(FY17Calc0!$D$3:$D$78,$A13,FY17Calc0!$I$3:$I$78)</f>
        <v>240.0191756905655</v>
      </c>
      <c r="D13" s="70">
        <f>SUMIF(FY17Calc0!$D$3:$D$78,$A13,FY17Calc0!$T$3:$T$78)</f>
        <v>2647584.8432266517</v>
      </c>
      <c r="E13" s="71">
        <f t="shared" si="0"/>
        <v>2634346.9190105186</v>
      </c>
      <c r="F13" s="72">
        <f t="shared" si="1"/>
        <v>1844042.8433073629</v>
      </c>
      <c r="G13" s="65"/>
      <c r="I13" s="66" t="s">
        <v>27</v>
      </c>
      <c r="J13" s="67">
        <v>172.36111110833008</v>
      </c>
      <c r="K13" s="67">
        <v>3198140.1594982781</v>
      </c>
      <c r="L13" s="67">
        <v>86327.243732114992</v>
      </c>
      <c r="M13" s="67">
        <v>1190060.5684644135</v>
      </c>
      <c r="N13" s="67">
        <v>96087.617365087441</v>
      </c>
      <c r="O13" s="67">
        <v>1825664.7299366621</v>
      </c>
    </row>
    <row r="14" spans="1:16" x14ac:dyDescent="0.25">
      <c r="A14" t="s">
        <v>28</v>
      </c>
      <c r="B14" s="68" t="s">
        <v>30</v>
      </c>
      <c r="C14" s="69">
        <f>SUMIF(FY17Calc0!$D$3:$D$78,$A14,FY17Calc0!$I$3:$I$78)</f>
        <v>412.54863181192331</v>
      </c>
      <c r="D14" s="70">
        <f>SUMIF(FY17Calc0!$D$3:$D$78,$A14,FY17Calc0!$T$3:$T$78)</f>
        <v>6805296.6213750876</v>
      </c>
      <c r="E14" s="71">
        <f t="shared" si="0"/>
        <v>6771270.1382682119</v>
      </c>
      <c r="F14" s="72">
        <f t="shared" si="1"/>
        <v>4739889.0967877479</v>
      </c>
      <c r="G14" s="65"/>
      <c r="I14" s="66" t="s">
        <v>30</v>
      </c>
      <c r="J14" s="67">
        <v>391.16666666743998</v>
      </c>
      <c r="K14" s="67">
        <v>7595573.0470460728</v>
      </c>
      <c r="L14" s="67">
        <v>196222.22818505837</v>
      </c>
      <c r="M14" s="67">
        <v>693389.03557909478</v>
      </c>
      <c r="N14" s="67">
        <v>335298.08916409622</v>
      </c>
      <c r="O14" s="67">
        <v>6370663.6941178264</v>
      </c>
    </row>
    <row r="15" spans="1:16" x14ac:dyDescent="0.25">
      <c r="A15" t="s">
        <v>31</v>
      </c>
      <c r="B15" s="68" t="s">
        <v>33</v>
      </c>
      <c r="C15" s="69">
        <f>SUMIF(FY17Calc0!$D$3:$D$78,$A15,FY17Calc0!$I$3:$I$78)</f>
        <v>101.40278406593201</v>
      </c>
      <c r="D15" s="70">
        <f>SUMIF(FY17Calc0!$D$3:$D$78,$A15,FY17Calc0!$T$3:$T$78)</f>
        <v>2527649.9253572822</v>
      </c>
      <c r="E15" s="71">
        <f t="shared" si="0"/>
        <v>2515011.6757304957</v>
      </c>
      <c r="F15" s="72">
        <f t="shared" si="1"/>
        <v>1760508.173011347</v>
      </c>
      <c r="G15" s="65"/>
      <c r="I15" s="66" t="s">
        <v>33</v>
      </c>
      <c r="J15" s="67">
        <v>71.733333332720008</v>
      </c>
      <c r="K15" s="67">
        <v>1866845.3695289404</v>
      </c>
      <c r="L15" s="67">
        <v>56265.453197479415</v>
      </c>
      <c r="M15" s="67">
        <v>3290.8727880367792</v>
      </c>
      <c r="N15" s="67">
        <v>90364.452177171202</v>
      </c>
      <c r="O15" s="67">
        <v>1716924.5913662522</v>
      </c>
    </row>
    <row r="16" spans="1:16" x14ac:dyDescent="0.25">
      <c r="A16" t="s">
        <v>34</v>
      </c>
      <c r="B16" s="68" t="s">
        <v>35</v>
      </c>
      <c r="C16" s="69">
        <f>SUMIF(FY17Calc0!$D$3:$D$78,$A16,FY17Calc0!$I$3:$I$78)</f>
        <v>413.777376479054</v>
      </c>
      <c r="D16" s="70">
        <f>SUMIF(FY17Calc0!$D$3:$D$78,$A16,FY17Calc0!$T$3:$T$78)</f>
        <v>6792401.3514542831</v>
      </c>
      <c r="E16" s="71">
        <f t="shared" si="0"/>
        <v>6758439.3446970116</v>
      </c>
      <c r="F16" s="72">
        <f t="shared" si="1"/>
        <v>4730907.5412879074</v>
      </c>
      <c r="G16" s="65"/>
      <c r="I16" s="66" t="s">
        <v>35</v>
      </c>
      <c r="J16" s="67">
        <v>408.11111110143997</v>
      </c>
      <c r="K16" s="67">
        <v>8309366.6007653903</v>
      </c>
      <c r="L16" s="67">
        <v>248463.71031704699</v>
      </c>
      <c r="M16" s="67">
        <v>1322082.0489724225</v>
      </c>
      <c r="N16" s="67">
        <v>336941.04207379598</v>
      </c>
      <c r="O16" s="67">
        <v>6401879.799402127</v>
      </c>
    </row>
    <row r="17" spans="1:16" x14ac:dyDescent="0.25">
      <c r="A17" t="s">
        <v>156</v>
      </c>
      <c r="B17" s="68" t="s">
        <v>36</v>
      </c>
      <c r="C17" s="69">
        <f>SUMIF(FY17Calc0!$D$3:$D$78,$A17,FY17Calc0!$I$3:$I$78)</f>
        <v>360.30016806243361</v>
      </c>
      <c r="D17" s="70">
        <f>SUMIF(FY17Calc0!$D$3:$D$78,$A17,FY17Calc0!$T$3:$T$78)</f>
        <v>6953554.0091589596</v>
      </c>
      <c r="E17" s="71">
        <f t="shared" si="0"/>
        <v>6918786.2391131651</v>
      </c>
      <c r="F17" s="72">
        <f t="shared" si="1"/>
        <v>4843150.3673792155</v>
      </c>
      <c r="G17" s="65"/>
      <c r="I17" s="66" t="s">
        <v>36</v>
      </c>
      <c r="J17" s="67">
        <v>376.91111110668004</v>
      </c>
      <c r="K17" s="67">
        <v>9032597.1087533981</v>
      </c>
      <c r="L17" s="67">
        <v>278801.25345163792</v>
      </c>
      <c r="M17" s="67">
        <v>1436001.6235055097</v>
      </c>
      <c r="N17" s="67">
        <v>365889.71158981282</v>
      </c>
      <c r="O17" s="67">
        <v>6951904.5202064458</v>
      </c>
      <c r="P17"/>
    </row>
    <row r="18" spans="1:16" x14ac:dyDescent="0.25">
      <c r="A18" t="s">
        <v>37</v>
      </c>
      <c r="B18" s="68" t="s">
        <v>39</v>
      </c>
      <c r="C18" s="69">
        <f>SUMIF(FY17Calc0!$D$3:$D$78,$A18,FY17Calc0!$I$3:$I$78)</f>
        <v>725.83870893099402</v>
      </c>
      <c r="D18" s="70">
        <f>SUMIF(FY17Calc0!$D$3:$D$78,$A18,FY17Calc0!$T$3:$T$78)</f>
        <v>14001142.619865198</v>
      </c>
      <c r="E18" s="71">
        <f t="shared" si="0"/>
        <v>13931136.906765871</v>
      </c>
      <c r="F18" s="72">
        <f t="shared" si="1"/>
        <v>9751795.8347361088</v>
      </c>
      <c r="G18" s="65"/>
      <c r="I18" s="66" t="s">
        <v>39</v>
      </c>
      <c r="J18" s="67">
        <v>752.78888888645201</v>
      </c>
      <c r="K18" s="67">
        <v>16381031.865349868</v>
      </c>
      <c r="L18" s="67">
        <v>582974.81369824603</v>
      </c>
      <c r="M18" s="67">
        <v>495381.18447997549</v>
      </c>
      <c r="N18" s="67">
        <v>765133.79335858242</v>
      </c>
      <c r="O18" s="67">
        <v>14537542.073813077</v>
      </c>
      <c r="P18"/>
    </row>
    <row r="19" spans="1:16" x14ac:dyDescent="0.25">
      <c r="A19" t="s">
        <v>40</v>
      </c>
      <c r="B19" s="68" t="s">
        <v>42</v>
      </c>
      <c r="C19" s="69">
        <f>SUMIF(FY17Calc0!$D$3:$D$78,$A19,FY17Calc0!$I$3:$I$78)</f>
        <v>91.061393411020788</v>
      </c>
      <c r="D19" s="70">
        <f>SUMIF(FY17Calc0!$D$3:$D$78,$A19,FY17Calc0!$T$3:$T$78)</f>
        <v>1949508.5956394724</v>
      </c>
      <c r="E19" s="71">
        <f t="shared" si="0"/>
        <v>1939761.052661275</v>
      </c>
      <c r="F19" s="72">
        <f t="shared" si="1"/>
        <v>1357832.7368628925</v>
      </c>
      <c r="G19" s="65"/>
      <c r="I19" s="66" t="s">
        <v>42</v>
      </c>
      <c r="J19" s="67">
        <v>82.01111111102999</v>
      </c>
      <c r="K19" s="67">
        <v>1983955.4895733581</v>
      </c>
      <c r="L19" s="67">
        <v>46357.815899133202</v>
      </c>
      <c r="M19" s="67">
        <v>126199.62504154917</v>
      </c>
      <c r="N19" s="67">
        <v>90569.902431633818</v>
      </c>
      <c r="O19" s="67">
        <v>1720828.146201042</v>
      </c>
      <c r="P19"/>
    </row>
    <row r="20" spans="1:16" x14ac:dyDescent="0.25">
      <c r="A20" t="s">
        <v>157</v>
      </c>
      <c r="B20" s="68" t="s">
        <v>43</v>
      </c>
      <c r="C20" s="69">
        <f>SUMIF(FY17Calc0!$D$3:$D$78,$A20,FY17Calc0!$I$3:$I$78)</f>
        <v>92.476395366767392</v>
      </c>
      <c r="D20" s="70">
        <f>SUMIF(FY17Calc0!$D$3:$D$78,$A20,FY17Calc0!$T$3:$T$78)</f>
        <v>2052527.3457300765</v>
      </c>
      <c r="E20" s="71">
        <f t="shared" si="0"/>
        <v>2042264.7090014261</v>
      </c>
      <c r="F20" s="72">
        <f t="shared" si="1"/>
        <v>1429585.2963009982</v>
      </c>
      <c r="G20" s="65"/>
      <c r="I20" s="66" t="s">
        <v>43</v>
      </c>
      <c r="J20" s="67">
        <v>74.43333333340999</v>
      </c>
      <c r="K20" s="67">
        <v>1984998.6359607507</v>
      </c>
      <c r="L20" s="67">
        <v>69854.859391739548</v>
      </c>
      <c r="M20" s="67">
        <v>244154.12576258095</v>
      </c>
      <c r="N20" s="67">
        <v>83549.482540321565</v>
      </c>
      <c r="O20" s="67">
        <v>1587440.1682661104</v>
      </c>
      <c r="P20"/>
    </row>
    <row r="21" spans="1:16" x14ac:dyDescent="0.25">
      <c r="A21" t="s">
        <v>158</v>
      </c>
      <c r="B21" s="68" t="s">
        <v>45</v>
      </c>
      <c r="C21" s="69">
        <f>SUMIF(FY17Calc0!$D$3:$D$78,$A21,FY17Calc0!$I$3:$I$78)</f>
        <v>640.86618517690022</v>
      </c>
      <c r="D21" s="70">
        <f>SUMIF(FY17Calc0!$D$3:$D$78,$A21,FY17Calc0!$T$3:$T$78)</f>
        <v>10218231.519606322</v>
      </c>
      <c r="E21" s="71">
        <f t="shared" si="0"/>
        <v>10167140.36200829</v>
      </c>
      <c r="F21" s="72">
        <f t="shared" si="1"/>
        <v>7116998.2534058029</v>
      </c>
      <c r="G21" s="65"/>
      <c r="I21" s="66" t="s">
        <v>45</v>
      </c>
      <c r="J21" s="67">
        <v>599.68888888794902</v>
      </c>
      <c r="K21" s="67">
        <v>12476884.114314407</v>
      </c>
      <c r="L21" s="67">
        <v>422351.93686797755</v>
      </c>
      <c r="M21" s="67">
        <v>1868302.0170150318</v>
      </c>
      <c r="N21" s="67">
        <v>509311.50802156987</v>
      </c>
      <c r="O21" s="67">
        <v>9676918.6524098329</v>
      </c>
      <c r="P21"/>
    </row>
    <row r="22" spans="1:16" x14ac:dyDescent="0.25">
      <c r="A22" t="s">
        <v>159</v>
      </c>
      <c r="B22" s="68" t="s">
        <v>46</v>
      </c>
      <c r="C22" s="69">
        <f>SUMIF(FY17Calc0!$D$3:$D$78,$A22,FY17Calc0!$I$3:$I$78)</f>
        <v>1450.1133274830011</v>
      </c>
      <c r="D22" s="70">
        <f>SUMIF(FY17Calc0!$D$3:$D$78,$A22,FY17Calc0!$T$3:$T$78)</f>
        <v>22561171.518341571</v>
      </c>
      <c r="E22" s="71">
        <f t="shared" si="0"/>
        <v>22448365.660749864</v>
      </c>
      <c r="F22" s="72">
        <f t="shared" si="1"/>
        <v>15713855.962524904</v>
      </c>
      <c r="G22" s="65"/>
      <c r="I22" s="66" t="s">
        <v>46</v>
      </c>
      <c r="J22" s="67">
        <v>1419.133333327557</v>
      </c>
      <c r="K22" s="67">
        <v>31301631.925528362</v>
      </c>
      <c r="L22" s="67">
        <v>903627.89776409045</v>
      </c>
      <c r="M22" s="67">
        <v>8262570.7239263766</v>
      </c>
      <c r="N22" s="67">
        <v>1106771.665191893</v>
      </c>
      <c r="O22" s="67">
        <v>21028661.63864594</v>
      </c>
      <c r="P22"/>
    </row>
    <row r="23" spans="1:16" x14ac:dyDescent="0.25">
      <c r="A23" t="s">
        <v>160</v>
      </c>
      <c r="B23" s="68" t="s">
        <v>48</v>
      </c>
      <c r="C23" s="69">
        <f>SUMIF(FY17Calc0!$D$3:$D$78,$A23,FY17Calc0!$I$3:$I$78)</f>
        <v>499.34773891319304</v>
      </c>
      <c r="D23" s="70">
        <f>SUMIF(FY17Calc0!$D$3:$D$78,$A23,FY17Calc0!$T$3:$T$78)</f>
        <v>9165812.8939702772</v>
      </c>
      <c r="E23" s="71">
        <f t="shared" si="0"/>
        <v>9119983.8295004256</v>
      </c>
      <c r="F23" s="72">
        <f t="shared" si="1"/>
        <v>6383988.6806502976</v>
      </c>
      <c r="G23" s="65"/>
      <c r="I23" s="66" t="s">
        <v>48</v>
      </c>
      <c r="J23" s="67">
        <v>542.08888887906096</v>
      </c>
      <c r="K23" s="67">
        <v>10182820.839022091</v>
      </c>
      <c r="L23" s="67">
        <v>380031.87301806634</v>
      </c>
      <c r="M23" s="67">
        <v>312813.98580216005</v>
      </c>
      <c r="N23" s="67">
        <v>474498.74901009322</v>
      </c>
      <c r="O23" s="67">
        <v>9015476.2311917655</v>
      </c>
      <c r="P23"/>
    </row>
    <row r="24" spans="1:16" x14ac:dyDescent="0.25">
      <c r="A24" t="s">
        <v>161</v>
      </c>
      <c r="B24" s="68" t="s">
        <v>49</v>
      </c>
      <c r="C24" s="69">
        <f>SUMIF(FY17Calc0!$D$3:$D$78,$A24,FY17Calc0!$I$3:$I$78)</f>
        <v>82.600381198737452</v>
      </c>
      <c r="D24" s="70">
        <f>SUMIF(FY17Calc0!$D$3:$D$78,$A24,FY17Calc0!$T$3:$T$78)</f>
        <v>1316004.1433630357</v>
      </c>
      <c r="E24" s="71">
        <f t="shared" si="0"/>
        <v>1309424.1226462205</v>
      </c>
      <c r="F24" s="72">
        <f t="shared" si="1"/>
        <v>916596.88585235435</v>
      </c>
      <c r="H24" s="75" t="s">
        <v>162</v>
      </c>
      <c r="I24" s="66" t="s">
        <v>49</v>
      </c>
      <c r="J24" s="67">
        <v>83.499999998730004</v>
      </c>
      <c r="K24" s="67">
        <v>1515277.9162424756</v>
      </c>
      <c r="L24" s="67">
        <v>42032.326940502462</v>
      </c>
      <c r="M24" s="67">
        <v>110993.10093606959</v>
      </c>
      <c r="N24" s="67">
        <v>68112.624418295178</v>
      </c>
      <c r="O24" s="67">
        <v>1294139.8639476087</v>
      </c>
      <c r="P24"/>
    </row>
    <row r="25" spans="1:16" x14ac:dyDescent="0.25">
      <c r="B25" s="76" t="s">
        <v>163</v>
      </c>
      <c r="C25" s="77">
        <f>SUM(C4:C24)</f>
        <v>38585.020626553705</v>
      </c>
      <c r="D25" s="78">
        <f>SUM(D4:D24)</f>
        <v>549571212.93150413</v>
      </c>
      <c r="E25" s="78">
        <f>SUM(E4:E24)</f>
        <v>546823356.8668468</v>
      </c>
      <c r="F25" s="79">
        <f>SUM(F4:F24)</f>
        <v>382776349.80679274</v>
      </c>
      <c r="H25" s="80">
        <f>+E25-F25</f>
        <v>164047007.06005406</v>
      </c>
      <c r="I25" s="66" t="s">
        <v>164</v>
      </c>
      <c r="J25" s="67">
        <v>4700.2414598625101</v>
      </c>
      <c r="K25" s="67">
        <v>60807351.777703106</v>
      </c>
      <c r="L25" s="67">
        <v>2060763.6396653464</v>
      </c>
      <c r="M25" s="67">
        <v>406134.585383659</v>
      </c>
      <c r="N25" s="67">
        <v>2917022.6776327137</v>
      </c>
      <c r="O25" s="67">
        <v>55423430.875021651</v>
      </c>
      <c r="P25"/>
    </row>
    <row r="26" spans="1:16" x14ac:dyDescent="0.25">
      <c r="A26" s="102" t="s">
        <v>3</v>
      </c>
      <c r="B26" s="82" t="s">
        <v>165</v>
      </c>
      <c r="C26" s="83">
        <f>SUMIF(FY17Calc0!$A$79:$A$114,$A26,FY17Calc0!$I$79:$I$114)</f>
        <v>4763.4243504533833</v>
      </c>
      <c r="D26" s="62">
        <f>SUMIF(FY17Calc0!$A$79:$A$114,$A26,FY17Calc0!$T$79:$T$114)</f>
        <v>56133466.205682233</v>
      </c>
      <c r="E26" s="84">
        <f>+(1-$E$3)*D26</f>
        <v>55852798.874653824</v>
      </c>
      <c r="F26" s="85"/>
      <c r="G26" s="6"/>
      <c r="I26" s="66" t="s">
        <v>166</v>
      </c>
      <c r="J26" s="67">
        <v>4114.5833952965304</v>
      </c>
      <c r="K26" s="67">
        <v>51987929.44327683</v>
      </c>
      <c r="L26" s="67">
        <v>1847586.6393447032</v>
      </c>
      <c r="M26" s="67">
        <v>971015.86027909303</v>
      </c>
      <c r="N26" s="67">
        <v>2458466.3471826501</v>
      </c>
      <c r="O26" s="67">
        <v>46710860.596470483</v>
      </c>
      <c r="P26"/>
    </row>
    <row r="27" spans="1:16" x14ac:dyDescent="0.25">
      <c r="A27" s="102" t="s">
        <v>5</v>
      </c>
      <c r="B27" s="86" t="s">
        <v>167</v>
      </c>
      <c r="C27" s="87">
        <f>SUMIF(FY17Calc0!$A$79:$A$114,$A27,FY17Calc0!$I$79:$I$114)</f>
        <v>4270.5298660643575</v>
      </c>
      <c r="D27" s="88">
        <f>SUMIF(FY17Calc0!$A$79:$A$114,$A27,FY17Calc0!$T$79:$T$114)</f>
        <v>48348461.01375407</v>
      </c>
      <c r="E27" s="89">
        <f>+(1-$E$3)*D27</f>
        <v>48106718.708685301</v>
      </c>
      <c r="F27" s="90"/>
      <c r="G27" s="6"/>
      <c r="P27"/>
    </row>
    <row r="28" spans="1:16" x14ac:dyDescent="0.25">
      <c r="B28" s="91" t="s">
        <v>168</v>
      </c>
      <c r="C28" s="92">
        <f>SUM(C25:C27)</f>
        <v>47618.974843071446</v>
      </c>
      <c r="D28" s="93">
        <f>SUM(D25:D27)</f>
        <v>654053140.15094042</v>
      </c>
      <c r="E28" s="93">
        <f>SUM(E25:E27)</f>
        <v>650782874.45018589</v>
      </c>
      <c r="F28" s="94"/>
      <c r="G28" s="6"/>
      <c r="P28"/>
    </row>
    <row r="29" spans="1:16" x14ac:dyDescent="0.25">
      <c r="B29" s="95"/>
      <c r="C29" s="96"/>
      <c r="D29" s="97"/>
      <c r="E29" s="97"/>
      <c r="G29" s="81"/>
      <c r="P29"/>
    </row>
    <row r="30" spans="1:16" x14ac:dyDescent="0.25">
      <c r="B30" s="95"/>
      <c r="C30" s="98"/>
      <c r="D30" s="99"/>
      <c r="E30" s="97">
        <f>0.0075*E25</f>
        <v>4101175.1765013509</v>
      </c>
      <c r="F30" s="97" t="s">
        <v>141</v>
      </c>
      <c r="G30" s="81"/>
      <c r="I30" s="59" t="s">
        <v>148</v>
      </c>
      <c r="J30" s="59" t="s">
        <v>149</v>
      </c>
      <c r="K30" s="59" t="s">
        <v>150</v>
      </c>
      <c r="L30" s="59" t="s">
        <v>151</v>
      </c>
      <c r="M30" s="59" t="s">
        <v>152</v>
      </c>
      <c r="N30" s="59" t="s">
        <v>153</v>
      </c>
      <c r="O30" s="59" t="s">
        <v>154</v>
      </c>
      <c r="P30"/>
    </row>
    <row r="31" spans="1:16" x14ac:dyDescent="0.25">
      <c r="B31" s="95"/>
      <c r="C31" s="100"/>
      <c r="D31" s="99"/>
      <c r="E31" s="97"/>
      <c r="F31" s="73"/>
      <c r="I31" s="66" t="s">
        <v>2</v>
      </c>
      <c r="J31" s="101">
        <v>18836.757356330319</v>
      </c>
      <c r="K31" s="101">
        <v>197333634.40070677</v>
      </c>
      <c r="L31" s="101">
        <v>7893345.3760282714</v>
      </c>
      <c r="M31" s="101">
        <v>936621.82474750816</v>
      </c>
      <c r="N31" s="101">
        <v>9425183.3599965498</v>
      </c>
      <c r="O31" s="101">
        <v>179078483.83993444</v>
      </c>
      <c r="P31"/>
    </row>
    <row r="32" spans="1:16" x14ac:dyDescent="0.25">
      <c r="I32"/>
      <c r="J32"/>
      <c r="K32"/>
      <c r="L32"/>
      <c r="M32"/>
      <c r="N32"/>
      <c r="P32"/>
    </row>
    <row r="33" spans="9:16" x14ac:dyDescent="0.25">
      <c r="I33"/>
      <c r="J33"/>
      <c r="K33"/>
      <c r="L33"/>
      <c r="M33"/>
      <c r="N33"/>
      <c r="P33"/>
    </row>
    <row r="34" spans="9:16" x14ac:dyDescent="0.25">
      <c r="I34"/>
      <c r="J34"/>
      <c r="K34"/>
      <c r="L34"/>
      <c r="M34"/>
      <c r="N34"/>
      <c r="P34"/>
    </row>
    <row r="35" spans="9:16" x14ac:dyDescent="0.25">
      <c r="I35"/>
      <c r="J35"/>
      <c r="K35"/>
      <c r="L35"/>
      <c r="M35"/>
      <c r="N35"/>
      <c r="P35"/>
    </row>
    <row r="36" spans="9:16" x14ac:dyDescent="0.25">
      <c r="I36"/>
      <c r="J36"/>
      <c r="K36"/>
      <c r="L36"/>
      <c r="M36"/>
      <c r="N36"/>
      <c r="P36"/>
    </row>
    <row r="37" spans="9:16" x14ac:dyDescent="0.25">
      <c r="I37"/>
      <c r="J37"/>
      <c r="K37"/>
      <c r="L37"/>
      <c r="M37"/>
      <c r="N37"/>
      <c r="P37"/>
    </row>
    <row r="38" spans="9:16" x14ac:dyDescent="0.25">
      <c r="I38"/>
      <c r="J38"/>
      <c r="K38"/>
      <c r="L38"/>
      <c r="M38"/>
      <c r="N38"/>
      <c r="P38"/>
    </row>
    <row r="39" spans="9:16" x14ac:dyDescent="0.25">
      <c r="I39"/>
      <c r="J39"/>
      <c r="K39"/>
      <c r="L39"/>
      <c r="M39"/>
      <c r="N39"/>
      <c r="P39"/>
    </row>
    <row r="40" spans="9:16" x14ac:dyDescent="0.25">
      <c r="I40"/>
      <c r="J40"/>
      <c r="K40"/>
      <c r="L40"/>
      <c r="M40"/>
      <c r="N40"/>
      <c r="P40"/>
    </row>
    <row r="41" spans="9:16" x14ac:dyDescent="0.25">
      <c r="P41"/>
    </row>
    <row r="42" spans="9:16" x14ac:dyDescent="0.25">
      <c r="P42"/>
    </row>
    <row r="43" spans="9:16" x14ac:dyDescent="0.25">
      <c r="P43"/>
    </row>
    <row r="44" spans="9:16" x14ac:dyDescent="0.25">
      <c r="P44"/>
    </row>
    <row r="45" spans="9:16" x14ac:dyDescent="0.25">
      <c r="P45"/>
    </row>
    <row r="46" spans="9:16" x14ac:dyDescent="0.25">
      <c r="P46"/>
    </row>
    <row r="47" spans="9:16" x14ac:dyDescent="0.25">
      <c r="P47"/>
    </row>
    <row r="48" spans="9:16" x14ac:dyDescent="0.25">
      <c r="P48"/>
    </row>
    <row r="49" spans="9:16" x14ac:dyDescent="0.25">
      <c r="I49"/>
      <c r="J49"/>
      <c r="K49"/>
      <c r="L49"/>
      <c r="M49"/>
      <c r="N49"/>
      <c r="P49"/>
    </row>
    <row r="50" spans="9:16" x14ac:dyDescent="0.25">
      <c r="I50"/>
      <c r="J50"/>
      <c r="K50"/>
      <c r="L50"/>
      <c r="M50"/>
      <c r="N50"/>
      <c r="P50"/>
    </row>
    <row r="51" spans="9:16" x14ac:dyDescent="0.25">
      <c r="I51"/>
      <c r="J51"/>
      <c r="K51"/>
      <c r="L51"/>
      <c r="M51"/>
      <c r="N51"/>
      <c r="P51"/>
    </row>
    <row r="52" spans="9:16" x14ac:dyDescent="0.25">
      <c r="I52"/>
      <c r="J52"/>
      <c r="K52"/>
      <c r="L52"/>
      <c r="M52"/>
      <c r="N52"/>
      <c r="P52"/>
    </row>
    <row r="53" spans="9:16" x14ac:dyDescent="0.25">
      <c r="I53"/>
      <c r="J53"/>
      <c r="K53"/>
      <c r="L53"/>
      <c r="M53"/>
      <c r="N53"/>
      <c r="P53"/>
    </row>
    <row r="54" spans="9:16" x14ac:dyDescent="0.25">
      <c r="I54"/>
      <c r="J54"/>
      <c r="K54"/>
      <c r="L54"/>
      <c r="M54"/>
      <c r="N54"/>
      <c r="P54"/>
    </row>
    <row r="55" spans="9:16" x14ac:dyDescent="0.25">
      <c r="I55"/>
      <c r="J55"/>
      <c r="K55"/>
      <c r="L55"/>
      <c r="M55"/>
      <c r="N55"/>
      <c r="P55"/>
    </row>
    <row r="56" spans="9:16" x14ac:dyDescent="0.25">
      <c r="I56"/>
      <c r="J56"/>
      <c r="K56"/>
      <c r="L56"/>
      <c r="M56"/>
      <c r="N56"/>
      <c r="P56"/>
    </row>
    <row r="57" spans="9:16" x14ac:dyDescent="0.25">
      <c r="I57"/>
      <c r="J57"/>
      <c r="K57"/>
      <c r="L57"/>
      <c r="M57"/>
      <c r="N57"/>
      <c r="P57"/>
    </row>
    <row r="58" spans="9:16" x14ac:dyDescent="0.25">
      <c r="I58"/>
      <c r="J58"/>
      <c r="K58"/>
      <c r="L58"/>
      <c r="M58"/>
      <c r="N58"/>
      <c r="P58"/>
    </row>
    <row r="59" spans="9:16" x14ac:dyDescent="0.25">
      <c r="I59"/>
      <c r="J59"/>
      <c r="K59"/>
      <c r="L59"/>
      <c r="M59"/>
      <c r="N59"/>
      <c r="P59"/>
    </row>
    <row r="60" spans="9:16" x14ac:dyDescent="0.25">
      <c r="I60"/>
      <c r="J60"/>
      <c r="K60"/>
      <c r="L60"/>
      <c r="M60"/>
      <c r="N60"/>
      <c r="P60"/>
    </row>
    <row r="61" spans="9:16" x14ac:dyDescent="0.25">
      <c r="I61"/>
      <c r="J61"/>
      <c r="K61"/>
      <c r="L61"/>
      <c r="M61"/>
      <c r="N61"/>
      <c r="P61"/>
    </row>
    <row r="62" spans="9:16" x14ac:dyDescent="0.25">
      <c r="I62"/>
      <c r="J62"/>
      <c r="K62"/>
      <c r="L62"/>
      <c r="M62"/>
      <c r="N62"/>
      <c r="P62"/>
    </row>
    <row r="63" spans="9:16" x14ac:dyDescent="0.25">
      <c r="I63"/>
      <c r="J63"/>
      <c r="K63"/>
      <c r="L63"/>
      <c r="M63"/>
      <c r="N63"/>
      <c r="P63"/>
    </row>
    <row r="64" spans="9:16" x14ac:dyDescent="0.25">
      <c r="I64"/>
      <c r="J64"/>
      <c r="K64"/>
      <c r="L64"/>
      <c r="M64"/>
      <c r="N64"/>
      <c r="P64"/>
    </row>
    <row r="65" spans="3:16" x14ac:dyDescent="0.25">
      <c r="I65"/>
      <c r="J65"/>
      <c r="K65"/>
      <c r="L65"/>
      <c r="M65"/>
      <c r="N65"/>
      <c r="P65"/>
    </row>
    <row r="66" spans="3:16" x14ac:dyDescent="0.25">
      <c r="I66"/>
      <c r="J66"/>
      <c r="K66"/>
      <c r="L66"/>
      <c r="M66"/>
      <c r="N66"/>
      <c r="P66"/>
    </row>
    <row r="67" spans="3:16" x14ac:dyDescent="0.25">
      <c r="I67"/>
      <c r="J67"/>
      <c r="K67"/>
      <c r="L67"/>
      <c r="M67"/>
      <c r="N67"/>
      <c r="P67"/>
    </row>
    <row r="68" spans="3:16" x14ac:dyDescent="0.25">
      <c r="C68" s="47"/>
      <c r="D68" s="47"/>
      <c r="E68" s="47"/>
      <c r="F68" s="47"/>
      <c r="G68" s="47"/>
      <c r="I68"/>
      <c r="J68"/>
      <c r="K68"/>
      <c r="L68"/>
      <c r="M68"/>
      <c r="N68"/>
      <c r="P68"/>
    </row>
    <row r="69" spans="3:16" x14ac:dyDescent="0.25">
      <c r="G69" s="81"/>
      <c r="I69"/>
      <c r="J69"/>
      <c r="K69"/>
      <c r="L69"/>
      <c r="M69"/>
      <c r="N69"/>
      <c r="P69"/>
    </row>
  </sheetData>
  <mergeCells count="1">
    <mergeCell ref="B1:F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B40" workbookViewId="0">
      <selection activeCell="B49" sqref="A49:XFD103"/>
    </sheetView>
  </sheetViews>
  <sheetFormatPr defaultColWidth="8.85546875" defaultRowHeight="15.75" x14ac:dyDescent="0.25"/>
  <cols>
    <col min="1" max="1" width="8.42578125" style="228" hidden="1" customWidth="1"/>
    <col min="2" max="2" width="52.140625" style="228" customWidth="1"/>
    <col min="3" max="19" width="25" style="228" customWidth="1"/>
    <col min="20" max="20" width="18.140625" style="228" customWidth="1"/>
    <col min="21" max="21" width="13.7109375" style="228" customWidth="1"/>
    <col min="22" max="16384" width="8.85546875" style="228"/>
  </cols>
  <sheetData>
    <row r="1" spans="1:38" ht="74.25" customHeight="1" x14ac:dyDescent="0.25">
      <c r="A1" s="492" t="s">
        <v>307</v>
      </c>
      <c r="B1" s="493"/>
      <c r="C1" s="225" t="s">
        <v>184</v>
      </c>
      <c r="D1" s="225" t="s">
        <v>186</v>
      </c>
      <c r="E1" s="225" t="s">
        <v>190</v>
      </c>
      <c r="F1" s="225" t="s">
        <v>192</v>
      </c>
      <c r="G1" s="225" t="s">
        <v>194</v>
      </c>
      <c r="H1" s="225" t="s">
        <v>196</v>
      </c>
      <c r="I1" s="225" t="s">
        <v>198</v>
      </c>
      <c r="J1" s="225" t="s">
        <v>200</v>
      </c>
      <c r="K1" s="225" t="s">
        <v>280</v>
      </c>
      <c r="L1" s="225" t="s">
        <v>204</v>
      </c>
      <c r="M1" s="225" t="s">
        <v>206</v>
      </c>
      <c r="N1" s="225" t="s">
        <v>208</v>
      </c>
      <c r="O1" s="225" t="s">
        <v>210</v>
      </c>
      <c r="P1" s="225" t="s">
        <v>212</v>
      </c>
      <c r="Q1" s="225" t="s">
        <v>214</v>
      </c>
      <c r="R1" s="225" t="s">
        <v>281</v>
      </c>
      <c r="S1" s="225" t="s">
        <v>282</v>
      </c>
      <c r="T1" s="226" t="s">
        <v>141</v>
      </c>
      <c r="U1" s="227"/>
      <c r="V1"/>
      <c r="W1"/>
      <c r="X1"/>
      <c r="Y1"/>
      <c r="Z1"/>
      <c r="AA1"/>
      <c r="AB1"/>
      <c r="AC1"/>
      <c r="AD1"/>
      <c r="AE1"/>
      <c r="AF1"/>
      <c r="AG1"/>
      <c r="AH1"/>
      <c r="AI1"/>
      <c r="AJ1"/>
      <c r="AK1"/>
      <c r="AL1"/>
    </row>
    <row r="2" spans="1:38" ht="29.25" customHeight="1" x14ac:dyDescent="0.25">
      <c r="A2" s="229"/>
      <c r="B2" s="230"/>
      <c r="C2" s="225">
        <v>252</v>
      </c>
      <c r="D2" s="225">
        <v>254</v>
      </c>
      <c r="E2" s="225">
        <v>256</v>
      </c>
      <c r="F2" s="225">
        <v>258</v>
      </c>
      <c r="G2" s="225">
        <v>260</v>
      </c>
      <c r="H2" s="225">
        <v>263</v>
      </c>
      <c r="I2" s="225">
        <v>267</v>
      </c>
      <c r="J2" s="225">
        <v>268</v>
      </c>
      <c r="K2" s="225">
        <v>270</v>
      </c>
      <c r="L2" s="225">
        <v>272</v>
      </c>
      <c r="M2" s="225">
        <v>302</v>
      </c>
      <c r="N2" s="225">
        <v>304</v>
      </c>
      <c r="O2" s="225">
        <v>306</v>
      </c>
      <c r="P2" s="225">
        <v>308</v>
      </c>
      <c r="Q2" s="225">
        <v>310</v>
      </c>
      <c r="R2" s="225">
        <v>282</v>
      </c>
      <c r="S2" s="225">
        <v>266</v>
      </c>
      <c r="T2" s="226"/>
      <c r="U2" s="227"/>
      <c r="V2"/>
      <c r="W2"/>
      <c r="X2"/>
      <c r="Y2"/>
      <c r="Z2"/>
      <c r="AA2"/>
      <c r="AB2"/>
      <c r="AC2"/>
      <c r="AD2"/>
      <c r="AE2"/>
      <c r="AF2"/>
      <c r="AG2"/>
      <c r="AH2"/>
      <c r="AI2"/>
      <c r="AJ2"/>
      <c r="AK2"/>
      <c r="AL2"/>
    </row>
    <row r="3" spans="1:38" s="234" customFormat="1" ht="18" customHeight="1" x14ac:dyDescent="0.25">
      <c r="A3" s="231" t="s">
        <v>1</v>
      </c>
      <c r="B3" s="232" t="s">
        <v>283</v>
      </c>
      <c r="C3" s="233">
        <f>+C26/$T26</f>
        <v>1.6507788886305511E-2</v>
      </c>
      <c r="D3" s="233">
        <f t="shared" ref="D3:T3" si="0">+D26/$T26</f>
        <v>0.62636596140432454</v>
      </c>
      <c r="E3" s="233">
        <f t="shared" si="0"/>
        <v>0.10846314810509183</v>
      </c>
      <c r="F3" s="233">
        <f t="shared" si="0"/>
        <v>1.7670309230411532E-2</v>
      </c>
      <c r="G3" s="233">
        <f t="shared" si="0"/>
        <v>0.11264822134387352</v>
      </c>
      <c r="H3" s="233">
        <f t="shared" si="0"/>
        <v>3.3015577772611021E-2</v>
      </c>
      <c r="I3" s="233">
        <f t="shared" si="0"/>
        <v>1.4531504301325273E-2</v>
      </c>
      <c r="J3" s="233">
        <f t="shared" si="0"/>
        <v>0</v>
      </c>
      <c r="K3" s="233">
        <f t="shared" si="0"/>
        <v>0</v>
      </c>
      <c r="L3" s="233">
        <f t="shared" si="0"/>
        <v>4.6500813764240876E-3</v>
      </c>
      <c r="M3" s="233">
        <f t="shared" si="0"/>
        <v>0</v>
      </c>
      <c r="N3" s="233">
        <f t="shared" si="0"/>
        <v>2.8830504533829342E-2</v>
      </c>
      <c r="O3" s="233">
        <f t="shared" si="0"/>
        <v>1.6042780748663103E-2</v>
      </c>
      <c r="P3" s="233">
        <f t="shared" si="0"/>
        <v>0</v>
      </c>
      <c r="Q3" s="233">
        <f t="shared" si="0"/>
        <v>1.9879097884212972E-2</v>
      </c>
      <c r="R3" s="233">
        <f t="shared" si="0"/>
        <v>1.3950244129272262E-3</v>
      </c>
      <c r="S3" s="233">
        <f t="shared" si="0"/>
        <v>0</v>
      </c>
      <c r="T3" s="233">
        <f t="shared" si="0"/>
        <v>1</v>
      </c>
      <c r="V3"/>
      <c r="W3"/>
      <c r="X3"/>
      <c r="Y3"/>
      <c r="Z3"/>
      <c r="AA3"/>
      <c r="AB3"/>
      <c r="AC3"/>
      <c r="AD3"/>
      <c r="AE3"/>
      <c r="AF3"/>
      <c r="AG3"/>
      <c r="AH3"/>
      <c r="AI3"/>
      <c r="AJ3"/>
      <c r="AK3"/>
      <c r="AL3"/>
    </row>
    <row r="4" spans="1:38" s="234" customFormat="1" ht="18" customHeight="1" x14ac:dyDescent="0.25">
      <c r="A4" s="235" t="s">
        <v>7</v>
      </c>
      <c r="B4" s="236" t="s">
        <v>284</v>
      </c>
      <c r="C4" s="237">
        <f t="shared" ref="C4:T17" si="1">+C27/$T27</f>
        <v>6.4811710805676602E-3</v>
      </c>
      <c r="D4" s="237">
        <f t="shared" si="1"/>
        <v>0.6568331657168397</v>
      </c>
      <c r="E4" s="237">
        <f t="shared" si="1"/>
        <v>2.447200804559168E-2</v>
      </c>
      <c r="F4" s="237">
        <f t="shared" si="1"/>
        <v>2.1231422505307847E-3</v>
      </c>
      <c r="G4" s="237">
        <f t="shared" si="1"/>
        <v>4.0339702760084917E-2</v>
      </c>
      <c r="H4" s="237">
        <f t="shared" si="1"/>
        <v>0</v>
      </c>
      <c r="I4" s="237">
        <f t="shared" si="1"/>
        <v>1.6649905017320363E-2</v>
      </c>
      <c r="J4" s="237">
        <f t="shared" si="1"/>
        <v>3.3523298692591342E-4</v>
      </c>
      <c r="K4" s="237">
        <f t="shared" si="1"/>
        <v>5.8107051067158317E-3</v>
      </c>
      <c r="L4" s="237">
        <f t="shared" si="1"/>
        <v>1.1174432897530447E-4</v>
      </c>
      <c r="M4" s="237">
        <f t="shared" si="1"/>
        <v>0</v>
      </c>
      <c r="N4" s="237">
        <f t="shared" si="1"/>
        <v>0.14292099675941444</v>
      </c>
      <c r="O4" s="237">
        <f t="shared" si="1"/>
        <v>2.2348865795060894E-4</v>
      </c>
      <c r="P4" s="237">
        <f t="shared" si="1"/>
        <v>2.3242820426863327E-2</v>
      </c>
      <c r="Q4" s="237">
        <f t="shared" si="1"/>
        <v>2.2348865795060894E-4</v>
      </c>
      <c r="R4" s="237">
        <f t="shared" si="1"/>
        <v>0</v>
      </c>
      <c r="S4" s="237">
        <f t="shared" si="1"/>
        <v>8.0232428204268597E-2</v>
      </c>
      <c r="T4" s="237">
        <f t="shared" si="1"/>
        <v>1</v>
      </c>
      <c r="V4"/>
      <c r="W4"/>
      <c r="X4"/>
      <c r="Y4"/>
      <c r="Z4"/>
      <c r="AA4"/>
      <c r="AB4"/>
      <c r="AC4"/>
      <c r="AD4"/>
      <c r="AE4"/>
      <c r="AF4"/>
      <c r="AG4"/>
      <c r="AH4"/>
      <c r="AI4"/>
      <c r="AJ4"/>
      <c r="AK4"/>
      <c r="AL4"/>
    </row>
    <row r="5" spans="1:38" s="234" customFormat="1" ht="18" customHeight="1" x14ac:dyDescent="0.25">
      <c r="A5" s="235" t="s">
        <v>10</v>
      </c>
      <c r="B5" s="236" t="s">
        <v>285</v>
      </c>
      <c r="C5" s="237">
        <f t="shared" si="1"/>
        <v>0</v>
      </c>
      <c r="D5" s="237">
        <f t="shared" si="1"/>
        <v>0</v>
      </c>
      <c r="E5" s="237">
        <f t="shared" si="1"/>
        <v>0</v>
      </c>
      <c r="F5" s="237">
        <f t="shared" si="1"/>
        <v>0</v>
      </c>
      <c r="G5" s="237">
        <f t="shared" si="1"/>
        <v>0</v>
      </c>
      <c r="H5" s="237">
        <f t="shared" si="1"/>
        <v>0</v>
      </c>
      <c r="I5" s="237">
        <f t="shared" si="1"/>
        <v>0</v>
      </c>
      <c r="J5" s="237">
        <f t="shared" si="1"/>
        <v>0</v>
      </c>
      <c r="K5" s="237">
        <f t="shared" si="1"/>
        <v>0</v>
      </c>
      <c r="L5" s="237">
        <f t="shared" si="1"/>
        <v>0.24734042553191488</v>
      </c>
      <c r="M5" s="237">
        <f t="shared" si="1"/>
        <v>0</v>
      </c>
      <c r="N5" s="237">
        <f t="shared" si="1"/>
        <v>0.75265957446808518</v>
      </c>
      <c r="O5" s="237">
        <f t="shared" si="1"/>
        <v>0</v>
      </c>
      <c r="P5" s="237">
        <f t="shared" si="1"/>
        <v>0</v>
      </c>
      <c r="Q5" s="237">
        <f t="shared" si="1"/>
        <v>0</v>
      </c>
      <c r="R5" s="237">
        <f t="shared" si="1"/>
        <v>0</v>
      </c>
      <c r="S5" s="237">
        <f t="shared" si="1"/>
        <v>0</v>
      </c>
      <c r="T5" s="237">
        <f t="shared" si="1"/>
        <v>1</v>
      </c>
      <c r="V5"/>
      <c r="W5"/>
      <c r="X5"/>
      <c r="Y5"/>
      <c r="Z5"/>
      <c r="AA5"/>
      <c r="AB5"/>
      <c r="AC5"/>
      <c r="AD5"/>
      <c r="AE5"/>
      <c r="AF5"/>
      <c r="AG5"/>
      <c r="AH5"/>
      <c r="AI5"/>
      <c r="AJ5"/>
      <c r="AK5"/>
      <c r="AL5"/>
    </row>
    <row r="6" spans="1:38" s="234" customFormat="1" ht="18" customHeight="1" x14ac:dyDescent="0.25">
      <c r="A6" s="235" t="s">
        <v>12</v>
      </c>
      <c r="B6" s="236" t="s">
        <v>286</v>
      </c>
      <c r="C6" s="237">
        <f t="shared" si="1"/>
        <v>2.9841838257236653E-4</v>
      </c>
      <c r="D6" s="237">
        <f t="shared" si="1"/>
        <v>7.7588779468815289E-3</v>
      </c>
      <c r="E6" s="237">
        <f t="shared" si="1"/>
        <v>2.0889286780065657E-3</v>
      </c>
      <c r="F6" s="237">
        <f t="shared" si="1"/>
        <v>1.7905102954341992E-3</v>
      </c>
      <c r="G6" s="237">
        <f t="shared" si="1"/>
        <v>0.89227096389137572</v>
      </c>
      <c r="H6" s="237">
        <f t="shared" si="1"/>
        <v>5.9683676514473306E-4</v>
      </c>
      <c r="I6" s="237">
        <f t="shared" si="1"/>
        <v>0</v>
      </c>
      <c r="J6" s="237">
        <f t="shared" si="1"/>
        <v>2.6857654431512988E-3</v>
      </c>
      <c r="K6" s="237">
        <f t="shared" si="1"/>
        <v>0</v>
      </c>
      <c r="L6" s="237">
        <f t="shared" si="1"/>
        <v>0</v>
      </c>
      <c r="M6" s="237">
        <f t="shared" si="1"/>
        <v>0</v>
      </c>
      <c r="N6" s="237">
        <f t="shared" si="1"/>
        <v>1.3727245598328861E-2</v>
      </c>
      <c r="O6" s="237">
        <f t="shared" si="1"/>
        <v>5.8191584601611474E-2</v>
      </c>
      <c r="P6" s="237">
        <f t="shared" si="1"/>
        <v>0</v>
      </c>
      <c r="Q6" s="237">
        <f t="shared" si="1"/>
        <v>1.1936735302894661E-2</v>
      </c>
      <c r="R6" s="237">
        <f t="shared" si="1"/>
        <v>0</v>
      </c>
      <c r="S6" s="237">
        <f t="shared" si="1"/>
        <v>8.6541330945986289E-3</v>
      </c>
      <c r="T6" s="237">
        <f t="shared" si="1"/>
        <v>1</v>
      </c>
      <c r="V6"/>
      <c r="W6"/>
      <c r="X6"/>
      <c r="Y6"/>
      <c r="Z6"/>
      <c r="AA6"/>
      <c r="AB6"/>
      <c r="AC6"/>
      <c r="AD6"/>
      <c r="AE6"/>
      <c r="AF6"/>
      <c r="AG6"/>
      <c r="AH6"/>
      <c r="AI6"/>
      <c r="AJ6"/>
      <c r="AK6"/>
      <c r="AL6"/>
    </row>
    <row r="7" spans="1:38" s="234" customFormat="1" ht="18" customHeight="1" x14ac:dyDescent="0.25">
      <c r="A7" s="235" t="s">
        <v>15</v>
      </c>
      <c r="B7" s="236" t="s">
        <v>17</v>
      </c>
      <c r="C7" s="237">
        <f t="shared" si="1"/>
        <v>0</v>
      </c>
      <c r="D7" s="237">
        <f t="shared" si="1"/>
        <v>1.7717930545712263E-2</v>
      </c>
      <c r="E7" s="237">
        <f t="shared" si="1"/>
        <v>0</v>
      </c>
      <c r="F7" s="237">
        <f t="shared" si="1"/>
        <v>0</v>
      </c>
      <c r="G7" s="237">
        <f t="shared" si="1"/>
        <v>0</v>
      </c>
      <c r="H7" s="237">
        <f t="shared" si="1"/>
        <v>0.98228206945428775</v>
      </c>
      <c r="I7" s="237">
        <f t="shared" si="1"/>
        <v>0</v>
      </c>
      <c r="J7" s="237">
        <f t="shared" si="1"/>
        <v>0</v>
      </c>
      <c r="K7" s="237">
        <f t="shared" si="1"/>
        <v>0</v>
      </c>
      <c r="L7" s="237">
        <f t="shared" si="1"/>
        <v>0</v>
      </c>
      <c r="M7" s="237">
        <f t="shared" si="1"/>
        <v>0</v>
      </c>
      <c r="N7" s="237">
        <f t="shared" si="1"/>
        <v>0</v>
      </c>
      <c r="O7" s="237">
        <f t="shared" si="1"/>
        <v>0</v>
      </c>
      <c r="P7" s="237">
        <f t="shared" si="1"/>
        <v>0</v>
      </c>
      <c r="Q7" s="237">
        <f t="shared" si="1"/>
        <v>0</v>
      </c>
      <c r="R7" s="237">
        <f t="shared" si="1"/>
        <v>0</v>
      </c>
      <c r="S7" s="237">
        <f t="shared" si="1"/>
        <v>0</v>
      </c>
      <c r="T7" s="237">
        <f t="shared" si="1"/>
        <v>1</v>
      </c>
      <c r="V7"/>
      <c r="W7"/>
      <c r="X7"/>
      <c r="Y7"/>
      <c r="Z7"/>
      <c r="AA7"/>
      <c r="AB7"/>
      <c r="AC7"/>
      <c r="AD7"/>
      <c r="AE7"/>
      <c r="AF7"/>
      <c r="AG7"/>
      <c r="AH7"/>
      <c r="AI7"/>
      <c r="AJ7"/>
      <c r="AK7"/>
      <c r="AL7"/>
    </row>
    <row r="8" spans="1:38" s="234" customFormat="1" ht="18" customHeight="1" x14ac:dyDescent="0.25">
      <c r="A8" s="235" t="s">
        <v>18</v>
      </c>
      <c r="B8" s="235" t="s">
        <v>19</v>
      </c>
      <c r="C8" s="237">
        <f t="shared" si="1"/>
        <v>0</v>
      </c>
      <c r="D8" s="237">
        <f t="shared" si="1"/>
        <v>1.7281105990783411E-3</v>
      </c>
      <c r="E8" s="237">
        <f t="shared" si="1"/>
        <v>0</v>
      </c>
      <c r="F8" s="237">
        <f t="shared" si="1"/>
        <v>0.99827188940092171</v>
      </c>
      <c r="G8" s="237">
        <f t="shared" si="1"/>
        <v>0</v>
      </c>
      <c r="H8" s="237">
        <f t="shared" si="1"/>
        <v>0</v>
      </c>
      <c r="I8" s="237">
        <f t="shared" si="1"/>
        <v>0</v>
      </c>
      <c r="J8" s="237">
        <f t="shared" si="1"/>
        <v>0</v>
      </c>
      <c r="K8" s="237">
        <f t="shared" si="1"/>
        <v>0</v>
      </c>
      <c r="L8" s="237">
        <f t="shared" si="1"/>
        <v>0</v>
      </c>
      <c r="M8" s="237">
        <f t="shared" si="1"/>
        <v>0</v>
      </c>
      <c r="N8" s="237">
        <f t="shared" si="1"/>
        <v>0</v>
      </c>
      <c r="O8" s="237">
        <f t="shared" si="1"/>
        <v>0</v>
      </c>
      <c r="P8" s="237">
        <f t="shared" si="1"/>
        <v>0</v>
      </c>
      <c r="Q8" s="237">
        <f t="shared" si="1"/>
        <v>0</v>
      </c>
      <c r="R8" s="237">
        <f t="shared" si="1"/>
        <v>0</v>
      </c>
      <c r="S8" s="237">
        <f t="shared" si="1"/>
        <v>0</v>
      </c>
      <c r="T8" s="237">
        <f t="shared" si="1"/>
        <v>1</v>
      </c>
      <c r="V8"/>
      <c r="W8"/>
      <c r="X8"/>
      <c r="Y8"/>
      <c r="Z8"/>
      <c r="AA8"/>
      <c r="AB8"/>
      <c r="AC8"/>
      <c r="AD8"/>
      <c r="AE8"/>
      <c r="AF8"/>
      <c r="AG8"/>
      <c r="AH8"/>
      <c r="AI8"/>
      <c r="AJ8"/>
      <c r="AK8"/>
      <c r="AL8"/>
    </row>
    <row r="9" spans="1:38" s="234" customFormat="1" ht="18" customHeight="1" x14ac:dyDescent="0.25">
      <c r="A9" s="235" t="s">
        <v>20</v>
      </c>
      <c r="B9" s="236" t="s">
        <v>155</v>
      </c>
      <c r="C9" s="237">
        <f t="shared" ref="C9:T9" si="2">+IF($T32&gt;0,C32/$T32,0)</f>
        <v>0</v>
      </c>
      <c r="D9" s="237">
        <f t="shared" si="2"/>
        <v>0</v>
      </c>
      <c r="E9" s="237">
        <f t="shared" si="2"/>
        <v>0</v>
      </c>
      <c r="F9" s="237">
        <f t="shared" si="2"/>
        <v>0</v>
      </c>
      <c r="G9" s="237">
        <f t="shared" si="2"/>
        <v>0</v>
      </c>
      <c r="H9" s="237">
        <f t="shared" si="2"/>
        <v>0</v>
      </c>
      <c r="I9" s="237">
        <f t="shared" si="2"/>
        <v>1</v>
      </c>
      <c r="J9" s="237">
        <f t="shared" si="2"/>
        <v>0</v>
      </c>
      <c r="K9" s="237">
        <f t="shared" si="2"/>
        <v>0</v>
      </c>
      <c r="L9" s="237">
        <f t="shared" si="2"/>
        <v>0</v>
      </c>
      <c r="M9" s="237">
        <f t="shared" si="2"/>
        <v>0</v>
      </c>
      <c r="N9" s="237">
        <f t="shared" si="2"/>
        <v>0</v>
      </c>
      <c r="O9" s="237">
        <f t="shared" si="2"/>
        <v>0</v>
      </c>
      <c r="P9" s="237">
        <f t="shared" si="2"/>
        <v>0</v>
      </c>
      <c r="Q9" s="237">
        <f t="shared" si="2"/>
        <v>0</v>
      </c>
      <c r="R9" s="237">
        <f t="shared" si="2"/>
        <v>0</v>
      </c>
      <c r="S9" s="237">
        <f t="shared" si="2"/>
        <v>0</v>
      </c>
      <c r="T9" s="237">
        <f t="shared" si="2"/>
        <v>1</v>
      </c>
      <c r="V9"/>
      <c r="W9"/>
      <c r="X9"/>
      <c r="Y9"/>
      <c r="Z9"/>
      <c r="AA9"/>
      <c r="AB9"/>
      <c r="AC9"/>
      <c r="AD9"/>
      <c r="AE9"/>
      <c r="AF9"/>
      <c r="AG9"/>
      <c r="AH9"/>
      <c r="AI9"/>
      <c r="AJ9"/>
      <c r="AK9"/>
      <c r="AL9"/>
    </row>
    <row r="10" spans="1:38" s="234" customFormat="1" ht="18" customHeight="1" x14ac:dyDescent="0.25">
      <c r="A10" s="235" t="s">
        <v>21</v>
      </c>
      <c r="B10" s="236" t="s">
        <v>22</v>
      </c>
      <c r="C10" s="237">
        <f t="shared" si="1"/>
        <v>0</v>
      </c>
      <c r="D10" s="237">
        <f t="shared" si="1"/>
        <v>0</v>
      </c>
      <c r="E10" s="237">
        <f t="shared" si="1"/>
        <v>0</v>
      </c>
      <c r="F10" s="237">
        <f t="shared" si="1"/>
        <v>3.6630036630036639E-3</v>
      </c>
      <c r="G10" s="237">
        <f t="shared" si="1"/>
        <v>0</v>
      </c>
      <c r="H10" s="237">
        <f t="shared" si="1"/>
        <v>0</v>
      </c>
      <c r="I10" s="237">
        <f t="shared" si="1"/>
        <v>0</v>
      </c>
      <c r="J10" s="237">
        <f t="shared" si="1"/>
        <v>0</v>
      </c>
      <c r="K10" s="237">
        <f t="shared" si="1"/>
        <v>0</v>
      </c>
      <c r="L10" s="237">
        <f t="shared" si="1"/>
        <v>0.95360195360195377</v>
      </c>
      <c r="M10" s="237">
        <f t="shared" si="1"/>
        <v>0</v>
      </c>
      <c r="N10" s="237">
        <f t="shared" si="1"/>
        <v>4.8840048840048849E-3</v>
      </c>
      <c r="O10" s="237">
        <f t="shared" si="1"/>
        <v>0</v>
      </c>
      <c r="P10" s="237">
        <f t="shared" si="1"/>
        <v>0</v>
      </c>
      <c r="Q10" s="237">
        <f t="shared" si="1"/>
        <v>3.0525030525030535E-2</v>
      </c>
      <c r="R10" s="237">
        <f t="shared" si="1"/>
        <v>0</v>
      </c>
      <c r="S10" s="237">
        <f t="shared" si="1"/>
        <v>7.3260073260073277E-3</v>
      </c>
      <c r="T10" s="237">
        <f t="shared" si="1"/>
        <v>1</v>
      </c>
      <c r="V10"/>
      <c r="W10"/>
      <c r="X10"/>
      <c r="Y10"/>
      <c r="Z10"/>
      <c r="AA10"/>
      <c r="AB10"/>
      <c r="AC10"/>
      <c r="AD10"/>
      <c r="AE10"/>
      <c r="AF10"/>
      <c r="AG10"/>
      <c r="AH10"/>
      <c r="AI10"/>
      <c r="AJ10"/>
      <c r="AK10"/>
      <c r="AL10"/>
    </row>
    <row r="11" spans="1:38" s="234" customFormat="1" ht="18" customHeight="1" x14ac:dyDescent="0.25">
      <c r="A11" s="235" t="s">
        <v>23</v>
      </c>
      <c r="B11" s="236" t="s">
        <v>25</v>
      </c>
      <c r="C11" s="237">
        <f t="shared" si="1"/>
        <v>0</v>
      </c>
      <c r="D11" s="237">
        <f t="shared" si="1"/>
        <v>0</v>
      </c>
      <c r="E11" s="237">
        <f t="shared" si="1"/>
        <v>0</v>
      </c>
      <c r="F11" s="237">
        <f t="shared" si="1"/>
        <v>0</v>
      </c>
      <c r="G11" s="237">
        <f t="shared" si="1"/>
        <v>0</v>
      </c>
      <c r="H11" s="237">
        <f t="shared" si="1"/>
        <v>0</v>
      </c>
      <c r="I11" s="237">
        <f t="shared" si="1"/>
        <v>0</v>
      </c>
      <c r="J11" s="237">
        <f t="shared" si="1"/>
        <v>0</v>
      </c>
      <c r="K11" s="237">
        <f t="shared" si="1"/>
        <v>0</v>
      </c>
      <c r="L11" s="237">
        <f t="shared" si="1"/>
        <v>0</v>
      </c>
      <c r="M11" s="237">
        <f t="shared" si="1"/>
        <v>0</v>
      </c>
      <c r="N11" s="237">
        <f t="shared" si="1"/>
        <v>9.9337748344370865E-3</v>
      </c>
      <c r="O11" s="237">
        <f t="shared" si="1"/>
        <v>0</v>
      </c>
      <c r="P11" s="237">
        <f t="shared" si="1"/>
        <v>0</v>
      </c>
      <c r="Q11" s="237">
        <f t="shared" si="1"/>
        <v>0.99006622516556286</v>
      </c>
      <c r="R11" s="237">
        <f t="shared" si="1"/>
        <v>0</v>
      </c>
      <c r="S11" s="237">
        <f t="shared" si="1"/>
        <v>0</v>
      </c>
      <c r="T11" s="237">
        <f t="shared" si="1"/>
        <v>1</v>
      </c>
      <c r="V11"/>
      <c r="W11"/>
      <c r="X11"/>
      <c r="Y11"/>
      <c r="Z11"/>
      <c r="AA11"/>
      <c r="AB11"/>
      <c r="AC11"/>
      <c r="AD11"/>
      <c r="AE11"/>
      <c r="AF11"/>
      <c r="AG11"/>
      <c r="AH11"/>
      <c r="AI11"/>
      <c r="AJ11"/>
      <c r="AK11"/>
      <c r="AL11"/>
    </row>
    <row r="12" spans="1:38" s="234" customFormat="1" ht="18" customHeight="1" x14ac:dyDescent="0.25">
      <c r="A12" s="235" t="s">
        <v>26</v>
      </c>
      <c r="B12" s="236" t="s">
        <v>27</v>
      </c>
      <c r="C12" s="237">
        <f t="shared" si="1"/>
        <v>1.718213058419244E-3</v>
      </c>
      <c r="D12" s="237">
        <f t="shared" si="1"/>
        <v>3.0927835051546386E-2</v>
      </c>
      <c r="E12" s="237">
        <f t="shared" si="1"/>
        <v>0</v>
      </c>
      <c r="F12" s="237">
        <f t="shared" si="1"/>
        <v>0</v>
      </c>
      <c r="G12" s="237">
        <f t="shared" si="1"/>
        <v>5.1546391752577319E-3</v>
      </c>
      <c r="H12" s="237">
        <f t="shared" si="1"/>
        <v>0</v>
      </c>
      <c r="I12" s="237">
        <f t="shared" si="1"/>
        <v>0</v>
      </c>
      <c r="J12" s="237">
        <f t="shared" si="1"/>
        <v>0</v>
      </c>
      <c r="K12" s="237">
        <f t="shared" si="1"/>
        <v>0</v>
      </c>
      <c r="L12" s="237">
        <f t="shared" si="1"/>
        <v>1.5463917525773196E-2</v>
      </c>
      <c r="M12" s="237">
        <f t="shared" si="1"/>
        <v>1.718213058419244E-3</v>
      </c>
      <c r="N12" s="237">
        <f t="shared" si="1"/>
        <v>0.24054982817869414</v>
      </c>
      <c r="O12" s="237">
        <f t="shared" si="1"/>
        <v>1.718213058419244E-3</v>
      </c>
      <c r="P12" s="237">
        <f t="shared" si="1"/>
        <v>0</v>
      </c>
      <c r="Q12" s="237">
        <f t="shared" si="1"/>
        <v>0.70274914089347085</v>
      </c>
      <c r="R12" s="237">
        <f t="shared" si="1"/>
        <v>0</v>
      </c>
      <c r="S12" s="237">
        <f t="shared" si="1"/>
        <v>0</v>
      </c>
      <c r="T12" s="237">
        <f t="shared" si="1"/>
        <v>1</v>
      </c>
      <c r="V12"/>
      <c r="W12"/>
      <c r="X12"/>
      <c r="Y12"/>
      <c r="Z12"/>
      <c r="AA12"/>
      <c r="AB12"/>
      <c r="AC12"/>
      <c r="AD12"/>
      <c r="AE12"/>
      <c r="AF12"/>
      <c r="AG12"/>
      <c r="AH12"/>
      <c r="AI12"/>
      <c r="AJ12"/>
      <c r="AK12"/>
      <c r="AL12"/>
    </row>
    <row r="13" spans="1:38" s="234" customFormat="1" ht="18" customHeight="1" x14ac:dyDescent="0.25">
      <c r="A13" s="238" t="s">
        <v>28</v>
      </c>
      <c r="B13" s="235" t="s">
        <v>287</v>
      </c>
      <c r="C13" s="237">
        <f t="shared" si="1"/>
        <v>0.99719363891487367</v>
      </c>
      <c r="D13" s="237">
        <f t="shared" si="1"/>
        <v>0</v>
      </c>
      <c r="E13" s="237">
        <f t="shared" si="1"/>
        <v>0</v>
      </c>
      <c r="F13" s="237">
        <f t="shared" si="1"/>
        <v>0</v>
      </c>
      <c r="G13" s="237">
        <f t="shared" si="1"/>
        <v>2.8063610851262865E-3</v>
      </c>
      <c r="H13" s="237">
        <f t="shared" si="1"/>
        <v>0</v>
      </c>
      <c r="I13" s="237">
        <f t="shared" si="1"/>
        <v>0</v>
      </c>
      <c r="J13" s="237">
        <f t="shared" si="1"/>
        <v>0</v>
      </c>
      <c r="K13" s="237">
        <f t="shared" si="1"/>
        <v>0</v>
      </c>
      <c r="L13" s="237">
        <f t="shared" si="1"/>
        <v>0</v>
      </c>
      <c r="M13" s="237">
        <f t="shared" si="1"/>
        <v>0</v>
      </c>
      <c r="N13" s="237">
        <f t="shared" si="1"/>
        <v>0</v>
      </c>
      <c r="O13" s="237">
        <f t="shared" si="1"/>
        <v>0</v>
      </c>
      <c r="P13" s="237">
        <f t="shared" si="1"/>
        <v>0</v>
      </c>
      <c r="Q13" s="237">
        <f t="shared" si="1"/>
        <v>0</v>
      </c>
      <c r="R13" s="237">
        <f t="shared" si="1"/>
        <v>0</v>
      </c>
      <c r="S13" s="237">
        <f t="shared" si="1"/>
        <v>0</v>
      </c>
      <c r="T13" s="237">
        <f t="shared" si="1"/>
        <v>1</v>
      </c>
      <c r="V13"/>
      <c r="W13"/>
      <c r="X13"/>
      <c r="Y13"/>
      <c r="Z13"/>
      <c r="AA13"/>
      <c r="AB13"/>
      <c r="AC13"/>
      <c r="AD13"/>
      <c r="AE13"/>
      <c r="AF13"/>
      <c r="AG13"/>
      <c r="AH13"/>
      <c r="AI13"/>
      <c r="AJ13"/>
      <c r="AK13"/>
      <c r="AL13"/>
    </row>
    <row r="14" spans="1:38" s="234" customFormat="1" ht="18" customHeight="1" x14ac:dyDescent="0.25">
      <c r="A14" s="235" t="s">
        <v>31</v>
      </c>
      <c r="B14" s="235" t="s">
        <v>33</v>
      </c>
      <c r="C14" s="237">
        <f t="shared" si="1"/>
        <v>0</v>
      </c>
      <c r="D14" s="237">
        <f t="shared" si="1"/>
        <v>0</v>
      </c>
      <c r="E14" s="237">
        <f t="shared" si="1"/>
        <v>0</v>
      </c>
      <c r="F14" s="237">
        <f t="shared" si="1"/>
        <v>0</v>
      </c>
      <c r="G14" s="237">
        <f t="shared" si="1"/>
        <v>0.98859315589353614</v>
      </c>
      <c r="H14" s="237">
        <f t="shared" si="1"/>
        <v>1.1406844106463879E-2</v>
      </c>
      <c r="I14" s="237">
        <f t="shared" si="1"/>
        <v>0</v>
      </c>
      <c r="J14" s="237">
        <f t="shared" si="1"/>
        <v>0</v>
      </c>
      <c r="K14" s="237">
        <f t="shared" si="1"/>
        <v>0</v>
      </c>
      <c r="L14" s="237">
        <f t="shared" si="1"/>
        <v>0</v>
      </c>
      <c r="M14" s="237">
        <f t="shared" si="1"/>
        <v>0</v>
      </c>
      <c r="N14" s="237">
        <f t="shared" si="1"/>
        <v>0</v>
      </c>
      <c r="O14" s="237">
        <f t="shared" si="1"/>
        <v>0</v>
      </c>
      <c r="P14" s="237">
        <f t="shared" si="1"/>
        <v>0</v>
      </c>
      <c r="Q14" s="237">
        <f t="shared" si="1"/>
        <v>0</v>
      </c>
      <c r="R14" s="237">
        <f t="shared" si="1"/>
        <v>0</v>
      </c>
      <c r="S14" s="237">
        <f t="shared" si="1"/>
        <v>0</v>
      </c>
      <c r="T14" s="237">
        <f t="shared" si="1"/>
        <v>1</v>
      </c>
      <c r="V14"/>
      <c r="W14"/>
      <c r="X14"/>
      <c r="Y14"/>
      <c r="Z14"/>
      <c r="AA14"/>
      <c r="AB14"/>
      <c r="AC14"/>
      <c r="AD14"/>
      <c r="AE14"/>
      <c r="AF14"/>
      <c r="AG14"/>
      <c r="AH14"/>
      <c r="AI14"/>
      <c r="AJ14"/>
      <c r="AK14"/>
      <c r="AL14"/>
    </row>
    <row r="15" spans="1:38" s="234" customFormat="1" ht="18" customHeight="1" x14ac:dyDescent="0.25">
      <c r="A15" s="235" t="s">
        <v>34</v>
      </c>
      <c r="B15" s="239" t="s">
        <v>35</v>
      </c>
      <c r="C15" s="237">
        <f t="shared" si="1"/>
        <v>1.5205724508050092E-2</v>
      </c>
      <c r="D15" s="237">
        <f t="shared" si="1"/>
        <v>3.6672629695885514E-2</v>
      </c>
      <c r="E15" s="237">
        <f t="shared" si="1"/>
        <v>0</v>
      </c>
      <c r="F15" s="237">
        <f t="shared" si="1"/>
        <v>0</v>
      </c>
      <c r="G15" s="237">
        <f t="shared" si="1"/>
        <v>0</v>
      </c>
      <c r="H15" s="237">
        <f t="shared" si="1"/>
        <v>2.415026833631485E-2</v>
      </c>
      <c r="I15" s="237">
        <f t="shared" si="1"/>
        <v>2.6833631484794278E-3</v>
      </c>
      <c r="J15" s="237">
        <f t="shared" si="1"/>
        <v>2.6833631484794278E-3</v>
      </c>
      <c r="K15" s="237">
        <f t="shared" si="1"/>
        <v>0.89266547406082308</v>
      </c>
      <c r="L15" s="237">
        <f t="shared" si="1"/>
        <v>6.2611806797853312E-3</v>
      </c>
      <c r="M15" s="237">
        <f t="shared" si="1"/>
        <v>0</v>
      </c>
      <c r="N15" s="237">
        <f t="shared" si="1"/>
        <v>0</v>
      </c>
      <c r="O15" s="237">
        <f t="shared" si="1"/>
        <v>0</v>
      </c>
      <c r="P15" s="237">
        <f t="shared" si="1"/>
        <v>0</v>
      </c>
      <c r="Q15" s="237">
        <f t="shared" si="1"/>
        <v>1.9677996422182473E-2</v>
      </c>
      <c r="R15" s="237">
        <f t="shared" si="1"/>
        <v>0</v>
      </c>
      <c r="S15" s="237">
        <f t="shared" si="1"/>
        <v>0</v>
      </c>
      <c r="T15" s="237">
        <f t="shared" si="1"/>
        <v>1</v>
      </c>
      <c r="V15"/>
      <c r="W15"/>
      <c r="X15"/>
      <c r="Y15"/>
      <c r="Z15"/>
      <c r="AA15"/>
      <c r="AB15"/>
      <c r="AC15"/>
      <c r="AD15"/>
      <c r="AE15"/>
      <c r="AF15"/>
      <c r="AG15"/>
      <c r="AH15"/>
      <c r="AI15"/>
      <c r="AJ15"/>
      <c r="AK15"/>
      <c r="AL15"/>
    </row>
    <row r="16" spans="1:38" s="234" customFormat="1" ht="18" customHeight="1" x14ac:dyDescent="0.25">
      <c r="A16" s="235" t="s">
        <v>156</v>
      </c>
      <c r="B16" s="239" t="s">
        <v>36</v>
      </c>
      <c r="C16" s="237">
        <f t="shared" si="1"/>
        <v>0</v>
      </c>
      <c r="D16" s="237">
        <f t="shared" si="1"/>
        <v>6.6312997347480109E-3</v>
      </c>
      <c r="E16" s="237">
        <f t="shared" si="1"/>
        <v>0.97480106100795771</v>
      </c>
      <c r="F16" s="237">
        <f t="shared" si="1"/>
        <v>0</v>
      </c>
      <c r="G16" s="237">
        <f t="shared" si="1"/>
        <v>2.6525198938992045E-3</v>
      </c>
      <c r="H16" s="237">
        <f t="shared" si="1"/>
        <v>0</v>
      </c>
      <c r="I16" s="237">
        <f t="shared" si="1"/>
        <v>0</v>
      </c>
      <c r="J16" s="237">
        <f t="shared" si="1"/>
        <v>2.6525198938992045E-3</v>
      </c>
      <c r="K16" s="237">
        <f t="shared" si="1"/>
        <v>0</v>
      </c>
      <c r="L16" s="237">
        <f t="shared" si="1"/>
        <v>0</v>
      </c>
      <c r="M16" s="237">
        <f t="shared" si="1"/>
        <v>0</v>
      </c>
      <c r="N16" s="237">
        <f t="shared" si="1"/>
        <v>2.6525198938992045E-3</v>
      </c>
      <c r="O16" s="237">
        <f t="shared" si="1"/>
        <v>0</v>
      </c>
      <c r="P16" s="237">
        <f t="shared" si="1"/>
        <v>2.6525198938992045E-3</v>
      </c>
      <c r="Q16" s="237">
        <f t="shared" si="1"/>
        <v>7.9575596816976145E-3</v>
      </c>
      <c r="R16" s="237">
        <f t="shared" si="1"/>
        <v>0</v>
      </c>
      <c r="S16" s="237">
        <f t="shared" si="1"/>
        <v>0</v>
      </c>
      <c r="T16" s="237">
        <f t="shared" si="1"/>
        <v>1</v>
      </c>
    </row>
    <row r="17" spans="1:21" s="234" customFormat="1" ht="18" customHeight="1" x14ac:dyDescent="0.25">
      <c r="A17" s="235" t="s">
        <v>37</v>
      </c>
      <c r="B17" s="239" t="s">
        <v>39</v>
      </c>
      <c r="C17" s="237">
        <f>+C40/$T40</f>
        <v>0</v>
      </c>
      <c r="D17" s="237">
        <f>+D40/$T40</f>
        <v>3.8216560509554145E-3</v>
      </c>
      <c r="E17" s="237">
        <f>+E40/$T40</f>
        <v>2.547770700636943E-3</v>
      </c>
      <c r="F17" s="237">
        <f t="shared" si="1"/>
        <v>3.1847133757961789E-3</v>
      </c>
      <c r="G17" s="237">
        <f t="shared" si="1"/>
        <v>1.9108280254777072E-3</v>
      </c>
      <c r="H17" s="237">
        <f t="shared" si="1"/>
        <v>1.9108280254777072E-3</v>
      </c>
      <c r="I17" s="237">
        <f t="shared" si="1"/>
        <v>1.9108280254777072E-3</v>
      </c>
      <c r="J17" s="237">
        <f t="shared" si="1"/>
        <v>0.98089171974522293</v>
      </c>
      <c r="K17" s="237">
        <f t="shared" si="1"/>
        <v>1.9108280254777072E-3</v>
      </c>
      <c r="L17" s="237">
        <f t="shared" si="1"/>
        <v>0</v>
      </c>
      <c r="M17" s="237">
        <f t="shared" si="1"/>
        <v>0</v>
      </c>
      <c r="N17" s="237">
        <f t="shared" si="1"/>
        <v>0</v>
      </c>
      <c r="O17" s="237">
        <f t="shared" si="1"/>
        <v>0</v>
      </c>
      <c r="P17" s="237">
        <f t="shared" si="1"/>
        <v>0</v>
      </c>
      <c r="Q17" s="237">
        <f t="shared" si="1"/>
        <v>1.9108280254777072E-3</v>
      </c>
      <c r="R17" s="237">
        <f t="shared" si="1"/>
        <v>0</v>
      </c>
      <c r="S17" s="237">
        <f t="shared" si="1"/>
        <v>0</v>
      </c>
      <c r="T17" s="237">
        <f t="shared" si="1"/>
        <v>1</v>
      </c>
    </row>
    <row r="18" spans="1:21" s="234" customFormat="1" ht="18" customHeight="1" x14ac:dyDescent="0.25">
      <c r="A18" s="235" t="s">
        <v>40</v>
      </c>
      <c r="B18" s="235" t="s">
        <v>42</v>
      </c>
      <c r="C18" s="237">
        <f t="shared" ref="C18:T23" si="3">+C41/$T41</f>
        <v>0</v>
      </c>
      <c r="D18" s="237">
        <f t="shared" si="3"/>
        <v>0</v>
      </c>
      <c r="E18" s="237">
        <f t="shared" si="3"/>
        <v>0</v>
      </c>
      <c r="F18" s="237">
        <f t="shared" si="3"/>
        <v>0</v>
      </c>
      <c r="G18" s="237">
        <f t="shared" si="3"/>
        <v>0</v>
      </c>
      <c r="H18" s="237">
        <f t="shared" si="3"/>
        <v>0</v>
      </c>
      <c r="I18" s="237">
        <f t="shared" si="3"/>
        <v>0</v>
      </c>
      <c r="J18" s="237">
        <f t="shared" si="3"/>
        <v>1</v>
      </c>
      <c r="K18" s="237">
        <f t="shared" si="3"/>
        <v>0</v>
      </c>
      <c r="L18" s="237">
        <f t="shared" si="3"/>
        <v>0</v>
      </c>
      <c r="M18" s="237">
        <f t="shared" si="3"/>
        <v>0</v>
      </c>
      <c r="N18" s="237">
        <f t="shared" si="3"/>
        <v>0</v>
      </c>
      <c r="O18" s="237">
        <f t="shared" si="3"/>
        <v>0</v>
      </c>
      <c r="P18" s="237">
        <f t="shared" si="3"/>
        <v>0</v>
      </c>
      <c r="Q18" s="237">
        <f t="shared" si="3"/>
        <v>0</v>
      </c>
      <c r="R18" s="237">
        <f t="shared" si="3"/>
        <v>0</v>
      </c>
      <c r="S18" s="237">
        <f t="shared" si="3"/>
        <v>0</v>
      </c>
      <c r="T18" s="237">
        <f t="shared" si="3"/>
        <v>1</v>
      </c>
      <c r="U18" s="240"/>
    </row>
    <row r="19" spans="1:21" s="234" customFormat="1" ht="18" customHeight="1" x14ac:dyDescent="0.25">
      <c r="A19" s="235" t="s">
        <v>157</v>
      </c>
      <c r="B19" s="239" t="s">
        <v>288</v>
      </c>
      <c r="C19" s="237">
        <f t="shared" si="3"/>
        <v>0</v>
      </c>
      <c r="D19" s="237">
        <f t="shared" si="3"/>
        <v>0</v>
      </c>
      <c r="E19" s="237">
        <f t="shared" si="3"/>
        <v>0</v>
      </c>
      <c r="F19" s="237">
        <f t="shared" si="3"/>
        <v>0</v>
      </c>
      <c r="G19" s="237">
        <f t="shared" si="3"/>
        <v>0</v>
      </c>
      <c r="H19" s="237">
        <f t="shared" si="3"/>
        <v>0</v>
      </c>
      <c r="I19" s="237">
        <f t="shared" si="3"/>
        <v>0</v>
      </c>
      <c r="J19" s="237">
        <f t="shared" si="3"/>
        <v>0</v>
      </c>
      <c r="K19" s="237">
        <f t="shared" si="3"/>
        <v>0</v>
      </c>
      <c r="L19" s="237">
        <f t="shared" si="3"/>
        <v>0</v>
      </c>
      <c r="M19" s="237">
        <f t="shared" si="3"/>
        <v>0</v>
      </c>
      <c r="N19" s="237">
        <f t="shared" si="3"/>
        <v>0</v>
      </c>
      <c r="O19" s="237">
        <f t="shared" si="3"/>
        <v>1</v>
      </c>
      <c r="P19" s="237">
        <f t="shared" si="3"/>
        <v>0</v>
      </c>
      <c r="Q19" s="237">
        <f t="shared" si="3"/>
        <v>0</v>
      </c>
      <c r="R19" s="237">
        <f t="shared" si="3"/>
        <v>0</v>
      </c>
      <c r="S19" s="237">
        <f t="shared" si="3"/>
        <v>0</v>
      </c>
      <c r="T19" s="237">
        <f t="shared" si="3"/>
        <v>1</v>
      </c>
    </row>
    <row r="20" spans="1:21" s="234" customFormat="1" ht="18" customHeight="1" x14ac:dyDescent="0.25">
      <c r="A20" s="235" t="s">
        <v>158</v>
      </c>
      <c r="B20" s="239" t="s">
        <v>45</v>
      </c>
      <c r="C20" s="237">
        <f t="shared" si="3"/>
        <v>0</v>
      </c>
      <c r="D20" s="237">
        <f t="shared" si="3"/>
        <v>0</v>
      </c>
      <c r="E20" s="237">
        <f t="shared" si="3"/>
        <v>0</v>
      </c>
      <c r="F20" s="237">
        <f t="shared" si="3"/>
        <v>0</v>
      </c>
      <c r="G20" s="237">
        <f t="shared" si="3"/>
        <v>0</v>
      </c>
      <c r="H20" s="237">
        <f t="shared" si="3"/>
        <v>0</v>
      </c>
      <c r="I20" s="237">
        <f t="shared" si="3"/>
        <v>0</v>
      </c>
      <c r="J20" s="237">
        <f t="shared" si="3"/>
        <v>0</v>
      </c>
      <c r="K20" s="237">
        <f t="shared" si="3"/>
        <v>0</v>
      </c>
      <c r="L20" s="237">
        <f t="shared" si="3"/>
        <v>0</v>
      </c>
      <c r="M20" s="237">
        <f t="shared" si="3"/>
        <v>0</v>
      </c>
      <c r="N20" s="237">
        <f t="shared" si="3"/>
        <v>0</v>
      </c>
      <c r="O20" s="237">
        <f t="shared" si="3"/>
        <v>0</v>
      </c>
      <c r="P20" s="237">
        <f t="shared" si="3"/>
        <v>1</v>
      </c>
      <c r="Q20" s="237">
        <f t="shared" si="3"/>
        <v>0</v>
      </c>
      <c r="R20" s="237">
        <f t="shared" si="3"/>
        <v>0</v>
      </c>
      <c r="S20" s="237">
        <f t="shared" si="3"/>
        <v>0</v>
      </c>
      <c r="T20" s="237">
        <f t="shared" si="3"/>
        <v>1</v>
      </c>
    </row>
    <row r="21" spans="1:21" s="234" customFormat="1" ht="18" customHeight="1" x14ac:dyDescent="0.25">
      <c r="A21" s="235" t="s">
        <v>159</v>
      </c>
      <c r="B21" s="239" t="s">
        <v>46</v>
      </c>
      <c r="C21" s="237">
        <f t="shared" si="3"/>
        <v>0</v>
      </c>
      <c r="D21" s="237">
        <f t="shared" si="3"/>
        <v>0</v>
      </c>
      <c r="E21" s="237">
        <f t="shared" si="3"/>
        <v>0</v>
      </c>
      <c r="F21" s="237">
        <f t="shared" si="3"/>
        <v>0</v>
      </c>
      <c r="G21" s="237">
        <f t="shared" si="3"/>
        <v>2.4762690879075525E-3</v>
      </c>
      <c r="H21" s="237">
        <f t="shared" si="3"/>
        <v>0</v>
      </c>
      <c r="I21" s="237">
        <f t="shared" si="3"/>
        <v>0</v>
      </c>
      <c r="J21" s="237">
        <f t="shared" si="3"/>
        <v>0</v>
      </c>
      <c r="K21" s="237">
        <f t="shared" si="3"/>
        <v>0</v>
      </c>
      <c r="L21" s="237">
        <f t="shared" si="3"/>
        <v>0</v>
      </c>
      <c r="M21" s="237">
        <f t="shared" si="3"/>
        <v>0</v>
      </c>
      <c r="N21" s="237">
        <f t="shared" si="3"/>
        <v>0.9756500206355756</v>
      </c>
      <c r="O21" s="237">
        <f t="shared" si="3"/>
        <v>0</v>
      </c>
      <c r="P21" s="237">
        <f t="shared" si="3"/>
        <v>0</v>
      </c>
      <c r="Q21" s="237">
        <f t="shared" si="3"/>
        <v>1.5270326042096572E-2</v>
      </c>
      <c r="R21" s="237">
        <f t="shared" si="3"/>
        <v>0</v>
      </c>
      <c r="S21" s="237">
        <f t="shared" si="3"/>
        <v>6.6033842344201408E-3</v>
      </c>
      <c r="T21" s="237">
        <f t="shared" si="3"/>
        <v>1</v>
      </c>
    </row>
    <row r="22" spans="1:21" s="234" customFormat="1" ht="18" customHeight="1" x14ac:dyDescent="0.25">
      <c r="A22" s="235" t="s">
        <v>160</v>
      </c>
      <c r="B22" s="239" t="s">
        <v>48</v>
      </c>
      <c r="C22" s="237">
        <f t="shared" si="3"/>
        <v>0</v>
      </c>
      <c r="D22" s="237">
        <f t="shared" si="3"/>
        <v>0</v>
      </c>
      <c r="E22" s="237">
        <f t="shared" si="3"/>
        <v>0</v>
      </c>
      <c r="F22" s="237">
        <f t="shared" si="3"/>
        <v>0</v>
      </c>
      <c r="G22" s="237">
        <f t="shared" si="3"/>
        <v>0</v>
      </c>
      <c r="H22" s="237">
        <f t="shared" si="3"/>
        <v>0</v>
      </c>
      <c r="I22" s="237">
        <f t="shared" si="3"/>
        <v>0</v>
      </c>
      <c r="J22" s="237">
        <f t="shared" si="3"/>
        <v>0</v>
      </c>
      <c r="K22" s="237">
        <f t="shared" si="3"/>
        <v>0</v>
      </c>
      <c r="L22" s="237">
        <f t="shared" si="3"/>
        <v>0</v>
      </c>
      <c r="M22" s="237">
        <f t="shared" si="3"/>
        <v>1</v>
      </c>
      <c r="N22" s="237">
        <f t="shared" si="3"/>
        <v>0</v>
      </c>
      <c r="O22" s="237">
        <f t="shared" si="3"/>
        <v>0</v>
      </c>
      <c r="P22" s="237">
        <f t="shared" si="3"/>
        <v>0</v>
      </c>
      <c r="Q22" s="237">
        <f t="shared" si="3"/>
        <v>0</v>
      </c>
      <c r="R22" s="237">
        <f t="shared" si="3"/>
        <v>0</v>
      </c>
      <c r="S22" s="237">
        <f t="shared" si="3"/>
        <v>0</v>
      </c>
      <c r="T22" s="237">
        <f t="shared" si="3"/>
        <v>1</v>
      </c>
    </row>
    <row r="23" spans="1:21" s="234" customFormat="1" ht="18" customHeight="1" x14ac:dyDescent="0.25">
      <c r="A23" s="241" t="s">
        <v>161</v>
      </c>
      <c r="B23" s="242" t="s">
        <v>289</v>
      </c>
      <c r="C23" s="243">
        <f t="shared" si="3"/>
        <v>0</v>
      </c>
      <c r="D23" s="243">
        <f t="shared" si="3"/>
        <v>0</v>
      </c>
      <c r="E23" s="243">
        <f t="shared" si="3"/>
        <v>0</v>
      </c>
      <c r="F23" s="243">
        <f t="shared" si="3"/>
        <v>0</v>
      </c>
      <c r="G23" s="243">
        <f t="shared" si="3"/>
        <v>0</v>
      </c>
      <c r="H23" s="243">
        <f t="shared" si="3"/>
        <v>0</v>
      </c>
      <c r="I23" s="243">
        <f t="shared" si="3"/>
        <v>0</v>
      </c>
      <c r="J23" s="243">
        <f t="shared" si="3"/>
        <v>0</v>
      </c>
      <c r="K23" s="243">
        <f t="shared" si="3"/>
        <v>0</v>
      </c>
      <c r="L23" s="243">
        <f t="shared" si="3"/>
        <v>0</v>
      </c>
      <c r="M23" s="243">
        <f t="shared" si="3"/>
        <v>1</v>
      </c>
      <c r="N23" s="243">
        <f t="shared" si="3"/>
        <v>0</v>
      </c>
      <c r="O23" s="243">
        <f t="shared" si="3"/>
        <v>0</v>
      </c>
      <c r="P23" s="243">
        <f t="shared" si="3"/>
        <v>0</v>
      </c>
      <c r="Q23" s="243">
        <f t="shared" si="3"/>
        <v>0</v>
      </c>
      <c r="R23" s="243">
        <f t="shared" si="3"/>
        <v>0</v>
      </c>
      <c r="S23" s="243">
        <f t="shared" si="3"/>
        <v>0</v>
      </c>
      <c r="T23" s="243">
        <f t="shared" si="3"/>
        <v>1</v>
      </c>
    </row>
    <row r="24" spans="1:21" ht="18" customHeight="1" x14ac:dyDescent="0.25">
      <c r="B24" s="244"/>
    </row>
    <row r="25" spans="1:21" ht="18" customHeight="1" x14ac:dyDescent="0.25">
      <c r="B25" s="245" t="s">
        <v>290</v>
      </c>
      <c r="C25" s="246" t="s">
        <v>184</v>
      </c>
      <c r="D25" s="246" t="s">
        <v>186</v>
      </c>
      <c r="E25" s="246" t="s">
        <v>190</v>
      </c>
      <c r="F25" s="246" t="s">
        <v>192</v>
      </c>
      <c r="G25" s="246" t="s">
        <v>194</v>
      </c>
      <c r="H25" s="246" t="s">
        <v>196</v>
      </c>
      <c r="I25" s="246" t="s">
        <v>198</v>
      </c>
      <c r="J25" s="246" t="s">
        <v>200</v>
      </c>
      <c r="K25" s="246" t="s">
        <v>280</v>
      </c>
      <c r="L25" s="246" t="s">
        <v>204</v>
      </c>
      <c r="M25" s="246" t="s">
        <v>206</v>
      </c>
      <c r="N25" s="246" t="s">
        <v>208</v>
      </c>
      <c r="O25" s="246" t="s">
        <v>210</v>
      </c>
      <c r="P25" s="246" t="s">
        <v>212</v>
      </c>
      <c r="Q25" s="246" t="s">
        <v>214</v>
      </c>
      <c r="R25" s="246" t="s">
        <v>281</v>
      </c>
      <c r="S25" s="246" t="s">
        <v>282</v>
      </c>
      <c r="T25" s="247" t="s">
        <v>141</v>
      </c>
    </row>
    <row r="26" spans="1:21" s="234" customFormat="1" ht="18" customHeight="1" x14ac:dyDescent="0.25">
      <c r="A26" s="231" t="s">
        <v>1</v>
      </c>
      <c r="B26" s="232" t="s">
        <v>283</v>
      </c>
      <c r="C26" s="248">
        <v>142</v>
      </c>
      <c r="D26" s="248">
        <v>5388</v>
      </c>
      <c r="E26" s="248">
        <v>933</v>
      </c>
      <c r="F26" s="248">
        <v>152</v>
      </c>
      <c r="G26" s="248">
        <v>969</v>
      </c>
      <c r="H26" s="248">
        <v>284</v>
      </c>
      <c r="I26" s="248">
        <v>125</v>
      </c>
      <c r="J26" s="248"/>
      <c r="K26" s="248"/>
      <c r="L26" s="248">
        <v>40</v>
      </c>
      <c r="M26" s="248"/>
      <c r="N26" s="248">
        <v>248</v>
      </c>
      <c r="O26" s="248">
        <v>138</v>
      </c>
      <c r="P26" s="248"/>
      <c r="Q26" s="248">
        <v>171</v>
      </c>
      <c r="R26" s="248">
        <v>12</v>
      </c>
      <c r="S26" s="248">
        <v>0</v>
      </c>
      <c r="T26" s="249">
        <f>SUM(C26:S26)</f>
        <v>8602</v>
      </c>
      <c r="U26"/>
    </row>
    <row r="27" spans="1:21" s="234" customFormat="1" ht="18" customHeight="1" x14ac:dyDescent="0.25">
      <c r="A27" s="235" t="s">
        <v>7</v>
      </c>
      <c r="B27" s="236" t="s">
        <v>9</v>
      </c>
      <c r="C27" s="250">
        <v>19.333333333333336</v>
      </c>
      <c r="D27" s="250">
        <v>1959.3333333333335</v>
      </c>
      <c r="E27" s="250">
        <v>73</v>
      </c>
      <c r="F27" s="250">
        <v>6.333333333333333</v>
      </c>
      <c r="G27" s="250">
        <v>120.33333333333334</v>
      </c>
      <c r="H27" s="250"/>
      <c r="I27" s="250">
        <v>49.666666666666664</v>
      </c>
      <c r="J27" s="250">
        <v>1</v>
      </c>
      <c r="K27" s="250">
        <v>17.333333333333332</v>
      </c>
      <c r="L27" s="250">
        <v>0.33333333333333331</v>
      </c>
      <c r="M27" s="250"/>
      <c r="N27" s="250">
        <v>426.33333333333337</v>
      </c>
      <c r="O27" s="250">
        <v>0.66666666666666663</v>
      </c>
      <c r="P27" s="250">
        <v>69.333333333333329</v>
      </c>
      <c r="Q27" s="250">
        <v>0.66666666666666663</v>
      </c>
      <c r="R27" s="251"/>
      <c r="S27" s="250">
        <v>239.33333333333331</v>
      </c>
      <c r="T27" s="252">
        <f t="shared" ref="T27:T46" si="4">SUM(C27:S27)</f>
        <v>2983.0000000000009</v>
      </c>
      <c r="U27"/>
    </row>
    <row r="28" spans="1:21" s="234" customFormat="1" ht="18" customHeight="1" x14ac:dyDescent="0.25">
      <c r="A28" s="235" t="s">
        <v>10</v>
      </c>
      <c r="B28" s="236" t="s">
        <v>11</v>
      </c>
      <c r="C28" s="251"/>
      <c r="D28" s="250"/>
      <c r="E28" s="251"/>
      <c r="F28" s="250"/>
      <c r="G28" s="251"/>
      <c r="H28" s="250"/>
      <c r="I28" s="250"/>
      <c r="J28" s="251"/>
      <c r="K28" s="250"/>
      <c r="L28" s="250">
        <v>31</v>
      </c>
      <c r="M28" s="250"/>
      <c r="N28" s="250">
        <v>94.333333333333343</v>
      </c>
      <c r="O28" s="250"/>
      <c r="P28" s="250"/>
      <c r="Q28" s="250"/>
      <c r="R28" s="251"/>
      <c r="S28" s="250"/>
      <c r="T28" s="252">
        <f t="shared" si="4"/>
        <v>125.33333333333334</v>
      </c>
      <c r="U28"/>
    </row>
    <row r="29" spans="1:21" s="234" customFormat="1" ht="18" customHeight="1" x14ac:dyDescent="0.25">
      <c r="A29" s="235" t="s">
        <v>12</v>
      </c>
      <c r="B29" s="236" t="s">
        <v>14</v>
      </c>
      <c r="C29" s="250">
        <v>0.33333333333333331</v>
      </c>
      <c r="D29" s="250">
        <v>8.6666666666666661</v>
      </c>
      <c r="E29" s="250">
        <v>2.3333333333333335</v>
      </c>
      <c r="F29" s="250">
        <v>2</v>
      </c>
      <c r="G29" s="250">
        <v>996.66666666666652</v>
      </c>
      <c r="H29" s="250">
        <v>0.66666666666666663</v>
      </c>
      <c r="I29" s="250"/>
      <c r="J29" s="250">
        <v>3</v>
      </c>
      <c r="K29" s="250"/>
      <c r="L29" s="250"/>
      <c r="M29" s="250"/>
      <c r="N29" s="250">
        <v>15.333333333333334</v>
      </c>
      <c r="O29" s="250">
        <v>65</v>
      </c>
      <c r="P29" s="250"/>
      <c r="Q29" s="250">
        <v>13.333333333333334</v>
      </c>
      <c r="R29" s="251"/>
      <c r="S29" s="250">
        <v>9.6666666666666661</v>
      </c>
      <c r="T29" s="252">
        <f t="shared" si="4"/>
        <v>1116.9999999999998</v>
      </c>
      <c r="U29"/>
    </row>
    <row r="30" spans="1:21" s="234" customFormat="1" ht="18" customHeight="1" x14ac:dyDescent="0.25">
      <c r="A30" s="235" t="s">
        <v>15</v>
      </c>
      <c r="B30" s="236" t="s">
        <v>17</v>
      </c>
      <c r="C30" s="250"/>
      <c r="D30" s="250">
        <v>8.3333333333333339</v>
      </c>
      <c r="E30" s="250"/>
      <c r="F30" s="250"/>
      <c r="G30" s="250"/>
      <c r="H30" s="250">
        <v>462</v>
      </c>
      <c r="I30" s="251"/>
      <c r="J30" s="250"/>
      <c r="K30" s="250"/>
      <c r="L30" s="251"/>
      <c r="M30" s="251"/>
      <c r="N30" s="251"/>
      <c r="O30" s="251"/>
      <c r="P30" s="251"/>
      <c r="Q30" s="250"/>
      <c r="R30" s="251"/>
      <c r="S30" s="251"/>
      <c r="T30" s="252">
        <f t="shared" si="4"/>
        <v>470.33333333333331</v>
      </c>
      <c r="U30"/>
    </row>
    <row r="31" spans="1:21" s="234" customFormat="1" ht="18" customHeight="1" x14ac:dyDescent="0.25">
      <c r="A31" s="235" t="s">
        <v>18</v>
      </c>
      <c r="B31" s="235" t="s">
        <v>19</v>
      </c>
      <c r="C31" s="251"/>
      <c r="D31" s="251">
        <v>1</v>
      </c>
      <c r="E31" s="251"/>
      <c r="F31" s="251">
        <v>577.66666666666663</v>
      </c>
      <c r="G31" s="251"/>
      <c r="H31" s="251"/>
      <c r="I31" s="251"/>
      <c r="J31" s="251"/>
      <c r="K31" s="251"/>
      <c r="L31" s="251"/>
      <c r="M31" s="251"/>
      <c r="N31" s="251"/>
      <c r="O31" s="251"/>
      <c r="P31" s="251"/>
      <c r="Q31" s="251"/>
      <c r="R31" s="251"/>
      <c r="S31" s="251"/>
      <c r="T31" s="252">
        <f>SUM(C31:S31)</f>
        <v>578.66666666666663</v>
      </c>
      <c r="U31"/>
    </row>
    <row r="32" spans="1:21" s="234" customFormat="1" ht="18" customHeight="1" x14ac:dyDescent="0.25">
      <c r="A32" s="235" t="s">
        <v>20</v>
      </c>
      <c r="B32" s="236" t="s">
        <v>155</v>
      </c>
      <c r="C32" s="250"/>
      <c r="D32" s="250"/>
      <c r="E32" s="250"/>
      <c r="F32" s="250"/>
      <c r="G32" s="250"/>
      <c r="H32" s="250"/>
      <c r="I32" s="251">
        <v>1</v>
      </c>
      <c r="J32" s="251"/>
      <c r="K32" s="250"/>
      <c r="L32" s="250"/>
      <c r="M32" s="251"/>
      <c r="N32" s="250"/>
      <c r="O32" s="251"/>
      <c r="P32" s="251"/>
      <c r="Q32" s="250"/>
      <c r="R32" s="251"/>
      <c r="S32" s="251"/>
      <c r="T32" s="252">
        <f t="shared" si="4"/>
        <v>1</v>
      </c>
      <c r="U32"/>
    </row>
    <row r="33" spans="1:21" s="234" customFormat="1" ht="18" customHeight="1" x14ac:dyDescent="0.25">
      <c r="A33" s="235" t="s">
        <v>21</v>
      </c>
      <c r="B33" s="236" t="s">
        <v>22</v>
      </c>
      <c r="C33" s="250"/>
      <c r="D33" s="250"/>
      <c r="E33" s="251"/>
      <c r="F33" s="250">
        <v>1</v>
      </c>
      <c r="G33" s="251"/>
      <c r="H33" s="250"/>
      <c r="I33" s="250"/>
      <c r="J33" s="251"/>
      <c r="K33" s="250"/>
      <c r="L33" s="250">
        <v>260.33333333333331</v>
      </c>
      <c r="M33" s="251"/>
      <c r="N33" s="250">
        <v>1.3333333333333333</v>
      </c>
      <c r="O33" s="250"/>
      <c r="P33" s="250"/>
      <c r="Q33" s="250">
        <v>8.3333333333333339</v>
      </c>
      <c r="R33" s="251"/>
      <c r="S33" s="251">
        <v>2</v>
      </c>
      <c r="T33" s="252">
        <f t="shared" si="4"/>
        <v>272.99999999999994</v>
      </c>
      <c r="U33"/>
    </row>
    <row r="34" spans="1:21" s="234" customFormat="1" ht="18" customHeight="1" x14ac:dyDescent="0.25">
      <c r="A34" s="235" t="s">
        <v>23</v>
      </c>
      <c r="B34" s="236" t="s">
        <v>25</v>
      </c>
      <c r="C34" s="251"/>
      <c r="D34" s="250"/>
      <c r="E34" s="251"/>
      <c r="F34" s="251"/>
      <c r="G34" s="250"/>
      <c r="H34" s="250"/>
      <c r="I34" s="251"/>
      <c r="J34" s="251"/>
      <c r="K34" s="251"/>
      <c r="L34" s="251"/>
      <c r="M34" s="251"/>
      <c r="N34" s="250">
        <v>3</v>
      </c>
      <c r="O34" s="250"/>
      <c r="P34" s="250"/>
      <c r="Q34" s="250">
        <v>299</v>
      </c>
      <c r="R34" s="251"/>
      <c r="S34" s="251"/>
      <c r="T34" s="252">
        <f t="shared" si="4"/>
        <v>302</v>
      </c>
      <c r="U34"/>
    </row>
    <row r="35" spans="1:21" s="234" customFormat="1" ht="18" customHeight="1" x14ac:dyDescent="0.25">
      <c r="A35" s="235" t="s">
        <v>26</v>
      </c>
      <c r="B35" s="236" t="s">
        <v>27</v>
      </c>
      <c r="C35" s="250">
        <v>0.33333333333333331</v>
      </c>
      <c r="D35" s="250">
        <v>5.9999999999999991</v>
      </c>
      <c r="E35" s="250"/>
      <c r="F35" s="250"/>
      <c r="G35" s="251">
        <v>1</v>
      </c>
      <c r="H35" s="251"/>
      <c r="I35" s="250"/>
      <c r="J35" s="250"/>
      <c r="K35" s="250"/>
      <c r="L35" s="251">
        <v>3</v>
      </c>
      <c r="M35" s="251">
        <v>0.33333333333333331</v>
      </c>
      <c r="N35" s="250">
        <v>46.666666666666664</v>
      </c>
      <c r="O35" s="251">
        <v>0.33333333333333331</v>
      </c>
      <c r="P35" s="251"/>
      <c r="Q35" s="250">
        <v>136.33333333333334</v>
      </c>
      <c r="R35" s="251"/>
      <c r="S35" s="251"/>
      <c r="T35" s="252">
        <f t="shared" si="4"/>
        <v>194</v>
      </c>
      <c r="U35"/>
    </row>
    <row r="36" spans="1:21" s="234" customFormat="1" ht="18" customHeight="1" x14ac:dyDescent="0.25">
      <c r="A36" s="238" t="s">
        <v>28</v>
      </c>
      <c r="B36" s="235" t="s">
        <v>30</v>
      </c>
      <c r="C36" s="251">
        <v>355.33333333333331</v>
      </c>
      <c r="D36" s="251"/>
      <c r="E36" s="251"/>
      <c r="F36" s="251"/>
      <c r="G36" s="251">
        <v>1</v>
      </c>
      <c r="H36" s="251"/>
      <c r="I36" s="251"/>
      <c r="J36" s="251"/>
      <c r="K36" s="251"/>
      <c r="L36" s="251"/>
      <c r="M36" s="250"/>
      <c r="N36" s="250"/>
      <c r="O36" s="251"/>
      <c r="P36" s="251"/>
      <c r="Q36" s="250"/>
      <c r="R36" s="251"/>
      <c r="S36" s="251"/>
      <c r="T36" s="252">
        <f>SUM(C36:S36)</f>
        <v>356.33333333333331</v>
      </c>
      <c r="U36"/>
    </row>
    <row r="37" spans="1:21" s="234" customFormat="1" ht="18" customHeight="1" x14ac:dyDescent="0.25">
      <c r="A37" s="235" t="s">
        <v>31</v>
      </c>
      <c r="B37" s="235" t="s">
        <v>33</v>
      </c>
      <c r="C37" s="251"/>
      <c r="D37" s="250"/>
      <c r="E37" s="250"/>
      <c r="F37" s="251"/>
      <c r="G37" s="251">
        <v>86.666666666666657</v>
      </c>
      <c r="H37" s="251">
        <v>1</v>
      </c>
      <c r="I37" s="251"/>
      <c r="J37" s="250"/>
      <c r="K37" s="250"/>
      <c r="L37" s="251"/>
      <c r="M37" s="251"/>
      <c r="N37" s="251"/>
      <c r="O37" s="251"/>
      <c r="P37" s="251"/>
      <c r="Q37" s="250"/>
      <c r="R37" s="251"/>
      <c r="S37" s="251"/>
      <c r="T37" s="252">
        <f>SUM(C37:S37)</f>
        <v>87.666666666666657</v>
      </c>
      <c r="U37"/>
    </row>
    <row r="38" spans="1:21" s="234" customFormat="1" ht="18" customHeight="1" x14ac:dyDescent="0.25">
      <c r="A38" s="235" t="s">
        <v>34</v>
      </c>
      <c r="B38" s="239" t="s">
        <v>35</v>
      </c>
      <c r="C38" s="250">
        <v>5.666666666666667</v>
      </c>
      <c r="D38" s="250">
        <v>13.666666666666668</v>
      </c>
      <c r="E38" s="250"/>
      <c r="F38" s="250"/>
      <c r="G38" s="250"/>
      <c r="H38" s="250">
        <v>9</v>
      </c>
      <c r="I38" s="250">
        <v>1</v>
      </c>
      <c r="J38" s="250">
        <v>1</v>
      </c>
      <c r="K38" s="250">
        <v>332.66666666666669</v>
      </c>
      <c r="L38" s="250">
        <v>2.333333333333333</v>
      </c>
      <c r="M38" s="251"/>
      <c r="N38" s="250"/>
      <c r="O38" s="251"/>
      <c r="P38" s="250"/>
      <c r="Q38" s="250">
        <v>7.3333333333333339</v>
      </c>
      <c r="R38" s="251"/>
      <c r="S38" s="250"/>
      <c r="T38" s="252">
        <f t="shared" si="4"/>
        <v>372.66666666666663</v>
      </c>
      <c r="U38"/>
    </row>
    <row r="39" spans="1:21" s="234" customFormat="1" ht="18" customHeight="1" x14ac:dyDescent="0.25">
      <c r="A39" s="235" t="s">
        <v>156</v>
      </c>
      <c r="B39" s="239" t="s">
        <v>36</v>
      </c>
      <c r="C39" s="251"/>
      <c r="D39" s="250">
        <v>1.6666666666666665</v>
      </c>
      <c r="E39" s="251">
        <v>245</v>
      </c>
      <c r="F39" s="250"/>
      <c r="G39" s="251">
        <v>0.66666666666666663</v>
      </c>
      <c r="H39" s="251"/>
      <c r="I39" s="251"/>
      <c r="J39" s="251">
        <v>0.66666666666666663</v>
      </c>
      <c r="K39" s="250"/>
      <c r="L39" s="251"/>
      <c r="M39" s="251"/>
      <c r="N39" s="251">
        <v>0.66666666666666663</v>
      </c>
      <c r="O39" s="251"/>
      <c r="P39" s="251">
        <v>0.66666666666666663</v>
      </c>
      <c r="Q39" s="251">
        <v>2</v>
      </c>
      <c r="R39" s="251"/>
      <c r="S39" s="251"/>
      <c r="T39" s="252">
        <f t="shared" si="4"/>
        <v>251.33333333333329</v>
      </c>
      <c r="U39"/>
    </row>
    <row r="40" spans="1:21" s="234" customFormat="1" ht="18" customHeight="1" x14ac:dyDescent="0.25">
      <c r="A40" s="235" t="s">
        <v>37</v>
      </c>
      <c r="B40" s="239" t="s">
        <v>39</v>
      </c>
      <c r="C40" s="251"/>
      <c r="D40" s="251">
        <v>2</v>
      </c>
      <c r="E40" s="251">
        <v>1.3333333333333333</v>
      </c>
      <c r="F40" s="251">
        <v>1.6666666666666667</v>
      </c>
      <c r="G40" s="250">
        <v>1</v>
      </c>
      <c r="H40" s="251">
        <v>1</v>
      </c>
      <c r="I40" s="251">
        <v>1</v>
      </c>
      <c r="J40" s="251">
        <v>513.33333333333326</v>
      </c>
      <c r="K40" s="251">
        <v>1</v>
      </c>
      <c r="L40" s="251"/>
      <c r="M40" s="251"/>
      <c r="N40" s="250"/>
      <c r="O40" s="251"/>
      <c r="P40" s="251"/>
      <c r="Q40" s="251">
        <v>1</v>
      </c>
      <c r="R40" s="251"/>
      <c r="S40" s="251"/>
      <c r="T40" s="252">
        <f t="shared" si="4"/>
        <v>523.33333333333326</v>
      </c>
      <c r="U40"/>
    </row>
    <row r="41" spans="1:21" s="234" customFormat="1" ht="18" customHeight="1" x14ac:dyDescent="0.25">
      <c r="A41" s="235" t="s">
        <v>40</v>
      </c>
      <c r="B41" s="235" t="s">
        <v>42</v>
      </c>
      <c r="C41" s="251"/>
      <c r="D41" s="251"/>
      <c r="E41" s="251"/>
      <c r="F41" s="251"/>
      <c r="G41" s="251"/>
      <c r="H41" s="251"/>
      <c r="I41" s="251"/>
      <c r="J41" s="251">
        <v>67.333333333333329</v>
      </c>
      <c r="K41" s="251"/>
      <c r="L41" s="251"/>
      <c r="M41" s="251"/>
      <c r="N41" s="251"/>
      <c r="O41" s="251"/>
      <c r="P41" s="251"/>
      <c r="Q41" s="251"/>
      <c r="R41" s="251"/>
      <c r="S41" s="251"/>
      <c r="T41" s="252">
        <f>SUM(C41:S41)</f>
        <v>67.333333333333329</v>
      </c>
      <c r="U41"/>
    </row>
    <row r="42" spans="1:21" s="234" customFormat="1" ht="18" customHeight="1" x14ac:dyDescent="0.25">
      <c r="A42" s="235" t="s">
        <v>157</v>
      </c>
      <c r="B42" s="239" t="s">
        <v>43</v>
      </c>
      <c r="C42" s="250"/>
      <c r="D42" s="250"/>
      <c r="E42" s="250"/>
      <c r="F42" s="250"/>
      <c r="G42" s="250"/>
      <c r="H42" s="250"/>
      <c r="I42" s="250"/>
      <c r="J42" s="250"/>
      <c r="K42" s="250"/>
      <c r="L42" s="250"/>
      <c r="M42" s="251"/>
      <c r="N42" s="250"/>
      <c r="O42" s="251">
        <v>76</v>
      </c>
      <c r="P42" s="250"/>
      <c r="Q42" s="250"/>
      <c r="R42" s="251"/>
      <c r="S42" s="250"/>
      <c r="T42" s="252">
        <f t="shared" si="4"/>
        <v>76</v>
      </c>
      <c r="U42"/>
    </row>
    <row r="43" spans="1:21" s="234" customFormat="1" ht="18" customHeight="1" x14ac:dyDescent="0.25">
      <c r="A43" s="235" t="s">
        <v>158</v>
      </c>
      <c r="B43" s="239" t="s">
        <v>45</v>
      </c>
      <c r="C43" s="250"/>
      <c r="D43" s="250"/>
      <c r="E43" s="250"/>
      <c r="F43" s="250"/>
      <c r="G43" s="251"/>
      <c r="H43" s="250"/>
      <c r="I43" s="250"/>
      <c r="J43" s="250"/>
      <c r="K43" s="250"/>
      <c r="L43" s="250"/>
      <c r="M43" s="251"/>
      <c r="N43" s="250"/>
      <c r="O43" s="250"/>
      <c r="P43" s="251">
        <v>366.33333333333331</v>
      </c>
      <c r="Q43" s="251"/>
      <c r="R43" s="251"/>
      <c r="S43" s="250"/>
      <c r="T43" s="252">
        <f t="shared" si="4"/>
        <v>366.33333333333331</v>
      </c>
      <c r="U43"/>
    </row>
    <row r="44" spans="1:21" s="234" customFormat="1" ht="18" customHeight="1" x14ac:dyDescent="0.25">
      <c r="A44" s="235" t="s">
        <v>159</v>
      </c>
      <c r="B44" s="239" t="s">
        <v>46</v>
      </c>
      <c r="C44" s="251"/>
      <c r="D44" s="250"/>
      <c r="E44" s="251"/>
      <c r="F44" s="250"/>
      <c r="G44" s="251">
        <v>2</v>
      </c>
      <c r="H44" s="251"/>
      <c r="I44" s="251"/>
      <c r="J44" s="251"/>
      <c r="K44" s="250"/>
      <c r="L44" s="251"/>
      <c r="M44" s="251"/>
      <c r="N44" s="251">
        <v>788</v>
      </c>
      <c r="O44" s="251"/>
      <c r="P44" s="251"/>
      <c r="Q44" s="251">
        <v>12.333333333333332</v>
      </c>
      <c r="R44" s="251"/>
      <c r="S44" s="251">
        <v>5.3333333333333339</v>
      </c>
      <c r="T44" s="252">
        <f t="shared" si="4"/>
        <v>807.66666666666674</v>
      </c>
      <c r="U44"/>
    </row>
    <row r="45" spans="1:21" s="234" customFormat="1" ht="18" customHeight="1" x14ac:dyDescent="0.25">
      <c r="A45" s="235" t="s">
        <v>160</v>
      </c>
      <c r="B45" s="239" t="s">
        <v>48</v>
      </c>
      <c r="C45" s="251"/>
      <c r="D45" s="251"/>
      <c r="E45" s="251"/>
      <c r="F45" s="251"/>
      <c r="G45" s="250"/>
      <c r="H45" s="251"/>
      <c r="I45" s="251"/>
      <c r="J45" s="251"/>
      <c r="K45" s="251"/>
      <c r="L45" s="251"/>
      <c r="M45" s="251">
        <v>243.66666666666669</v>
      </c>
      <c r="N45" s="250"/>
      <c r="O45" s="251"/>
      <c r="P45" s="251"/>
      <c r="Q45" s="251"/>
      <c r="R45" s="251"/>
      <c r="S45" s="251"/>
      <c r="T45" s="252">
        <f t="shared" si="4"/>
        <v>243.66666666666669</v>
      </c>
      <c r="U45"/>
    </row>
    <row r="46" spans="1:21" s="234" customFormat="1" ht="18" customHeight="1" x14ac:dyDescent="0.25">
      <c r="A46" s="241" t="s">
        <v>161</v>
      </c>
      <c r="B46" s="242" t="s">
        <v>49</v>
      </c>
      <c r="C46" s="253"/>
      <c r="D46" s="254"/>
      <c r="E46" s="253"/>
      <c r="F46" s="253"/>
      <c r="G46" s="254"/>
      <c r="H46" s="253"/>
      <c r="I46" s="253"/>
      <c r="J46" s="253"/>
      <c r="K46" s="253"/>
      <c r="L46" s="253"/>
      <c r="M46" s="253">
        <v>70.666666666666671</v>
      </c>
      <c r="N46" s="254"/>
      <c r="O46" s="253"/>
      <c r="P46" s="253"/>
      <c r="Q46" s="253"/>
      <c r="R46" s="253"/>
      <c r="S46" s="253"/>
      <c r="T46" s="255">
        <f t="shared" si="4"/>
        <v>70.666666666666671</v>
      </c>
      <c r="U46"/>
    </row>
    <row r="47" spans="1:21" ht="18" customHeight="1" x14ac:dyDescent="0.25">
      <c r="B47" s="256" t="s">
        <v>141</v>
      </c>
      <c r="C47" s="257">
        <f t="shared" ref="C47:T47" si="5">SUM(C26:C46)</f>
        <v>523</v>
      </c>
      <c r="D47" s="258">
        <f t="shared" si="5"/>
        <v>7388.6666666666679</v>
      </c>
      <c r="E47" s="257">
        <f t="shared" si="5"/>
        <v>1254.6666666666667</v>
      </c>
      <c r="F47" s="257">
        <f t="shared" si="5"/>
        <v>740.66666666666663</v>
      </c>
      <c r="G47" s="258">
        <f t="shared" si="5"/>
        <v>2178.333333333333</v>
      </c>
      <c r="H47" s="257">
        <f t="shared" si="5"/>
        <v>757.66666666666674</v>
      </c>
      <c r="I47" s="257">
        <f t="shared" si="5"/>
        <v>177.66666666666666</v>
      </c>
      <c r="J47" s="257">
        <f t="shared" si="5"/>
        <v>586.33333333333326</v>
      </c>
      <c r="K47" s="257">
        <f t="shared" si="5"/>
        <v>351</v>
      </c>
      <c r="L47" s="257">
        <f t="shared" si="5"/>
        <v>336.99999999999994</v>
      </c>
      <c r="M47" s="257">
        <f t="shared" si="5"/>
        <v>314.66666666666669</v>
      </c>
      <c r="N47" s="258">
        <f t="shared" si="5"/>
        <v>1623.6666666666667</v>
      </c>
      <c r="O47" s="257">
        <f t="shared" si="5"/>
        <v>280</v>
      </c>
      <c r="P47" s="257">
        <f t="shared" si="5"/>
        <v>436.33333333333331</v>
      </c>
      <c r="Q47" s="257">
        <f t="shared" si="5"/>
        <v>651.33333333333348</v>
      </c>
      <c r="R47" s="257">
        <f t="shared" si="5"/>
        <v>12</v>
      </c>
      <c r="S47" s="257">
        <f t="shared" si="5"/>
        <v>256.33333333333331</v>
      </c>
      <c r="T47" s="259">
        <f t="shared" si="5"/>
        <v>17869.333333333339</v>
      </c>
      <c r="U47"/>
    </row>
    <row r="48" spans="1:21" ht="18" customHeight="1" x14ac:dyDescent="0.25">
      <c r="U48"/>
    </row>
  </sheetData>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topLeftCell="B38" workbookViewId="0">
      <selection activeCell="A49" sqref="A49:XFD194"/>
    </sheetView>
  </sheetViews>
  <sheetFormatPr defaultColWidth="8.85546875" defaultRowHeight="15" x14ac:dyDescent="0.25"/>
  <cols>
    <col min="1" max="1" width="9.140625" hidden="1" customWidth="1"/>
    <col min="2" max="2" width="28.42578125" customWidth="1"/>
    <col min="3" max="3" width="16" customWidth="1"/>
    <col min="4" max="14" width="16" style="307" customWidth="1"/>
    <col min="15" max="20" width="16" customWidth="1"/>
    <col min="21" max="21" width="12.7109375" customWidth="1"/>
  </cols>
  <sheetData>
    <row r="1" spans="1:21" s="260" customFormat="1" ht="33.75" customHeight="1" x14ac:dyDescent="0.25">
      <c r="B1" s="261" t="s">
        <v>291</v>
      </c>
      <c r="C1" s="262" t="s">
        <v>184</v>
      </c>
      <c r="D1" s="262" t="s">
        <v>186</v>
      </c>
      <c r="E1" s="262" t="s">
        <v>190</v>
      </c>
      <c r="F1" s="262" t="s">
        <v>192</v>
      </c>
      <c r="G1" s="262" t="s">
        <v>194</v>
      </c>
      <c r="H1" s="262" t="s">
        <v>196</v>
      </c>
      <c r="I1" s="262" t="s">
        <v>198</v>
      </c>
      <c r="J1" s="262" t="s">
        <v>200</v>
      </c>
      <c r="K1" s="262" t="s">
        <v>280</v>
      </c>
      <c r="L1" s="262" t="s">
        <v>204</v>
      </c>
      <c r="M1" s="262" t="s">
        <v>206</v>
      </c>
      <c r="N1" s="262" t="s">
        <v>208</v>
      </c>
      <c r="O1" s="262" t="s">
        <v>210</v>
      </c>
      <c r="P1" s="262" t="s">
        <v>212</v>
      </c>
      <c r="Q1" s="262" t="s">
        <v>214</v>
      </c>
      <c r="R1" s="262" t="s">
        <v>281</v>
      </c>
      <c r="S1" s="262" t="s">
        <v>282</v>
      </c>
      <c r="T1" s="263" t="s">
        <v>141</v>
      </c>
      <c r="U1" s="264"/>
    </row>
    <row r="2" spans="1:21" s="270" customFormat="1" ht="17.25" customHeight="1" x14ac:dyDescent="0.25">
      <c r="A2" s="265"/>
      <c r="B2" s="266"/>
      <c r="C2" s="267">
        <v>252</v>
      </c>
      <c r="D2" s="267">
        <v>254</v>
      </c>
      <c r="E2" s="267">
        <v>256</v>
      </c>
      <c r="F2" s="267">
        <v>258</v>
      </c>
      <c r="G2" s="267">
        <v>260</v>
      </c>
      <c r="H2" s="267">
        <v>263</v>
      </c>
      <c r="I2" s="267">
        <v>267</v>
      </c>
      <c r="J2" s="267">
        <v>268</v>
      </c>
      <c r="K2" s="267">
        <v>270</v>
      </c>
      <c r="L2" s="267">
        <v>272</v>
      </c>
      <c r="M2" s="267">
        <v>302</v>
      </c>
      <c r="N2" s="267">
        <v>304</v>
      </c>
      <c r="O2" s="267">
        <v>306</v>
      </c>
      <c r="P2" s="267">
        <v>308</v>
      </c>
      <c r="Q2" s="267">
        <v>310</v>
      </c>
      <c r="R2" s="267">
        <v>282</v>
      </c>
      <c r="S2" s="267">
        <v>266</v>
      </c>
      <c r="T2" s="268"/>
      <c r="U2" s="269"/>
    </row>
    <row r="3" spans="1:21" s="274" customFormat="1" ht="18" customHeight="1" x14ac:dyDescent="0.25">
      <c r="A3" s="271" t="s">
        <v>1</v>
      </c>
      <c r="B3" s="272" t="s">
        <v>2</v>
      </c>
      <c r="C3" s="273">
        <f>+C26/$T26</f>
        <v>2.2061038340758295E-2</v>
      </c>
      <c r="D3" s="273">
        <f t="shared" ref="D3:T3" si="0">+D26/$T26</f>
        <v>0.66095330179180933</v>
      </c>
      <c r="E3" s="273">
        <f t="shared" si="0"/>
        <v>6.4533924889457667E-2</v>
      </c>
      <c r="F3" s="273">
        <f t="shared" si="0"/>
        <v>1.3789293078227528E-2</v>
      </c>
      <c r="G3" s="273">
        <f t="shared" si="0"/>
        <v>9.5113837387523076E-2</v>
      </c>
      <c r="H3" s="273">
        <f t="shared" si="0"/>
        <v>5.7586024985812972E-2</v>
      </c>
      <c r="I3" s="273">
        <f t="shared" si="0"/>
        <v>1.3850035197145619E-2</v>
      </c>
      <c r="J3" s="273">
        <f t="shared" si="0"/>
        <v>5.8745117748181485E-4</v>
      </c>
      <c r="K3" s="273">
        <f t="shared" si="0"/>
        <v>1.7307343472552052E-4</v>
      </c>
      <c r="L3" s="273">
        <f t="shared" si="0"/>
        <v>3.1261389147297144E-3</v>
      </c>
      <c r="M3" s="273">
        <f t="shared" si="0"/>
        <v>5.9077951276499789E-5</v>
      </c>
      <c r="N3" s="273">
        <f t="shared" si="0"/>
        <v>2.8537146718011785E-2</v>
      </c>
      <c r="O3" s="273">
        <f t="shared" si="0"/>
        <v>8.6436867304264756E-3</v>
      </c>
      <c r="P3" s="273">
        <f t="shared" si="0"/>
        <v>3.4032228270547063E-4</v>
      </c>
      <c r="Q3" s="273">
        <f t="shared" si="0"/>
        <v>1.6682448523134427E-2</v>
      </c>
      <c r="R3" s="273">
        <f t="shared" si="0"/>
        <v>1.3722726372563866E-2</v>
      </c>
      <c r="S3" s="273">
        <f t="shared" si="0"/>
        <v>2.4047222420997801E-4</v>
      </c>
      <c r="T3" s="273">
        <f t="shared" si="0"/>
        <v>1</v>
      </c>
    </row>
    <row r="4" spans="1:21" ht="18" customHeight="1" x14ac:dyDescent="0.25">
      <c r="A4" s="275" t="s">
        <v>7</v>
      </c>
      <c r="B4" s="276" t="s">
        <v>284</v>
      </c>
      <c r="C4" s="277">
        <f t="shared" ref="C4:T17" si="1">+C27/$T27</f>
        <v>8.12401471361009E-3</v>
      </c>
      <c r="D4" s="277">
        <f t="shared" si="1"/>
        <v>0.6706988964792433</v>
      </c>
      <c r="E4" s="277">
        <f t="shared" si="1"/>
        <v>2.1681555438780871E-2</v>
      </c>
      <c r="F4" s="277">
        <f t="shared" si="1"/>
        <v>5.4440357330530738E-3</v>
      </c>
      <c r="G4" s="277">
        <f t="shared" si="1"/>
        <v>4.4771413557540725E-2</v>
      </c>
      <c r="H4" s="277">
        <f t="shared" si="1"/>
        <v>5.254860746190226E-3</v>
      </c>
      <c r="I4" s="277">
        <f t="shared" si="1"/>
        <v>1.4965843405149764E-2</v>
      </c>
      <c r="J4" s="277">
        <f t="shared" si="1"/>
        <v>2.112454019968471E-3</v>
      </c>
      <c r="K4" s="277">
        <f t="shared" si="1"/>
        <v>5.0236468733578562E-3</v>
      </c>
      <c r="L4" s="277">
        <f t="shared" si="1"/>
        <v>1.1245401996847083E-3</v>
      </c>
      <c r="M4" s="277">
        <f t="shared" si="1"/>
        <v>1.0509721492380452E-5</v>
      </c>
      <c r="N4" s="277">
        <f t="shared" si="1"/>
        <v>0.12998423541776144</v>
      </c>
      <c r="O4" s="277">
        <f t="shared" si="1"/>
        <v>1.8917498686284813E-4</v>
      </c>
      <c r="P4" s="277">
        <f t="shared" si="1"/>
        <v>1.862322648449816E-2</v>
      </c>
      <c r="Q4" s="277">
        <f t="shared" si="1"/>
        <v>9.6479243300052545E-3</v>
      </c>
      <c r="R4" s="277">
        <f t="shared" si="1"/>
        <v>5.2548607461902258E-5</v>
      </c>
      <c r="S4" s="277">
        <f t="shared" si="1"/>
        <v>6.2291119285338939E-2</v>
      </c>
      <c r="T4" s="277">
        <f t="shared" si="1"/>
        <v>1</v>
      </c>
    </row>
    <row r="5" spans="1:21" ht="18" customHeight="1" x14ac:dyDescent="0.25">
      <c r="A5" s="275" t="s">
        <v>10</v>
      </c>
      <c r="B5" s="276" t="s">
        <v>285</v>
      </c>
      <c r="C5" s="277">
        <f t="shared" si="1"/>
        <v>0</v>
      </c>
      <c r="D5" s="277">
        <f t="shared" si="1"/>
        <v>4.7614031391551667E-2</v>
      </c>
      <c r="E5" s="277">
        <f t="shared" si="1"/>
        <v>0</v>
      </c>
      <c r="F5" s="277">
        <f t="shared" si="1"/>
        <v>5.6884019804066153E-3</v>
      </c>
      <c r="G5" s="277">
        <f t="shared" si="1"/>
        <v>2.1068155482987464E-4</v>
      </c>
      <c r="H5" s="277">
        <f t="shared" si="1"/>
        <v>0</v>
      </c>
      <c r="I5" s="277">
        <f t="shared" si="1"/>
        <v>8.4272621931949857E-4</v>
      </c>
      <c r="J5" s="277">
        <f t="shared" si="1"/>
        <v>1.2640893289792478E-3</v>
      </c>
      <c r="K5" s="277">
        <f t="shared" si="1"/>
        <v>8.4272621931949857E-4</v>
      </c>
      <c r="L5" s="277">
        <f t="shared" si="1"/>
        <v>0.14874117770989151</v>
      </c>
      <c r="M5" s="277">
        <f t="shared" si="1"/>
        <v>0</v>
      </c>
      <c r="N5" s="277">
        <f t="shared" si="1"/>
        <v>0.78131254608659007</v>
      </c>
      <c r="O5" s="277">
        <f t="shared" si="1"/>
        <v>0</v>
      </c>
      <c r="P5" s="277">
        <f t="shared" si="1"/>
        <v>8.4272621931949857E-4</v>
      </c>
      <c r="Q5" s="277">
        <f t="shared" si="1"/>
        <v>1.2008848625302855E-2</v>
      </c>
      <c r="R5" s="277">
        <f t="shared" si="1"/>
        <v>0</v>
      </c>
      <c r="S5" s="277">
        <f t="shared" si="1"/>
        <v>6.3204466448962392E-4</v>
      </c>
      <c r="T5" s="277">
        <f t="shared" si="1"/>
        <v>1</v>
      </c>
    </row>
    <row r="6" spans="1:21" ht="18" customHeight="1" x14ac:dyDescent="0.25">
      <c r="A6" s="275" t="s">
        <v>12</v>
      </c>
      <c r="B6" s="276" t="s">
        <v>286</v>
      </c>
      <c r="C6" s="277">
        <f t="shared" si="1"/>
        <v>5.3622267061002237E-3</v>
      </c>
      <c r="D6" s="277">
        <f t="shared" si="1"/>
        <v>5.9868984770170539E-2</v>
      </c>
      <c r="E6" s="277">
        <f t="shared" si="1"/>
        <v>4.2842532961110038E-3</v>
      </c>
      <c r="F6" s="277">
        <f t="shared" si="1"/>
        <v>3.123358854584151E-3</v>
      </c>
      <c r="G6" s="277">
        <f t="shared" si="1"/>
        <v>0.83346692832858837</v>
      </c>
      <c r="H6" s="277">
        <f t="shared" si="1"/>
        <v>8.070980402996213E-3</v>
      </c>
      <c r="I6" s="277">
        <f t="shared" si="1"/>
        <v>1.7689820061361564E-3</v>
      </c>
      <c r="J6" s="277">
        <f t="shared" si="1"/>
        <v>3.3168412615052932E-3</v>
      </c>
      <c r="K6" s="277">
        <f t="shared" si="1"/>
        <v>4.4224550153403909E-4</v>
      </c>
      <c r="L6" s="277">
        <f t="shared" si="1"/>
        <v>6.0808756460930375E-4</v>
      </c>
      <c r="M6" s="277">
        <f t="shared" si="1"/>
        <v>0</v>
      </c>
      <c r="N6" s="277">
        <f t="shared" si="1"/>
        <v>1.8505210204814947E-2</v>
      </c>
      <c r="O6" s="277">
        <f t="shared" si="1"/>
        <v>3.4992675308880845E-2</v>
      </c>
      <c r="P6" s="277">
        <f t="shared" si="1"/>
        <v>3.3168412615052932E-4</v>
      </c>
      <c r="Q6" s="277">
        <f t="shared" si="1"/>
        <v>2.0509135133641061E-2</v>
      </c>
      <c r="R6" s="277">
        <f t="shared" si="1"/>
        <v>0</v>
      </c>
      <c r="S6" s="277">
        <f t="shared" si="1"/>
        <v>5.3484065341772849E-3</v>
      </c>
      <c r="T6" s="277">
        <f t="shared" si="1"/>
        <v>1</v>
      </c>
    </row>
    <row r="7" spans="1:21" ht="18" customHeight="1" x14ac:dyDescent="0.25">
      <c r="A7" s="275" t="s">
        <v>15</v>
      </c>
      <c r="B7" s="276" t="s">
        <v>17</v>
      </c>
      <c r="C7" s="277">
        <f t="shared" si="1"/>
        <v>8.5600733720574747E-4</v>
      </c>
      <c r="D7" s="277">
        <f t="shared" si="1"/>
        <v>5.9247936410883523E-2</v>
      </c>
      <c r="E7" s="277">
        <f t="shared" si="1"/>
        <v>1.5897279119535311E-3</v>
      </c>
      <c r="F7" s="277">
        <f t="shared" si="1"/>
        <v>9.1715071843472939E-4</v>
      </c>
      <c r="G7" s="277">
        <f t="shared" si="1"/>
        <v>6.4811984102720877E-3</v>
      </c>
      <c r="H7" s="277">
        <f t="shared" si="1"/>
        <v>0.91342097217976159</v>
      </c>
      <c r="I7" s="277">
        <f t="shared" si="1"/>
        <v>0</v>
      </c>
      <c r="J7" s="277">
        <f t="shared" si="1"/>
        <v>1.5285845307245491E-3</v>
      </c>
      <c r="K7" s="277">
        <f t="shared" si="1"/>
        <v>9.293793946805259E-3</v>
      </c>
      <c r="L7" s="277">
        <f t="shared" si="1"/>
        <v>0</v>
      </c>
      <c r="M7" s="277">
        <f t="shared" si="1"/>
        <v>0</v>
      </c>
      <c r="N7" s="277">
        <f t="shared" si="1"/>
        <v>1.8954448180984408E-3</v>
      </c>
      <c r="O7" s="277">
        <f t="shared" si="1"/>
        <v>0</v>
      </c>
      <c r="P7" s="277">
        <f t="shared" si="1"/>
        <v>0</v>
      </c>
      <c r="Q7" s="277">
        <f t="shared" si="1"/>
        <v>2.1400183430143687E-3</v>
      </c>
      <c r="R7" s="277">
        <f t="shared" si="1"/>
        <v>1.8343014368694588E-4</v>
      </c>
      <c r="S7" s="277">
        <f t="shared" si="1"/>
        <v>2.4457352491592784E-3</v>
      </c>
      <c r="T7" s="277">
        <f t="shared" si="1"/>
        <v>1</v>
      </c>
    </row>
    <row r="8" spans="1:21" ht="18" customHeight="1" x14ac:dyDescent="0.25">
      <c r="A8" s="275" t="s">
        <v>18</v>
      </c>
      <c r="B8" s="278" t="s">
        <v>19</v>
      </c>
      <c r="C8" s="277">
        <f>+IF($T31&gt;0,C31/$T31,0)</f>
        <v>0</v>
      </c>
      <c r="D8" s="277">
        <f t="shared" si="1"/>
        <v>3.1499623210248684E-2</v>
      </c>
      <c r="E8" s="277">
        <f t="shared" si="1"/>
        <v>2.0095453403667419E-4</v>
      </c>
      <c r="F8" s="277">
        <f t="shared" si="1"/>
        <v>0.94785229841748309</v>
      </c>
      <c r="G8" s="277">
        <f t="shared" si="1"/>
        <v>3.5167043456417983E-4</v>
      </c>
      <c r="H8" s="277">
        <f t="shared" si="1"/>
        <v>4.3205224817884956E-3</v>
      </c>
      <c r="I8" s="277">
        <f t="shared" si="1"/>
        <v>8.5405676965586536E-4</v>
      </c>
      <c r="J8" s="277">
        <f t="shared" si="1"/>
        <v>0</v>
      </c>
      <c r="K8" s="277">
        <f t="shared" si="1"/>
        <v>6.6314996232102489E-3</v>
      </c>
      <c r="L8" s="277">
        <f t="shared" si="1"/>
        <v>3.0645566440592816E-3</v>
      </c>
      <c r="M8" s="277">
        <f t="shared" si="1"/>
        <v>0</v>
      </c>
      <c r="N8" s="277">
        <f t="shared" si="1"/>
        <v>1.3564431047475508E-3</v>
      </c>
      <c r="O8" s="277">
        <f t="shared" si="1"/>
        <v>5.0238633509168548E-4</v>
      </c>
      <c r="P8" s="277">
        <f t="shared" si="1"/>
        <v>0</v>
      </c>
      <c r="Q8" s="277">
        <f t="shared" si="1"/>
        <v>1.8085908063300679E-3</v>
      </c>
      <c r="R8" s="277">
        <f t="shared" si="1"/>
        <v>0</v>
      </c>
      <c r="S8" s="277">
        <f t="shared" si="1"/>
        <v>1.557397638784225E-3</v>
      </c>
      <c r="T8" s="277">
        <f t="shared" si="1"/>
        <v>1</v>
      </c>
    </row>
    <row r="9" spans="1:21" ht="18" customHeight="1" x14ac:dyDescent="0.25">
      <c r="A9" s="275" t="s">
        <v>20</v>
      </c>
      <c r="B9" s="276" t="s">
        <v>155</v>
      </c>
      <c r="C9" s="277">
        <f t="shared" ref="C9:T9" si="2">+IF($T32&gt;0,C32/$T32,0)</f>
        <v>0</v>
      </c>
      <c r="D9" s="277">
        <f t="shared" si="2"/>
        <v>0</v>
      </c>
      <c r="E9" s="277">
        <f t="shared" si="2"/>
        <v>0</v>
      </c>
      <c r="F9" s="277">
        <f t="shared" si="2"/>
        <v>0</v>
      </c>
      <c r="G9" s="277">
        <f t="shared" si="2"/>
        <v>0</v>
      </c>
      <c r="H9" s="277">
        <f t="shared" si="2"/>
        <v>0</v>
      </c>
      <c r="I9" s="277">
        <f t="shared" si="2"/>
        <v>1</v>
      </c>
      <c r="J9" s="277">
        <f t="shared" si="2"/>
        <v>0</v>
      </c>
      <c r="K9" s="277">
        <f t="shared" si="2"/>
        <v>0</v>
      </c>
      <c r="L9" s="277">
        <f t="shared" si="2"/>
        <v>0</v>
      </c>
      <c r="M9" s="277">
        <f t="shared" si="2"/>
        <v>0</v>
      </c>
      <c r="N9" s="277">
        <f t="shared" si="2"/>
        <v>0</v>
      </c>
      <c r="O9" s="277">
        <f t="shared" si="2"/>
        <v>0</v>
      </c>
      <c r="P9" s="277">
        <f t="shared" si="2"/>
        <v>0</v>
      </c>
      <c r="Q9" s="277">
        <f t="shared" si="2"/>
        <v>0</v>
      </c>
      <c r="R9" s="277">
        <f t="shared" si="2"/>
        <v>0</v>
      </c>
      <c r="S9" s="277">
        <f t="shared" si="2"/>
        <v>0</v>
      </c>
      <c r="T9" s="277">
        <f t="shared" si="2"/>
        <v>1</v>
      </c>
    </row>
    <row r="10" spans="1:21" ht="18" customHeight="1" x14ac:dyDescent="0.25">
      <c r="A10" s="275" t="s">
        <v>21</v>
      </c>
      <c r="B10" s="276" t="s">
        <v>22</v>
      </c>
      <c r="C10" s="277">
        <f t="shared" si="1"/>
        <v>1.9406171162429653E-4</v>
      </c>
      <c r="D10" s="277">
        <f t="shared" si="1"/>
        <v>9.9941781486512712E-3</v>
      </c>
      <c r="E10" s="277">
        <f t="shared" si="1"/>
        <v>0</v>
      </c>
      <c r="F10" s="277">
        <f t="shared" si="1"/>
        <v>1.455462837182224E-3</v>
      </c>
      <c r="G10" s="277">
        <f t="shared" si="1"/>
        <v>0</v>
      </c>
      <c r="H10" s="277">
        <f t="shared" si="1"/>
        <v>2.9109256743644479E-4</v>
      </c>
      <c r="I10" s="277">
        <f t="shared" si="1"/>
        <v>0</v>
      </c>
      <c r="J10" s="277">
        <f t="shared" si="1"/>
        <v>0</v>
      </c>
      <c r="K10" s="277">
        <f t="shared" si="1"/>
        <v>3.1049873859887445E-3</v>
      </c>
      <c r="L10" s="277">
        <f t="shared" si="1"/>
        <v>0.95497768290316321</v>
      </c>
      <c r="M10" s="277">
        <f t="shared" si="1"/>
        <v>0</v>
      </c>
      <c r="N10" s="277">
        <f t="shared" si="1"/>
        <v>1.1546671841645643E-2</v>
      </c>
      <c r="O10" s="277">
        <f t="shared" si="1"/>
        <v>1.9406171162429653E-4</v>
      </c>
      <c r="P10" s="277">
        <f t="shared" si="1"/>
        <v>0</v>
      </c>
      <c r="Q10" s="277">
        <f t="shared" si="1"/>
        <v>1.8241800892683874E-2</v>
      </c>
      <c r="R10" s="277">
        <f t="shared" si="1"/>
        <v>0</v>
      </c>
      <c r="S10" s="277">
        <f t="shared" si="1"/>
        <v>0</v>
      </c>
      <c r="T10" s="277">
        <f t="shared" si="1"/>
        <v>1</v>
      </c>
    </row>
    <row r="11" spans="1:21" ht="18" customHeight="1" x14ac:dyDescent="0.25">
      <c r="A11" s="275" t="s">
        <v>23</v>
      </c>
      <c r="B11" s="276" t="s">
        <v>25</v>
      </c>
      <c r="C11" s="277">
        <f t="shared" si="1"/>
        <v>3.0643513789581204E-4</v>
      </c>
      <c r="D11" s="277">
        <f t="shared" si="1"/>
        <v>5.5260469867211441E-2</v>
      </c>
      <c r="E11" s="277">
        <f t="shared" si="1"/>
        <v>6.1287027579162408E-4</v>
      </c>
      <c r="F11" s="277">
        <f t="shared" si="1"/>
        <v>6.1287027579162408E-4</v>
      </c>
      <c r="G11" s="277">
        <f t="shared" si="1"/>
        <v>4.8008171603677223E-3</v>
      </c>
      <c r="H11" s="277">
        <f t="shared" si="1"/>
        <v>2.9622063329928497E-3</v>
      </c>
      <c r="I11" s="277">
        <f t="shared" si="1"/>
        <v>4.0858018386108274E-4</v>
      </c>
      <c r="J11" s="277">
        <f t="shared" si="1"/>
        <v>5.1072522982635344E-4</v>
      </c>
      <c r="K11" s="277">
        <f t="shared" si="1"/>
        <v>3.2686414708886619E-3</v>
      </c>
      <c r="L11" s="277">
        <f t="shared" si="1"/>
        <v>9.1930541368743612E-4</v>
      </c>
      <c r="M11" s="277">
        <f t="shared" si="1"/>
        <v>2.0429009193054137E-4</v>
      </c>
      <c r="N11" s="277">
        <f t="shared" si="1"/>
        <v>2.7528089887640449E-2</v>
      </c>
      <c r="O11" s="277">
        <f t="shared" si="1"/>
        <v>4.0858018386108274E-4</v>
      </c>
      <c r="P11" s="277">
        <f t="shared" si="1"/>
        <v>5.5158324821246172E-3</v>
      </c>
      <c r="Q11" s="277">
        <f t="shared" si="1"/>
        <v>0.89484167517875379</v>
      </c>
      <c r="R11" s="277">
        <f t="shared" si="1"/>
        <v>0</v>
      </c>
      <c r="S11" s="277">
        <f t="shared" si="1"/>
        <v>1.8386108273748722E-3</v>
      </c>
      <c r="T11" s="277">
        <f t="shared" si="1"/>
        <v>1</v>
      </c>
    </row>
    <row r="12" spans="1:21" ht="18" customHeight="1" x14ac:dyDescent="0.25">
      <c r="A12" s="275" t="s">
        <v>26</v>
      </c>
      <c r="B12" s="276" t="s">
        <v>27</v>
      </c>
      <c r="C12" s="277">
        <f t="shared" si="1"/>
        <v>4.1851106639839031E-3</v>
      </c>
      <c r="D12" s="277">
        <f t="shared" si="1"/>
        <v>2.7847082494969817E-2</v>
      </c>
      <c r="E12" s="277">
        <f t="shared" si="1"/>
        <v>0</v>
      </c>
      <c r="F12" s="277">
        <f t="shared" si="1"/>
        <v>4.8289738430583502E-4</v>
      </c>
      <c r="G12" s="277">
        <f t="shared" si="1"/>
        <v>4.9899396378269619E-3</v>
      </c>
      <c r="H12" s="277">
        <f t="shared" si="1"/>
        <v>1.6096579476861167E-3</v>
      </c>
      <c r="I12" s="277">
        <f t="shared" si="1"/>
        <v>0</v>
      </c>
      <c r="J12" s="277">
        <f t="shared" si="1"/>
        <v>3.0583501006036218E-3</v>
      </c>
      <c r="K12" s="277">
        <f t="shared" si="1"/>
        <v>5.4728370221327968E-3</v>
      </c>
      <c r="L12" s="277">
        <f t="shared" si="1"/>
        <v>1.2233400402414487E-2</v>
      </c>
      <c r="M12" s="277">
        <f t="shared" si="1"/>
        <v>1.448692152917505E-3</v>
      </c>
      <c r="N12" s="277">
        <f t="shared" si="1"/>
        <v>0.17456740442655935</v>
      </c>
      <c r="O12" s="277">
        <f t="shared" si="1"/>
        <v>1.6096579476861167E-3</v>
      </c>
      <c r="P12" s="277">
        <f t="shared" si="1"/>
        <v>3.7022132796780682E-3</v>
      </c>
      <c r="Q12" s="277">
        <f t="shared" si="1"/>
        <v>0.75702213279678066</v>
      </c>
      <c r="R12" s="277">
        <f t="shared" si="1"/>
        <v>0</v>
      </c>
      <c r="S12" s="277">
        <f t="shared" si="1"/>
        <v>1.7706237424547284E-3</v>
      </c>
      <c r="T12" s="277">
        <f t="shared" si="1"/>
        <v>1</v>
      </c>
    </row>
    <row r="13" spans="1:21" ht="18" customHeight="1" x14ac:dyDescent="0.25">
      <c r="A13" s="279" t="s">
        <v>28</v>
      </c>
      <c r="B13" s="278" t="s">
        <v>30</v>
      </c>
      <c r="C13" s="277">
        <f t="shared" si="1"/>
        <v>0.94225089382869576</v>
      </c>
      <c r="D13" s="277">
        <f t="shared" si="1"/>
        <v>1.7410228509249184E-2</v>
      </c>
      <c r="E13" s="277">
        <f t="shared" si="1"/>
        <v>5.0520752370589147E-3</v>
      </c>
      <c r="F13" s="277">
        <f t="shared" si="1"/>
        <v>0</v>
      </c>
      <c r="G13" s="277">
        <f t="shared" si="1"/>
        <v>5.2075237058914967E-3</v>
      </c>
      <c r="H13" s="277">
        <f t="shared" si="1"/>
        <v>1.2669050209855433E-2</v>
      </c>
      <c r="I13" s="277">
        <f t="shared" si="1"/>
        <v>1.55448468832582E-4</v>
      </c>
      <c r="J13" s="277">
        <f t="shared" si="1"/>
        <v>4.6634540649774601E-4</v>
      </c>
      <c r="K13" s="277">
        <f t="shared" si="1"/>
        <v>1.313539561635318E-2</v>
      </c>
      <c r="L13" s="277">
        <f t="shared" si="1"/>
        <v>0</v>
      </c>
      <c r="M13" s="277">
        <f t="shared" si="1"/>
        <v>0</v>
      </c>
      <c r="N13" s="277">
        <f t="shared" si="1"/>
        <v>5.4406964091403701E-4</v>
      </c>
      <c r="O13" s="277">
        <f t="shared" si="1"/>
        <v>0</v>
      </c>
      <c r="P13" s="277">
        <f t="shared" si="1"/>
        <v>0</v>
      </c>
      <c r="Q13" s="277">
        <f t="shared" si="1"/>
        <v>3.1089693766516401E-3</v>
      </c>
      <c r="R13" s="277">
        <f t="shared" si="1"/>
        <v>0</v>
      </c>
      <c r="S13" s="277">
        <f t="shared" si="1"/>
        <v>0</v>
      </c>
      <c r="T13" s="277">
        <f t="shared" si="1"/>
        <v>1</v>
      </c>
    </row>
    <row r="14" spans="1:21" ht="18" customHeight="1" x14ac:dyDescent="0.25">
      <c r="A14" s="275" t="s">
        <v>31</v>
      </c>
      <c r="B14" s="278" t="s">
        <v>33</v>
      </c>
      <c r="C14" s="277">
        <f t="shared" si="1"/>
        <v>0</v>
      </c>
      <c r="D14" s="277">
        <f t="shared" si="1"/>
        <v>3.5103115401491883E-3</v>
      </c>
      <c r="E14" s="277">
        <f t="shared" si="1"/>
        <v>8.7757788503729707E-4</v>
      </c>
      <c r="F14" s="277">
        <f t="shared" si="1"/>
        <v>0</v>
      </c>
      <c r="G14" s="277">
        <f t="shared" si="1"/>
        <v>0.94164107064501978</v>
      </c>
      <c r="H14" s="277">
        <f t="shared" si="1"/>
        <v>6.1430451952610796E-3</v>
      </c>
      <c r="I14" s="277">
        <f t="shared" si="1"/>
        <v>4.3878894251864857E-3</v>
      </c>
      <c r="J14" s="277">
        <f t="shared" si="1"/>
        <v>0</v>
      </c>
      <c r="K14" s="277">
        <f t="shared" si="1"/>
        <v>0</v>
      </c>
      <c r="L14" s="277">
        <f t="shared" si="1"/>
        <v>0</v>
      </c>
      <c r="M14" s="277">
        <f t="shared" si="1"/>
        <v>0</v>
      </c>
      <c r="N14" s="277">
        <f t="shared" si="1"/>
        <v>3.6858271171566474E-2</v>
      </c>
      <c r="O14" s="277">
        <f t="shared" si="1"/>
        <v>0</v>
      </c>
      <c r="P14" s="277">
        <f t="shared" si="1"/>
        <v>0</v>
      </c>
      <c r="Q14" s="277">
        <f t="shared" si="1"/>
        <v>1.3163668275559457E-3</v>
      </c>
      <c r="R14" s="277">
        <f t="shared" si="1"/>
        <v>0</v>
      </c>
      <c r="S14" s="277">
        <f t="shared" si="1"/>
        <v>5.2654673102237827E-3</v>
      </c>
      <c r="T14" s="277">
        <f t="shared" si="1"/>
        <v>1</v>
      </c>
    </row>
    <row r="15" spans="1:21" ht="18" customHeight="1" x14ac:dyDescent="0.25">
      <c r="A15" s="275" t="s">
        <v>34</v>
      </c>
      <c r="B15" s="280" t="s">
        <v>35</v>
      </c>
      <c r="C15" s="277">
        <f t="shared" si="1"/>
        <v>8.7995479131347375E-3</v>
      </c>
      <c r="D15" s="277">
        <f t="shared" si="1"/>
        <v>4.4643577944619359E-2</v>
      </c>
      <c r="E15" s="277">
        <f t="shared" si="1"/>
        <v>1.5257931702591427E-2</v>
      </c>
      <c r="F15" s="277">
        <f t="shared" si="1"/>
        <v>4.0364898684104302E-3</v>
      </c>
      <c r="G15" s="277">
        <f t="shared" si="1"/>
        <v>1.9375151368370065E-3</v>
      </c>
      <c r="H15" s="277">
        <f t="shared" si="1"/>
        <v>2.494550738677646E-2</v>
      </c>
      <c r="I15" s="277">
        <f t="shared" si="1"/>
        <v>1.3724065552595463E-3</v>
      </c>
      <c r="J15" s="277">
        <f t="shared" si="1"/>
        <v>4.6015984499878908E-3</v>
      </c>
      <c r="K15" s="277">
        <f t="shared" si="1"/>
        <v>0.86316299346088643</v>
      </c>
      <c r="L15" s="277">
        <f t="shared" si="1"/>
        <v>3.5521110842011787E-3</v>
      </c>
      <c r="M15" s="277">
        <f t="shared" si="1"/>
        <v>0</v>
      </c>
      <c r="N15" s="277">
        <f t="shared" si="1"/>
        <v>5.4896262210381852E-3</v>
      </c>
      <c r="O15" s="277">
        <f t="shared" si="1"/>
        <v>0</v>
      </c>
      <c r="P15" s="277">
        <f t="shared" si="1"/>
        <v>0</v>
      </c>
      <c r="Q15" s="277">
        <f t="shared" si="1"/>
        <v>2.1958504884152741E-2</v>
      </c>
      <c r="R15" s="277">
        <f t="shared" si="1"/>
        <v>0</v>
      </c>
      <c r="S15" s="277">
        <f t="shared" si="1"/>
        <v>2.4218939210462581E-4</v>
      </c>
      <c r="T15" s="277">
        <f t="shared" si="1"/>
        <v>1</v>
      </c>
    </row>
    <row r="16" spans="1:21" ht="18" customHeight="1" x14ac:dyDescent="0.25">
      <c r="A16" s="275" t="s">
        <v>156</v>
      </c>
      <c r="B16" s="280" t="s">
        <v>36</v>
      </c>
      <c r="C16" s="277">
        <f t="shared" si="1"/>
        <v>2.7319996474839165E-3</v>
      </c>
      <c r="D16" s="277">
        <f t="shared" si="1"/>
        <v>4.8470961487617871E-3</v>
      </c>
      <c r="E16" s="277">
        <f t="shared" si="1"/>
        <v>0.97699832554860311</v>
      </c>
      <c r="F16" s="277">
        <f t="shared" si="1"/>
        <v>0</v>
      </c>
      <c r="G16" s="277">
        <f t="shared" si="1"/>
        <v>4.2301930025557414E-3</v>
      </c>
      <c r="H16" s="277">
        <f t="shared" si="1"/>
        <v>0</v>
      </c>
      <c r="I16" s="277">
        <f t="shared" si="1"/>
        <v>2.4676125848241827E-3</v>
      </c>
      <c r="J16" s="277">
        <f t="shared" si="1"/>
        <v>8.8129020886577945E-4</v>
      </c>
      <c r="K16" s="277">
        <f t="shared" si="1"/>
        <v>4.5827090861020534E-3</v>
      </c>
      <c r="L16" s="277">
        <f t="shared" si="1"/>
        <v>0</v>
      </c>
      <c r="M16" s="277">
        <f t="shared" si="1"/>
        <v>0</v>
      </c>
      <c r="N16" s="277">
        <f t="shared" si="1"/>
        <v>1.4100643341852471E-3</v>
      </c>
      <c r="O16" s="277">
        <f t="shared" si="1"/>
        <v>0</v>
      </c>
      <c r="P16" s="277">
        <f t="shared" si="1"/>
        <v>0</v>
      </c>
      <c r="Q16" s="277">
        <f t="shared" si="1"/>
        <v>1.8507094386181369E-3</v>
      </c>
      <c r="R16" s="277">
        <f t="shared" si="1"/>
        <v>0</v>
      </c>
      <c r="S16" s="277">
        <f t="shared" si="1"/>
        <v>0</v>
      </c>
      <c r="T16" s="277">
        <f t="shared" si="1"/>
        <v>1</v>
      </c>
    </row>
    <row r="17" spans="1:20" x14ac:dyDescent="0.25">
      <c r="A17" s="275" t="s">
        <v>37</v>
      </c>
      <c r="B17" s="280" t="s">
        <v>39</v>
      </c>
      <c r="C17" s="277">
        <f>+C40/$T40</f>
        <v>7.0749502542560253E-4</v>
      </c>
      <c r="D17" s="277">
        <f>+D40/$T40</f>
        <v>6.4116736679195223E-3</v>
      </c>
      <c r="E17" s="277">
        <f>+E40/$T40</f>
        <v>2.5646694671678091E-3</v>
      </c>
      <c r="F17" s="277">
        <f t="shared" si="1"/>
        <v>1.149679416316604E-3</v>
      </c>
      <c r="G17" s="277">
        <f t="shared" si="1"/>
        <v>1.7687375635640063E-4</v>
      </c>
      <c r="H17" s="277">
        <f t="shared" si="1"/>
        <v>1.3265531726730045E-4</v>
      </c>
      <c r="I17" s="277">
        <f t="shared" si="1"/>
        <v>3.5374751271280125E-3</v>
      </c>
      <c r="J17" s="277">
        <f t="shared" si="1"/>
        <v>0.98257793499889456</v>
      </c>
      <c r="K17" s="277">
        <f t="shared" si="1"/>
        <v>1.7687375635640063E-4</v>
      </c>
      <c r="L17" s="277">
        <f t="shared" si="1"/>
        <v>1.3265531726730045E-4</v>
      </c>
      <c r="M17" s="277">
        <f t="shared" si="1"/>
        <v>0</v>
      </c>
      <c r="N17" s="277">
        <f t="shared" si="1"/>
        <v>4.4218439089100158E-5</v>
      </c>
      <c r="O17" s="277">
        <f t="shared" si="1"/>
        <v>0</v>
      </c>
      <c r="P17" s="277">
        <f t="shared" si="1"/>
        <v>1.3265531726730045E-4</v>
      </c>
      <c r="Q17" s="277">
        <f t="shared" si="1"/>
        <v>1.9013928808313066E-3</v>
      </c>
      <c r="R17" s="277">
        <f t="shared" si="1"/>
        <v>0</v>
      </c>
      <c r="S17" s="277">
        <f t="shared" si="1"/>
        <v>3.5374751271280126E-4</v>
      </c>
      <c r="T17" s="277">
        <f t="shared" si="1"/>
        <v>1</v>
      </c>
    </row>
    <row r="18" spans="1:20" x14ac:dyDescent="0.25">
      <c r="A18" s="275" t="s">
        <v>40</v>
      </c>
      <c r="B18" s="278" t="s">
        <v>42</v>
      </c>
      <c r="C18" s="277">
        <f t="shared" ref="C18:T23" si="3">+C41/$T41</f>
        <v>0</v>
      </c>
      <c r="D18" s="277">
        <f t="shared" si="3"/>
        <v>4.4516390125455281E-2</v>
      </c>
      <c r="E18" s="277">
        <f t="shared" si="3"/>
        <v>4.8563334682314848E-3</v>
      </c>
      <c r="F18" s="277">
        <f t="shared" si="3"/>
        <v>0</v>
      </c>
      <c r="G18" s="277">
        <f t="shared" si="3"/>
        <v>0</v>
      </c>
      <c r="H18" s="277">
        <f t="shared" si="3"/>
        <v>1.2140833670578712E-3</v>
      </c>
      <c r="I18" s="277">
        <f t="shared" si="3"/>
        <v>0</v>
      </c>
      <c r="J18" s="277">
        <f t="shared" si="3"/>
        <v>0.93565358154593281</v>
      </c>
      <c r="K18" s="277">
        <f t="shared" si="3"/>
        <v>8.9032780250910565E-3</v>
      </c>
      <c r="L18" s="277">
        <f t="shared" si="3"/>
        <v>0</v>
      </c>
      <c r="M18" s="277">
        <f t="shared" si="3"/>
        <v>0</v>
      </c>
      <c r="N18" s="277">
        <f t="shared" si="3"/>
        <v>1.2140833670578712E-3</v>
      </c>
      <c r="O18" s="277">
        <f t="shared" si="3"/>
        <v>0</v>
      </c>
      <c r="P18" s="277">
        <f t="shared" si="3"/>
        <v>0</v>
      </c>
      <c r="Q18" s="277">
        <f t="shared" si="3"/>
        <v>2.0234722784297854E-3</v>
      </c>
      <c r="R18" s="277">
        <f t="shared" si="3"/>
        <v>0</v>
      </c>
      <c r="S18" s="277">
        <f t="shared" si="3"/>
        <v>1.6187778227438284E-3</v>
      </c>
      <c r="T18" s="277">
        <f t="shared" si="3"/>
        <v>1</v>
      </c>
    </row>
    <row r="19" spans="1:20" x14ac:dyDescent="0.25">
      <c r="A19" s="275" t="s">
        <v>157</v>
      </c>
      <c r="B19" s="280" t="s">
        <v>288</v>
      </c>
      <c r="C19" s="277">
        <f t="shared" si="3"/>
        <v>2.6702269692923898E-3</v>
      </c>
      <c r="D19" s="277">
        <f t="shared" si="3"/>
        <v>4.0053404539385851E-3</v>
      </c>
      <c r="E19" s="277">
        <f t="shared" si="3"/>
        <v>7.1206052514463727E-3</v>
      </c>
      <c r="F19" s="277">
        <f t="shared" si="3"/>
        <v>0</v>
      </c>
      <c r="G19" s="277">
        <f t="shared" si="3"/>
        <v>0</v>
      </c>
      <c r="H19" s="277">
        <f t="shared" si="3"/>
        <v>0</v>
      </c>
      <c r="I19" s="277">
        <f t="shared" si="3"/>
        <v>1.3351134846461949E-3</v>
      </c>
      <c r="J19" s="277">
        <f t="shared" si="3"/>
        <v>0</v>
      </c>
      <c r="K19" s="277">
        <f t="shared" si="3"/>
        <v>8.9007565643079659E-3</v>
      </c>
      <c r="L19" s="277">
        <f t="shared" si="3"/>
        <v>2.6702269692923898E-3</v>
      </c>
      <c r="M19" s="277">
        <f t="shared" si="3"/>
        <v>0</v>
      </c>
      <c r="N19" s="277">
        <f t="shared" si="3"/>
        <v>1.7801513128615932E-2</v>
      </c>
      <c r="O19" s="277">
        <f t="shared" si="3"/>
        <v>0.90787716955941256</v>
      </c>
      <c r="P19" s="277">
        <f t="shared" si="3"/>
        <v>2.4922118380062305E-2</v>
      </c>
      <c r="Q19" s="277">
        <f t="shared" si="3"/>
        <v>2.2251891410769914E-2</v>
      </c>
      <c r="R19" s="277">
        <f t="shared" si="3"/>
        <v>0</v>
      </c>
      <c r="S19" s="277">
        <f t="shared" si="3"/>
        <v>4.450378282153983E-4</v>
      </c>
      <c r="T19" s="277">
        <f t="shared" si="3"/>
        <v>1</v>
      </c>
    </row>
    <row r="20" spans="1:20" x14ac:dyDescent="0.25">
      <c r="A20" s="275" t="s">
        <v>158</v>
      </c>
      <c r="B20" s="280" t="s">
        <v>45</v>
      </c>
      <c r="C20" s="277">
        <f t="shared" si="3"/>
        <v>0</v>
      </c>
      <c r="D20" s="277">
        <f t="shared" si="3"/>
        <v>1.3358268768367619E-3</v>
      </c>
      <c r="E20" s="277">
        <f t="shared" si="3"/>
        <v>5.3433075073470483E-4</v>
      </c>
      <c r="F20" s="277">
        <f t="shared" si="3"/>
        <v>0</v>
      </c>
      <c r="G20" s="277">
        <f t="shared" si="3"/>
        <v>0</v>
      </c>
      <c r="H20" s="277">
        <f t="shared" si="3"/>
        <v>0</v>
      </c>
      <c r="I20" s="277">
        <f t="shared" si="3"/>
        <v>0</v>
      </c>
      <c r="J20" s="277">
        <f t="shared" si="3"/>
        <v>0</v>
      </c>
      <c r="K20" s="277">
        <f t="shared" si="3"/>
        <v>0</v>
      </c>
      <c r="L20" s="277">
        <f t="shared" si="3"/>
        <v>0</v>
      </c>
      <c r="M20" s="277">
        <f t="shared" si="3"/>
        <v>1.0686615014694096E-4</v>
      </c>
      <c r="N20" s="277">
        <f t="shared" si="3"/>
        <v>0.10537002404488378</v>
      </c>
      <c r="O20" s="277">
        <f t="shared" si="3"/>
        <v>1.9770237777184075E-3</v>
      </c>
      <c r="P20" s="277">
        <f t="shared" si="3"/>
        <v>0.88137857333689551</v>
      </c>
      <c r="Q20" s="277">
        <f t="shared" si="3"/>
        <v>9.2973550627838634E-3</v>
      </c>
      <c r="R20" s="277">
        <f t="shared" si="3"/>
        <v>0</v>
      </c>
      <c r="S20" s="277">
        <f t="shared" si="3"/>
        <v>0</v>
      </c>
      <c r="T20" s="277">
        <f t="shared" si="3"/>
        <v>1</v>
      </c>
    </row>
    <row r="21" spans="1:20" x14ac:dyDescent="0.25">
      <c r="A21" s="275" t="s">
        <v>159</v>
      </c>
      <c r="B21" s="280" t="s">
        <v>46</v>
      </c>
      <c r="C21" s="277">
        <f t="shared" si="3"/>
        <v>0</v>
      </c>
      <c r="D21" s="277">
        <f t="shared" si="3"/>
        <v>2.8138629648736109E-4</v>
      </c>
      <c r="E21" s="277">
        <f t="shared" si="3"/>
        <v>0</v>
      </c>
      <c r="F21" s="277">
        <f t="shared" si="3"/>
        <v>0</v>
      </c>
      <c r="G21" s="277">
        <f t="shared" si="3"/>
        <v>3.5173287060920132E-4</v>
      </c>
      <c r="H21" s="277">
        <f t="shared" si="3"/>
        <v>7.0346574121840272E-5</v>
      </c>
      <c r="I21" s="277">
        <f t="shared" si="3"/>
        <v>0</v>
      </c>
      <c r="J21" s="277">
        <f t="shared" si="3"/>
        <v>0</v>
      </c>
      <c r="K21" s="277">
        <f t="shared" si="3"/>
        <v>0</v>
      </c>
      <c r="L21" s="277">
        <f t="shared" si="3"/>
        <v>0</v>
      </c>
      <c r="M21" s="277">
        <f t="shared" si="3"/>
        <v>0</v>
      </c>
      <c r="N21" s="277">
        <f t="shared" si="3"/>
        <v>0.99704544388688265</v>
      </c>
      <c r="O21" s="277">
        <f t="shared" si="3"/>
        <v>0</v>
      </c>
      <c r="P21" s="277">
        <f t="shared" si="3"/>
        <v>0</v>
      </c>
      <c r="Q21" s="277">
        <f t="shared" si="3"/>
        <v>2.2510903718988887E-3</v>
      </c>
      <c r="R21" s="277">
        <f t="shared" si="3"/>
        <v>0</v>
      </c>
      <c r="S21" s="277">
        <f t="shared" si="3"/>
        <v>0</v>
      </c>
      <c r="T21" s="277">
        <f t="shared" si="3"/>
        <v>1</v>
      </c>
    </row>
    <row r="22" spans="1:20" x14ac:dyDescent="0.25">
      <c r="A22" s="275" t="s">
        <v>160</v>
      </c>
      <c r="B22" s="280" t="s">
        <v>48</v>
      </c>
      <c r="C22" s="277">
        <f t="shared" si="3"/>
        <v>0</v>
      </c>
      <c r="D22" s="277">
        <f t="shared" si="3"/>
        <v>3.6616623947272064E-4</v>
      </c>
      <c r="E22" s="277">
        <f t="shared" si="3"/>
        <v>0</v>
      </c>
      <c r="F22" s="277">
        <f t="shared" si="3"/>
        <v>0</v>
      </c>
      <c r="G22" s="277">
        <f t="shared" si="3"/>
        <v>0</v>
      </c>
      <c r="H22" s="277">
        <f t="shared" si="3"/>
        <v>0</v>
      </c>
      <c r="I22" s="277">
        <f t="shared" si="3"/>
        <v>0</v>
      </c>
      <c r="J22" s="277">
        <f t="shared" si="3"/>
        <v>0</v>
      </c>
      <c r="K22" s="277">
        <f t="shared" si="3"/>
        <v>0</v>
      </c>
      <c r="L22" s="277">
        <f t="shared" si="3"/>
        <v>0</v>
      </c>
      <c r="M22" s="277">
        <f t="shared" si="3"/>
        <v>0.870072012693763</v>
      </c>
      <c r="N22" s="277">
        <f t="shared" si="3"/>
        <v>0.12956182106676431</v>
      </c>
      <c r="O22" s="277">
        <f t="shared" si="3"/>
        <v>0</v>
      </c>
      <c r="P22" s="277">
        <f t="shared" si="3"/>
        <v>0</v>
      </c>
      <c r="Q22" s="277">
        <f t="shared" si="3"/>
        <v>0</v>
      </c>
      <c r="R22" s="277">
        <f t="shared" si="3"/>
        <v>0</v>
      </c>
      <c r="S22" s="277">
        <f t="shared" si="3"/>
        <v>0</v>
      </c>
      <c r="T22" s="277">
        <f t="shared" si="3"/>
        <v>1</v>
      </c>
    </row>
    <row r="23" spans="1:20" x14ac:dyDescent="0.25">
      <c r="A23" s="281" t="s">
        <v>161</v>
      </c>
      <c r="B23" s="282" t="s">
        <v>289</v>
      </c>
      <c r="C23" s="283">
        <f t="shared" si="3"/>
        <v>0</v>
      </c>
      <c r="D23" s="283">
        <f t="shared" si="3"/>
        <v>0</v>
      </c>
      <c r="E23" s="283">
        <f t="shared" si="3"/>
        <v>0</v>
      </c>
      <c r="F23" s="283">
        <f t="shared" si="3"/>
        <v>0</v>
      </c>
      <c r="G23" s="283">
        <f t="shared" si="3"/>
        <v>0</v>
      </c>
      <c r="H23" s="283">
        <f t="shared" si="3"/>
        <v>0</v>
      </c>
      <c r="I23" s="283">
        <f t="shared" si="3"/>
        <v>0</v>
      </c>
      <c r="J23" s="283">
        <f t="shared" si="3"/>
        <v>0</v>
      </c>
      <c r="K23" s="283">
        <f t="shared" si="3"/>
        <v>0</v>
      </c>
      <c r="L23" s="283">
        <f t="shared" si="3"/>
        <v>0</v>
      </c>
      <c r="M23" s="283">
        <f t="shared" si="3"/>
        <v>0.98486055776892434</v>
      </c>
      <c r="N23" s="283">
        <f t="shared" si="3"/>
        <v>1.0358565737051793E-2</v>
      </c>
      <c r="O23" s="283">
        <f t="shared" si="3"/>
        <v>0</v>
      </c>
      <c r="P23" s="283">
        <f t="shared" si="3"/>
        <v>0</v>
      </c>
      <c r="Q23" s="283">
        <f t="shared" si="3"/>
        <v>4.7808764940239041E-3</v>
      </c>
      <c r="R23" s="283">
        <f t="shared" si="3"/>
        <v>0</v>
      </c>
      <c r="S23" s="283">
        <f t="shared" si="3"/>
        <v>0</v>
      </c>
      <c r="T23" s="283">
        <f t="shared" si="3"/>
        <v>1</v>
      </c>
    </row>
    <row r="24" spans="1:20" x14ac:dyDescent="0.25">
      <c r="A24" s="284"/>
      <c r="B24" s="284"/>
      <c r="C24" s="285"/>
      <c r="D24" s="285"/>
      <c r="E24" s="285"/>
      <c r="F24" s="285"/>
      <c r="G24" s="285"/>
      <c r="H24" s="285"/>
      <c r="I24" s="285"/>
      <c r="J24" s="285"/>
      <c r="K24" s="285"/>
      <c r="L24" s="285"/>
      <c r="M24" s="285"/>
      <c r="N24" s="285"/>
      <c r="O24" s="285"/>
      <c r="P24" s="285"/>
      <c r="Q24" s="285"/>
      <c r="R24" s="285"/>
      <c r="S24" s="285"/>
      <c r="T24" s="285"/>
    </row>
    <row r="25" spans="1:20" s="1" customFormat="1" ht="22.5" x14ac:dyDescent="0.25">
      <c r="A25" s="286"/>
      <c r="B25" s="287" t="s">
        <v>290</v>
      </c>
      <c r="C25" s="288" t="s">
        <v>184</v>
      </c>
      <c r="D25" s="288" t="s">
        <v>186</v>
      </c>
      <c r="E25" s="288" t="s">
        <v>190</v>
      </c>
      <c r="F25" s="288" t="s">
        <v>192</v>
      </c>
      <c r="G25" s="288" t="s">
        <v>194</v>
      </c>
      <c r="H25" s="288" t="s">
        <v>196</v>
      </c>
      <c r="I25" s="288" t="s">
        <v>198</v>
      </c>
      <c r="J25" s="288" t="s">
        <v>200</v>
      </c>
      <c r="K25" s="288" t="s">
        <v>280</v>
      </c>
      <c r="L25" s="288" t="s">
        <v>204</v>
      </c>
      <c r="M25" s="288" t="s">
        <v>206</v>
      </c>
      <c r="N25" s="288" t="s">
        <v>208</v>
      </c>
      <c r="O25" s="288" t="s">
        <v>210</v>
      </c>
      <c r="P25" s="288" t="s">
        <v>212</v>
      </c>
      <c r="Q25" s="288" t="s">
        <v>214</v>
      </c>
      <c r="R25" s="288" t="s">
        <v>281</v>
      </c>
      <c r="S25" s="288" t="s">
        <v>282</v>
      </c>
      <c r="T25" s="289" t="s">
        <v>141</v>
      </c>
    </row>
    <row r="26" spans="1:20" s="274" customFormat="1" x14ac:dyDescent="0.25">
      <c r="A26" s="271" t="s">
        <v>1</v>
      </c>
      <c r="B26" s="272" t="s">
        <v>2</v>
      </c>
      <c r="C26" s="290">
        <v>26513</v>
      </c>
      <c r="D26" s="290">
        <v>794335</v>
      </c>
      <c r="E26" s="290">
        <v>77557</v>
      </c>
      <c r="F26" s="290">
        <v>16572</v>
      </c>
      <c r="G26" s="290">
        <v>114308</v>
      </c>
      <c r="H26" s="290">
        <v>69207</v>
      </c>
      <c r="I26" s="290">
        <v>16645</v>
      </c>
      <c r="J26" s="290">
        <v>706</v>
      </c>
      <c r="K26" s="290">
        <v>208</v>
      </c>
      <c r="L26" s="290">
        <v>3757</v>
      </c>
      <c r="M26" s="290">
        <v>71</v>
      </c>
      <c r="N26" s="290">
        <v>34296</v>
      </c>
      <c r="O26" s="290">
        <v>10388</v>
      </c>
      <c r="P26" s="290">
        <v>409</v>
      </c>
      <c r="Q26" s="290">
        <v>20049</v>
      </c>
      <c r="R26" s="290">
        <v>16492</v>
      </c>
      <c r="S26" s="290">
        <v>289</v>
      </c>
      <c r="T26" s="291">
        <f t="shared" ref="T26:T46" si="4">SUM(C26:S26)</f>
        <v>1201802</v>
      </c>
    </row>
    <row r="27" spans="1:20" s="274" customFormat="1" x14ac:dyDescent="0.25">
      <c r="A27" s="278" t="s">
        <v>7</v>
      </c>
      <c r="B27" s="276" t="s">
        <v>284</v>
      </c>
      <c r="C27" s="292">
        <v>773</v>
      </c>
      <c r="D27" s="292">
        <v>63817</v>
      </c>
      <c r="E27" s="292">
        <v>2063</v>
      </c>
      <c r="F27" s="292">
        <v>518</v>
      </c>
      <c r="G27" s="292">
        <v>4260</v>
      </c>
      <c r="H27" s="292">
        <v>500</v>
      </c>
      <c r="I27" s="292">
        <v>1424</v>
      </c>
      <c r="J27" s="292">
        <v>201</v>
      </c>
      <c r="K27" s="292">
        <v>478</v>
      </c>
      <c r="L27" s="292">
        <v>107</v>
      </c>
      <c r="M27" s="292">
        <v>1</v>
      </c>
      <c r="N27" s="292">
        <v>12368</v>
      </c>
      <c r="O27" s="292">
        <v>18</v>
      </c>
      <c r="P27" s="292">
        <v>1772</v>
      </c>
      <c r="Q27" s="292">
        <v>918</v>
      </c>
      <c r="R27" s="293">
        <v>5</v>
      </c>
      <c r="S27" s="292">
        <v>5927</v>
      </c>
      <c r="T27" s="294">
        <f t="shared" si="4"/>
        <v>95150</v>
      </c>
    </row>
    <row r="28" spans="1:20" s="274" customFormat="1" x14ac:dyDescent="0.25">
      <c r="A28" s="278" t="s">
        <v>10</v>
      </c>
      <c r="B28" s="276" t="s">
        <v>285</v>
      </c>
      <c r="C28" s="293"/>
      <c r="D28" s="292">
        <v>226</v>
      </c>
      <c r="E28" s="293"/>
      <c r="F28" s="292">
        <v>27</v>
      </c>
      <c r="G28" s="293">
        <v>1</v>
      </c>
      <c r="H28" s="292"/>
      <c r="I28" s="292">
        <v>4</v>
      </c>
      <c r="J28" s="293">
        <v>6</v>
      </c>
      <c r="K28" s="292">
        <v>4</v>
      </c>
      <c r="L28" s="292">
        <v>706</v>
      </c>
      <c r="M28" s="292"/>
      <c r="N28" s="292">
        <v>3708.5</v>
      </c>
      <c r="O28" s="292"/>
      <c r="P28" s="292">
        <v>4</v>
      </c>
      <c r="Q28" s="292">
        <v>57</v>
      </c>
      <c r="R28" s="293"/>
      <c r="S28" s="292">
        <v>3</v>
      </c>
      <c r="T28" s="294">
        <f t="shared" si="4"/>
        <v>4746.5</v>
      </c>
    </row>
    <row r="29" spans="1:20" s="274" customFormat="1" x14ac:dyDescent="0.25">
      <c r="A29" s="278" t="s">
        <v>12</v>
      </c>
      <c r="B29" s="276" t="s">
        <v>286</v>
      </c>
      <c r="C29" s="292">
        <v>194</v>
      </c>
      <c r="D29" s="292">
        <v>2166</v>
      </c>
      <c r="E29" s="292">
        <v>155</v>
      </c>
      <c r="F29" s="292">
        <v>113</v>
      </c>
      <c r="G29" s="292">
        <v>30154</v>
      </c>
      <c r="H29" s="292">
        <v>292</v>
      </c>
      <c r="I29" s="292">
        <v>64</v>
      </c>
      <c r="J29" s="292">
        <v>120</v>
      </c>
      <c r="K29" s="292">
        <v>16</v>
      </c>
      <c r="L29" s="292">
        <v>22</v>
      </c>
      <c r="M29" s="292"/>
      <c r="N29" s="292">
        <v>669.5</v>
      </c>
      <c r="O29" s="292">
        <v>1266</v>
      </c>
      <c r="P29" s="292">
        <v>12</v>
      </c>
      <c r="Q29" s="292">
        <v>742</v>
      </c>
      <c r="R29" s="293"/>
      <c r="S29" s="292">
        <v>193.5</v>
      </c>
      <c r="T29" s="294">
        <f t="shared" si="4"/>
        <v>36179</v>
      </c>
    </row>
    <row r="30" spans="1:20" s="274" customFormat="1" x14ac:dyDescent="0.25">
      <c r="A30" s="278" t="s">
        <v>15</v>
      </c>
      <c r="B30" s="276" t="s">
        <v>17</v>
      </c>
      <c r="C30" s="292">
        <v>14</v>
      </c>
      <c r="D30" s="292">
        <v>969</v>
      </c>
      <c r="E30" s="292">
        <v>26</v>
      </c>
      <c r="F30" s="292">
        <v>15</v>
      </c>
      <c r="G30" s="292">
        <v>106</v>
      </c>
      <c r="H30" s="292">
        <v>14939</v>
      </c>
      <c r="I30" s="293"/>
      <c r="J30" s="292">
        <v>25</v>
      </c>
      <c r="K30" s="292">
        <v>152</v>
      </c>
      <c r="L30" s="293"/>
      <c r="M30" s="293"/>
      <c r="N30" s="293">
        <v>31</v>
      </c>
      <c r="O30" s="293"/>
      <c r="P30" s="293"/>
      <c r="Q30" s="292">
        <v>35</v>
      </c>
      <c r="R30" s="293">
        <v>3</v>
      </c>
      <c r="S30" s="293">
        <v>40</v>
      </c>
      <c r="T30" s="294">
        <f t="shared" si="4"/>
        <v>16355</v>
      </c>
    </row>
    <row r="31" spans="1:20" s="274" customFormat="1" x14ac:dyDescent="0.25">
      <c r="A31" s="278" t="s">
        <v>18</v>
      </c>
      <c r="B31" s="278" t="s">
        <v>19</v>
      </c>
      <c r="C31" s="293"/>
      <c r="D31" s="292">
        <v>627</v>
      </c>
      <c r="E31" s="293">
        <v>4</v>
      </c>
      <c r="F31" s="292">
        <v>18867</v>
      </c>
      <c r="G31" s="292">
        <v>7</v>
      </c>
      <c r="H31" s="293">
        <v>86</v>
      </c>
      <c r="I31" s="292">
        <v>17</v>
      </c>
      <c r="J31" s="293"/>
      <c r="K31" s="292">
        <v>132</v>
      </c>
      <c r="L31" s="293">
        <v>61</v>
      </c>
      <c r="M31" s="293"/>
      <c r="N31" s="292">
        <v>27</v>
      </c>
      <c r="O31" s="293">
        <v>10</v>
      </c>
      <c r="P31" s="293"/>
      <c r="Q31" s="292">
        <v>36</v>
      </c>
      <c r="R31" s="293"/>
      <c r="S31" s="292">
        <v>31</v>
      </c>
      <c r="T31" s="294">
        <f>SUM(C31:S31)</f>
        <v>19905</v>
      </c>
    </row>
    <row r="32" spans="1:20" s="274" customFormat="1" x14ac:dyDescent="0.25">
      <c r="A32" s="278" t="s">
        <v>20</v>
      </c>
      <c r="B32" s="276" t="s">
        <v>155</v>
      </c>
      <c r="C32" s="292"/>
      <c r="D32" s="292"/>
      <c r="E32" s="292"/>
      <c r="F32" s="292"/>
      <c r="G32" s="292"/>
      <c r="H32" s="292"/>
      <c r="I32" s="293">
        <v>12</v>
      </c>
      <c r="J32" s="293"/>
      <c r="K32" s="292"/>
      <c r="L32" s="292"/>
      <c r="M32" s="293"/>
      <c r="N32" s="292"/>
      <c r="O32" s="293"/>
      <c r="P32" s="293"/>
      <c r="Q32" s="292"/>
      <c r="R32" s="293"/>
      <c r="S32" s="293"/>
      <c r="T32" s="294">
        <f t="shared" si="4"/>
        <v>12</v>
      </c>
    </row>
    <row r="33" spans="1:20" s="274" customFormat="1" x14ac:dyDescent="0.25">
      <c r="A33" s="278" t="s">
        <v>21</v>
      </c>
      <c r="B33" s="276" t="s">
        <v>22</v>
      </c>
      <c r="C33" s="292">
        <v>2</v>
      </c>
      <c r="D33" s="292">
        <v>103</v>
      </c>
      <c r="E33" s="293"/>
      <c r="F33" s="292">
        <v>15</v>
      </c>
      <c r="G33" s="293"/>
      <c r="H33" s="292">
        <v>3</v>
      </c>
      <c r="I33" s="292"/>
      <c r="J33" s="293"/>
      <c r="K33" s="292">
        <v>32</v>
      </c>
      <c r="L33" s="292">
        <v>9842</v>
      </c>
      <c r="M33" s="293"/>
      <c r="N33" s="292">
        <v>119</v>
      </c>
      <c r="O33" s="292">
        <v>2</v>
      </c>
      <c r="P33" s="292"/>
      <c r="Q33" s="292">
        <v>188</v>
      </c>
      <c r="R33" s="293"/>
      <c r="S33" s="293"/>
      <c r="T33" s="294">
        <f t="shared" si="4"/>
        <v>10306</v>
      </c>
    </row>
    <row r="34" spans="1:20" s="274" customFormat="1" x14ac:dyDescent="0.25">
      <c r="A34" s="278" t="s">
        <v>23</v>
      </c>
      <c r="B34" s="276" t="s">
        <v>25</v>
      </c>
      <c r="C34" s="293">
        <v>3</v>
      </c>
      <c r="D34" s="292">
        <v>541</v>
      </c>
      <c r="E34" s="293">
        <v>6</v>
      </c>
      <c r="F34" s="293">
        <v>6</v>
      </c>
      <c r="G34" s="292">
        <v>47</v>
      </c>
      <c r="H34" s="292">
        <v>29</v>
      </c>
      <c r="I34" s="293">
        <v>4</v>
      </c>
      <c r="J34" s="293">
        <v>5</v>
      </c>
      <c r="K34" s="293">
        <v>32</v>
      </c>
      <c r="L34" s="293">
        <v>9</v>
      </c>
      <c r="M34" s="293">
        <v>2</v>
      </c>
      <c r="N34" s="292">
        <v>269.5</v>
      </c>
      <c r="O34" s="292">
        <v>4</v>
      </c>
      <c r="P34" s="292">
        <v>54</v>
      </c>
      <c r="Q34" s="292">
        <v>8760.5</v>
      </c>
      <c r="R34" s="293"/>
      <c r="S34" s="293">
        <v>18</v>
      </c>
      <c r="T34" s="294">
        <f t="shared" si="4"/>
        <v>9790</v>
      </c>
    </row>
    <row r="35" spans="1:20" s="274" customFormat="1" x14ac:dyDescent="0.25">
      <c r="A35" s="278" t="s">
        <v>26</v>
      </c>
      <c r="B35" s="276" t="s">
        <v>27</v>
      </c>
      <c r="C35" s="292">
        <v>26</v>
      </c>
      <c r="D35" s="292">
        <v>173</v>
      </c>
      <c r="E35" s="292"/>
      <c r="F35" s="292">
        <v>3</v>
      </c>
      <c r="G35" s="293">
        <v>31</v>
      </c>
      <c r="H35" s="293">
        <v>10</v>
      </c>
      <c r="I35" s="292"/>
      <c r="J35" s="292">
        <v>19</v>
      </c>
      <c r="K35" s="292">
        <v>34</v>
      </c>
      <c r="L35" s="293">
        <v>76</v>
      </c>
      <c r="M35" s="293">
        <v>9</v>
      </c>
      <c r="N35" s="292">
        <v>1084.5</v>
      </c>
      <c r="O35" s="293">
        <v>10</v>
      </c>
      <c r="P35" s="293">
        <v>23</v>
      </c>
      <c r="Q35" s="292">
        <v>4703</v>
      </c>
      <c r="R35" s="293"/>
      <c r="S35" s="293">
        <v>11</v>
      </c>
      <c r="T35" s="294">
        <f t="shared" si="4"/>
        <v>6212.5</v>
      </c>
    </row>
    <row r="36" spans="1:20" s="274" customFormat="1" x14ac:dyDescent="0.25">
      <c r="A36" s="295" t="s">
        <v>28</v>
      </c>
      <c r="B36" s="278" t="s">
        <v>30</v>
      </c>
      <c r="C36" s="293">
        <v>12123</v>
      </c>
      <c r="D36" s="293">
        <v>224</v>
      </c>
      <c r="E36" s="293">
        <v>65</v>
      </c>
      <c r="F36" s="293"/>
      <c r="G36" s="293">
        <v>67</v>
      </c>
      <c r="H36" s="293">
        <v>163</v>
      </c>
      <c r="I36" s="293">
        <v>2</v>
      </c>
      <c r="J36" s="293">
        <v>6</v>
      </c>
      <c r="K36" s="293">
        <v>169</v>
      </c>
      <c r="L36" s="293"/>
      <c r="M36" s="293"/>
      <c r="N36" s="293">
        <v>7</v>
      </c>
      <c r="O36" s="293"/>
      <c r="P36" s="293"/>
      <c r="Q36" s="293">
        <v>40</v>
      </c>
      <c r="R36" s="293"/>
      <c r="S36" s="293"/>
      <c r="T36" s="294">
        <f>SUM(C36:S36)</f>
        <v>12866</v>
      </c>
    </row>
    <row r="37" spans="1:20" s="274" customFormat="1" x14ac:dyDescent="0.25">
      <c r="A37" s="278" t="s">
        <v>31</v>
      </c>
      <c r="B37" s="278" t="s">
        <v>33</v>
      </c>
      <c r="C37" s="293"/>
      <c r="D37" s="293">
        <v>8</v>
      </c>
      <c r="E37" s="293">
        <v>2</v>
      </c>
      <c r="F37" s="293"/>
      <c r="G37" s="293">
        <v>2146</v>
      </c>
      <c r="H37" s="293">
        <v>14</v>
      </c>
      <c r="I37" s="293">
        <v>10</v>
      </c>
      <c r="J37" s="293"/>
      <c r="K37" s="293"/>
      <c r="L37" s="293"/>
      <c r="M37" s="293"/>
      <c r="N37" s="293">
        <v>84</v>
      </c>
      <c r="O37" s="293"/>
      <c r="P37" s="293"/>
      <c r="Q37" s="293">
        <v>3</v>
      </c>
      <c r="R37" s="293"/>
      <c r="S37" s="293">
        <v>12</v>
      </c>
      <c r="T37" s="294">
        <f>SUM(C37:S37)</f>
        <v>2279</v>
      </c>
    </row>
    <row r="38" spans="1:20" s="274" customFormat="1" x14ac:dyDescent="0.25">
      <c r="A38" s="278" t="s">
        <v>34</v>
      </c>
      <c r="B38" s="280" t="s">
        <v>35</v>
      </c>
      <c r="C38" s="292">
        <v>109</v>
      </c>
      <c r="D38" s="292">
        <v>553</v>
      </c>
      <c r="E38" s="292">
        <v>189</v>
      </c>
      <c r="F38" s="292">
        <v>50</v>
      </c>
      <c r="G38" s="292">
        <v>24</v>
      </c>
      <c r="H38" s="292">
        <v>309</v>
      </c>
      <c r="I38" s="292">
        <v>17</v>
      </c>
      <c r="J38" s="292">
        <v>57</v>
      </c>
      <c r="K38" s="292">
        <v>10692</v>
      </c>
      <c r="L38" s="292">
        <v>44</v>
      </c>
      <c r="M38" s="293"/>
      <c r="N38" s="292">
        <v>68</v>
      </c>
      <c r="O38" s="293"/>
      <c r="P38" s="292"/>
      <c r="Q38" s="292">
        <v>272</v>
      </c>
      <c r="R38" s="293"/>
      <c r="S38" s="292">
        <v>3</v>
      </c>
      <c r="T38" s="294">
        <f t="shared" si="4"/>
        <v>12387</v>
      </c>
    </row>
    <row r="39" spans="1:20" s="274" customFormat="1" x14ac:dyDescent="0.25">
      <c r="A39" s="278" t="s">
        <v>156</v>
      </c>
      <c r="B39" s="280" t="s">
        <v>36</v>
      </c>
      <c r="C39" s="293">
        <v>31</v>
      </c>
      <c r="D39" s="292">
        <v>55</v>
      </c>
      <c r="E39" s="293">
        <v>11086</v>
      </c>
      <c r="F39" s="292"/>
      <c r="G39" s="293">
        <v>48</v>
      </c>
      <c r="H39" s="293"/>
      <c r="I39" s="293">
        <v>28</v>
      </c>
      <c r="J39" s="293">
        <v>10</v>
      </c>
      <c r="K39" s="292">
        <v>52</v>
      </c>
      <c r="L39" s="293"/>
      <c r="M39" s="293"/>
      <c r="N39" s="293">
        <v>16</v>
      </c>
      <c r="O39" s="293"/>
      <c r="P39" s="293"/>
      <c r="Q39" s="293">
        <v>21</v>
      </c>
      <c r="R39" s="293"/>
      <c r="S39" s="293"/>
      <c r="T39" s="294">
        <f t="shared" si="4"/>
        <v>11347</v>
      </c>
    </row>
    <row r="40" spans="1:20" s="274" customFormat="1" x14ac:dyDescent="0.25">
      <c r="A40" s="278" t="s">
        <v>37</v>
      </c>
      <c r="B40" s="280" t="s">
        <v>39</v>
      </c>
      <c r="C40" s="293">
        <v>16</v>
      </c>
      <c r="D40" s="293">
        <v>145</v>
      </c>
      <c r="E40" s="293">
        <v>58</v>
      </c>
      <c r="F40" s="293">
        <v>26</v>
      </c>
      <c r="G40" s="292">
        <v>4</v>
      </c>
      <c r="H40" s="293">
        <v>3</v>
      </c>
      <c r="I40" s="293">
        <v>80</v>
      </c>
      <c r="J40" s="293">
        <v>22221</v>
      </c>
      <c r="K40" s="293">
        <v>4</v>
      </c>
      <c r="L40" s="293">
        <v>3</v>
      </c>
      <c r="M40" s="293"/>
      <c r="N40" s="292">
        <v>1</v>
      </c>
      <c r="O40" s="293"/>
      <c r="P40" s="293">
        <v>3</v>
      </c>
      <c r="Q40" s="293">
        <v>43</v>
      </c>
      <c r="R40" s="293"/>
      <c r="S40" s="293">
        <v>8</v>
      </c>
      <c r="T40" s="294">
        <f t="shared" si="4"/>
        <v>22615</v>
      </c>
    </row>
    <row r="41" spans="1:20" s="274" customFormat="1" x14ac:dyDescent="0.25">
      <c r="A41" s="278" t="s">
        <v>40</v>
      </c>
      <c r="B41" s="278" t="s">
        <v>42</v>
      </c>
      <c r="C41" s="293"/>
      <c r="D41" s="292">
        <v>110</v>
      </c>
      <c r="E41" s="292">
        <v>12</v>
      </c>
      <c r="F41" s="293"/>
      <c r="G41" s="293"/>
      <c r="H41" s="293">
        <v>3</v>
      </c>
      <c r="I41" s="293"/>
      <c r="J41" s="292">
        <v>2312</v>
      </c>
      <c r="K41" s="292">
        <v>22</v>
      </c>
      <c r="L41" s="293"/>
      <c r="M41" s="293"/>
      <c r="N41" s="293">
        <v>3</v>
      </c>
      <c r="O41" s="293"/>
      <c r="P41" s="293"/>
      <c r="Q41" s="292">
        <v>5</v>
      </c>
      <c r="R41" s="293"/>
      <c r="S41" s="293">
        <v>4</v>
      </c>
      <c r="T41" s="294">
        <f>SUM(C41:S41)</f>
        <v>2471</v>
      </c>
    </row>
    <row r="42" spans="1:20" s="274" customFormat="1" x14ac:dyDescent="0.25">
      <c r="A42" s="278" t="s">
        <v>157</v>
      </c>
      <c r="B42" s="280" t="s">
        <v>288</v>
      </c>
      <c r="C42" s="292">
        <v>6</v>
      </c>
      <c r="D42" s="292">
        <v>9</v>
      </c>
      <c r="E42" s="292">
        <v>16</v>
      </c>
      <c r="F42" s="292"/>
      <c r="G42" s="292"/>
      <c r="H42" s="292"/>
      <c r="I42" s="292">
        <v>3</v>
      </c>
      <c r="J42" s="292"/>
      <c r="K42" s="292">
        <v>20</v>
      </c>
      <c r="L42" s="292">
        <v>6</v>
      </c>
      <c r="M42" s="293"/>
      <c r="N42" s="292">
        <v>40</v>
      </c>
      <c r="O42" s="293">
        <v>2040</v>
      </c>
      <c r="P42" s="292">
        <v>56</v>
      </c>
      <c r="Q42" s="292">
        <v>50</v>
      </c>
      <c r="R42" s="293"/>
      <c r="S42" s="292">
        <v>1</v>
      </c>
      <c r="T42" s="294">
        <f t="shared" si="4"/>
        <v>2247</v>
      </c>
    </row>
    <row r="43" spans="1:20" s="274" customFormat="1" x14ac:dyDescent="0.25">
      <c r="A43" s="278" t="s">
        <v>158</v>
      </c>
      <c r="B43" s="280" t="s">
        <v>45</v>
      </c>
      <c r="C43" s="292"/>
      <c r="D43" s="292">
        <v>25</v>
      </c>
      <c r="E43" s="292">
        <v>10</v>
      </c>
      <c r="F43" s="292"/>
      <c r="G43" s="293"/>
      <c r="H43" s="292"/>
      <c r="I43" s="292"/>
      <c r="J43" s="292"/>
      <c r="K43" s="292"/>
      <c r="L43" s="292"/>
      <c r="M43" s="293">
        <v>2</v>
      </c>
      <c r="N43" s="292">
        <v>1972</v>
      </c>
      <c r="O43" s="292">
        <v>37</v>
      </c>
      <c r="P43" s="293">
        <v>16495</v>
      </c>
      <c r="Q43" s="293">
        <v>174</v>
      </c>
      <c r="R43" s="293"/>
      <c r="S43" s="292"/>
      <c r="T43" s="294">
        <f t="shared" si="4"/>
        <v>18715</v>
      </c>
    </row>
    <row r="44" spans="1:20" s="274" customFormat="1" x14ac:dyDescent="0.25">
      <c r="A44" s="278" t="s">
        <v>159</v>
      </c>
      <c r="B44" s="280" t="s">
        <v>46</v>
      </c>
      <c r="C44" s="293"/>
      <c r="D44" s="292">
        <v>12</v>
      </c>
      <c r="E44" s="293"/>
      <c r="F44" s="292"/>
      <c r="G44" s="293">
        <v>15</v>
      </c>
      <c r="H44" s="293">
        <v>3</v>
      </c>
      <c r="I44" s="293"/>
      <c r="J44" s="293"/>
      <c r="K44" s="292"/>
      <c r="L44" s="293"/>
      <c r="M44" s="293"/>
      <c r="N44" s="293">
        <v>42520</v>
      </c>
      <c r="O44" s="293"/>
      <c r="P44" s="293"/>
      <c r="Q44" s="293">
        <v>96</v>
      </c>
      <c r="R44" s="293"/>
      <c r="S44" s="293"/>
      <c r="T44" s="294">
        <f t="shared" si="4"/>
        <v>42646</v>
      </c>
    </row>
    <row r="45" spans="1:20" s="274" customFormat="1" x14ac:dyDescent="0.25">
      <c r="A45" s="278" t="s">
        <v>160</v>
      </c>
      <c r="B45" s="280" t="s">
        <v>48</v>
      </c>
      <c r="C45" s="293"/>
      <c r="D45" s="293">
        <v>6</v>
      </c>
      <c r="E45" s="293"/>
      <c r="F45" s="293"/>
      <c r="G45" s="292"/>
      <c r="H45" s="293"/>
      <c r="I45" s="293"/>
      <c r="J45" s="293"/>
      <c r="K45" s="293"/>
      <c r="L45" s="293"/>
      <c r="M45" s="293">
        <v>14257</v>
      </c>
      <c r="N45" s="292">
        <v>2123</v>
      </c>
      <c r="O45" s="293"/>
      <c r="P45" s="293"/>
      <c r="Q45" s="293"/>
      <c r="R45" s="293"/>
      <c r="S45" s="293"/>
      <c r="T45" s="294">
        <f t="shared" si="4"/>
        <v>16386</v>
      </c>
    </row>
    <row r="46" spans="1:20" s="274" customFormat="1" x14ac:dyDescent="0.25">
      <c r="A46" s="296" t="s">
        <v>161</v>
      </c>
      <c r="B46" s="282" t="s">
        <v>289</v>
      </c>
      <c r="C46" s="297"/>
      <c r="D46" s="298"/>
      <c r="E46" s="297"/>
      <c r="F46" s="297"/>
      <c r="G46" s="298"/>
      <c r="H46" s="297"/>
      <c r="I46" s="297"/>
      <c r="J46" s="297"/>
      <c r="K46" s="297"/>
      <c r="L46" s="297"/>
      <c r="M46" s="297">
        <v>2472</v>
      </c>
      <c r="N46" s="298">
        <v>26</v>
      </c>
      <c r="O46" s="297"/>
      <c r="P46" s="297"/>
      <c r="Q46" s="297">
        <v>12</v>
      </c>
      <c r="R46" s="297"/>
      <c r="S46" s="297"/>
      <c r="T46" s="299">
        <f t="shared" si="4"/>
        <v>2510</v>
      </c>
    </row>
    <row r="47" spans="1:20" s="305" customFormat="1" x14ac:dyDescent="0.25">
      <c r="A47" s="300"/>
      <c r="B47" s="301" t="s">
        <v>141</v>
      </c>
      <c r="C47" s="302">
        <f t="shared" ref="C47:T47" si="5">SUM(C26:C46)</f>
        <v>39810</v>
      </c>
      <c r="D47" s="303">
        <f t="shared" si="5"/>
        <v>864104</v>
      </c>
      <c r="E47" s="302">
        <f t="shared" si="5"/>
        <v>91249</v>
      </c>
      <c r="F47" s="302">
        <f t="shared" si="5"/>
        <v>36212</v>
      </c>
      <c r="G47" s="303">
        <f t="shared" si="5"/>
        <v>151218</v>
      </c>
      <c r="H47" s="302">
        <f t="shared" si="5"/>
        <v>85561</v>
      </c>
      <c r="I47" s="302">
        <f t="shared" si="5"/>
        <v>18310</v>
      </c>
      <c r="J47" s="302">
        <f t="shared" si="5"/>
        <v>25688</v>
      </c>
      <c r="K47" s="302">
        <f t="shared" si="5"/>
        <v>12047</v>
      </c>
      <c r="L47" s="302">
        <f t="shared" si="5"/>
        <v>14633</v>
      </c>
      <c r="M47" s="302">
        <f t="shared" si="5"/>
        <v>16814</v>
      </c>
      <c r="N47" s="303">
        <f t="shared" si="5"/>
        <v>99433</v>
      </c>
      <c r="O47" s="302">
        <f t="shared" si="5"/>
        <v>13775</v>
      </c>
      <c r="P47" s="302">
        <f t="shared" si="5"/>
        <v>18828</v>
      </c>
      <c r="Q47" s="302">
        <f t="shared" si="5"/>
        <v>36204.5</v>
      </c>
      <c r="R47" s="302">
        <f t="shared" si="5"/>
        <v>16500</v>
      </c>
      <c r="S47" s="302">
        <f t="shared" si="5"/>
        <v>6540.5</v>
      </c>
      <c r="T47" s="304">
        <f t="shared" si="5"/>
        <v>1546927</v>
      </c>
    </row>
    <row r="48" spans="1:20" x14ac:dyDescent="0.25">
      <c r="C48" s="306"/>
      <c r="D48" s="306"/>
      <c r="E48" s="306"/>
      <c r="F48" s="306"/>
      <c r="G48" s="306"/>
      <c r="H48" s="306"/>
      <c r="I48" s="306"/>
      <c r="J48" s="306"/>
      <c r="K48" s="306"/>
      <c r="L48" s="306"/>
      <c r="M48" s="306"/>
      <c r="N48" s="306"/>
      <c r="O48" s="306"/>
      <c r="P48" s="306"/>
      <c r="Q48" s="306"/>
      <c r="R48" s="306"/>
      <c r="S48" s="30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74"/>
  <sheetViews>
    <sheetView topLeftCell="G33" workbookViewId="0">
      <selection activeCell="G52" sqref="A52:XFD52"/>
    </sheetView>
  </sheetViews>
  <sheetFormatPr defaultColWidth="8.85546875" defaultRowHeight="15" x14ac:dyDescent="0.25"/>
  <cols>
    <col min="1" max="1" width="2.28515625" customWidth="1"/>
    <col min="2" max="2" width="41.85546875" customWidth="1"/>
    <col min="3" max="3" width="13.42578125" customWidth="1"/>
    <col min="4" max="19" width="13.7109375" customWidth="1"/>
    <col min="20" max="20" width="14.85546875" customWidth="1"/>
    <col min="21" max="24" width="12.7109375" customWidth="1"/>
    <col min="25" max="25" width="15.85546875" customWidth="1"/>
    <col min="26" max="30" width="13.7109375" customWidth="1"/>
    <col min="31" max="31" width="24.42578125" customWidth="1"/>
    <col min="32" max="33" width="15.7109375" customWidth="1"/>
    <col min="34" max="34" width="13.28515625" bestFit="1" customWidth="1"/>
    <col min="35" max="35" width="14.28515625" bestFit="1" customWidth="1"/>
    <col min="36" max="39" width="13.28515625" bestFit="1" customWidth="1"/>
    <col min="40" max="40" width="14.7109375" customWidth="1"/>
    <col min="41" max="41" width="16" customWidth="1"/>
  </cols>
  <sheetData>
    <row r="1" spans="1:24" ht="18.75" x14ac:dyDescent="0.25">
      <c r="B1" s="494" t="s">
        <v>326</v>
      </c>
      <c r="C1" s="494"/>
      <c r="D1" s="494"/>
      <c r="E1" s="494"/>
      <c r="F1" s="494"/>
      <c r="G1" s="494"/>
      <c r="H1" s="494"/>
      <c r="I1" s="494"/>
      <c r="J1" s="494"/>
      <c r="K1" s="494"/>
      <c r="L1" s="494"/>
      <c r="M1" s="494"/>
      <c r="N1" s="494"/>
      <c r="O1" s="494"/>
      <c r="P1" s="494"/>
      <c r="Q1" s="494"/>
      <c r="R1" s="494"/>
      <c r="S1" s="494"/>
      <c r="T1" s="494"/>
    </row>
    <row r="2" spans="1:24" ht="45" x14ac:dyDescent="0.25">
      <c r="A2" s="495"/>
      <c r="B2" s="361" t="s">
        <v>104</v>
      </c>
      <c r="C2" s="362" t="s">
        <v>246</v>
      </c>
      <c r="D2" s="362" t="s">
        <v>248</v>
      </c>
      <c r="E2" s="362" t="s">
        <v>249</v>
      </c>
      <c r="F2" s="363" t="s">
        <v>250</v>
      </c>
      <c r="G2" s="362" t="s">
        <v>251</v>
      </c>
      <c r="H2" s="362" t="s">
        <v>252</v>
      </c>
      <c r="I2" s="362" t="s">
        <v>253</v>
      </c>
      <c r="J2" s="362" t="s">
        <v>254</v>
      </c>
      <c r="K2" s="362" t="s">
        <v>256</v>
      </c>
      <c r="L2" s="362" t="s">
        <v>258</v>
      </c>
      <c r="M2" s="362" t="s">
        <v>260</v>
      </c>
      <c r="N2" s="362" t="s">
        <v>262</v>
      </c>
      <c r="O2" s="362" t="s">
        <v>264</v>
      </c>
      <c r="P2" s="362" t="s">
        <v>265</v>
      </c>
      <c r="Q2" s="362" t="s">
        <v>267</v>
      </c>
      <c r="R2" s="362" t="s">
        <v>292</v>
      </c>
      <c r="S2" s="362" t="s">
        <v>293</v>
      </c>
      <c r="T2" s="364" t="s">
        <v>294</v>
      </c>
    </row>
    <row r="3" spans="1:24" x14ac:dyDescent="0.25">
      <c r="A3" s="496"/>
      <c r="B3" s="365"/>
      <c r="C3" s="366">
        <v>252</v>
      </c>
      <c r="D3" s="366">
        <v>254</v>
      </c>
      <c r="E3" s="366">
        <v>256</v>
      </c>
      <c r="F3" s="367">
        <v>258</v>
      </c>
      <c r="G3" s="366">
        <v>260</v>
      </c>
      <c r="H3" s="366">
        <v>263</v>
      </c>
      <c r="I3" s="366">
        <v>267</v>
      </c>
      <c r="J3" s="366">
        <v>268</v>
      </c>
      <c r="K3" s="366">
        <v>270</v>
      </c>
      <c r="L3" s="366">
        <v>272</v>
      </c>
      <c r="M3" s="366">
        <v>302</v>
      </c>
      <c r="N3" s="366">
        <v>304</v>
      </c>
      <c r="O3" s="366">
        <v>306</v>
      </c>
      <c r="P3" s="366">
        <v>308</v>
      </c>
      <c r="Q3" s="366">
        <v>310</v>
      </c>
      <c r="R3" s="366">
        <v>282</v>
      </c>
      <c r="S3" s="366">
        <v>266</v>
      </c>
      <c r="T3" s="368"/>
    </row>
    <row r="4" spans="1:24" ht="15.75" x14ac:dyDescent="0.25">
      <c r="A4" s="308"/>
      <c r="B4" s="497" t="s">
        <v>295</v>
      </c>
      <c r="C4" s="497"/>
      <c r="D4" s="497"/>
      <c r="E4" s="497"/>
      <c r="F4" s="497"/>
      <c r="G4" s="497"/>
      <c r="H4" s="497"/>
      <c r="I4" s="497"/>
      <c r="J4" s="497"/>
      <c r="K4" s="497"/>
      <c r="L4" s="497"/>
      <c r="M4" s="497"/>
      <c r="N4" s="497"/>
      <c r="O4" s="497"/>
      <c r="P4" s="497"/>
      <c r="Q4" s="497"/>
      <c r="R4" s="497"/>
      <c r="S4" s="497"/>
      <c r="T4" s="497"/>
    </row>
    <row r="5" spans="1:24" ht="17.100000000000001" customHeight="1" x14ac:dyDescent="0.25">
      <c r="A5" s="369" t="s">
        <v>1</v>
      </c>
      <c r="B5" s="370" t="s">
        <v>2</v>
      </c>
      <c r="C5" s="371">
        <f t="shared" ref="C5:S10" si="0">+C29+C53</f>
        <v>5544473.3254480083</v>
      </c>
      <c r="D5" s="371">
        <f t="shared" si="0"/>
        <v>180845655.09848163</v>
      </c>
      <c r="E5" s="371">
        <f t="shared" si="0"/>
        <v>22945483.193414945</v>
      </c>
      <c r="F5" s="371">
        <f t="shared" si="0"/>
        <v>4287437.7406094959</v>
      </c>
      <c r="G5" s="371">
        <f t="shared" si="0"/>
        <v>28540885.367139272</v>
      </c>
      <c r="H5" s="371">
        <f t="shared" si="0"/>
        <v>13346552.072655085</v>
      </c>
      <c r="I5" s="371">
        <f t="shared" si="0"/>
        <v>3946750.879928085</v>
      </c>
      <c r="J5" s="371">
        <f t="shared" si="0"/>
        <v>98502.52937160265</v>
      </c>
      <c r="K5" s="371">
        <f t="shared" si="0"/>
        <v>29020.575225627977</v>
      </c>
      <c r="L5" s="371">
        <f t="shared" si="0"/>
        <v>1043994.4606197731</v>
      </c>
      <c r="M5" s="371">
        <f t="shared" si="0"/>
        <v>9906.0617356710882</v>
      </c>
      <c r="N5" s="371">
        <f t="shared" si="0"/>
        <v>8007870.3720805459</v>
      </c>
      <c r="O5" s="371">
        <f t="shared" si="0"/>
        <v>3242700.1034197677</v>
      </c>
      <c r="P5" s="371">
        <f t="shared" si="0"/>
        <v>57064.496477316548</v>
      </c>
      <c r="Q5" s="371">
        <f t="shared" si="0"/>
        <v>5019465.6239530873</v>
      </c>
      <c r="R5" s="371">
        <f t="shared" si="0"/>
        <v>2456939.858783294</v>
      </c>
      <c r="S5" s="371">
        <f t="shared" si="0"/>
        <v>40321.856924069638</v>
      </c>
      <c r="T5" s="371">
        <f t="shared" ref="T5:T26" si="1">SUM(C5:S5)</f>
        <v>279463023.61626726</v>
      </c>
      <c r="X5" s="309"/>
    </row>
    <row r="6" spans="1:24" ht="17.100000000000001" customHeight="1" x14ac:dyDescent="0.25">
      <c r="A6" s="310" t="s">
        <v>7</v>
      </c>
      <c r="B6" s="311" t="s">
        <v>9</v>
      </c>
      <c r="C6" s="312">
        <f t="shared" si="0"/>
        <v>86736.811135255848</v>
      </c>
      <c r="D6" s="312">
        <f t="shared" si="0"/>
        <v>8401517.4905715771</v>
      </c>
      <c r="E6" s="312">
        <f t="shared" si="0"/>
        <v>304595.6242876355</v>
      </c>
      <c r="F6" s="312">
        <f t="shared" si="0"/>
        <v>35502.579746375421</v>
      </c>
      <c r="G6" s="312">
        <f t="shared" si="0"/>
        <v>525103.12776923249</v>
      </c>
      <c r="H6" s="312">
        <f t="shared" si="0"/>
        <v>13386.410552839539</v>
      </c>
      <c r="I6" s="312">
        <f t="shared" si="0"/>
        <v>207782.62902456149</v>
      </c>
      <c r="J6" s="312">
        <f t="shared" si="0"/>
        <v>8797.2725812362842</v>
      </c>
      <c r="K6" s="312">
        <f t="shared" si="0"/>
        <v>72006.957831090927</v>
      </c>
      <c r="L6" s="312">
        <f t="shared" si="0"/>
        <v>4003.3370379725911</v>
      </c>
      <c r="M6" s="312">
        <f t="shared" si="0"/>
        <v>26.772821105679078</v>
      </c>
      <c r="N6" s="312">
        <f t="shared" si="0"/>
        <v>1787453.4362264839</v>
      </c>
      <c r="O6" s="312">
        <f t="shared" si="0"/>
        <v>2759.2011392320828</v>
      </c>
      <c r="P6" s="312">
        <f t="shared" si="0"/>
        <v>284279.63636956865</v>
      </c>
      <c r="Q6" s="312">
        <f t="shared" si="0"/>
        <v>26854.74013434325</v>
      </c>
      <c r="R6" s="312">
        <f t="shared" si="0"/>
        <v>133.86410552839538</v>
      </c>
      <c r="S6" s="312">
        <f t="shared" si="0"/>
        <v>976229.74969277915</v>
      </c>
      <c r="T6" s="312">
        <f t="shared" si="1"/>
        <v>12737169.641026817</v>
      </c>
      <c r="W6" s="313"/>
      <c r="X6" s="309"/>
    </row>
    <row r="7" spans="1:24" ht="17.100000000000001" customHeight="1" x14ac:dyDescent="0.25">
      <c r="A7" s="372" t="s">
        <v>10</v>
      </c>
      <c r="B7" s="373" t="s">
        <v>11</v>
      </c>
      <c r="C7" s="374">
        <f t="shared" si="0"/>
        <v>0</v>
      </c>
      <c r="D7" s="374">
        <f t="shared" si="0"/>
        <v>11399.402507639717</v>
      </c>
      <c r="E7" s="374">
        <f t="shared" si="0"/>
        <v>0</v>
      </c>
      <c r="F7" s="374">
        <f t="shared" si="0"/>
        <v>1361.8755208242139</v>
      </c>
      <c r="G7" s="374">
        <f t="shared" si="0"/>
        <v>50.439834104600521</v>
      </c>
      <c r="H7" s="374">
        <f t="shared" si="0"/>
        <v>0</v>
      </c>
      <c r="I7" s="374">
        <f t="shared" si="0"/>
        <v>201.75933641840209</v>
      </c>
      <c r="J7" s="374">
        <f t="shared" si="0"/>
        <v>302.63900462760313</v>
      </c>
      <c r="K7" s="374">
        <f t="shared" si="0"/>
        <v>201.75933641840209</v>
      </c>
      <c r="L7" s="374">
        <f t="shared" si="0"/>
        <v>272476.25213004189</v>
      </c>
      <c r="M7" s="374">
        <f t="shared" si="0"/>
        <v>0</v>
      </c>
      <c r="N7" s="374">
        <f t="shared" si="0"/>
        <v>907841.08583466255</v>
      </c>
      <c r="O7" s="374">
        <f t="shared" si="0"/>
        <v>0</v>
      </c>
      <c r="P7" s="374">
        <f t="shared" si="0"/>
        <v>201.75933641840209</v>
      </c>
      <c r="Q7" s="374">
        <f t="shared" si="0"/>
        <v>2875.0705439622297</v>
      </c>
      <c r="R7" s="374">
        <f t="shared" si="0"/>
        <v>0</v>
      </c>
      <c r="S7" s="374">
        <f t="shared" si="0"/>
        <v>151.31950231380156</v>
      </c>
      <c r="T7" s="374">
        <f t="shared" si="1"/>
        <v>1197063.3628874319</v>
      </c>
    </row>
    <row r="8" spans="1:24" ht="17.100000000000001" customHeight="1" x14ac:dyDescent="0.25">
      <c r="A8" s="310" t="s">
        <v>12</v>
      </c>
      <c r="B8" s="311" t="s">
        <v>14</v>
      </c>
      <c r="C8" s="312">
        <f t="shared" si="0"/>
        <v>10700.407403092358</v>
      </c>
      <c r="D8" s="312">
        <f t="shared" si="0"/>
        <v>148372.4756122939</v>
      </c>
      <c r="E8" s="312">
        <f t="shared" si="0"/>
        <v>20630.699426812174</v>
      </c>
      <c r="F8" s="312">
        <f t="shared" si="0"/>
        <v>16787.621337115343</v>
      </c>
      <c r="G8" s="312">
        <f t="shared" si="0"/>
        <v>7185754.0996403564</v>
      </c>
      <c r="H8" s="312">
        <f t="shared" si="0"/>
        <v>17069.869976671751</v>
      </c>
      <c r="I8" s="312">
        <f t="shared" si="0"/>
        <v>2887.2965530086431</v>
      </c>
      <c r="J8" s="312">
        <f t="shared" si="0"/>
        <v>22948.288577955391</v>
      </c>
      <c r="K8" s="312">
        <f t="shared" si="0"/>
        <v>721.82413825216076</v>
      </c>
      <c r="L8" s="312">
        <f t="shared" si="0"/>
        <v>992.50819009672102</v>
      </c>
      <c r="M8" s="312">
        <f t="shared" si="0"/>
        <v>0</v>
      </c>
      <c r="N8" s="312">
        <f t="shared" si="0"/>
        <v>119825.15621709469</v>
      </c>
      <c r="O8" s="312">
        <f t="shared" si="0"/>
        <v>437030.83166225959</v>
      </c>
      <c r="P8" s="312">
        <f t="shared" si="0"/>
        <v>541.36810368912052</v>
      </c>
      <c r="Q8" s="312">
        <f t="shared" si="0"/>
        <v>111406.18348284034</v>
      </c>
      <c r="R8" s="312">
        <f t="shared" si="0"/>
        <v>0</v>
      </c>
      <c r="S8" s="312">
        <f t="shared" si="0"/>
        <v>65229.962748749444</v>
      </c>
      <c r="T8" s="312">
        <f t="shared" si="1"/>
        <v>8160898.5930702873</v>
      </c>
    </row>
    <row r="9" spans="1:24" ht="17.100000000000001" customHeight="1" x14ac:dyDescent="0.25">
      <c r="A9" s="372" t="s">
        <v>15</v>
      </c>
      <c r="B9" s="373" t="s">
        <v>17</v>
      </c>
      <c r="C9" s="374">
        <f t="shared" si="0"/>
        <v>574.03016383547174</v>
      </c>
      <c r="D9" s="374">
        <f t="shared" si="0"/>
        <v>87256.972801885073</v>
      </c>
      <c r="E9" s="374">
        <f t="shared" si="0"/>
        <v>1066.0560185515906</v>
      </c>
      <c r="F9" s="374">
        <f t="shared" si="0"/>
        <v>615.03231839514831</v>
      </c>
      <c r="G9" s="374">
        <f t="shared" si="0"/>
        <v>4346.2283833257143</v>
      </c>
      <c r="H9" s="374">
        <f t="shared" si="0"/>
        <v>3247366.25322749</v>
      </c>
      <c r="I9" s="374">
        <f t="shared" si="0"/>
        <v>0</v>
      </c>
      <c r="J9" s="374">
        <f t="shared" si="0"/>
        <v>1025.0538639919139</v>
      </c>
      <c r="K9" s="374">
        <f t="shared" si="0"/>
        <v>6232.3274930708367</v>
      </c>
      <c r="L9" s="374">
        <f t="shared" si="0"/>
        <v>0</v>
      </c>
      <c r="M9" s="374">
        <f t="shared" si="0"/>
        <v>0</v>
      </c>
      <c r="N9" s="374">
        <f t="shared" si="0"/>
        <v>1271.0667913499733</v>
      </c>
      <c r="O9" s="374">
        <f t="shared" si="0"/>
        <v>0</v>
      </c>
      <c r="P9" s="374">
        <f t="shared" si="0"/>
        <v>0</v>
      </c>
      <c r="Q9" s="374">
        <f t="shared" si="0"/>
        <v>1435.0754095886793</v>
      </c>
      <c r="R9" s="374">
        <f t="shared" si="0"/>
        <v>123.00646367902966</v>
      </c>
      <c r="S9" s="374">
        <f t="shared" si="0"/>
        <v>1640.0861823870621</v>
      </c>
      <c r="T9" s="374">
        <f t="shared" si="1"/>
        <v>3352951.1891175504</v>
      </c>
    </row>
    <row r="10" spans="1:24" ht="17.100000000000001" customHeight="1" x14ac:dyDescent="0.25">
      <c r="A10" s="310" t="s">
        <v>18</v>
      </c>
      <c r="B10" s="311" t="s">
        <v>19</v>
      </c>
      <c r="C10" s="312">
        <f t="shared" si="0"/>
        <v>0</v>
      </c>
      <c r="D10" s="312">
        <f t="shared" si="0"/>
        <v>32378.214900843988</v>
      </c>
      <c r="E10" s="312">
        <f t="shared" si="0"/>
        <v>169.38815930864365</v>
      </c>
      <c r="F10" s="312">
        <f t="shared" si="0"/>
        <v>4164806.2905283836</v>
      </c>
      <c r="G10" s="312">
        <f t="shared" si="0"/>
        <v>296.42927879012643</v>
      </c>
      <c r="H10" s="312">
        <f t="shared" si="0"/>
        <v>3641.8454251358394</v>
      </c>
      <c r="I10" s="312">
        <f t="shared" si="0"/>
        <v>719.89967706173559</v>
      </c>
      <c r="J10" s="312">
        <f t="shared" si="0"/>
        <v>0</v>
      </c>
      <c r="K10" s="312">
        <f t="shared" si="0"/>
        <v>5589.8092571852412</v>
      </c>
      <c r="L10" s="312">
        <f t="shared" si="0"/>
        <v>2583.169429456816</v>
      </c>
      <c r="M10" s="312">
        <f t="shared" si="0"/>
        <v>0</v>
      </c>
      <c r="N10" s="312">
        <f t="shared" si="0"/>
        <v>1143.3700753333449</v>
      </c>
      <c r="O10" s="312">
        <f t="shared" si="0"/>
        <v>423.47039827160916</v>
      </c>
      <c r="P10" s="312">
        <f t="shared" si="0"/>
        <v>0</v>
      </c>
      <c r="Q10" s="312">
        <f t="shared" si="0"/>
        <v>1524.4934337777931</v>
      </c>
      <c r="R10" s="312">
        <f t="shared" si="0"/>
        <v>0</v>
      </c>
      <c r="S10" s="312">
        <f t="shared" si="0"/>
        <v>1312.7582346419883</v>
      </c>
      <c r="T10" s="312">
        <f t="shared" si="1"/>
        <v>4214589.1387981903</v>
      </c>
    </row>
    <row r="11" spans="1:24" ht="17.100000000000001" customHeight="1" x14ac:dyDescent="0.25">
      <c r="A11" s="372"/>
      <c r="B11" s="373" t="s">
        <v>155</v>
      </c>
      <c r="C11" s="374"/>
      <c r="D11" s="374"/>
      <c r="E11" s="374"/>
      <c r="F11" s="374"/>
      <c r="G11" s="374"/>
      <c r="H11" s="374"/>
      <c r="I11" s="374"/>
      <c r="J11" s="374"/>
      <c r="K11" s="374"/>
      <c r="L11" s="374"/>
      <c r="M11" s="374"/>
      <c r="N11" s="374"/>
      <c r="O11" s="374"/>
      <c r="P11" s="374"/>
      <c r="Q11" s="374"/>
      <c r="R11" s="374"/>
      <c r="S11" s="374"/>
      <c r="T11" s="374"/>
    </row>
    <row r="12" spans="1:24" ht="17.100000000000001" customHeight="1" x14ac:dyDescent="0.25">
      <c r="A12" s="310" t="s">
        <v>21</v>
      </c>
      <c r="B12" s="311" t="s">
        <v>22</v>
      </c>
      <c r="C12" s="312">
        <f t="shared" ref="C12:S25" si="2">+C36+C60</f>
        <v>119.51163137768084</v>
      </c>
      <c r="D12" s="312">
        <f t="shared" si="2"/>
        <v>6154.8490159505636</v>
      </c>
      <c r="E12" s="312">
        <f t="shared" si="2"/>
        <v>0</v>
      </c>
      <c r="F12" s="312">
        <f t="shared" si="2"/>
        <v>9919.6842901192667</v>
      </c>
      <c r="G12" s="312">
        <f t="shared" si="2"/>
        <v>0</v>
      </c>
      <c r="H12" s="312">
        <f t="shared" si="2"/>
        <v>179.26744706652127</v>
      </c>
      <c r="I12" s="312">
        <f t="shared" si="2"/>
        <v>0</v>
      </c>
      <c r="J12" s="312">
        <f t="shared" si="2"/>
        <v>0</v>
      </c>
      <c r="K12" s="312">
        <f t="shared" si="2"/>
        <v>1912.1861020428935</v>
      </c>
      <c r="L12" s="312">
        <f t="shared" si="2"/>
        <v>2937194.7546056942</v>
      </c>
      <c r="M12" s="312">
        <f t="shared" si="2"/>
        <v>0</v>
      </c>
      <c r="N12" s="312">
        <f t="shared" si="2"/>
        <v>19142.071473354223</v>
      </c>
      <c r="O12" s="312">
        <f t="shared" si="2"/>
        <v>119.51163137768084</v>
      </c>
      <c r="P12" s="312">
        <f t="shared" si="2"/>
        <v>0</v>
      </c>
      <c r="Q12" s="312">
        <f t="shared" si="2"/>
        <v>86428.652139390833</v>
      </c>
      <c r="R12" s="312">
        <f t="shared" si="2"/>
        <v>0</v>
      </c>
      <c r="S12" s="312">
        <f t="shared" si="2"/>
        <v>18046.69410957332</v>
      </c>
      <c r="T12" s="312">
        <f t="shared" si="1"/>
        <v>3079217.1824459471</v>
      </c>
    </row>
    <row r="13" spans="1:24" ht="17.100000000000001" customHeight="1" x14ac:dyDescent="0.25">
      <c r="A13" s="372" t="s">
        <v>23</v>
      </c>
      <c r="B13" s="373" t="s">
        <v>25</v>
      </c>
      <c r="C13" s="374">
        <f t="shared" si="2"/>
        <v>138.91494948352729</v>
      </c>
      <c r="D13" s="374">
        <f t="shared" si="2"/>
        <v>25050.995890196089</v>
      </c>
      <c r="E13" s="374">
        <f t="shared" si="2"/>
        <v>277.82989896705459</v>
      </c>
      <c r="F13" s="374">
        <f t="shared" si="2"/>
        <v>277.82989896705459</v>
      </c>
      <c r="G13" s="374">
        <f t="shared" si="2"/>
        <v>2176.3342085752611</v>
      </c>
      <c r="H13" s="374">
        <f t="shared" si="2"/>
        <v>1342.8445116740972</v>
      </c>
      <c r="I13" s="374">
        <f t="shared" si="2"/>
        <v>185.21993264470308</v>
      </c>
      <c r="J13" s="374">
        <f t="shared" si="2"/>
        <v>231.52491580587883</v>
      </c>
      <c r="K13" s="374">
        <f t="shared" si="2"/>
        <v>1481.7594611576246</v>
      </c>
      <c r="L13" s="374">
        <f t="shared" si="2"/>
        <v>416.74484845058191</v>
      </c>
      <c r="M13" s="374">
        <f t="shared" si="2"/>
        <v>92.609966322351539</v>
      </c>
      <c r="N13" s="374">
        <f t="shared" si="2"/>
        <v>30492.138067151871</v>
      </c>
      <c r="O13" s="374">
        <f t="shared" si="2"/>
        <v>185.21993264470308</v>
      </c>
      <c r="P13" s="374">
        <f t="shared" si="2"/>
        <v>2500.4690907034915</v>
      </c>
      <c r="Q13" s="374">
        <f t="shared" si="2"/>
        <v>2200945.0004699081</v>
      </c>
      <c r="R13" s="374">
        <f t="shared" si="2"/>
        <v>0</v>
      </c>
      <c r="S13" s="374">
        <f t="shared" si="2"/>
        <v>833.48969690116382</v>
      </c>
      <c r="T13" s="374">
        <f t="shared" si="1"/>
        <v>2266628.9257395538</v>
      </c>
    </row>
    <row r="14" spans="1:24" ht="17.100000000000001" customHeight="1" x14ac:dyDescent="0.25">
      <c r="A14" s="310" t="s">
        <v>26</v>
      </c>
      <c r="B14" s="311" t="s">
        <v>27</v>
      </c>
      <c r="C14" s="312">
        <f t="shared" si="2"/>
        <v>3809.6192174761304</v>
      </c>
      <c r="D14" s="312">
        <f t="shared" si="2"/>
        <v>52213.946188481677</v>
      </c>
      <c r="E14" s="312">
        <f t="shared" si="2"/>
        <v>0</v>
      </c>
      <c r="F14" s="312">
        <f t="shared" si="2"/>
        <v>166.36474297717282</v>
      </c>
      <c r="G14" s="312">
        <f t="shared" si="2"/>
        <v>8822.4766791193506</v>
      </c>
      <c r="H14" s="312">
        <f t="shared" si="2"/>
        <v>554.54914325724269</v>
      </c>
      <c r="I14" s="312">
        <f t="shared" si="2"/>
        <v>0</v>
      </c>
      <c r="J14" s="312">
        <f t="shared" si="2"/>
        <v>1053.6433721887613</v>
      </c>
      <c r="K14" s="312">
        <f t="shared" si="2"/>
        <v>1885.4670870746254</v>
      </c>
      <c r="L14" s="312">
        <f t="shared" si="2"/>
        <v>25524.696493820742</v>
      </c>
      <c r="M14" s="312">
        <f t="shared" si="2"/>
        <v>2866.8856739388179</v>
      </c>
      <c r="N14" s="312">
        <f t="shared" si="2"/>
        <v>391631.65688726987</v>
      </c>
      <c r="O14" s="312">
        <f t="shared" si="2"/>
        <v>2922.340588264542</v>
      </c>
      <c r="P14" s="312">
        <f t="shared" si="2"/>
        <v>1275.4630294916583</v>
      </c>
      <c r="Q14" s="312">
        <f t="shared" si="2"/>
        <v>1229231.1630818667</v>
      </c>
      <c r="R14" s="312">
        <f t="shared" si="2"/>
        <v>0</v>
      </c>
      <c r="S14" s="312">
        <f t="shared" si="2"/>
        <v>610.00405758296699</v>
      </c>
      <c r="T14" s="312">
        <f t="shared" si="1"/>
        <v>1722568.2762428103</v>
      </c>
    </row>
    <row r="15" spans="1:24" ht="17.100000000000001" customHeight="1" x14ac:dyDescent="0.25">
      <c r="A15" s="372">
        <v>25</v>
      </c>
      <c r="B15" s="373" t="s">
        <v>30</v>
      </c>
      <c r="C15" s="374">
        <f t="shared" si="2"/>
        <v>4655277.3921288811</v>
      </c>
      <c r="D15" s="374">
        <f t="shared" si="2"/>
        <v>16436.63047395504</v>
      </c>
      <c r="E15" s="374">
        <f t="shared" si="2"/>
        <v>4769.5579500315962</v>
      </c>
      <c r="F15" s="374">
        <f t="shared" si="2"/>
        <v>0</v>
      </c>
      <c r="G15" s="374">
        <f t="shared" si="2"/>
        <v>15514.019429753058</v>
      </c>
      <c r="H15" s="374">
        <f t="shared" si="2"/>
        <v>11960.583782386926</v>
      </c>
      <c r="I15" s="374">
        <f t="shared" si="2"/>
        <v>146.75562923174141</v>
      </c>
      <c r="J15" s="374">
        <f t="shared" si="2"/>
        <v>440.26688769522428</v>
      </c>
      <c r="K15" s="374">
        <f t="shared" si="2"/>
        <v>12400.850670082151</v>
      </c>
      <c r="L15" s="374">
        <f t="shared" si="2"/>
        <v>0</v>
      </c>
      <c r="M15" s="374">
        <f t="shared" si="2"/>
        <v>0</v>
      </c>
      <c r="N15" s="374">
        <f t="shared" si="2"/>
        <v>513.64470231109499</v>
      </c>
      <c r="O15" s="374">
        <f t="shared" si="2"/>
        <v>0</v>
      </c>
      <c r="P15" s="374">
        <f t="shared" si="2"/>
        <v>0</v>
      </c>
      <c r="Q15" s="374">
        <f t="shared" si="2"/>
        <v>2935.1125846348286</v>
      </c>
      <c r="R15" s="374">
        <f t="shared" si="2"/>
        <v>0</v>
      </c>
      <c r="S15" s="374">
        <f t="shared" si="2"/>
        <v>0</v>
      </c>
      <c r="T15" s="374">
        <f t="shared" si="1"/>
        <v>4720394.8142389627</v>
      </c>
    </row>
    <row r="16" spans="1:24" ht="17.100000000000001" customHeight="1" x14ac:dyDescent="0.25">
      <c r="A16" s="310" t="s">
        <v>31</v>
      </c>
      <c r="B16" s="311" t="s">
        <v>33</v>
      </c>
      <c r="C16" s="312">
        <f t="shared" si="2"/>
        <v>0</v>
      </c>
      <c r="D16" s="312">
        <f t="shared" si="2"/>
        <v>1085.1603794265038</v>
      </c>
      <c r="E16" s="312">
        <f t="shared" si="2"/>
        <v>271.29009485662596</v>
      </c>
      <c r="F16" s="312">
        <f t="shared" si="2"/>
        <v>0</v>
      </c>
      <c r="G16" s="312">
        <f t="shared" si="2"/>
        <v>1513529.5022476627</v>
      </c>
      <c r="H16" s="312">
        <f t="shared" si="2"/>
        <v>16004.052553994494</v>
      </c>
      <c r="I16" s="312">
        <f t="shared" si="2"/>
        <v>1356.4504742831298</v>
      </c>
      <c r="J16" s="312">
        <f t="shared" si="2"/>
        <v>0</v>
      </c>
      <c r="K16" s="312">
        <f t="shared" si="2"/>
        <v>0</v>
      </c>
      <c r="L16" s="312">
        <f t="shared" si="2"/>
        <v>0</v>
      </c>
      <c r="M16" s="312">
        <f t="shared" si="2"/>
        <v>0</v>
      </c>
      <c r="N16" s="312">
        <f t="shared" si="2"/>
        <v>11394.18398397829</v>
      </c>
      <c r="O16" s="312">
        <f t="shared" si="2"/>
        <v>0</v>
      </c>
      <c r="P16" s="312">
        <f t="shared" si="2"/>
        <v>0</v>
      </c>
      <c r="Q16" s="312">
        <f t="shared" si="2"/>
        <v>406.93514228493893</v>
      </c>
      <c r="R16" s="312">
        <f t="shared" si="2"/>
        <v>0</v>
      </c>
      <c r="S16" s="312">
        <f t="shared" si="2"/>
        <v>1627.7405691397557</v>
      </c>
      <c r="T16" s="312">
        <f t="shared" si="1"/>
        <v>1545675.3154456269</v>
      </c>
    </row>
    <row r="17" spans="1:91" ht="17.100000000000001" customHeight="1" x14ac:dyDescent="0.25">
      <c r="A17" s="372" t="s">
        <v>34</v>
      </c>
      <c r="B17" s="373" t="s">
        <v>35</v>
      </c>
      <c r="C17" s="374">
        <f t="shared" si="2"/>
        <v>63251.19504237303</v>
      </c>
      <c r="D17" s="374">
        <f t="shared" si="2"/>
        <v>173824.83631659998</v>
      </c>
      <c r="E17" s="374">
        <f t="shared" si="2"/>
        <v>13861.65626558945</v>
      </c>
      <c r="F17" s="374">
        <f t="shared" si="2"/>
        <v>3667.1048321665212</v>
      </c>
      <c r="G17" s="374">
        <f t="shared" si="2"/>
        <v>1760.2103194399301</v>
      </c>
      <c r="H17" s="374">
        <f t="shared" si="2"/>
        <v>110423.67702295088</v>
      </c>
      <c r="I17" s="374">
        <f t="shared" si="2"/>
        <v>10998.034438510149</v>
      </c>
      <c r="J17" s="374">
        <f t="shared" si="2"/>
        <v>13931.718304243366</v>
      </c>
      <c r="K17" s="374">
        <f t="shared" si="2"/>
        <v>4028079.149971284</v>
      </c>
      <c r="L17" s="374">
        <f t="shared" si="2"/>
        <v>25979.896108644778</v>
      </c>
      <c r="M17" s="374">
        <f t="shared" si="2"/>
        <v>0</v>
      </c>
      <c r="N17" s="374">
        <f t="shared" si="2"/>
        <v>4987.2625717464689</v>
      </c>
      <c r="O17" s="374">
        <f t="shared" si="2"/>
        <v>0</v>
      </c>
      <c r="P17" s="374">
        <f t="shared" si="2"/>
        <v>0</v>
      </c>
      <c r="Q17" s="374">
        <f t="shared" si="2"/>
        <v>91457.988121191782</v>
      </c>
      <c r="R17" s="374">
        <f t="shared" si="2"/>
        <v>0</v>
      </c>
      <c r="S17" s="374">
        <f t="shared" si="2"/>
        <v>220.02628992999126</v>
      </c>
      <c r="T17" s="374">
        <f t="shared" si="1"/>
        <v>4542442.7556046704</v>
      </c>
    </row>
    <row r="18" spans="1:91" ht="17.100000000000001" customHeight="1" x14ac:dyDescent="0.25">
      <c r="A18" s="310" t="s">
        <v>156</v>
      </c>
      <c r="B18" s="311" t="s">
        <v>36</v>
      </c>
      <c r="C18" s="312">
        <f t="shared" si="2"/>
        <v>2531.1100502818222</v>
      </c>
      <c r="D18" s="312">
        <f t="shared" si="2"/>
        <v>29065.425198774021</v>
      </c>
      <c r="E18" s="312">
        <f t="shared" si="2"/>
        <v>4517645.2868293207</v>
      </c>
      <c r="F18" s="312">
        <f t="shared" si="2"/>
        <v>0</v>
      </c>
      <c r="G18" s="312">
        <f t="shared" si="2"/>
        <v>13749.036573294363</v>
      </c>
      <c r="H18" s="312">
        <f t="shared" si="2"/>
        <v>0</v>
      </c>
      <c r="I18" s="312">
        <f t="shared" si="2"/>
        <v>2286.1639163835812</v>
      </c>
      <c r="J18" s="312">
        <f t="shared" si="2"/>
        <v>10646.385543916645</v>
      </c>
      <c r="K18" s="312">
        <f t="shared" si="2"/>
        <v>4245.7329875695077</v>
      </c>
      <c r="L18" s="312">
        <f t="shared" si="2"/>
        <v>0</v>
      </c>
      <c r="M18" s="312">
        <f t="shared" si="2"/>
        <v>0</v>
      </c>
      <c r="N18" s="312">
        <f t="shared" si="2"/>
        <v>11136.277811713127</v>
      </c>
      <c r="O18" s="312">
        <f t="shared" si="2"/>
        <v>0</v>
      </c>
      <c r="P18" s="312">
        <f t="shared" si="2"/>
        <v>9829.8984309225089</v>
      </c>
      <c r="Q18" s="312">
        <f t="shared" si="2"/>
        <v>31204.318230055211</v>
      </c>
      <c r="R18" s="312">
        <f t="shared" si="2"/>
        <v>0</v>
      </c>
      <c r="S18" s="312">
        <f t="shared" si="2"/>
        <v>0</v>
      </c>
      <c r="T18" s="312">
        <f t="shared" si="1"/>
        <v>4632339.6355722323</v>
      </c>
    </row>
    <row r="19" spans="1:91" ht="17.100000000000001" customHeight="1" x14ac:dyDescent="0.25">
      <c r="A19" s="372" t="s">
        <v>37</v>
      </c>
      <c r="B19" s="373" t="s">
        <v>39</v>
      </c>
      <c r="C19" s="374">
        <f t="shared" si="2"/>
        <v>1387.9941356751081</v>
      </c>
      <c r="D19" s="374">
        <f t="shared" si="2"/>
        <v>42568.652948465766</v>
      </c>
      <c r="E19" s="374">
        <f t="shared" si="2"/>
        <v>25024.782804429</v>
      </c>
      <c r="F19" s="374">
        <f t="shared" si="2"/>
        <v>27247.120548730469</v>
      </c>
      <c r="G19" s="374">
        <f t="shared" si="2"/>
        <v>15341.976580873827</v>
      </c>
      <c r="H19" s="374">
        <f t="shared" si="2"/>
        <v>15255.226947394132</v>
      </c>
      <c r="I19" s="374">
        <f t="shared" si="2"/>
        <v>21934.948725330589</v>
      </c>
      <c r="J19" s="374">
        <f t="shared" si="2"/>
        <v>9625085.6696558781</v>
      </c>
      <c r="K19" s="374">
        <f t="shared" si="2"/>
        <v>15341.976580873827</v>
      </c>
      <c r="L19" s="374">
        <f t="shared" si="2"/>
        <v>260.24890043908272</v>
      </c>
      <c r="M19" s="374">
        <f t="shared" si="2"/>
        <v>0</v>
      </c>
      <c r="N19" s="374">
        <f t="shared" si="2"/>
        <v>86.749633479694253</v>
      </c>
      <c r="O19" s="374">
        <f t="shared" si="2"/>
        <v>0</v>
      </c>
      <c r="P19" s="374">
        <f t="shared" si="2"/>
        <v>260.24890043908272</v>
      </c>
      <c r="Q19" s="374">
        <f t="shared" si="2"/>
        <v>18725.212286581904</v>
      </c>
      <c r="R19" s="374">
        <f t="shared" si="2"/>
        <v>0</v>
      </c>
      <c r="S19" s="374">
        <f t="shared" si="2"/>
        <v>693.99706783755403</v>
      </c>
      <c r="T19" s="374">
        <f t="shared" si="1"/>
        <v>9809214.8057164289</v>
      </c>
    </row>
    <row r="20" spans="1:91" ht="17.100000000000001" customHeight="1" x14ac:dyDescent="0.25">
      <c r="A20" s="310" t="s">
        <v>40</v>
      </c>
      <c r="B20" s="311" t="s">
        <v>42</v>
      </c>
      <c r="C20" s="312">
        <f t="shared" si="2"/>
        <v>0</v>
      </c>
      <c r="D20" s="312">
        <f t="shared" si="2"/>
        <v>11644.535393367758</v>
      </c>
      <c r="E20" s="312">
        <f t="shared" si="2"/>
        <v>1270.3129520037553</v>
      </c>
      <c r="F20" s="312">
        <f t="shared" si="2"/>
        <v>0</v>
      </c>
      <c r="G20" s="312">
        <f t="shared" si="2"/>
        <v>0</v>
      </c>
      <c r="H20" s="312">
        <f t="shared" si="2"/>
        <v>317.57823800093882</v>
      </c>
      <c r="I20" s="312">
        <f t="shared" si="2"/>
        <v>0</v>
      </c>
      <c r="J20" s="312">
        <f t="shared" si="2"/>
        <v>1291061.3968864833</v>
      </c>
      <c r="K20" s="312">
        <f t="shared" si="2"/>
        <v>2328.9070786735515</v>
      </c>
      <c r="L20" s="312">
        <f t="shared" si="2"/>
        <v>0</v>
      </c>
      <c r="M20" s="312">
        <f t="shared" si="2"/>
        <v>0</v>
      </c>
      <c r="N20" s="312">
        <f t="shared" si="2"/>
        <v>317.57823800093882</v>
      </c>
      <c r="O20" s="312">
        <f t="shared" si="2"/>
        <v>0</v>
      </c>
      <c r="P20" s="312">
        <f t="shared" si="2"/>
        <v>0</v>
      </c>
      <c r="Q20" s="312">
        <f t="shared" si="2"/>
        <v>529.29706333489798</v>
      </c>
      <c r="R20" s="312">
        <f t="shared" si="2"/>
        <v>0</v>
      </c>
      <c r="S20" s="312">
        <f t="shared" si="2"/>
        <v>423.43765066791843</v>
      </c>
      <c r="T20" s="312">
        <f t="shared" si="1"/>
        <v>1307893.0435005331</v>
      </c>
    </row>
    <row r="21" spans="1:91" ht="17.100000000000001" customHeight="1" x14ac:dyDescent="0.25">
      <c r="A21" s="372" t="s">
        <v>157</v>
      </c>
      <c r="B21" s="373" t="s">
        <v>43</v>
      </c>
      <c r="C21" s="374">
        <f t="shared" si="2"/>
        <v>736.44174834781631</v>
      </c>
      <c r="D21" s="374">
        <f t="shared" si="2"/>
        <v>1104.6626225217246</v>
      </c>
      <c r="E21" s="374">
        <f t="shared" si="2"/>
        <v>1963.8446622608435</v>
      </c>
      <c r="F21" s="374">
        <f t="shared" si="2"/>
        <v>0</v>
      </c>
      <c r="G21" s="374">
        <f t="shared" si="2"/>
        <v>0</v>
      </c>
      <c r="H21" s="374">
        <f t="shared" si="2"/>
        <v>0</v>
      </c>
      <c r="I21" s="374">
        <f t="shared" si="2"/>
        <v>368.22087417390816</v>
      </c>
      <c r="J21" s="374">
        <f t="shared" si="2"/>
        <v>0</v>
      </c>
      <c r="K21" s="374">
        <f t="shared" si="2"/>
        <v>2454.8058278260546</v>
      </c>
      <c r="L21" s="374">
        <f t="shared" si="2"/>
        <v>736.44174834781631</v>
      </c>
      <c r="M21" s="374">
        <f t="shared" si="2"/>
        <v>0</v>
      </c>
      <c r="N21" s="374">
        <f t="shared" si="2"/>
        <v>4909.6116556521092</v>
      </c>
      <c r="O21" s="374">
        <f t="shared" si="2"/>
        <v>1353579.9334632864</v>
      </c>
      <c r="P21" s="374">
        <f t="shared" si="2"/>
        <v>6873.4563179129527</v>
      </c>
      <c r="Q21" s="374">
        <f t="shared" si="2"/>
        <v>6137.0145695651354</v>
      </c>
      <c r="R21" s="374">
        <f t="shared" si="2"/>
        <v>0</v>
      </c>
      <c r="S21" s="374">
        <f t="shared" si="2"/>
        <v>122.74029139130272</v>
      </c>
      <c r="T21" s="374">
        <f t="shared" si="1"/>
        <v>1378987.1737812862</v>
      </c>
    </row>
    <row r="22" spans="1:91" ht="17.100000000000001" customHeight="1" x14ac:dyDescent="0.25">
      <c r="A22" s="310" t="s">
        <v>158</v>
      </c>
      <c r="B22" s="311" t="s">
        <v>45</v>
      </c>
      <c r="C22" s="312">
        <f t="shared" si="2"/>
        <v>0</v>
      </c>
      <c r="D22" s="312">
        <f t="shared" si="2"/>
        <v>1842.1083861129068</v>
      </c>
      <c r="E22" s="312">
        <f t="shared" si="2"/>
        <v>736.84335444516284</v>
      </c>
      <c r="F22" s="312">
        <f t="shared" si="2"/>
        <v>0</v>
      </c>
      <c r="G22" s="312">
        <f t="shared" si="2"/>
        <v>0</v>
      </c>
      <c r="H22" s="312">
        <f t="shared" si="2"/>
        <v>0</v>
      </c>
      <c r="I22" s="312">
        <f t="shared" si="2"/>
        <v>0</v>
      </c>
      <c r="J22" s="312">
        <f t="shared" si="2"/>
        <v>0</v>
      </c>
      <c r="K22" s="312">
        <f t="shared" si="2"/>
        <v>0</v>
      </c>
      <c r="L22" s="312">
        <f t="shared" si="2"/>
        <v>0</v>
      </c>
      <c r="M22" s="312">
        <f t="shared" si="2"/>
        <v>147.36867088903256</v>
      </c>
      <c r="N22" s="312">
        <f t="shared" si="2"/>
        <v>145305.50949658611</v>
      </c>
      <c r="O22" s="312">
        <f t="shared" si="2"/>
        <v>2726.3204114471023</v>
      </c>
      <c r="P22" s="312">
        <f t="shared" si="2"/>
        <v>6731432.4645337854</v>
      </c>
      <c r="Q22" s="312">
        <f t="shared" si="2"/>
        <v>12821.074367345833</v>
      </c>
      <c r="R22" s="312">
        <f t="shared" si="2"/>
        <v>0</v>
      </c>
      <c r="S22" s="312">
        <f t="shared" si="2"/>
        <v>0</v>
      </c>
      <c r="T22" s="312">
        <f t="shared" si="1"/>
        <v>6895011.6892206119</v>
      </c>
    </row>
    <row r="23" spans="1:91" ht="17.100000000000001" customHeight="1" x14ac:dyDescent="0.25">
      <c r="A23" s="372" t="s">
        <v>159</v>
      </c>
      <c r="B23" s="373" t="s">
        <v>46</v>
      </c>
      <c r="C23" s="374">
        <f t="shared" si="2"/>
        <v>0</v>
      </c>
      <c r="D23" s="374">
        <f t="shared" si="2"/>
        <v>825.76503159573565</v>
      </c>
      <c r="E23" s="374">
        <f t="shared" si="2"/>
        <v>0</v>
      </c>
      <c r="F23" s="374">
        <f t="shared" si="2"/>
        <v>0</v>
      </c>
      <c r="G23" s="374">
        <f t="shared" si="2"/>
        <v>30099.953328233205</v>
      </c>
      <c r="H23" s="374">
        <f t="shared" si="2"/>
        <v>206.44125789893391</v>
      </c>
      <c r="I23" s="374">
        <f t="shared" si="2"/>
        <v>0</v>
      </c>
      <c r="J23" s="374">
        <f t="shared" si="2"/>
        <v>0</v>
      </c>
      <c r="K23" s="374">
        <f t="shared" si="2"/>
        <v>0</v>
      </c>
      <c r="L23" s="374">
        <f t="shared" si="2"/>
        <v>0</v>
      </c>
      <c r="M23" s="374">
        <f t="shared" si="2"/>
        <v>0</v>
      </c>
      <c r="N23" s="374">
        <f t="shared" si="2"/>
        <v>14378653.095217206</v>
      </c>
      <c r="O23" s="374">
        <f t="shared" si="2"/>
        <v>0</v>
      </c>
      <c r="P23" s="374">
        <f t="shared" si="2"/>
        <v>0</v>
      </c>
      <c r="Q23" s="374">
        <f t="shared" si="2"/>
        <v>185857.2269916535</v>
      </c>
      <c r="R23" s="374">
        <f t="shared" si="2"/>
        <v>0</v>
      </c>
      <c r="S23" s="374">
        <f t="shared" si="2"/>
        <v>77513.992103302779</v>
      </c>
      <c r="T23" s="374">
        <f t="shared" si="1"/>
        <v>14673156.47392989</v>
      </c>
    </row>
    <row r="24" spans="1:91" ht="17.100000000000001" customHeight="1" x14ac:dyDescent="0.25">
      <c r="A24" s="310" t="s">
        <v>160</v>
      </c>
      <c r="B24" s="311" t="s">
        <v>48</v>
      </c>
      <c r="C24" s="312">
        <f t="shared" si="2"/>
        <v>0</v>
      </c>
      <c r="D24" s="312">
        <f t="shared" si="2"/>
        <v>424.2316144530688</v>
      </c>
      <c r="E24" s="312">
        <f t="shared" si="2"/>
        <v>0</v>
      </c>
      <c r="F24" s="312">
        <f t="shared" si="2"/>
        <v>0</v>
      </c>
      <c r="G24" s="312">
        <f t="shared" si="2"/>
        <v>0</v>
      </c>
      <c r="H24" s="312">
        <f t="shared" si="2"/>
        <v>0</v>
      </c>
      <c r="I24" s="312">
        <f t="shared" si="2"/>
        <v>0</v>
      </c>
      <c r="J24" s="312">
        <f t="shared" si="2"/>
        <v>0</v>
      </c>
      <c r="K24" s="312">
        <f t="shared" si="2"/>
        <v>0</v>
      </c>
      <c r="L24" s="312">
        <f t="shared" si="2"/>
        <v>0</v>
      </c>
      <c r="M24" s="312">
        <f t="shared" si="2"/>
        <v>5642351.1774948901</v>
      </c>
      <c r="N24" s="312">
        <f t="shared" si="2"/>
        <v>150107.28624731084</v>
      </c>
      <c r="O24" s="312">
        <f t="shared" si="2"/>
        <v>0</v>
      </c>
      <c r="P24" s="312">
        <f t="shared" si="2"/>
        <v>0</v>
      </c>
      <c r="Q24" s="312">
        <f t="shared" si="2"/>
        <v>0</v>
      </c>
      <c r="R24" s="312">
        <f t="shared" si="2"/>
        <v>0</v>
      </c>
      <c r="S24" s="312">
        <f t="shared" si="2"/>
        <v>0</v>
      </c>
      <c r="T24" s="312">
        <f t="shared" si="1"/>
        <v>5792882.695356654</v>
      </c>
    </row>
    <row r="25" spans="1:91" ht="17.100000000000001" customHeight="1" x14ac:dyDescent="0.25">
      <c r="A25" s="375" t="s">
        <v>161</v>
      </c>
      <c r="B25" s="376" t="s">
        <v>289</v>
      </c>
      <c r="C25" s="377">
        <f t="shared" si="2"/>
        <v>0</v>
      </c>
      <c r="D25" s="377">
        <f t="shared" si="2"/>
        <v>0</v>
      </c>
      <c r="E25" s="377">
        <f t="shared" si="2"/>
        <v>0</v>
      </c>
      <c r="F25" s="377">
        <f t="shared" si="2"/>
        <v>0</v>
      </c>
      <c r="G25" s="377">
        <f t="shared" si="2"/>
        <v>0</v>
      </c>
      <c r="H25" s="377">
        <f t="shared" si="2"/>
        <v>0</v>
      </c>
      <c r="I25" s="377">
        <f t="shared" si="2"/>
        <v>0</v>
      </c>
      <c r="J25" s="377">
        <f t="shared" si="2"/>
        <v>0</v>
      </c>
      <c r="K25" s="377">
        <f t="shared" si="2"/>
        <v>0</v>
      </c>
      <c r="L25" s="377">
        <f t="shared" si="2"/>
        <v>0</v>
      </c>
      <c r="M25" s="377">
        <f t="shared" si="2"/>
        <v>876777.48824016459</v>
      </c>
      <c r="N25" s="377">
        <f t="shared" si="2"/>
        <v>1821.9481053583984</v>
      </c>
      <c r="O25" s="377">
        <f t="shared" si="2"/>
        <v>0</v>
      </c>
      <c r="P25" s="377">
        <f t="shared" si="2"/>
        <v>0</v>
      </c>
      <c r="Q25" s="377">
        <f t="shared" si="2"/>
        <v>840.89912555002991</v>
      </c>
      <c r="R25" s="377">
        <f t="shared" si="2"/>
        <v>0</v>
      </c>
      <c r="S25" s="377">
        <f t="shared" si="2"/>
        <v>0</v>
      </c>
      <c r="T25" s="378">
        <f t="shared" si="1"/>
        <v>879440.33547107305</v>
      </c>
    </row>
    <row r="26" spans="1:91" ht="17.100000000000001" customHeight="1" x14ac:dyDescent="0.25">
      <c r="A26" s="379"/>
      <c r="B26" s="380" t="s">
        <v>141</v>
      </c>
      <c r="C26" s="381">
        <f t="shared" ref="C26:S26" si="3">SUM(C5:C25)</f>
        <v>10369736.753054088</v>
      </c>
      <c r="D26" s="381">
        <f t="shared" si="3"/>
        <v>189888821.45433572</v>
      </c>
      <c r="E26" s="381">
        <f t="shared" si="3"/>
        <v>27837766.366119154</v>
      </c>
      <c r="F26" s="381">
        <f t="shared" si="3"/>
        <v>8547789.2443735506</v>
      </c>
      <c r="G26" s="381">
        <f t="shared" si="3"/>
        <v>37857429.201412015</v>
      </c>
      <c r="H26" s="381">
        <f t="shared" si="3"/>
        <v>16784260.672741845</v>
      </c>
      <c r="I26" s="381">
        <f t="shared" si="3"/>
        <v>4195618.2585096927</v>
      </c>
      <c r="J26" s="381">
        <f t="shared" si="3"/>
        <v>11074026.388965625</v>
      </c>
      <c r="K26" s="381">
        <f t="shared" si="3"/>
        <v>4183904.0890482301</v>
      </c>
      <c r="L26" s="381">
        <f t="shared" si="3"/>
        <v>4314162.5101127382</v>
      </c>
      <c r="M26" s="381">
        <f t="shared" si="3"/>
        <v>6532168.3646029821</v>
      </c>
      <c r="N26" s="381">
        <f t="shared" si="3"/>
        <v>25975903.501316588</v>
      </c>
      <c r="O26" s="381">
        <f t="shared" si="3"/>
        <v>5042446.9326465512</v>
      </c>
      <c r="P26" s="381">
        <f t="shared" si="3"/>
        <v>7094259.2605902478</v>
      </c>
      <c r="Q26" s="381">
        <f t="shared" si="3"/>
        <v>9031081.0811309665</v>
      </c>
      <c r="R26" s="382">
        <f t="shared" si="3"/>
        <v>2457196.7293525012</v>
      </c>
      <c r="S26" s="383">
        <f t="shared" si="3"/>
        <v>1184977.855121268</v>
      </c>
      <c r="T26" s="384">
        <f t="shared" si="1"/>
        <v>372371548.66343373</v>
      </c>
    </row>
    <row r="27" spans="1:91" s="209" customFormat="1" ht="17.100000000000001" customHeight="1" x14ac:dyDescent="0.25">
      <c r="A27" s="314"/>
      <c r="B27" s="498" t="s">
        <v>296</v>
      </c>
      <c r="C27" s="499"/>
      <c r="D27" s="499"/>
      <c r="E27" s="499"/>
      <c r="F27" s="499"/>
      <c r="G27" s="499"/>
      <c r="H27" s="499"/>
      <c r="I27" s="499"/>
      <c r="J27" s="499"/>
      <c r="K27" s="499"/>
      <c r="L27" s="499"/>
      <c r="M27" s="499"/>
      <c r="N27" s="499"/>
      <c r="O27" s="499"/>
      <c r="P27" s="499"/>
      <c r="Q27" s="499"/>
      <c r="R27" s="499"/>
      <c r="S27" s="499"/>
      <c r="T27" s="499"/>
      <c r="U27" s="315"/>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row>
    <row r="28" spans="1:91" ht="17.100000000000001" customHeight="1" x14ac:dyDescent="0.25">
      <c r="A28" s="316" t="s">
        <v>297</v>
      </c>
      <c r="B28" s="317"/>
      <c r="C28" s="318">
        <v>252</v>
      </c>
      <c r="D28" s="318">
        <v>254</v>
      </c>
      <c r="E28" s="318">
        <v>256</v>
      </c>
      <c r="F28" s="319">
        <v>258</v>
      </c>
      <c r="G28" s="318">
        <v>260</v>
      </c>
      <c r="H28" s="318">
        <v>263</v>
      </c>
      <c r="I28" s="318">
        <v>267</v>
      </c>
      <c r="J28" s="318">
        <v>268</v>
      </c>
      <c r="K28" s="318">
        <v>270</v>
      </c>
      <c r="L28" s="318">
        <v>272</v>
      </c>
      <c r="M28" s="318">
        <v>302</v>
      </c>
      <c r="N28" s="318">
        <v>304</v>
      </c>
      <c r="O28" s="318">
        <v>306</v>
      </c>
      <c r="P28" s="318">
        <v>308</v>
      </c>
      <c r="Q28" s="318">
        <v>310</v>
      </c>
      <c r="R28" s="318">
        <v>282</v>
      </c>
      <c r="S28" s="320">
        <v>266</v>
      </c>
      <c r="T28" s="4"/>
    </row>
    <row r="29" spans="1:91" ht="17.100000000000001" customHeight="1" x14ac:dyDescent="0.25">
      <c r="A29" s="321" t="s">
        <v>1</v>
      </c>
      <c r="B29" s="322" t="s">
        <v>2</v>
      </c>
      <c r="C29" s="323">
        <f>+UGpcntSCH*(VLOOKUP($A29,FY16Rev0!$A$4:$F$24,6,FALSE))*VLOOKUP($A29,FY16ProjSCH!$A$3:$S$23,MATCH(C$28,FY16ProjSCH!$A$2:$S$2,0),FALSE)</f>
        <v>3699146.6872936273</v>
      </c>
      <c r="D29" s="323">
        <f>+UGpcntSCH*(VLOOKUP($A29,FY16Rev0!$A$4:$F$24,6,FALSE))*VLOOKUP($A29,FY16ProjSCH!$A$3:$S$23,MATCH(D$28,FY16ProjSCH!$A$2:$S$2,0),FALSE)</f>
        <v>110827204.91273654</v>
      </c>
      <c r="E29" s="323">
        <f>+UGpcntSCH*(VLOOKUP($A29,FY16Rev0!$A$4:$F$24,6,FALSE))*VLOOKUP($A29,FY16ProjSCH!$A$3:$S$23,MATCH(E$28,FY16ProjSCH!$A$2:$S$2,0),FALSE)</f>
        <v>10820907.465259755</v>
      </c>
      <c r="F29" s="323">
        <f>+UGpcntSCH*(VLOOKUP($A29,FY16Rev0!$A$4:$F$24,6,FALSE))*VLOOKUP($A29,FY16ProjSCH!$A$3:$S$23,MATCH(F$28,FY16ProjSCH!$A$2:$S$2,0),FALSE)</f>
        <v>2312158.5223033982</v>
      </c>
      <c r="G29" s="323">
        <f>+UGpcntSCH*(VLOOKUP($A29,FY16Rev0!$A$4:$F$24,6,FALSE))*VLOOKUP($A29,FY16ProjSCH!$A$3:$S$23,MATCH(G$28,FY16ProjSCH!$A$2:$S$2,0),FALSE)</f>
        <v>15948480.350437898</v>
      </c>
      <c r="H29" s="323">
        <f>+UGpcntSCH*(VLOOKUP($A29,FY16Rev0!$A$4:$F$24,6,FALSE))*VLOOKUP($A29,FY16ProjSCH!$A$3:$S$23,MATCH(H$28,FY16ProjSCH!$A$2:$S$2,0),FALSE)</f>
        <v>9655898.7963463236</v>
      </c>
      <c r="I29" s="323">
        <f>+UGpcntSCH*(VLOOKUP($A29,FY16Rev0!$A$4:$F$24,6,FALSE))*VLOOKUP($A29,FY16ProjSCH!$A$3:$S$23,MATCH(I$28,FY16ProjSCH!$A$2:$S$2,0),FALSE)</f>
        <v>2322343.6280316231</v>
      </c>
      <c r="J29" s="323">
        <f>+UGpcntSCH*(VLOOKUP($A29,FY16Rev0!$A$4:$F$24,6,FALSE))*VLOOKUP($A29,FY16ProjSCH!$A$3:$S$23,MATCH(J$28,FY16ProjSCH!$A$2:$S$2,0),FALSE)</f>
        <v>98502.52937160265</v>
      </c>
      <c r="K29" s="323">
        <f>+UGpcntSCH*(VLOOKUP($A29,FY16Rev0!$A$4:$F$24,6,FALSE))*VLOOKUP($A29,FY16ProjSCH!$A$3:$S$23,MATCH(K$28,FY16ProjSCH!$A$2:$S$2,0),FALSE)</f>
        <v>29020.575225627977</v>
      </c>
      <c r="L29" s="323">
        <f>+UGpcntSCH*(VLOOKUP($A29,FY16Rev0!$A$4:$F$24,6,FALSE))*VLOOKUP($A29,FY16ProjSCH!$A$3:$S$23,MATCH(L$28,FY16ProjSCH!$A$2:$S$2,0),FALSE)</f>
        <v>524184.14001290535</v>
      </c>
      <c r="M29" s="323">
        <f>+UGpcntSCH*(VLOOKUP($A29,FY16Rev0!$A$4:$F$24,6,FALSE))*VLOOKUP($A29,FY16ProjSCH!$A$3:$S$23,MATCH(M$28,FY16ProjSCH!$A$2:$S$2,0),FALSE)</f>
        <v>9906.0617356710882</v>
      </c>
      <c r="N29" s="323">
        <f>+UGpcntSCH*(VLOOKUP($A29,FY16Rev0!$A$4:$F$24,6,FALSE))*VLOOKUP($A29,FY16ProjSCH!$A$3:$S$23,MATCH(N$28,FY16ProjSCH!$A$2:$S$2,0),FALSE)</f>
        <v>4785046.3843179662</v>
      </c>
      <c r="O29" s="323">
        <f>+UGpcntSCH*(VLOOKUP($A29,FY16Rev0!$A$4:$F$24,6,FALSE))*VLOOKUP($A29,FY16ProjSCH!$A$3:$S$23,MATCH(O$28,FY16ProjSCH!$A$2:$S$2,0),FALSE)</f>
        <v>1449354.4973260739</v>
      </c>
      <c r="P29" s="323">
        <f>+UGpcntSCH*(VLOOKUP($A29,FY16Rev0!$A$4:$F$24,6,FALSE))*VLOOKUP($A29,FY16ProjSCH!$A$3:$S$23,MATCH(P$28,FY16ProjSCH!$A$2:$S$2,0),FALSE)</f>
        <v>57064.496477316548</v>
      </c>
      <c r="Q29" s="323">
        <f>+UGpcntSCH*(VLOOKUP($A29,FY16Rev0!$A$4:$F$24,6,FALSE))*VLOOKUP($A29,FY16ProjSCH!$A$3:$S$23,MATCH(Q$28,FY16ProjSCH!$A$2:$S$2,0),FALSE)</f>
        <v>2797276.5033587273</v>
      </c>
      <c r="R29" s="323">
        <f>+UGpcntSCH*(VLOOKUP($A29,FY16Rev0!$A$4:$F$24,6,FALSE))*VLOOKUP($A29,FY16ProjSCH!$A$3:$S$23,MATCH(R$28,FY16ProjSCH!$A$2:$S$2,0),FALSE)</f>
        <v>2300996.7626012336</v>
      </c>
      <c r="S29" s="323">
        <f>+UGpcntSCH*(VLOOKUP($A29,FY16Rev0!$A$4:$F$24,6,FALSE))*VLOOKUP($A29,FY16ProjSCH!$A$3:$S$23,MATCH(S$28,FY16ProjSCH!$A$2:$S$2,0),FALSE)</f>
        <v>40321.856924069638</v>
      </c>
      <c r="T29" s="324">
        <f t="shared" ref="T29:T49" si="4">SUM(C29:Q29)+R29+S29</f>
        <v>167677814.16976032</v>
      </c>
    </row>
    <row r="30" spans="1:91" s="209" customFormat="1" ht="17.100000000000001" customHeight="1" x14ac:dyDescent="0.25">
      <c r="A30" s="325" t="s">
        <v>7</v>
      </c>
      <c r="B30" s="326" t="s">
        <v>9</v>
      </c>
      <c r="C30" s="312">
        <f>+GPpcntSCH*(VLOOKUP($A30,FY16Rev0!$A$4:$F$24,6,FALSE))*VLOOKUP($A30,FY16ProjSCH!$A$3:$S$23,MATCH(C$28,FY16ProjSCH!$A$2:$S$2,0),FALSE)</f>
        <v>20695.390714689929</v>
      </c>
      <c r="D30" s="312">
        <f>+GPpcntSCH*(VLOOKUP($A30,FY16Rev0!$A$4:$F$24,6,FALSE))*VLOOKUP($A30,FY16ProjSCH!$A$3:$S$23,MATCH(D$28,FY16ProjSCH!$A$2:$S$2,0),FALSE)</f>
        <v>1708561.1245011217</v>
      </c>
      <c r="E30" s="312">
        <f>+GPpcntSCH*(VLOOKUP($A30,FY16Rev0!$A$4:$F$24,6,FALSE))*VLOOKUP($A30,FY16ProjSCH!$A$3:$S$23,MATCH(E$28,FY16ProjSCH!$A$2:$S$2,0),FALSE)</f>
        <v>55232.329941015938</v>
      </c>
      <c r="F30" s="312">
        <f>+GPpcntSCH*(VLOOKUP($A30,FY16Rev0!$A$4:$F$24,6,FALSE))*VLOOKUP($A30,FY16ProjSCH!$A$3:$S$23,MATCH(F$28,FY16ProjSCH!$A$2:$S$2,0),FALSE)</f>
        <v>13868.321332741762</v>
      </c>
      <c r="G30" s="312">
        <f>+GPpcntSCH*(VLOOKUP($A30,FY16Rev0!$A$4:$F$24,6,FALSE))*VLOOKUP($A30,FY16ProjSCH!$A$3:$S$23,MATCH(G$28,FY16ProjSCH!$A$2:$S$2,0),FALSE)</f>
        <v>114052.21791019288</v>
      </c>
      <c r="H30" s="312">
        <f>+GPpcntSCH*(VLOOKUP($A30,FY16Rev0!$A$4:$F$24,6,FALSE))*VLOOKUP($A30,FY16ProjSCH!$A$3:$S$23,MATCH(H$28,FY16ProjSCH!$A$2:$S$2,0),FALSE)</f>
        <v>13386.410552839539</v>
      </c>
      <c r="I30" s="312">
        <f>+GPpcntSCH*(VLOOKUP($A30,FY16Rev0!$A$4:$F$24,6,FALSE))*VLOOKUP($A30,FY16ProjSCH!$A$3:$S$23,MATCH(I$28,FY16ProjSCH!$A$2:$S$2,0),FALSE)</f>
        <v>38124.497254487011</v>
      </c>
      <c r="J30" s="312">
        <f>+GPpcntSCH*(VLOOKUP($A30,FY16Rev0!$A$4:$F$24,6,FALSE))*VLOOKUP($A30,FY16ProjSCH!$A$3:$S$23,MATCH(J$28,FY16ProjSCH!$A$2:$S$2,0),FALSE)</f>
        <v>5381.3370422414955</v>
      </c>
      <c r="K30" s="312">
        <f>+GPpcntSCH*(VLOOKUP($A30,FY16Rev0!$A$4:$F$24,6,FALSE))*VLOOKUP($A30,FY16ProjSCH!$A$3:$S$23,MATCH(K$28,FY16ProjSCH!$A$2:$S$2,0),FALSE)</f>
        <v>12797.4084885146</v>
      </c>
      <c r="L30" s="312">
        <f>+GPpcntSCH*(VLOOKUP($A30,FY16Rev0!$A$4:$F$24,6,FALSE))*VLOOKUP($A30,FY16ProjSCH!$A$3:$S$23,MATCH(L$28,FY16ProjSCH!$A$2:$S$2,0),FALSE)</f>
        <v>2864.6918583076613</v>
      </c>
      <c r="M30" s="312">
        <f>+GPpcntSCH*(VLOOKUP($A30,FY16Rev0!$A$4:$F$24,6,FALSE))*VLOOKUP($A30,FY16ProjSCH!$A$3:$S$23,MATCH(M$28,FY16ProjSCH!$A$2:$S$2,0),FALSE)</f>
        <v>26.772821105679078</v>
      </c>
      <c r="N30" s="312">
        <f>+GPpcntSCH*(VLOOKUP($A30,FY16Rev0!$A$4:$F$24,6,FALSE))*VLOOKUP($A30,FY16ProjSCH!$A$3:$S$23,MATCH(N$28,FY16ProjSCH!$A$2:$S$2,0),FALSE)</f>
        <v>331126.25143503887</v>
      </c>
      <c r="O30" s="312">
        <f>+GPpcntSCH*(VLOOKUP($A30,FY16Rev0!$A$4:$F$24,6,FALSE))*VLOOKUP($A30,FY16ProjSCH!$A$3:$S$23,MATCH(O$28,FY16ProjSCH!$A$2:$S$2,0),FALSE)</f>
        <v>481.9107799022234</v>
      </c>
      <c r="P30" s="312">
        <f>+GPpcntSCH*(VLOOKUP($A30,FY16Rev0!$A$4:$F$24,6,FALSE))*VLOOKUP($A30,FY16ProjSCH!$A$3:$S$23,MATCH(P$28,FY16ProjSCH!$A$2:$S$2,0),FALSE)</f>
        <v>47441.43899926333</v>
      </c>
      <c r="Q30" s="312">
        <f>+GPpcntSCH*(VLOOKUP($A30,FY16Rev0!$A$4:$F$24,6,FALSE))*VLOOKUP($A30,FY16ProjSCH!$A$3:$S$23,MATCH(Q$28,FY16ProjSCH!$A$2:$S$2,0),FALSE)</f>
        <v>24577.449775013392</v>
      </c>
      <c r="R30" s="312">
        <f>+GPpcntSCH*(VLOOKUP($A30,FY16Rev0!$A$4:$F$24,6,FALSE))*VLOOKUP($A30,FY16ProjSCH!$A$3:$S$23,MATCH(R$28,FY16ProjSCH!$A$2:$S$2,0),FALSE)</f>
        <v>133.86410552839538</v>
      </c>
      <c r="S30" s="312">
        <f>+GPpcntSCH*(VLOOKUP($A30,FY16Rev0!$A$4:$F$24,6,FALSE))*VLOOKUP($A30,FY16ProjSCH!$A$3:$S$23,MATCH(S$28,FY16ProjSCH!$A$2:$S$2,0),FALSE)</f>
        <v>158682.51069335992</v>
      </c>
      <c r="T30" s="327">
        <f t="shared" si="4"/>
        <v>2547433.9282053648</v>
      </c>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row>
    <row r="31" spans="1:91" ht="17.100000000000001" customHeight="1" x14ac:dyDescent="0.25">
      <c r="A31" s="325" t="s">
        <v>10</v>
      </c>
      <c r="B31" s="328" t="s">
        <v>11</v>
      </c>
      <c r="C31" s="329">
        <f>+GPpcntSCH*(VLOOKUP($A31,FY16Rev0!$A$4:$F$24,6,FALSE))*VLOOKUP($A31,FY16ProjSCH!$A$3:$S$23,MATCH(C$28,FY16ProjSCH!$A$2:$S$2,0),FALSE)</f>
        <v>0</v>
      </c>
      <c r="D31" s="329">
        <f>+GPpcntSCH*(VLOOKUP($A31,FY16Rev0!$A$4:$F$24,6,FALSE))*VLOOKUP($A31,FY16ProjSCH!$A$3:$S$23,MATCH(D$28,FY16ProjSCH!$A$2:$S$2,0),FALSE)</f>
        <v>11399.402507639717</v>
      </c>
      <c r="E31" s="329">
        <f>+GPpcntSCH*(VLOOKUP($A31,FY16Rev0!$A$4:$F$24,6,FALSE))*VLOOKUP($A31,FY16ProjSCH!$A$3:$S$23,MATCH(E$28,FY16ProjSCH!$A$2:$S$2,0),FALSE)</f>
        <v>0</v>
      </c>
      <c r="F31" s="329">
        <f>+GPpcntSCH*(VLOOKUP($A31,FY16Rev0!$A$4:$F$24,6,FALSE))*VLOOKUP($A31,FY16ProjSCH!$A$3:$S$23,MATCH(F$28,FY16ProjSCH!$A$2:$S$2,0),FALSE)</f>
        <v>1361.8755208242139</v>
      </c>
      <c r="G31" s="329">
        <f>+GPpcntSCH*(VLOOKUP($A31,FY16Rev0!$A$4:$F$24,6,FALSE))*VLOOKUP($A31,FY16ProjSCH!$A$3:$S$23,MATCH(G$28,FY16ProjSCH!$A$2:$S$2,0),FALSE)</f>
        <v>50.439834104600521</v>
      </c>
      <c r="H31" s="329">
        <f>+GPpcntSCH*(VLOOKUP($A31,FY16Rev0!$A$4:$F$24,6,FALSE))*VLOOKUP($A31,FY16ProjSCH!$A$3:$S$23,MATCH(H$28,FY16ProjSCH!$A$2:$S$2,0),FALSE)</f>
        <v>0</v>
      </c>
      <c r="I31" s="329">
        <f>+GPpcntSCH*(VLOOKUP($A31,FY16Rev0!$A$4:$F$24,6,FALSE))*VLOOKUP($A31,FY16ProjSCH!$A$3:$S$23,MATCH(I$28,FY16ProjSCH!$A$2:$S$2,0),FALSE)</f>
        <v>201.75933641840209</v>
      </c>
      <c r="J31" s="329">
        <f>+GPpcntSCH*(VLOOKUP($A31,FY16Rev0!$A$4:$F$24,6,FALSE))*VLOOKUP($A31,FY16ProjSCH!$A$3:$S$23,MATCH(J$28,FY16ProjSCH!$A$2:$S$2,0),FALSE)</f>
        <v>302.63900462760313</v>
      </c>
      <c r="K31" s="329">
        <f>+GPpcntSCH*(VLOOKUP($A31,FY16Rev0!$A$4:$F$24,6,FALSE))*VLOOKUP($A31,FY16ProjSCH!$A$3:$S$23,MATCH(K$28,FY16ProjSCH!$A$2:$S$2,0),FALSE)</f>
        <v>201.75933641840209</v>
      </c>
      <c r="L31" s="329">
        <f>+GPpcntSCH*(VLOOKUP($A31,FY16Rev0!$A$4:$F$24,6,FALSE))*VLOOKUP($A31,FY16ProjSCH!$A$3:$S$23,MATCH(L$28,FY16ProjSCH!$A$2:$S$2,0),FALSE)</f>
        <v>35610.522877847972</v>
      </c>
      <c r="M31" s="329">
        <f>+GPpcntSCH*(VLOOKUP($A31,FY16Rev0!$A$4:$F$24,6,FALSE))*VLOOKUP($A31,FY16ProjSCH!$A$3:$S$23,MATCH(M$28,FY16ProjSCH!$A$2:$S$2,0),FALSE)</f>
        <v>0</v>
      </c>
      <c r="N31" s="329">
        <f>+GPpcntSCH*(VLOOKUP($A31,FY16Rev0!$A$4:$F$24,6,FALSE))*VLOOKUP($A31,FY16ProjSCH!$A$3:$S$23,MATCH(N$28,FY16ProjSCH!$A$2:$S$2,0),FALSE)</f>
        <v>187056.12477691102</v>
      </c>
      <c r="O31" s="329">
        <f>+GPpcntSCH*(VLOOKUP($A31,FY16Rev0!$A$4:$F$24,6,FALSE))*VLOOKUP($A31,FY16ProjSCH!$A$3:$S$23,MATCH(O$28,FY16ProjSCH!$A$2:$S$2,0),FALSE)</f>
        <v>0</v>
      </c>
      <c r="P31" s="329">
        <f>+GPpcntSCH*(VLOOKUP($A31,FY16Rev0!$A$4:$F$24,6,FALSE))*VLOOKUP($A31,FY16ProjSCH!$A$3:$S$23,MATCH(P$28,FY16ProjSCH!$A$2:$S$2,0),FALSE)</f>
        <v>201.75933641840209</v>
      </c>
      <c r="Q31" s="329">
        <f>+GPpcntSCH*(VLOOKUP($A31,FY16Rev0!$A$4:$F$24,6,FALSE))*VLOOKUP($A31,FY16ProjSCH!$A$3:$S$23,MATCH(Q$28,FY16ProjSCH!$A$2:$S$2,0),FALSE)</f>
        <v>2875.0705439622297</v>
      </c>
      <c r="R31" s="329">
        <f>+GPpcntSCH*(VLOOKUP($A31,FY16Rev0!$A$4:$F$24,6,FALSE))*VLOOKUP($A31,FY16ProjSCH!$A$3:$S$23,MATCH(R$28,FY16ProjSCH!$A$2:$S$2,0),FALSE)</f>
        <v>0</v>
      </c>
      <c r="S31" s="329">
        <f>+GPpcntSCH*(VLOOKUP($A31,FY16Rev0!$A$4:$F$24,6,FALSE))*VLOOKUP($A31,FY16ProjSCH!$A$3:$S$23,MATCH(S$28,FY16ProjSCH!$A$2:$S$2,0),FALSE)</f>
        <v>151.31950231380156</v>
      </c>
      <c r="T31" s="330">
        <f t="shared" si="4"/>
        <v>239412.67257748637</v>
      </c>
    </row>
    <row r="32" spans="1:91" s="209" customFormat="1" ht="17.100000000000001" customHeight="1" x14ac:dyDescent="0.25">
      <c r="A32" s="325" t="s">
        <v>12</v>
      </c>
      <c r="B32" s="326" t="s">
        <v>14</v>
      </c>
      <c r="C32" s="312">
        <f>+GPpcntSCH*(VLOOKUP($A32,FY16Rev0!$A$4:$F$24,6,FALSE))*VLOOKUP($A32,FY16ProjSCH!$A$3:$S$23,MATCH(C$28,FY16ProjSCH!$A$2:$S$2,0),FALSE)</f>
        <v>8752.1176763074491</v>
      </c>
      <c r="D32" s="312">
        <f>+GPpcntSCH*(VLOOKUP($A32,FY16Rev0!$A$4:$F$24,6,FALSE))*VLOOKUP($A32,FY16ProjSCH!$A$3:$S$23,MATCH(D$28,FY16ProjSCH!$A$2:$S$2,0),FALSE)</f>
        <v>97716.942715886253</v>
      </c>
      <c r="E32" s="312">
        <f>+GPpcntSCH*(VLOOKUP($A32,FY16Rev0!$A$4:$F$24,6,FALSE))*VLOOKUP($A32,FY16ProjSCH!$A$3:$S$23,MATCH(E$28,FY16ProjSCH!$A$2:$S$2,0),FALSE)</f>
        <v>6992.671339317807</v>
      </c>
      <c r="F32" s="312">
        <f>+GPpcntSCH*(VLOOKUP($A32,FY16Rev0!$A$4:$F$24,6,FALSE))*VLOOKUP($A32,FY16ProjSCH!$A$3:$S$23,MATCH(F$28,FY16ProjSCH!$A$2:$S$2,0),FALSE)</f>
        <v>5097.8829764058846</v>
      </c>
      <c r="G32" s="312">
        <f>+GPpcntSCH*(VLOOKUP($A32,FY16Rev0!$A$4:$F$24,6,FALSE))*VLOOKUP($A32,FY16ProjSCH!$A$3:$S$23,MATCH(G$28,FY16ProjSCH!$A$2:$S$2,0),FALSE)</f>
        <v>1360367.8165534784</v>
      </c>
      <c r="H32" s="312">
        <f>+GPpcntSCH*(VLOOKUP($A32,FY16Rev0!$A$4:$F$24,6,FALSE))*VLOOKUP($A32,FY16ProjSCH!$A$3:$S$23,MATCH(H$28,FY16ProjSCH!$A$2:$S$2,0),FALSE)</f>
        <v>13173.290523101932</v>
      </c>
      <c r="I32" s="312">
        <f>+GPpcntSCH*(VLOOKUP($A32,FY16Rev0!$A$4:$F$24,6,FALSE))*VLOOKUP($A32,FY16ProjSCH!$A$3:$S$23,MATCH(I$28,FY16ProjSCH!$A$2:$S$2,0),FALSE)</f>
        <v>2887.2965530086431</v>
      </c>
      <c r="J32" s="312">
        <f>+GPpcntSCH*(VLOOKUP($A32,FY16Rev0!$A$4:$F$24,6,FALSE))*VLOOKUP($A32,FY16ProjSCH!$A$3:$S$23,MATCH(J$28,FY16ProjSCH!$A$2:$S$2,0),FALSE)</f>
        <v>5413.6810368912056</v>
      </c>
      <c r="K32" s="312">
        <f>+GPpcntSCH*(VLOOKUP($A32,FY16Rev0!$A$4:$F$24,6,FALSE))*VLOOKUP($A32,FY16ProjSCH!$A$3:$S$23,MATCH(K$28,FY16ProjSCH!$A$2:$S$2,0),FALSE)</f>
        <v>721.82413825216076</v>
      </c>
      <c r="L32" s="312">
        <f>+GPpcntSCH*(VLOOKUP($A32,FY16Rev0!$A$4:$F$24,6,FALSE))*VLOOKUP($A32,FY16ProjSCH!$A$3:$S$23,MATCH(L$28,FY16ProjSCH!$A$2:$S$2,0),FALSE)</f>
        <v>992.50819009672102</v>
      </c>
      <c r="M32" s="312">
        <f>+GPpcntSCH*(VLOOKUP($A32,FY16Rev0!$A$4:$F$24,6,FALSE))*VLOOKUP($A32,FY16ProjSCH!$A$3:$S$23,MATCH(M$28,FY16ProjSCH!$A$2:$S$2,0),FALSE)</f>
        <v>0</v>
      </c>
      <c r="N32" s="312">
        <f>+GPpcntSCH*(VLOOKUP($A32,FY16Rev0!$A$4:$F$24,6,FALSE))*VLOOKUP($A32,FY16ProjSCH!$A$3:$S$23,MATCH(N$28,FY16ProjSCH!$A$2:$S$2,0),FALSE)</f>
        <v>30203.828784988847</v>
      </c>
      <c r="O32" s="312">
        <f>+GPpcntSCH*(VLOOKUP($A32,FY16Rev0!$A$4:$F$24,6,FALSE))*VLOOKUP($A32,FY16ProjSCH!$A$3:$S$23,MATCH(O$28,FY16ProjSCH!$A$2:$S$2,0),FALSE)</f>
        <v>57114.334939202221</v>
      </c>
      <c r="P32" s="312">
        <f>+GPpcntSCH*(VLOOKUP($A32,FY16Rev0!$A$4:$F$24,6,FALSE))*VLOOKUP($A32,FY16ProjSCH!$A$3:$S$23,MATCH(P$28,FY16ProjSCH!$A$2:$S$2,0),FALSE)</f>
        <v>541.36810368912052</v>
      </c>
      <c r="Q32" s="312">
        <f>+GPpcntSCH*(VLOOKUP($A32,FY16Rev0!$A$4:$F$24,6,FALSE))*VLOOKUP($A32,FY16ProjSCH!$A$3:$S$23,MATCH(Q$28,FY16ProjSCH!$A$2:$S$2,0),FALSE)</f>
        <v>33474.594411443948</v>
      </c>
      <c r="R32" s="312">
        <f>+GPpcntSCH*(VLOOKUP($A32,FY16Rev0!$A$4:$F$24,6,FALSE))*VLOOKUP($A32,FY16ProjSCH!$A$3:$S$23,MATCH(R$28,FY16ProjSCH!$A$2:$S$2,0),FALSE)</f>
        <v>0</v>
      </c>
      <c r="S32" s="312">
        <f>+GPpcntSCH*(VLOOKUP($A32,FY16Rev0!$A$4:$F$24,6,FALSE))*VLOOKUP($A32,FY16ProjSCH!$A$3:$S$23,MATCH(S$28,FY16ProjSCH!$A$2:$S$2,0),FALSE)</f>
        <v>8729.5606719870684</v>
      </c>
      <c r="T32" s="327">
        <f t="shared" si="4"/>
        <v>1632179.7186140579</v>
      </c>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row>
    <row r="33" spans="1:91" ht="17.100000000000001" customHeight="1" x14ac:dyDescent="0.25">
      <c r="A33" s="325" t="s">
        <v>15</v>
      </c>
      <c r="B33" s="328" t="s">
        <v>17</v>
      </c>
      <c r="C33" s="329">
        <f>+GPpcntSCH*(VLOOKUP($A33,FY16Rev0!$A$4:$F$24,6,FALSE))*VLOOKUP($A33,FY16ProjSCH!$A$3:$S$23,MATCH(C$28,FY16ProjSCH!$A$2:$S$2,0),FALSE)</f>
        <v>574.03016383547174</v>
      </c>
      <c r="D33" s="329">
        <f>+GPpcntSCH*(VLOOKUP($A33,FY16Rev0!$A$4:$F$24,6,FALSE))*VLOOKUP($A33,FY16ProjSCH!$A$3:$S$23,MATCH(D$28,FY16ProjSCH!$A$2:$S$2,0),FALSE)</f>
        <v>39731.087768326586</v>
      </c>
      <c r="E33" s="329">
        <f>+GPpcntSCH*(VLOOKUP($A33,FY16Rev0!$A$4:$F$24,6,FALSE))*VLOOKUP($A33,FY16ProjSCH!$A$3:$S$23,MATCH(E$28,FY16ProjSCH!$A$2:$S$2,0),FALSE)</f>
        <v>1066.0560185515906</v>
      </c>
      <c r="F33" s="329">
        <f>+GPpcntSCH*(VLOOKUP($A33,FY16Rev0!$A$4:$F$24,6,FALSE))*VLOOKUP($A33,FY16ProjSCH!$A$3:$S$23,MATCH(F$28,FY16ProjSCH!$A$2:$S$2,0),FALSE)</f>
        <v>615.03231839514831</v>
      </c>
      <c r="G33" s="329">
        <f>+GPpcntSCH*(VLOOKUP($A33,FY16Rev0!$A$4:$F$24,6,FALSE))*VLOOKUP($A33,FY16ProjSCH!$A$3:$S$23,MATCH(G$28,FY16ProjSCH!$A$2:$S$2,0),FALSE)</f>
        <v>4346.2283833257143</v>
      </c>
      <c r="H33" s="329">
        <f>+GPpcntSCH*(VLOOKUP($A33,FY16Rev0!$A$4:$F$24,6,FALSE))*VLOOKUP($A33,FY16ProjSCH!$A$3:$S$23,MATCH(H$28,FY16ProjSCH!$A$2:$S$2,0),FALSE)</f>
        <v>612531.18696700817</v>
      </c>
      <c r="I33" s="329">
        <f>+GPpcntSCH*(VLOOKUP($A33,FY16Rev0!$A$4:$F$24,6,FALSE))*VLOOKUP($A33,FY16ProjSCH!$A$3:$S$23,MATCH(I$28,FY16ProjSCH!$A$2:$S$2,0),FALSE)</f>
        <v>0</v>
      </c>
      <c r="J33" s="329">
        <f>+GPpcntSCH*(VLOOKUP($A33,FY16Rev0!$A$4:$F$24,6,FALSE))*VLOOKUP($A33,FY16ProjSCH!$A$3:$S$23,MATCH(J$28,FY16ProjSCH!$A$2:$S$2,0),FALSE)</f>
        <v>1025.0538639919139</v>
      </c>
      <c r="K33" s="329">
        <f>+GPpcntSCH*(VLOOKUP($A33,FY16Rev0!$A$4:$F$24,6,FALSE))*VLOOKUP($A33,FY16ProjSCH!$A$3:$S$23,MATCH(K$28,FY16ProjSCH!$A$2:$S$2,0),FALSE)</f>
        <v>6232.3274930708367</v>
      </c>
      <c r="L33" s="329">
        <f>+GPpcntSCH*(VLOOKUP($A33,FY16Rev0!$A$4:$F$24,6,FALSE))*VLOOKUP($A33,FY16ProjSCH!$A$3:$S$23,MATCH(L$28,FY16ProjSCH!$A$2:$S$2,0),FALSE)</f>
        <v>0</v>
      </c>
      <c r="M33" s="329">
        <f>+GPpcntSCH*(VLOOKUP($A33,FY16Rev0!$A$4:$F$24,6,FALSE))*VLOOKUP($A33,FY16ProjSCH!$A$3:$S$23,MATCH(M$28,FY16ProjSCH!$A$2:$S$2,0),FALSE)</f>
        <v>0</v>
      </c>
      <c r="N33" s="329">
        <f>+GPpcntSCH*(VLOOKUP($A33,FY16Rev0!$A$4:$F$24,6,FALSE))*VLOOKUP($A33,FY16ProjSCH!$A$3:$S$23,MATCH(N$28,FY16ProjSCH!$A$2:$S$2,0),FALSE)</f>
        <v>1271.0667913499733</v>
      </c>
      <c r="O33" s="329">
        <f>+GPpcntSCH*(VLOOKUP($A33,FY16Rev0!$A$4:$F$24,6,FALSE))*VLOOKUP($A33,FY16ProjSCH!$A$3:$S$23,MATCH(O$28,FY16ProjSCH!$A$2:$S$2,0),FALSE)</f>
        <v>0</v>
      </c>
      <c r="P33" s="329">
        <f>+GPpcntSCH*(VLOOKUP($A33,FY16Rev0!$A$4:$F$24,6,FALSE))*VLOOKUP($A33,FY16ProjSCH!$A$3:$S$23,MATCH(P$28,FY16ProjSCH!$A$2:$S$2,0),FALSE)</f>
        <v>0</v>
      </c>
      <c r="Q33" s="329">
        <f>+GPpcntSCH*(VLOOKUP($A33,FY16Rev0!$A$4:$F$24,6,FALSE))*VLOOKUP($A33,FY16ProjSCH!$A$3:$S$23,MATCH(Q$28,FY16ProjSCH!$A$2:$S$2,0),FALSE)</f>
        <v>1435.0754095886793</v>
      </c>
      <c r="R33" s="329">
        <f>+GPpcntSCH*(VLOOKUP($A33,FY16Rev0!$A$4:$F$24,6,FALSE))*VLOOKUP($A33,FY16ProjSCH!$A$3:$S$23,MATCH(R$28,FY16ProjSCH!$A$2:$S$2,0),FALSE)</f>
        <v>123.00646367902966</v>
      </c>
      <c r="S33" s="329">
        <f>+GPpcntSCH*(VLOOKUP($A33,FY16Rev0!$A$4:$F$24,6,FALSE))*VLOOKUP($A33,FY16ProjSCH!$A$3:$S$23,MATCH(S$28,FY16ProjSCH!$A$2:$S$2,0),FALSE)</f>
        <v>1640.0861823870621</v>
      </c>
      <c r="T33" s="330">
        <f t="shared" si="4"/>
        <v>670590.23782351019</v>
      </c>
    </row>
    <row r="34" spans="1:91" s="209" customFormat="1" ht="17.100000000000001" customHeight="1" x14ac:dyDescent="0.25">
      <c r="A34" s="325" t="s">
        <v>18</v>
      </c>
      <c r="B34" s="326" t="s">
        <v>19</v>
      </c>
      <c r="C34" s="312">
        <f>+GPpcntSCH*(VLOOKUP($A34,FY16Rev0!$A$4:$F$24,6,FALSE))*VLOOKUP($A34,FY16ProjSCH!$A$3:$S$23,MATCH(C$28,FY16ProjSCH!$A$2:$S$2,0),FALSE)</f>
        <v>0</v>
      </c>
      <c r="D34" s="312">
        <f>+GPpcntSCH*(VLOOKUP($A34,FY16Rev0!$A$4:$F$24,6,FALSE))*VLOOKUP($A34,FY16ProjSCH!$A$3:$S$23,MATCH(D$28,FY16ProjSCH!$A$2:$S$2,0),FALSE)</f>
        <v>26551.5939716299</v>
      </c>
      <c r="E34" s="312">
        <f>+GPpcntSCH*(VLOOKUP($A34,FY16Rev0!$A$4:$F$24,6,FALSE))*VLOOKUP($A34,FY16ProjSCH!$A$3:$S$23,MATCH(E$28,FY16ProjSCH!$A$2:$S$2,0),FALSE)</f>
        <v>169.38815930864365</v>
      </c>
      <c r="F34" s="312">
        <f>+GPpcntSCH*(VLOOKUP($A34,FY16Rev0!$A$4:$F$24,6,FALSE))*VLOOKUP($A34,FY16ProjSCH!$A$3:$S$23,MATCH(F$28,FY16ProjSCH!$A$2:$S$2,0),FALSE)</f>
        <v>798961.60041904508</v>
      </c>
      <c r="G34" s="312">
        <f>+GPpcntSCH*(VLOOKUP($A34,FY16Rev0!$A$4:$F$24,6,FALSE))*VLOOKUP($A34,FY16ProjSCH!$A$3:$S$23,MATCH(G$28,FY16ProjSCH!$A$2:$S$2,0),FALSE)</f>
        <v>296.42927879012643</v>
      </c>
      <c r="H34" s="312">
        <f>+GPpcntSCH*(VLOOKUP($A34,FY16Rev0!$A$4:$F$24,6,FALSE))*VLOOKUP($A34,FY16ProjSCH!$A$3:$S$23,MATCH(H$28,FY16ProjSCH!$A$2:$S$2,0),FALSE)</f>
        <v>3641.8454251358394</v>
      </c>
      <c r="I34" s="312">
        <f>+GPpcntSCH*(VLOOKUP($A34,FY16Rev0!$A$4:$F$24,6,FALSE))*VLOOKUP($A34,FY16ProjSCH!$A$3:$S$23,MATCH(I$28,FY16ProjSCH!$A$2:$S$2,0),FALSE)</f>
        <v>719.89967706173559</v>
      </c>
      <c r="J34" s="312">
        <f>+GPpcntSCH*(VLOOKUP($A34,FY16Rev0!$A$4:$F$24,6,FALSE))*VLOOKUP($A34,FY16ProjSCH!$A$3:$S$23,MATCH(J$28,FY16ProjSCH!$A$2:$S$2,0),FALSE)</f>
        <v>0</v>
      </c>
      <c r="K34" s="312">
        <f>+GPpcntSCH*(VLOOKUP($A34,FY16Rev0!$A$4:$F$24,6,FALSE))*VLOOKUP($A34,FY16ProjSCH!$A$3:$S$23,MATCH(K$28,FY16ProjSCH!$A$2:$S$2,0),FALSE)</f>
        <v>5589.8092571852412</v>
      </c>
      <c r="L34" s="312">
        <f>+GPpcntSCH*(VLOOKUP($A34,FY16Rev0!$A$4:$F$24,6,FALSE))*VLOOKUP($A34,FY16ProjSCH!$A$3:$S$23,MATCH(L$28,FY16ProjSCH!$A$2:$S$2,0),FALSE)</f>
        <v>2583.169429456816</v>
      </c>
      <c r="M34" s="312">
        <f>+GPpcntSCH*(VLOOKUP($A34,FY16Rev0!$A$4:$F$24,6,FALSE))*VLOOKUP($A34,FY16ProjSCH!$A$3:$S$23,MATCH(M$28,FY16ProjSCH!$A$2:$S$2,0),FALSE)</f>
        <v>0</v>
      </c>
      <c r="N34" s="312">
        <f>+GPpcntSCH*(VLOOKUP($A34,FY16Rev0!$A$4:$F$24,6,FALSE))*VLOOKUP($A34,FY16ProjSCH!$A$3:$S$23,MATCH(N$28,FY16ProjSCH!$A$2:$S$2,0),FALSE)</f>
        <v>1143.3700753333449</v>
      </c>
      <c r="O34" s="312">
        <f>+GPpcntSCH*(VLOOKUP($A34,FY16Rev0!$A$4:$F$24,6,FALSE))*VLOOKUP($A34,FY16ProjSCH!$A$3:$S$23,MATCH(O$28,FY16ProjSCH!$A$2:$S$2,0),FALSE)</f>
        <v>423.47039827160916</v>
      </c>
      <c r="P34" s="312">
        <f>+GPpcntSCH*(VLOOKUP($A34,FY16Rev0!$A$4:$F$24,6,FALSE))*VLOOKUP($A34,FY16ProjSCH!$A$3:$S$23,MATCH(P$28,FY16ProjSCH!$A$2:$S$2,0),FALSE)</f>
        <v>0</v>
      </c>
      <c r="Q34" s="312">
        <f>+GPpcntSCH*(VLOOKUP($A34,FY16Rev0!$A$4:$F$24,6,FALSE))*VLOOKUP($A34,FY16ProjSCH!$A$3:$S$23,MATCH(Q$28,FY16ProjSCH!$A$2:$S$2,0),FALSE)</f>
        <v>1524.4934337777931</v>
      </c>
      <c r="R34" s="312">
        <f>+GPpcntSCH*(VLOOKUP($A34,FY16Rev0!$A$4:$F$24,6,FALSE))*VLOOKUP($A34,FY16ProjSCH!$A$3:$S$23,MATCH(R$28,FY16ProjSCH!$A$2:$S$2,0),FALSE)</f>
        <v>0</v>
      </c>
      <c r="S34" s="312">
        <f>+GPpcntSCH*(VLOOKUP($A34,FY16Rev0!$A$4:$F$24,6,FALSE))*VLOOKUP($A34,FY16ProjSCH!$A$3:$S$23,MATCH(S$28,FY16ProjSCH!$A$2:$S$2,0),FALSE)</f>
        <v>1312.7582346419883</v>
      </c>
      <c r="T34" s="327">
        <f t="shared" si="4"/>
        <v>842917.82775963808</v>
      </c>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row>
    <row r="35" spans="1:91" ht="17.100000000000001" customHeight="1" x14ac:dyDescent="0.25">
      <c r="A35" s="325"/>
      <c r="B35" s="328" t="s">
        <v>155</v>
      </c>
      <c r="C35" s="329">
        <v>0</v>
      </c>
      <c r="D35" s="329">
        <v>0</v>
      </c>
      <c r="E35" s="329">
        <v>0</v>
      </c>
      <c r="F35" s="329">
        <v>0</v>
      </c>
      <c r="G35" s="329">
        <v>0</v>
      </c>
      <c r="H35" s="329">
        <v>0</v>
      </c>
      <c r="I35" s="329">
        <v>0</v>
      </c>
      <c r="J35" s="329">
        <v>0</v>
      </c>
      <c r="K35" s="329">
        <v>0</v>
      </c>
      <c r="L35" s="329">
        <v>0</v>
      </c>
      <c r="M35" s="329">
        <v>0</v>
      </c>
      <c r="N35" s="329">
        <v>0</v>
      </c>
      <c r="O35" s="329">
        <v>0</v>
      </c>
      <c r="P35" s="329">
        <v>0</v>
      </c>
      <c r="Q35" s="329">
        <v>0</v>
      </c>
      <c r="R35" s="329">
        <v>0</v>
      </c>
      <c r="S35" s="329">
        <v>0</v>
      </c>
      <c r="T35" s="330">
        <f t="shared" si="4"/>
        <v>0</v>
      </c>
    </row>
    <row r="36" spans="1:91" s="209" customFormat="1" ht="17.100000000000001" customHeight="1" x14ac:dyDescent="0.25">
      <c r="A36" s="325" t="s">
        <v>21</v>
      </c>
      <c r="B36" s="326" t="s">
        <v>22</v>
      </c>
      <c r="C36" s="312">
        <f>+GPpcntSCH*(VLOOKUP($A36,FY16Rev0!$A$4:$F$24,6,FALSE))*VLOOKUP($A36,FY16ProjSCH!$A$3:$S$23,MATCH(C$28,FY16ProjSCH!$A$2:$S$2,0),FALSE)</f>
        <v>119.51163137768084</v>
      </c>
      <c r="D36" s="312">
        <f>+GPpcntSCH*(VLOOKUP($A36,FY16Rev0!$A$4:$F$24,6,FALSE))*VLOOKUP($A36,FY16ProjSCH!$A$3:$S$23,MATCH(D$28,FY16ProjSCH!$A$2:$S$2,0),FALSE)</f>
        <v>6154.8490159505636</v>
      </c>
      <c r="E36" s="312">
        <f>+GPpcntSCH*(VLOOKUP($A36,FY16Rev0!$A$4:$F$24,6,FALSE))*VLOOKUP($A36,FY16ProjSCH!$A$3:$S$23,MATCH(E$28,FY16ProjSCH!$A$2:$S$2,0),FALSE)</f>
        <v>0</v>
      </c>
      <c r="F36" s="312">
        <f>+GPpcntSCH*(VLOOKUP($A36,FY16Rev0!$A$4:$F$24,6,FALSE))*VLOOKUP($A36,FY16ProjSCH!$A$3:$S$23,MATCH(F$28,FY16ProjSCH!$A$2:$S$2,0),FALSE)</f>
        <v>896.33723533260638</v>
      </c>
      <c r="G36" s="312">
        <f>+GPpcntSCH*(VLOOKUP($A36,FY16Rev0!$A$4:$F$24,6,FALSE))*VLOOKUP($A36,FY16ProjSCH!$A$3:$S$23,MATCH(G$28,FY16ProjSCH!$A$2:$S$2,0),FALSE)</f>
        <v>0</v>
      </c>
      <c r="H36" s="312">
        <f>+GPpcntSCH*(VLOOKUP($A36,FY16Rev0!$A$4:$F$24,6,FALSE))*VLOOKUP($A36,FY16ProjSCH!$A$3:$S$23,MATCH(H$28,FY16ProjSCH!$A$2:$S$2,0),FALSE)</f>
        <v>179.26744706652127</v>
      </c>
      <c r="I36" s="312">
        <f>+GPpcntSCH*(VLOOKUP($A36,FY16Rev0!$A$4:$F$24,6,FALSE))*VLOOKUP($A36,FY16ProjSCH!$A$3:$S$23,MATCH(I$28,FY16ProjSCH!$A$2:$S$2,0),FALSE)</f>
        <v>0</v>
      </c>
      <c r="J36" s="312">
        <f>+GPpcntSCH*(VLOOKUP($A36,FY16Rev0!$A$4:$F$24,6,FALSE))*VLOOKUP($A36,FY16ProjSCH!$A$3:$S$23,MATCH(J$28,FY16ProjSCH!$A$2:$S$2,0),FALSE)</f>
        <v>0</v>
      </c>
      <c r="K36" s="312">
        <f>+GPpcntSCH*(VLOOKUP($A36,FY16Rev0!$A$4:$F$24,6,FALSE))*VLOOKUP($A36,FY16ProjSCH!$A$3:$S$23,MATCH(K$28,FY16ProjSCH!$A$2:$S$2,0),FALSE)</f>
        <v>1912.1861020428935</v>
      </c>
      <c r="L36" s="312">
        <f>+GPpcntSCH*(VLOOKUP($A36,FY16Rev0!$A$4:$F$24,6,FALSE))*VLOOKUP($A36,FY16ProjSCH!$A$3:$S$23,MATCH(L$28,FY16ProjSCH!$A$2:$S$2,0),FALSE)</f>
        <v>588116.73800956749</v>
      </c>
      <c r="M36" s="312">
        <f>+GPpcntSCH*(VLOOKUP($A36,FY16Rev0!$A$4:$F$24,6,FALSE))*VLOOKUP($A36,FY16ProjSCH!$A$3:$S$23,MATCH(M$28,FY16ProjSCH!$A$2:$S$2,0),FALSE)</f>
        <v>0</v>
      </c>
      <c r="N36" s="312">
        <f>+GPpcntSCH*(VLOOKUP($A36,FY16Rev0!$A$4:$F$24,6,FALSE))*VLOOKUP($A36,FY16ProjSCH!$A$3:$S$23,MATCH(N$28,FY16ProjSCH!$A$2:$S$2,0),FALSE)</f>
        <v>7110.9420669720103</v>
      </c>
      <c r="O36" s="312">
        <f>+GPpcntSCH*(VLOOKUP($A36,FY16Rev0!$A$4:$F$24,6,FALSE))*VLOOKUP($A36,FY16ProjSCH!$A$3:$S$23,MATCH(O$28,FY16ProjSCH!$A$2:$S$2,0),FALSE)</f>
        <v>119.51163137768084</v>
      </c>
      <c r="P36" s="312">
        <f>+GPpcntSCH*(VLOOKUP($A36,FY16Rev0!$A$4:$F$24,6,FALSE))*VLOOKUP($A36,FY16ProjSCH!$A$3:$S$23,MATCH(P$28,FY16ProjSCH!$A$2:$S$2,0),FALSE)</f>
        <v>0</v>
      </c>
      <c r="Q36" s="312">
        <f>+GPpcntSCH*(VLOOKUP($A36,FY16Rev0!$A$4:$F$24,6,FALSE))*VLOOKUP($A36,FY16ProjSCH!$A$3:$S$23,MATCH(Q$28,FY16ProjSCH!$A$2:$S$2,0),FALSE)</f>
        <v>11234.093349502</v>
      </c>
      <c r="R36" s="312">
        <f>+GPpcntSCH*(VLOOKUP($A36,FY16Rev0!$A$4:$F$24,6,FALSE))*VLOOKUP($A36,FY16ProjSCH!$A$3:$S$23,MATCH(R$28,FY16ProjSCH!$A$2:$S$2,0),FALSE)</f>
        <v>0</v>
      </c>
      <c r="S36" s="312">
        <f>+GPpcntSCH*(VLOOKUP($A36,FY16Rev0!$A$4:$F$24,6,FALSE))*VLOOKUP($A36,FY16ProjSCH!$A$3:$S$23,MATCH(S$28,FY16ProjSCH!$A$2:$S$2,0),FALSE)</f>
        <v>0</v>
      </c>
      <c r="T36" s="327">
        <f t="shared" si="4"/>
        <v>615843.43648918939</v>
      </c>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row>
    <row r="37" spans="1:91" ht="17.100000000000001" customHeight="1" x14ac:dyDescent="0.25">
      <c r="A37" s="325" t="s">
        <v>23</v>
      </c>
      <c r="B37" s="328" t="s">
        <v>25</v>
      </c>
      <c r="C37" s="329">
        <f>+GPpcntSCH*(VLOOKUP($A37,FY16Rev0!$A$4:$F$24,6,FALSE))*VLOOKUP($A37,FY16ProjSCH!$A$3:$S$23,MATCH(C$28,FY16ProjSCH!$A$2:$S$2,0),FALSE)</f>
        <v>138.91494948352729</v>
      </c>
      <c r="D37" s="329">
        <f>+GPpcntSCH*(VLOOKUP($A37,FY16Rev0!$A$4:$F$24,6,FALSE))*VLOOKUP($A37,FY16ProjSCH!$A$3:$S$23,MATCH(D$28,FY16ProjSCH!$A$2:$S$2,0),FALSE)</f>
        <v>25050.995890196089</v>
      </c>
      <c r="E37" s="329">
        <f>+GPpcntSCH*(VLOOKUP($A37,FY16Rev0!$A$4:$F$24,6,FALSE))*VLOOKUP($A37,FY16ProjSCH!$A$3:$S$23,MATCH(E$28,FY16ProjSCH!$A$2:$S$2,0),FALSE)</f>
        <v>277.82989896705459</v>
      </c>
      <c r="F37" s="329">
        <f>+GPpcntSCH*(VLOOKUP($A37,FY16Rev0!$A$4:$F$24,6,FALSE))*VLOOKUP($A37,FY16ProjSCH!$A$3:$S$23,MATCH(F$28,FY16ProjSCH!$A$2:$S$2,0),FALSE)</f>
        <v>277.82989896705459</v>
      </c>
      <c r="G37" s="329">
        <f>+GPpcntSCH*(VLOOKUP($A37,FY16Rev0!$A$4:$F$24,6,FALSE))*VLOOKUP($A37,FY16ProjSCH!$A$3:$S$23,MATCH(G$28,FY16ProjSCH!$A$2:$S$2,0),FALSE)</f>
        <v>2176.3342085752611</v>
      </c>
      <c r="H37" s="329">
        <f>+GPpcntSCH*(VLOOKUP($A37,FY16Rev0!$A$4:$F$24,6,FALSE))*VLOOKUP($A37,FY16ProjSCH!$A$3:$S$23,MATCH(H$28,FY16ProjSCH!$A$2:$S$2,0),FALSE)</f>
        <v>1342.8445116740972</v>
      </c>
      <c r="I37" s="329">
        <f>+GPpcntSCH*(VLOOKUP($A37,FY16Rev0!$A$4:$F$24,6,FALSE))*VLOOKUP($A37,FY16ProjSCH!$A$3:$S$23,MATCH(I$28,FY16ProjSCH!$A$2:$S$2,0),FALSE)</f>
        <v>185.21993264470308</v>
      </c>
      <c r="J37" s="329">
        <f>+GPpcntSCH*(VLOOKUP($A37,FY16Rev0!$A$4:$F$24,6,FALSE))*VLOOKUP($A37,FY16ProjSCH!$A$3:$S$23,MATCH(J$28,FY16ProjSCH!$A$2:$S$2,0),FALSE)</f>
        <v>231.52491580587883</v>
      </c>
      <c r="K37" s="329">
        <f>+GPpcntSCH*(VLOOKUP($A37,FY16Rev0!$A$4:$F$24,6,FALSE))*VLOOKUP($A37,FY16ProjSCH!$A$3:$S$23,MATCH(K$28,FY16ProjSCH!$A$2:$S$2,0),FALSE)</f>
        <v>1481.7594611576246</v>
      </c>
      <c r="L37" s="329">
        <f>+GPpcntSCH*(VLOOKUP($A37,FY16Rev0!$A$4:$F$24,6,FALSE))*VLOOKUP($A37,FY16ProjSCH!$A$3:$S$23,MATCH(L$28,FY16ProjSCH!$A$2:$S$2,0),FALSE)</f>
        <v>416.74484845058191</v>
      </c>
      <c r="M37" s="329">
        <f>+GPpcntSCH*(VLOOKUP($A37,FY16Rev0!$A$4:$F$24,6,FALSE))*VLOOKUP($A37,FY16ProjSCH!$A$3:$S$23,MATCH(M$28,FY16ProjSCH!$A$2:$S$2,0),FALSE)</f>
        <v>92.609966322351539</v>
      </c>
      <c r="N37" s="329">
        <f>+GPpcntSCH*(VLOOKUP($A37,FY16Rev0!$A$4:$F$24,6,FALSE))*VLOOKUP($A37,FY16ProjSCH!$A$3:$S$23,MATCH(N$28,FY16ProjSCH!$A$2:$S$2,0),FALSE)</f>
        <v>12479.192961936869</v>
      </c>
      <c r="O37" s="329">
        <f>+GPpcntSCH*(VLOOKUP($A37,FY16Rev0!$A$4:$F$24,6,FALSE))*VLOOKUP($A37,FY16ProjSCH!$A$3:$S$23,MATCH(O$28,FY16ProjSCH!$A$2:$S$2,0),FALSE)</f>
        <v>185.21993264470308</v>
      </c>
      <c r="P37" s="329">
        <f>+GPpcntSCH*(VLOOKUP($A37,FY16Rev0!$A$4:$F$24,6,FALSE))*VLOOKUP($A37,FY16ProjSCH!$A$3:$S$23,MATCH(P$28,FY16ProjSCH!$A$2:$S$2,0),FALSE)</f>
        <v>2500.4690907034915</v>
      </c>
      <c r="Q37" s="329">
        <f>+GPpcntSCH*(VLOOKUP($A37,FY16Rev0!$A$4:$F$24,6,FALSE))*VLOOKUP($A37,FY16ProjSCH!$A$3:$S$23,MATCH(Q$28,FY16ProjSCH!$A$2:$S$2,0),FALSE)</f>
        <v>405654.80498348031</v>
      </c>
      <c r="R37" s="329">
        <f>+GPpcntSCH*(VLOOKUP($A37,FY16Rev0!$A$4:$F$24,6,FALSE))*VLOOKUP($A37,FY16ProjSCH!$A$3:$S$23,MATCH(R$28,FY16ProjSCH!$A$2:$S$2,0),FALSE)</f>
        <v>0</v>
      </c>
      <c r="S37" s="329">
        <f>+GPpcntSCH*(VLOOKUP($A37,FY16Rev0!$A$4:$F$24,6,FALSE))*VLOOKUP($A37,FY16ProjSCH!$A$3:$S$23,MATCH(S$28,FY16ProjSCH!$A$2:$S$2,0),FALSE)</f>
        <v>833.48969690116382</v>
      </c>
      <c r="T37" s="330">
        <f t="shared" si="4"/>
        <v>453325.78514791076</v>
      </c>
    </row>
    <row r="38" spans="1:91" s="209" customFormat="1" ht="17.100000000000001" customHeight="1" x14ac:dyDescent="0.25">
      <c r="A38" s="325" t="s">
        <v>26</v>
      </c>
      <c r="B38" s="326" t="s">
        <v>27</v>
      </c>
      <c r="C38" s="312">
        <f>+GPpcntSCH*(VLOOKUP($A38,FY16Rev0!$A$4:$F$24,6,FALSE))*VLOOKUP($A38,FY16ProjSCH!$A$3:$S$23,MATCH(C$28,FY16ProjSCH!$A$2:$S$2,0),FALSE)</f>
        <v>1441.827772468831</v>
      </c>
      <c r="D38" s="312">
        <f>+GPpcntSCH*(VLOOKUP($A38,FY16Rev0!$A$4:$F$24,6,FALSE))*VLOOKUP($A38,FY16ProjSCH!$A$3:$S$23,MATCH(D$28,FY16ProjSCH!$A$2:$S$2,0),FALSE)</f>
        <v>9593.7001783502983</v>
      </c>
      <c r="E38" s="312">
        <f>+GPpcntSCH*(VLOOKUP($A38,FY16Rev0!$A$4:$F$24,6,FALSE))*VLOOKUP($A38,FY16ProjSCH!$A$3:$S$23,MATCH(E$28,FY16ProjSCH!$A$2:$S$2,0),FALSE)</f>
        <v>0</v>
      </c>
      <c r="F38" s="312">
        <f>+GPpcntSCH*(VLOOKUP($A38,FY16Rev0!$A$4:$F$24,6,FALSE))*VLOOKUP($A38,FY16ProjSCH!$A$3:$S$23,MATCH(F$28,FY16ProjSCH!$A$2:$S$2,0),FALSE)</f>
        <v>166.36474297717282</v>
      </c>
      <c r="G38" s="312">
        <f>+GPpcntSCH*(VLOOKUP($A38,FY16Rev0!$A$4:$F$24,6,FALSE))*VLOOKUP($A38,FY16ProjSCH!$A$3:$S$23,MATCH(G$28,FY16ProjSCH!$A$2:$S$2,0),FALSE)</f>
        <v>1719.1023440974525</v>
      </c>
      <c r="H38" s="312">
        <f>+GPpcntSCH*(VLOOKUP($A38,FY16Rev0!$A$4:$F$24,6,FALSE))*VLOOKUP($A38,FY16ProjSCH!$A$3:$S$23,MATCH(H$28,FY16ProjSCH!$A$2:$S$2,0),FALSE)</f>
        <v>554.54914325724269</v>
      </c>
      <c r="I38" s="312">
        <f>+GPpcntSCH*(VLOOKUP($A38,FY16Rev0!$A$4:$F$24,6,FALSE))*VLOOKUP($A38,FY16ProjSCH!$A$3:$S$23,MATCH(I$28,FY16ProjSCH!$A$2:$S$2,0),FALSE)</f>
        <v>0</v>
      </c>
      <c r="J38" s="312">
        <f>+GPpcntSCH*(VLOOKUP($A38,FY16Rev0!$A$4:$F$24,6,FALSE))*VLOOKUP($A38,FY16ProjSCH!$A$3:$S$23,MATCH(J$28,FY16ProjSCH!$A$2:$S$2,0),FALSE)</f>
        <v>1053.6433721887613</v>
      </c>
      <c r="K38" s="312">
        <f>+GPpcntSCH*(VLOOKUP($A38,FY16Rev0!$A$4:$F$24,6,FALSE))*VLOOKUP($A38,FY16ProjSCH!$A$3:$S$23,MATCH(K$28,FY16ProjSCH!$A$2:$S$2,0),FALSE)</f>
        <v>1885.4670870746254</v>
      </c>
      <c r="L38" s="312">
        <f>+GPpcntSCH*(VLOOKUP($A38,FY16Rev0!$A$4:$F$24,6,FALSE))*VLOOKUP($A38,FY16ProjSCH!$A$3:$S$23,MATCH(L$28,FY16ProjSCH!$A$2:$S$2,0),FALSE)</f>
        <v>4214.5734887550452</v>
      </c>
      <c r="M38" s="312">
        <f>+GPpcntSCH*(VLOOKUP($A38,FY16Rev0!$A$4:$F$24,6,FALSE))*VLOOKUP($A38,FY16ProjSCH!$A$3:$S$23,MATCH(M$28,FY16ProjSCH!$A$2:$S$2,0),FALSE)</f>
        <v>499.09422893151844</v>
      </c>
      <c r="N38" s="312">
        <f>+GPpcntSCH*(VLOOKUP($A38,FY16Rev0!$A$4:$F$24,6,FALSE))*VLOOKUP($A38,FY16ProjSCH!$A$3:$S$23,MATCH(N$28,FY16ProjSCH!$A$2:$S$2,0),FALSE)</f>
        <v>60140.854586247973</v>
      </c>
      <c r="O38" s="312">
        <f>+GPpcntSCH*(VLOOKUP($A38,FY16Rev0!$A$4:$F$24,6,FALSE))*VLOOKUP($A38,FY16ProjSCH!$A$3:$S$23,MATCH(O$28,FY16ProjSCH!$A$2:$S$2,0),FALSE)</f>
        <v>554.54914325724269</v>
      </c>
      <c r="P38" s="312">
        <f>+GPpcntSCH*(VLOOKUP($A38,FY16Rev0!$A$4:$F$24,6,FALSE))*VLOOKUP($A38,FY16ProjSCH!$A$3:$S$23,MATCH(P$28,FY16ProjSCH!$A$2:$S$2,0),FALSE)</f>
        <v>1275.4630294916583</v>
      </c>
      <c r="Q38" s="312">
        <f>+GPpcntSCH*(VLOOKUP($A38,FY16Rev0!$A$4:$F$24,6,FALSE))*VLOOKUP($A38,FY16ProjSCH!$A$3:$S$23,MATCH(Q$28,FY16ProjSCH!$A$2:$S$2,0),FALSE)</f>
        <v>260804.46207388124</v>
      </c>
      <c r="R38" s="312">
        <f>+GPpcntSCH*(VLOOKUP($A38,FY16Rev0!$A$4:$F$24,6,FALSE))*VLOOKUP($A38,FY16ProjSCH!$A$3:$S$23,MATCH(R$28,FY16ProjSCH!$A$2:$S$2,0),FALSE)</f>
        <v>0</v>
      </c>
      <c r="S38" s="312">
        <f>+GPpcntSCH*(VLOOKUP($A38,FY16Rev0!$A$4:$F$24,6,FALSE))*VLOOKUP($A38,FY16ProjSCH!$A$3:$S$23,MATCH(S$28,FY16ProjSCH!$A$2:$S$2,0),FALSE)</f>
        <v>610.00405758296699</v>
      </c>
      <c r="T38" s="327">
        <f t="shared" si="4"/>
        <v>344513.65524856205</v>
      </c>
    </row>
    <row r="39" spans="1:91" ht="17.100000000000001" customHeight="1" x14ac:dyDescent="0.25">
      <c r="A39" s="331" t="s">
        <v>28</v>
      </c>
      <c r="B39" s="328" t="s">
        <v>30</v>
      </c>
      <c r="C39" s="329">
        <f>+GPpcntSCH*(VLOOKUP($A39,FY16Rev0!$A$4:$F$24,6,FALSE))*VLOOKUP($A39,FY16ProjSCH!$A$3:$S$23,MATCH(C$28,FY16ProjSCH!$A$2:$S$2,0),FALSE)</f>
        <v>889559.24658820056</v>
      </c>
      <c r="D39" s="329">
        <f>+GPpcntSCH*(VLOOKUP($A39,FY16Rev0!$A$4:$F$24,6,FALSE))*VLOOKUP($A39,FY16ProjSCH!$A$3:$S$23,MATCH(D$28,FY16ProjSCH!$A$2:$S$2,0),FALSE)</f>
        <v>16436.63047395504</v>
      </c>
      <c r="E39" s="329">
        <f>+GPpcntSCH*(VLOOKUP($A39,FY16Rev0!$A$4:$F$24,6,FALSE))*VLOOKUP($A39,FY16ProjSCH!$A$3:$S$23,MATCH(E$28,FY16ProjSCH!$A$2:$S$2,0),FALSE)</f>
        <v>4769.5579500315962</v>
      </c>
      <c r="F39" s="329">
        <f>+GPpcntSCH*(VLOOKUP($A39,FY16Rev0!$A$4:$F$24,6,FALSE))*VLOOKUP($A39,FY16ProjSCH!$A$3:$S$23,MATCH(F$28,FY16ProjSCH!$A$2:$S$2,0),FALSE)</f>
        <v>0</v>
      </c>
      <c r="G39" s="329">
        <f>+GPpcntSCH*(VLOOKUP($A39,FY16Rev0!$A$4:$F$24,6,FALSE))*VLOOKUP($A39,FY16ProjSCH!$A$3:$S$23,MATCH(G$28,FY16ProjSCH!$A$2:$S$2,0),FALSE)</f>
        <v>4916.3135792633375</v>
      </c>
      <c r="H39" s="329">
        <f>+GPpcntSCH*(VLOOKUP($A39,FY16Rev0!$A$4:$F$24,6,FALSE))*VLOOKUP($A39,FY16ProjSCH!$A$3:$S$23,MATCH(H$28,FY16ProjSCH!$A$2:$S$2,0),FALSE)</f>
        <v>11960.583782386926</v>
      </c>
      <c r="I39" s="329">
        <f>+GPpcntSCH*(VLOOKUP($A39,FY16Rev0!$A$4:$F$24,6,FALSE))*VLOOKUP($A39,FY16ProjSCH!$A$3:$S$23,MATCH(I$28,FY16ProjSCH!$A$2:$S$2,0),FALSE)</f>
        <v>146.75562923174141</v>
      </c>
      <c r="J39" s="329">
        <f>+GPpcntSCH*(VLOOKUP($A39,FY16Rev0!$A$4:$F$24,6,FALSE))*VLOOKUP($A39,FY16ProjSCH!$A$3:$S$23,MATCH(J$28,FY16ProjSCH!$A$2:$S$2,0),FALSE)</f>
        <v>440.26688769522428</v>
      </c>
      <c r="K39" s="329">
        <f>+GPpcntSCH*(VLOOKUP($A39,FY16Rev0!$A$4:$F$24,6,FALSE))*VLOOKUP($A39,FY16ProjSCH!$A$3:$S$23,MATCH(K$28,FY16ProjSCH!$A$2:$S$2,0),FALSE)</f>
        <v>12400.850670082151</v>
      </c>
      <c r="L39" s="329">
        <f>+GPpcntSCH*(VLOOKUP($A39,FY16Rev0!$A$4:$F$24,6,FALSE))*VLOOKUP($A39,FY16ProjSCH!$A$3:$S$23,MATCH(L$28,FY16ProjSCH!$A$2:$S$2,0),FALSE)</f>
        <v>0</v>
      </c>
      <c r="M39" s="329">
        <f>+GPpcntSCH*(VLOOKUP($A39,FY16Rev0!$A$4:$F$24,6,FALSE))*VLOOKUP($A39,FY16ProjSCH!$A$3:$S$23,MATCH(M$28,FY16ProjSCH!$A$2:$S$2,0),FALSE)</f>
        <v>0</v>
      </c>
      <c r="N39" s="329">
        <f>+GPpcntSCH*(VLOOKUP($A39,FY16Rev0!$A$4:$F$24,6,FALSE))*VLOOKUP($A39,FY16ProjSCH!$A$3:$S$23,MATCH(N$28,FY16ProjSCH!$A$2:$S$2,0),FALSE)</f>
        <v>513.64470231109499</v>
      </c>
      <c r="O39" s="329">
        <f>+GPpcntSCH*(VLOOKUP($A39,FY16Rev0!$A$4:$F$24,6,FALSE))*VLOOKUP($A39,FY16ProjSCH!$A$3:$S$23,MATCH(O$28,FY16ProjSCH!$A$2:$S$2,0),FALSE)</f>
        <v>0</v>
      </c>
      <c r="P39" s="329">
        <f>+GPpcntSCH*(VLOOKUP($A39,FY16Rev0!$A$4:$F$24,6,FALSE))*VLOOKUP($A39,FY16ProjSCH!$A$3:$S$23,MATCH(P$28,FY16ProjSCH!$A$2:$S$2,0),FALSE)</f>
        <v>0</v>
      </c>
      <c r="Q39" s="329">
        <f>+GPpcntSCH*(VLOOKUP($A39,FY16Rev0!$A$4:$F$24,6,FALSE))*VLOOKUP($A39,FY16ProjSCH!$A$3:$S$23,MATCH(Q$28,FY16ProjSCH!$A$2:$S$2,0),FALSE)</f>
        <v>2935.1125846348286</v>
      </c>
      <c r="R39" s="329">
        <f>+GPpcntSCH*(VLOOKUP($A39,FY16Rev0!$A$4:$F$24,6,FALSE))*VLOOKUP($A39,FY16ProjSCH!$A$3:$S$23,MATCH(R$28,FY16ProjSCH!$A$2:$S$2,0),FALSE)</f>
        <v>0</v>
      </c>
      <c r="S39" s="329">
        <f>+GPpcntSCH*(VLOOKUP($A39,FY16Rev0!$A$4:$F$24,6,FALSE))*VLOOKUP($A39,FY16ProjSCH!$A$3:$S$23,MATCH(S$28,FY16ProjSCH!$A$2:$S$2,0),FALSE)</f>
        <v>0</v>
      </c>
      <c r="T39" s="330">
        <f t="shared" si="4"/>
        <v>944078.96284779243</v>
      </c>
    </row>
    <row r="40" spans="1:91" s="209" customFormat="1" ht="17.100000000000001" customHeight="1" x14ac:dyDescent="0.25">
      <c r="A40" s="325" t="s">
        <v>31</v>
      </c>
      <c r="B40" s="326" t="s">
        <v>33</v>
      </c>
      <c r="C40" s="312">
        <f>+GPpcntSCH*(VLOOKUP($A40,FY16Rev0!$A$4:$F$24,6,FALSE))*VLOOKUP($A40,FY16ProjSCH!$A$3:$S$23,MATCH(C$28,FY16ProjSCH!$A$2:$S$2,0),FALSE)</f>
        <v>0</v>
      </c>
      <c r="D40" s="312">
        <f>+GPpcntSCH*(VLOOKUP($A40,FY16Rev0!$A$4:$F$24,6,FALSE))*VLOOKUP($A40,FY16ProjSCH!$A$3:$S$23,MATCH(D$28,FY16ProjSCH!$A$2:$S$2,0),FALSE)</f>
        <v>1085.1603794265038</v>
      </c>
      <c r="E40" s="312">
        <f>+GPpcntSCH*(VLOOKUP($A40,FY16Rev0!$A$4:$F$24,6,FALSE))*VLOOKUP($A40,FY16ProjSCH!$A$3:$S$23,MATCH(E$28,FY16ProjSCH!$A$2:$S$2,0),FALSE)</f>
        <v>271.29009485662596</v>
      </c>
      <c r="F40" s="312">
        <f>+GPpcntSCH*(VLOOKUP($A40,FY16Rev0!$A$4:$F$24,6,FALSE))*VLOOKUP($A40,FY16ProjSCH!$A$3:$S$23,MATCH(F$28,FY16ProjSCH!$A$2:$S$2,0),FALSE)</f>
        <v>0</v>
      </c>
      <c r="G40" s="312">
        <f>+GPpcntSCH*(VLOOKUP($A40,FY16Rev0!$A$4:$F$24,6,FALSE))*VLOOKUP($A40,FY16ProjSCH!$A$3:$S$23,MATCH(G$28,FY16ProjSCH!$A$2:$S$2,0),FALSE)</f>
        <v>291094.27178115968</v>
      </c>
      <c r="H40" s="312">
        <f>+GPpcntSCH*(VLOOKUP($A40,FY16Rev0!$A$4:$F$24,6,FALSE))*VLOOKUP($A40,FY16ProjSCH!$A$3:$S$23,MATCH(H$28,FY16ProjSCH!$A$2:$S$2,0),FALSE)</f>
        <v>1899.0306639963817</v>
      </c>
      <c r="I40" s="312">
        <f>+GPpcntSCH*(VLOOKUP($A40,FY16Rev0!$A$4:$F$24,6,FALSE))*VLOOKUP($A40,FY16ProjSCH!$A$3:$S$23,MATCH(I$28,FY16ProjSCH!$A$2:$S$2,0),FALSE)</f>
        <v>1356.4504742831298</v>
      </c>
      <c r="J40" s="312">
        <f>+GPpcntSCH*(VLOOKUP($A40,FY16Rev0!$A$4:$F$24,6,FALSE))*VLOOKUP($A40,FY16ProjSCH!$A$3:$S$23,MATCH(J$28,FY16ProjSCH!$A$2:$S$2,0),FALSE)</f>
        <v>0</v>
      </c>
      <c r="K40" s="312">
        <f>+GPpcntSCH*(VLOOKUP($A40,FY16Rev0!$A$4:$F$24,6,FALSE))*VLOOKUP($A40,FY16ProjSCH!$A$3:$S$23,MATCH(K$28,FY16ProjSCH!$A$2:$S$2,0),FALSE)</f>
        <v>0</v>
      </c>
      <c r="L40" s="312">
        <f>+GPpcntSCH*(VLOOKUP($A40,FY16Rev0!$A$4:$F$24,6,FALSE))*VLOOKUP($A40,FY16ProjSCH!$A$3:$S$23,MATCH(L$28,FY16ProjSCH!$A$2:$S$2,0),FALSE)</f>
        <v>0</v>
      </c>
      <c r="M40" s="312">
        <f>+GPpcntSCH*(VLOOKUP($A40,FY16Rev0!$A$4:$F$24,6,FALSE))*VLOOKUP($A40,FY16ProjSCH!$A$3:$S$23,MATCH(M$28,FY16ProjSCH!$A$2:$S$2,0),FALSE)</f>
        <v>0</v>
      </c>
      <c r="N40" s="312">
        <f>+GPpcntSCH*(VLOOKUP($A40,FY16Rev0!$A$4:$F$24,6,FALSE))*VLOOKUP($A40,FY16ProjSCH!$A$3:$S$23,MATCH(N$28,FY16ProjSCH!$A$2:$S$2,0),FALSE)</f>
        <v>11394.18398397829</v>
      </c>
      <c r="O40" s="312">
        <f>+GPpcntSCH*(VLOOKUP($A40,FY16Rev0!$A$4:$F$24,6,FALSE))*VLOOKUP($A40,FY16ProjSCH!$A$3:$S$23,MATCH(O$28,FY16ProjSCH!$A$2:$S$2,0),FALSE)</f>
        <v>0</v>
      </c>
      <c r="P40" s="312">
        <f>+GPpcntSCH*(VLOOKUP($A40,FY16Rev0!$A$4:$F$24,6,FALSE))*VLOOKUP($A40,FY16ProjSCH!$A$3:$S$23,MATCH(P$28,FY16ProjSCH!$A$2:$S$2,0),FALSE)</f>
        <v>0</v>
      </c>
      <c r="Q40" s="312">
        <f>+GPpcntSCH*(VLOOKUP($A40,FY16Rev0!$A$4:$F$24,6,FALSE))*VLOOKUP($A40,FY16ProjSCH!$A$3:$S$23,MATCH(Q$28,FY16ProjSCH!$A$2:$S$2,0),FALSE)</f>
        <v>406.93514228493893</v>
      </c>
      <c r="R40" s="312">
        <f>+GPpcntSCH*(VLOOKUP($A40,FY16Rev0!$A$4:$F$24,6,FALSE))*VLOOKUP($A40,FY16ProjSCH!$A$3:$S$23,MATCH(R$28,FY16ProjSCH!$A$2:$S$2,0),FALSE)</f>
        <v>0</v>
      </c>
      <c r="S40" s="312">
        <f>+GPpcntSCH*(VLOOKUP($A40,FY16Rev0!$A$4:$F$24,6,FALSE))*VLOOKUP($A40,FY16ProjSCH!$A$3:$S$23,MATCH(S$28,FY16ProjSCH!$A$2:$S$2,0),FALSE)</f>
        <v>1627.7405691397557</v>
      </c>
      <c r="T40" s="327">
        <f t="shared" si="4"/>
        <v>309135.06308912532</v>
      </c>
    </row>
    <row r="41" spans="1:91" ht="17.100000000000001" customHeight="1" x14ac:dyDescent="0.25">
      <c r="A41" s="325" t="s">
        <v>34</v>
      </c>
      <c r="B41" s="328" t="s">
        <v>35</v>
      </c>
      <c r="C41" s="329">
        <f>+GPpcntSCH*(VLOOKUP($A41,FY16Rev0!$A$4:$F$24,6,FALSE))*VLOOKUP($A41,FY16ProjSCH!$A$3:$S$23,MATCH(C$28,FY16ProjSCH!$A$2:$S$2,0),FALSE)</f>
        <v>7994.2885341230158</v>
      </c>
      <c r="D41" s="329">
        <f>+GPpcntSCH*(VLOOKUP($A41,FY16Rev0!$A$4:$F$24,6,FALSE))*VLOOKUP($A41,FY16ProjSCH!$A$3:$S$23,MATCH(D$28,FY16ProjSCH!$A$2:$S$2,0),FALSE)</f>
        <v>40558.179443761721</v>
      </c>
      <c r="E41" s="329">
        <f>+GPpcntSCH*(VLOOKUP($A41,FY16Rev0!$A$4:$F$24,6,FALSE))*VLOOKUP($A41,FY16ProjSCH!$A$3:$S$23,MATCH(E$28,FY16ProjSCH!$A$2:$S$2,0),FALSE)</f>
        <v>13861.65626558945</v>
      </c>
      <c r="F41" s="329">
        <f>+GPpcntSCH*(VLOOKUP($A41,FY16Rev0!$A$4:$F$24,6,FALSE))*VLOOKUP($A41,FY16ProjSCH!$A$3:$S$23,MATCH(F$28,FY16ProjSCH!$A$2:$S$2,0),FALSE)</f>
        <v>3667.1048321665212</v>
      </c>
      <c r="G41" s="329">
        <f>+GPpcntSCH*(VLOOKUP($A41,FY16Rev0!$A$4:$F$24,6,FALSE))*VLOOKUP($A41,FY16ProjSCH!$A$3:$S$23,MATCH(G$28,FY16ProjSCH!$A$2:$S$2,0),FALSE)</f>
        <v>1760.2103194399301</v>
      </c>
      <c r="H41" s="329">
        <f>+GPpcntSCH*(VLOOKUP($A41,FY16Rev0!$A$4:$F$24,6,FALSE))*VLOOKUP($A41,FY16ProjSCH!$A$3:$S$23,MATCH(H$28,FY16ProjSCH!$A$2:$S$2,0),FALSE)</f>
        <v>22662.707862789102</v>
      </c>
      <c r="I41" s="329">
        <f>+GPpcntSCH*(VLOOKUP($A41,FY16Rev0!$A$4:$F$24,6,FALSE))*VLOOKUP($A41,FY16ProjSCH!$A$3:$S$23,MATCH(I$28,FY16ProjSCH!$A$2:$S$2,0),FALSE)</f>
        <v>1246.8156429366172</v>
      </c>
      <c r="J41" s="329">
        <f>+GPpcntSCH*(VLOOKUP($A41,FY16Rev0!$A$4:$F$24,6,FALSE))*VLOOKUP($A41,FY16ProjSCH!$A$3:$S$23,MATCH(J$28,FY16ProjSCH!$A$2:$S$2,0),FALSE)</f>
        <v>4180.4995086698345</v>
      </c>
      <c r="K41" s="329">
        <f>+GPpcntSCH*(VLOOKUP($A41,FY16Rev0!$A$4:$F$24,6,FALSE))*VLOOKUP($A41,FY16ProjSCH!$A$3:$S$23,MATCH(K$28,FY16ProjSCH!$A$2:$S$2,0),FALSE)</f>
        <v>784173.6973104889</v>
      </c>
      <c r="L41" s="329">
        <f>+GPpcntSCH*(VLOOKUP($A41,FY16Rev0!$A$4:$F$24,6,FALSE))*VLOOKUP($A41,FY16ProjSCH!$A$3:$S$23,MATCH(L$28,FY16ProjSCH!$A$2:$S$2,0),FALSE)</f>
        <v>3227.0522523065388</v>
      </c>
      <c r="M41" s="329">
        <f>+GPpcntSCH*(VLOOKUP($A41,FY16Rev0!$A$4:$F$24,6,FALSE))*VLOOKUP($A41,FY16ProjSCH!$A$3:$S$23,MATCH(M$28,FY16ProjSCH!$A$2:$S$2,0),FALSE)</f>
        <v>0</v>
      </c>
      <c r="N41" s="329">
        <f>+GPpcntSCH*(VLOOKUP($A41,FY16Rev0!$A$4:$F$24,6,FALSE))*VLOOKUP($A41,FY16ProjSCH!$A$3:$S$23,MATCH(N$28,FY16ProjSCH!$A$2:$S$2,0),FALSE)</f>
        <v>4987.2625717464689</v>
      </c>
      <c r="O41" s="329">
        <f>+GPpcntSCH*(VLOOKUP($A41,FY16Rev0!$A$4:$F$24,6,FALSE))*VLOOKUP($A41,FY16ProjSCH!$A$3:$S$23,MATCH(O$28,FY16ProjSCH!$A$2:$S$2,0),FALSE)</f>
        <v>0</v>
      </c>
      <c r="P41" s="329">
        <f>+GPpcntSCH*(VLOOKUP($A41,FY16Rev0!$A$4:$F$24,6,FALSE))*VLOOKUP($A41,FY16ProjSCH!$A$3:$S$23,MATCH(P$28,FY16ProjSCH!$A$2:$S$2,0),FALSE)</f>
        <v>0</v>
      </c>
      <c r="Q41" s="329">
        <f>+GPpcntSCH*(VLOOKUP($A41,FY16Rev0!$A$4:$F$24,6,FALSE))*VLOOKUP($A41,FY16ProjSCH!$A$3:$S$23,MATCH(Q$28,FY16ProjSCH!$A$2:$S$2,0),FALSE)</f>
        <v>19949.050286985876</v>
      </c>
      <c r="R41" s="329">
        <f>+GPpcntSCH*(VLOOKUP($A41,FY16Rev0!$A$4:$F$24,6,FALSE))*VLOOKUP($A41,FY16ProjSCH!$A$3:$S$23,MATCH(R$28,FY16ProjSCH!$A$2:$S$2,0),FALSE)</f>
        <v>0</v>
      </c>
      <c r="S41" s="329">
        <f>+GPpcntSCH*(VLOOKUP($A41,FY16Rev0!$A$4:$F$24,6,FALSE))*VLOOKUP($A41,FY16ProjSCH!$A$3:$S$23,MATCH(S$28,FY16ProjSCH!$A$2:$S$2,0),FALSE)</f>
        <v>220.02628992999126</v>
      </c>
      <c r="T41" s="330">
        <f t="shared" si="4"/>
        <v>908488.55112093396</v>
      </c>
    </row>
    <row r="42" spans="1:91" s="209" customFormat="1" ht="17.100000000000001" customHeight="1" x14ac:dyDescent="0.25">
      <c r="A42" s="325" t="s">
        <v>156</v>
      </c>
      <c r="B42" s="326" t="s">
        <v>36</v>
      </c>
      <c r="C42" s="312">
        <f>+GPpcntSCH*(VLOOKUP($A42,FY16Rev0!$A$4:$F$24,6,FALSE))*VLOOKUP($A42,FY16ProjSCH!$A$3:$S$23,MATCH(C$28,FY16ProjSCH!$A$2:$S$2,0),FALSE)</f>
        <v>2531.1100502818222</v>
      </c>
      <c r="D42" s="312">
        <f>+GPpcntSCH*(VLOOKUP($A42,FY16Rev0!$A$4:$F$24,6,FALSE))*VLOOKUP($A42,FY16ProjSCH!$A$3:$S$23,MATCH(D$28,FY16ProjSCH!$A$2:$S$2,0),FALSE)</f>
        <v>4490.6791214677487</v>
      </c>
      <c r="E42" s="312">
        <f>+GPpcntSCH*(VLOOKUP($A42,FY16Rev0!$A$4:$F$24,6,FALSE))*VLOOKUP($A42,FY16ProjSCH!$A$3:$S$23,MATCH(E$28,FY16ProjSCH!$A$2:$S$2,0),FALSE)</f>
        <v>905157.61346529925</v>
      </c>
      <c r="F42" s="312">
        <f>+GPpcntSCH*(VLOOKUP($A42,FY16Rev0!$A$4:$F$24,6,FALSE))*VLOOKUP($A42,FY16ProjSCH!$A$3:$S$23,MATCH(F$28,FY16ProjSCH!$A$2:$S$2,0),FALSE)</f>
        <v>0</v>
      </c>
      <c r="G42" s="312">
        <f>+GPpcntSCH*(VLOOKUP($A42,FY16Rev0!$A$4:$F$24,6,FALSE))*VLOOKUP($A42,FY16ProjSCH!$A$3:$S$23,MATCH(G$28,FY16ProjSCH!$A$2:$S$2,0),FALSE)</f>
        <v>3919.1381423718535</v>
      </c>
      <c r="H42" s="312">
        <f>+GPpcntSCH*(VLOOKUP($A42,FY16Rev0!$A$4:$F$24,6,FALSE))*VLOOKUP($A42,FY16ProjSCH!$A$3:$S$23,MATCH(H$28,FY16ProjSCH!$A$2:$S$2,0),FALSE)</f>
        <v>0</v>
      </c>
      <c r="I42" s="312">
        <f>+GPpcntSCH*(VLOOKUP($A42,FY16Rev0!$A$4:$F$24,6,FALSE))*VLOOKUP($A42,FY16ProjSCH!$A$3:$S$23,MATCH(I$28,FY16ProjSCH!$A$2:$S$2,0),FALSE)</f>
        <v>2286.1639163835812</v>
      </c>
      <c r="J42" s="312">
        <f>+GPpcntSCH*(VLOOKUP($A42,FY16Rev0!$A$4:$F$24,6,FALSE))*VLOOKUP($A42,FY16ProjSCH!$A$3:$S$23,MATCH(J$28,FY16ProjSCH!$A$2:$S$2,0),FALSE)</f>
        <v>816.48711299413606</v>
      </c>
      <c r="K42" s="312">
        <f>+GPpcntSCH*(VLOOKUP($A42,FY16Rev0!$A$4:$F$24,6,FALSE))*VLOOKUP($A42,FY16ProjSCH!$A$3:$S$23,MATCH(K$28,FY16ProjSCH!$A$2:$S$2,0),FALSE)</f>
        <v>4245.7329875695077</v>
      </c>
      <c r="L42" s="312">
        <f>+GPpcntSCH*(VLOOKUP($A42,FY16Rev0!$A$4:$F$24,6,FALSE))*VLOOKUP($A42,FY16ProjSCH!$A$3:$S$23,MATCH(L$28,FY16ProjSCH!$A$2:$S$2,0),FALSE)</f>
        <v>0</v>
      </c>
      <c r="M42" s="312">
        <f>+GPpcntSCH*(VLOOKUP($A42,FY16Rev0!$A$4:$F$24,6,FALSE))*VLOOKUP($A42,FY16ProjSCH!$A$3:$S$23,MATCH(M$28,FY16ProjSCH!$A$2:$S$2,0),FALSE)</f>
        <v>0</v>
      </c>
      <c r="N42" s="312">
        <f>+GPpcntSCH*(VLOOKUP($A42,FY16Rev0!$A$4:$F$24,6,FALSE))*VLOOKUP($A42,FY16ProjSCH!$A$3:$S$23,MATCH(N$28,FY16ProjSCH!$A$2:$S$2,0),FALSE)</f>
        <v>1306.3793807906177</v>
      </c>
      <c r="O42" s="312">
        <f>+GPpcntSCH*(VLOOKUP($A42,FY16Rev0!$A$4:$F$24,6,FALSE))*VLOOKUP($A42,FY16ProjSCH!$A$3:$S$23,MATCH(O$28,FY16ProjSCH!$A$2:$S$2,0),FALSE)</f>
        <v>0</v>
      </c>
      <c r="P42" s="312">
        <f>+GPpcntSCH*(VLOOKUP($A42,FY16Rev0!$A$4:$F$24,6,FALSE))*VLOOKUP($A42,FY16ProjSCH!$A$3:$S$23,MATCH(P$28,FY16ProjSCH!$A$2:$S$2,0),FALSE)</f>
        <v>0</v>
      </c>
      <c r="Q42" s="312">
        <f>+GPpcntSCH*(VLOOKUP($A42,FY16Rev0!$A$4:$F$24,6,FALSE))*VLOOKUP($A42,FY16ProjSCH!$A$3:$S$23,MATCH(Q$28,FY16ProjSCH!$A$2:$S$2,0),FALSE)</f>
        <v>1714.6229372876858</v>
      </c>
      <c r="R42" s="312">
        <f>+GPpcntSCH*(VLOOKUP($A42,FY16Rev0!$A$4:$F$24,6,FALSE))*VLOOKUP($A42,FY16ProjSCH!$A$3:$S$23,MATCH(R$28,FY16ProjSCH!$A$2:$S$2,0),FALSE)</f>
        <v>0</v>
      </c>
      <c r="S42" s="312">
        <f>+GPpcntSCH*(VLOOKUP($A42,FY16Rev0!$A$4:$F$24,6,FALSE))*VLOOKUP($A42,FY16ProjSCH!$A$3:$S$23,MATCH(S$28,FY16ProjSCH!$A$2:$S$2,0),FALSE)</f>
        <v>0</v>
      </c>
      <c r="T42" s="327">
        <f t="shared" si="4"/>
        <v>926467.92711444641</v>
      </c>
    </row>
    <row r="43" spans="1:91" ht="17.100000000000001" customHeight="1" x14ac:dyDescent="0.25">
      <c r="A43" s="325" t="s">
        <v>37</v>
      </c>
      <c r="B43" s="328" t="s">
        <v>39</v>
      </c>
      <c r="C43" s="329">
        <f>+GPpcntSCH*(VLOOKUP($A43,FY16Rev0!$A$4:$F$24,6,FALSE))*VLOOKUP($A43,FY16ProjSCH!$A$3:$S$23,MATCH(C$28,FY16ProjSCH!$A$2:$S$2,0),FALSE)</f>
        <v>1387.9941356751081</v>
      </c>
      <c r="D43" s="329">
        <f>+GPpcntSCH*(VLOOKUP($A43,FY16Rev0!$A$4:$F$24,6,FALSE))*VLOOKUP($A43,FY16ProjSCH!$A$3:$S$23,MATCH(D$28,FY16ProjSCH!$A$2:$S$2,0),FALSE)</f>
        <v>12578.696854555667</v>
      </c>
      <c r="E43" s="329">
        <f>+GPpcntSCH*(VLOOKUP($A43,FY16Rev0!$A$4:$F$24,6,FALSE))*VLOOKUP($A43,FY16ProjSCH!$A$3:$S$23,MATCH(E$28,FY16ProjSCH!$A$2:$S$2,0),FALSE)</f>
        <v>5031.4787418222668</v>
      </c>
      <c r="F43" s="329">
        <f>+GPpcntSCH*(VLOOKUP($A43,FY16Rev0!$A$4:$F$24,6,FALSE))*VLOOKUP($A43,FY16ProjSCH!$A$3:$S$23,MATCH(F$28,FY16ProjSCH!$A$2:$S$2,0),FALSE)</f>
        <v>2255.4904704720507</v>
      </c>
      <c r="G43" s="329">
        <f>+GPpcntSCH*(VLOOKUP($A43,FY16Rev0!$A$4:$F$24,6,FALSE))*VLOOKUP($A43,FY16ProjSCH!$A$3:$S$23,MATCH(G$28,FY16ProjSCH!$A$2:$S$2,0),FALSE)</f>
        <v>346.99853391877701</v>
      </c>
      <c r="H43" s="329">
        <f>+GPpcntSCH*(VLOOKUP($A43,FY16Rev0!$A$4:$F$24,6,FALSE))*VLOOKUP($A43,FY16ProjSCH!$A$3:$S$23,MATCH(H$28,FY16ProjSCH!$A$2:$S$2,0),FALSE)</f>
        <v>260.24890043908272</v>
      </c>
      <c r="I43" s="329">
        <f>+GPpcntSCH*(VLOOKUP($A43,FY16Rev0!$A$4:$F$24,6,FALSE))*VLOOKUP($A43,FY16ProjSCH!$A$3:$S$23,MATCH(I$28,FY16ProjSCH!$A$2:$S$2,0),FALSE)</f>
        <v>6939.97067837554</v>
      </c>
      <c r="J43" s="329">
        <f>+GPpcntSCH*(VLOOKUP($A43,FY16Rev0!$A$4:$F$24,6,FALSE))*VLOOKUP($A43,FY16ProjSCH!$A$3:$S$23,MATCH(J$28,FY16ProjSCH!$A$2:$S$2,0),FALSE)</f>
        <v>1927663.6055522859</v>
      </c>
      <c r="K43" s="329">
        <f>+GPpcntSCH*(VLOOKUP($A43,FY16Rev0!$A$4:$F$24,6,FALSE))*VLOOKUP($A43,FY16ProjSCH!$A$3:$S$23,MATCH(K$28,FY16ProjSCH!$A$2:$S$2,0),FALSE)</f>
        <v>346.99853391877701</v>
      </c>
      <c r="L43" s="329">
        <f>+GPpcntSCH*(VLOOKUP($A43,FY16Rev0!$A$4:$F$24,6,FALSE))*VLOOKUP($A43,FY16ProjSCH!$A$3:$S$23,MATCH(L$28,FY16ProjSCH!$A$2:$S$2,0),FALSE)</f>
        <v>260.24890043908272</v>
      </c>
      <c r="M43" s="329">
        <f>+GPpcntSCH*(VLOOKUP($A43,FY16Rev0!$A$4:$F$24,6,FALSE))*VLOOKUP($A43,FY16ProjSCH!$A$3:$S$23,MATCH(M$28,FY16ProjSCH!$A$2:$S$2,0),FALSE)</f>
        <v>0</v>
      </c>
      <c r="N43" s="329">
        <f>+GPpcntSCH*(VLOOKUP($A43,FY16Rev0!$A$4:$F$24,6,FALSE))*VLOOKUP($A43,FY16ProjSCH!$A$3:$S$23,MATCH(N$28,FY16ProjSCH!$A$2:$S$2,0),FALSE)</f>
        <v>86.749633479694253</v>
      </c>
      <c r="O43" s="329">
        <f>+GPpcntSCH*(VLOOKUP($A43,FY16Rev0!$A$4:$F$24,6,FALSE))*VLOOKUP($A43,FY16ProjSCH!$A$3:$S$23,MATCH(O$28,FY16ProjSCH!$A$2:$S$2,0),FALSE)</f>
        <v>0</v>
      </c>
      <c r="P43" s="329">
        <f>+GPpcntSCH*(VLOOKUP($A43,FY16Rev0!$A$4:$F$24,6,FALSE))*VLOOKUP($A43,FY16ProjSCH!$A$3:$S$23,MATCH(P$28,FY16ProjSCH!$A$2:$S$2,0),FALSE)</f>
        <v>260.24890043908272</v>
      </c>
      <c r="Q43" s="329">
        <f>+GPpcntSCH*(VLOOKUP($A43,FY16Rev0!$A$4:$F$24,6,FALSE))*VLOOKUP($A43,FY16ProjSCH!$A$3:$S$23,MATCH(Q$28,FY16ProjSCH!$A$2:$S$2,0),FALSE)</f>
        <v>3730.2342396268527</v>
      </c>
      <c r="R43" s="329">
        <f>+GPpcntSCH*(VLOOKUP($A43,FY16Rev0!$A$4:$F$24,6,FALSE))*VLOOKUP($A43,FY16ProjSCH!$A$3:$S$23,MATCH(R$28,FY16ProjSCH!$A$2:$S$2,0),FALSE)</f>
        <v>0</v>
      </c>
      <c r="S43" s="329">
        <f>+GPpcntSCH*(VLOOKUP($A43,FY16Rev0!$A$4:$F$24,6,FALSE))*VLOOKUP($A43,FY16ProjSCH!$A$3:$S$23,MATCH(S$28,FY16ProjSCH!$A$2:$S$2,0),FALSE)</f>
        <v>693.99706783755403</v>
      </c>
      <c r="T43" s="330">
        <f t="shared" si="4"/>
        <v>1961842.9611432855</v>
      </c>
    </row>
    <row r="44" spans="1:91" s="209" customFormat="1" ht="17.100000000000001" customHeight="1" x14ac:dyDescent="0.25">
      <c r="A44" s="325" t="s">
        <v>40</v>
      </c>
      <c r="B44" s="326" t="s">
        <v>42</v>
      </c>
      <c r="C44" s="312">
        <f>+GPpcntSCH*(VLOOKUP($A44,FY16Rev0!$A$4:$F$24,6,FALSE))*VLOOKUP($A44,FY16ProjSCH!$A$3:$S$23,MATCH(C$28,FY16ProjSCH!$A$2:$S$2,0),FALSE)</f>
        <v>0</v>
      </c>
      <c r="D44" s="312">
        <f>+GPpcntSCH*(VLOOKUP($A44,FY16Rev0!$A$4:$F$24,6,FALSE))*VLOOKUP($A44,FY16ProjSCH!$A$3:$S$23,MATCH(D$28,FY16ProjSCH!$A$2:$S$2,0),FALSE)</f>
        <v>11644.535393367758</v>
      </c>
      <c r="E44" s="312">
        <f>+GPpcntSCH*(VLOOKUP($A44,FY16Rev0!$A$4:$F$24,6,FALSE))*VLOOKUP($A44,FY16ProjSCH!$A$3:$S$23,MATCH(E$28,FY16ProjSCH!$A$2:$S$2,0),FALSE)</f>
        <v>1270.3129520037553</v>
      </c>
      <c r="F44" s="312">
        <f>+GPpcntSCH*(VLOOKUP($A44,FY16Rev0!$A$4:$F$24,6,FALSE))*VLOOKUP($A44,FY16ProjSCH!$A$3:$S$23,MATCH(F$28,FY16ProjSCH!$A$2:$S$2,0),FALSE)</f>
        <v>0</v>
      </c>
      <c r="G44" s="312">
        <f>+GPpcntSCH*(VLOOKUP($A44,FY16Rev0!$A$4:$F$24,6,FALSE))*VLOOKUP($A44,FY16ProjSCH!$A$3:$S$23,MATCH(G$28,FY16ProjSCH!$A$2:$S$2,0),FALSE)</f>
        <v>0</v>
      </c>
      <c r="H44" s="312">
        <f>+GPpcntSCH*(VLOOKUP($A44,FY16Rev0!$A$4:$F$24,6,FALSE))*VLOOKUP($A44,FY16ProjSCH!$A$3:$S$23,MATCH(H$28,FY16ProjSCH!$A$2:$S$2,0),FALSE)</f>
        <v>317.57823800093882</v>
      </c>
      <c r="I44" s="312">
        <f>+GPpcntSCH*(VLOOKUP($A44,FY16Rev0!$A$4:$F$24,6,FALSE))*VLOOKUP($A44,FY16ProjSCH!$A$3:$S$23,MATCH(I$28,FY16ProjSCH!$A$2:$S$2,0),FALSE)</f>
        <v>0</v>
      </c>
      <c r="J44" s="312">
        <f>+GPpcntSCH*(VLOOKUP($A44,FY16Rev0!$A$4:$F$24,6,FALSE))*VLOOKUP($A44,FY16ProjSCH!$A$3:$S$23,MATCH(J$28,FY16ProjSCH!$A$2:$S$2,0),FALSE)</f>
        <v>244746.96208605685</v>
      </c>
      <c r="K44" s="312">
        <f>+GPpcntSCH*(VLOOKUP($A44,FY16Rev0!$A$4:$F$24,6,FALSE))*VLOOKUP($A44,FY16ProjSCH!$A$3:$S$23,MATCH(K$28,FY16ProjSCH!$A$2:$S$2,0),FALSE)</f>
        <v>2328.9070786735515</v>
      </c>
      <c r="L44" s="312">
        <f>+GPpcntSCH*(VLOOKUP($A44,FY16Rev0!$A$4:$F$24,6,FALSE))*VLOOKUP($A44,FY16ProjSCH!$A$3:$S$23,MATCH(L$28,FY16ProjSCH!$A$2:$S$2,0),FALSE)</f>
        <v>0</v>
      </c>
      <c r="M44" s="312">
        <f>+GPpcntSCH*(VLOOKUP($A44,FY16Rev0!$A$4:$F$24,6,FALSE))*VLOOKUP($A44,FY16ProjSCH!$A$3:$S$23,MATCH(M$28,FY16ProjSCH!$A$2:$S$2,0),FALSE)</f>
        <v>0</v>
      </c>
      <c r="N44" s="312">
        <f>+GPpcntSCH*(VLOOKUP($A44,FY16Rev0!$A$4:$F$24,6,FALSE))*VLOOKUP($A44,FY16ProjSCH!$A$3:$S$23,MATCH(N$28,FY16ProjSCH!$A$2:$S$2,0),FALSE)</f>
        <v>317.57823800093882</v>
      </c>
      <c r="O44" s="312">
        <f>+GPpcntSCH*(VLOOKUP($A44,FY16Rev0!$A$4:$F$24,6,FALSE))*VLOOKUP($A44,FY16ProjSCH!$A$3:$S$23,MATCH(O$28,FY16ProjSCH!$A$2:$S$2,0),FALSE)</f>
        <v>0</v>
      </c>
      <c r="P44" s="312">
        <f>+GPpcntSCH*(VLOOKUP($A44,FY16Rev0!$A$4:$F$24,6,FALSE))*VLOOKUP($A44,FY16ProjSCH!$A$3:$S$23,MATCH(P$28,FY16ProjSCH!$A$2:$S$2,0),FALSE)</f>
        <v>0</v>
      </c>
      <c r="Q44" s="312">
        <f>+GPpcntSCH*(VLOOKUP($A44,FY16Rev0!$A$4:$F$24,6,FALSE))*VLOOKUP($A44,FY16ProjSCH!$A$3:$S$23,MATCH(Q$28,FY16ProjSCH!$A$2:$S$2,0),FALSE)</f>
        <v>529.29706333489798</v>
      </c>
      <c r="R44" s="312">
        <f>+GPpcntSCH*(VLOOKUP($A44,FY16Rev0!$A$4:$F$24,6,FALSE))*VLOOKUP($A44,FY16ProjSCH!$A$3:$S$23,MATCH(R$28,FY16ProjSCH!$A$2:$S$2,0),FALSE)</f>
        <v>0</v>
      </c>
      <c r="S44" s="312">
        <f>+GPpcntSCH*(VLOOKUP($A44,FY16Rev0!$A$4:$F$24,6,FALSE))*VLOOKUP($A44,FY16ProjSCH!$A$3:$S$23,MATCH(S$28,FY16ProjSCH!$A$2:$S$2,0),FALSE)</f>
        <v>423.43765066791843</v>
      </c>
      <c r="T44" s="327">
        <f t="shared" si="4"/>
        <v>261578.60870010662</v>
      </c>
    </row>
    <row r="45" spans="1:91" ht="17.100000000000001" customHeight="1" x14ac:dyDescent="0.25">
      <c r="A45" s="325" t="s">
        <v>157</v>
      </c>
      <c r="B45" s="328" t="s">
        <v>288</v>
      </c>
      <c r="C45" s="329">
        <f>+GPpcntSCH*(VLOOKUP($A45,FY16Rev0!$A$4:$F$24,6,FALSE))*VLOOKUP($A45,FY16ProjSCH!$A$3:$S$23,MATCH(C$28,FY16ProjSCH!$A$2:$S$2,0),FALSE)</f>
        <v>736.44174834781631</v>
      </c>
      <c r="D45" s="329">
        <f>+GPpcntSCH*(VLOOKUP($A45,FY16Rev0!$A$4:$F$24,6,FALSE))*VLOOKUP($A45,FY16ProjSCH!$A$3:$S$23,MATCH(D$28,FY16ProjSCH!$A$2:$S$2,0),FALSE)</f>
        <v>1104.6626225217246</v>
      </c>
      <c r="E45" s="329">
        <f>+GPpcntSCH*(VLOOKUP($A45,FY16Rev0!$A$4:$F$24,6,FALSE))*VLOOKUP($A45,FY16ProjSCH!$A$3:$S$23,MATCH(E$28,FY16ProjSCH!$A$2:$S$2,0),FALSE)</f>
        <v>1963.8446622608435</v>
      </c>
      <c r="F45" s="329">
        <f>+GPpcntSCH*(VLOOKUP($A45,FY16Rev0!$A$4:$F$24,6,FALSE))*VLOOKUP($A45,FY16ProjSCH!$A$3:$S$23,MATCH(F$28,FY16ProjSCH!$A$2:$S$2,0),FALSE)</f>
        <v>0</v>
      </c>
      <c r="G45" s="329">
        <f>+GPpcntSCH*(VLOOKUP($A45,FY16Rev0!$A$4:$F$24,6,FALSE))*VLOOKUP($A45,FY16ProjSCH!$A$3:$S$23,MATCH(G$28,FY16ProjSCH!$A$2:$S$2,0),FALSE)</f>
        <v>0</v>
      </c>
      <c r="H45" s="329">
        <f>+GPpcntSCH*(VLOOKUP($A45,FY16Rev0!$A$4:$F$24,6,FALSE))*VLOOKUP($A45,FY16ProjSCH!$A$3:$S$23,MATCH(H$28,FY16ProjSCH!$A$2:$S$2,0),FALSE)</f>
        <v>0</v>
      </c>
      <c r="I45" s="329">
        <f>+GPpcntSCH*(VLOOKUP($A45,FY16Rev0!$A$4:$F$24,6,FALSE))*VLOOKUP($A45,FY16ProjSCH!$A$3:$S$23,MATCH(I$28,FY16ProjSCH!$A$2:$S$2,0),FALSE)</f>
        <v>368.22087417390816</v>
      </c>
      <c r="J45" s="329">
        <f>+GPpcntSCH*(VLOOKUP($A45,FY16Rev0!$A$4:$F$24,6,FALSE))*VLOOKUP($A45,FY16ProjSCH!$A$3:$S$23,MATCH(J$28,FY16ProjSCH!$A$2:$S$2,0),FALSE)</f>
        <v>0</v>
      </c>
      <c r="K45" s="329">
        <f>+GPpcntSCH*(VLOOKUP($A45,FY16Rev0!$A$4:$F$24,6,FALSE))*VLOOKUP($A45,FY16ProjSCH!$A$3:$S$23,MATCH(K$28,FY16ProjSCH!$A$2:$S$2,0),FALSE)</f>
        <v>2454.8058278260546</v>
      </c>
      <c r="L45" s="329">
        <f>+GPpcntSCH*(VLOOKUP($A45,FY16Rev0!$A$4:$F$24,6,FALSE))*VLOOKUP($A45,FY16ProjSCH!$A$3:$S$23,MATCH(L$28,FY16ProjSCH!$A$2:$S$2,0),FALSE)</f>
        <v>736.44174834781631</v>
      </c>
      <c r="M45" s="329">
        <f>+GPpcntSCH*(VLOOKUP($A45,FY16Rev0!$A$4:$F$24,6,FALSE))*VLOOKUP($A45,FY16ProjSCH!$A$3:$S$23,MATCH(M$28,FY16ProjSCH!$A$2:$S$2,0),FALSE)</f>
        <v>0</v>
      </c>
      <c r="N45" s="329">
        <f>+GPpcntSCH*(VLOOKUP($A45,FY16Rev0!$A$4:$F$24,6,FALSE))*VLOOKUP($A45,FY16ProjSCH!$A$3:$S$23,MATCH(N$28,FY16ProjSCH!$A$2:$S$2,0),FALSE)</f>
        <v>4909.6116556521092</v>
      </c>
      <c r="O45" s="329">
        <f>+GPpcntSCH*(VLOOKUP($A45,FY16Rev0!$A$4:$F$24,6,FALSE))*VLOOKUP($A45,FY16ProjSCH!$A$3:$S$23,MATCH(O$28,FY16ProjSCH!$A$2:$S$2,0),FALSE)</f>
        <v>250390.19443825755</v>
      </c>
      <c r="P45" s="329">
        <f>+GPpcntSCH*(VLOOKUP($A45,FY16Rev0!$A$4:$F$24,6,FALSE))*VLOOKUP($A45,FY16ProjSCH!$A$3:$S$23,MATCH(P$28,FY16ProjSCH!$A$2:$S$2,0),FALSE)</f>
        <v>6873.4563179129527</v>
      </c>
      <c r="Q45" s="329">
        <f>+GPpcntSCH*(VLOOKUP($A45,FY16Rev0!$A$4:$F$24,6,FALSE))*VLOOKUP($A45,FY16ProjSCH!$A$3:$S$23,MATCH(Q$28,FY16ProjSCH!$A$2:$S$2,0),FALSE)</f>
        <v>6137.0145695651354</v>
      </c>
      <c r="R45" s="329">
        <f>+GPpcntSCH*(VLOOKUP($A45,FY16Rev0!$A$4:$F$24,6,FALSE))*VLOOKUP($A45,FY16ProjSCH!$A$3:$S$23,MATCH(R$28,FY16ProjSCH!$A$2:$S$2,0),FALSE)</f>
        <v>0</v>
      </c>
      <c r="S45" s="329">
        <f>+GPpcntSCH*(VLOOKUP($A45,FY16Rev0!$A$4:$F$24,6,FALSE))*VLOOKUP($A45,FY16ProjSCH!$A$3:$S$23,MATCH(S$28,FY16ProjSCH!$A$2:$S$2,0),FALSE)</f>
        <v>122.74029139130272</v>
      </c>
      <c r="T45" s="330">
        <f t="shared" si="4"/>
        <v>275797.43475625722</v>
      </c>
    </row>
    <row r="46" spans="1:91" s="209" customFormat="1" ht="17.100000000000001" customHeight="1" x14ac:dyDescent="0.25">
      <c r="A46" s="325" t="s">
        <v>158</v>
      </c>
      <c r="B46" s="326" t="s">
        <v>45</v>
      </c>
      <c r="C46" s="312">
        <f>+GPpcntSCH*(VLOOKUP($A46,FY16Rev0!$A$4:$F$24,6,FALSE))*VLOOKUP($A46,FY16ProjSCH!$A$3:$S$23,MATCH(C$28,FY16ProjSCH!$A$2:$S$2,0),FALSE)</f>
        <v>0</v>
      </c>
      <c r="D46" s="312">
        <f>+GPpcntSCH*(VLOOKUP($A46,FY16Rev0!$A$4:$F$24,6,FALSE))*VLOOKUP($A46,FY16ProjSCH!$A$3:$S$23,MATCH(D$28,FY16ProjSCH!$A$2:$S$2,0),FALSE)</f>
        <v>1842.1083861129068</v>
      </c>
      <c r="E46" s="312">
        <f>+GPpcntSCH*(VLOOKUP($A46,FY16Rev0!$A$4:$F$24,6,FALSE))*VLOOKUP($A46,FY16ProjSCH!$A$3:$S$23,MATCH(E$28,FY16ProjSCH!$A$2:$S$2,0),FALSE)</f>
        <v>736.84335444516284</v>
      </c>
      <c r="F46" s="312">
        <f>+GPpcntSCH*(VLOOKUP($A46,FY16Rev0!$A$4:$F$24,6,FALSE))*VLOOKUP($A46,FY16ProjSCH!$A$3:$S$23,MATCH(F$28,FY16ProjSCH!$A$2:$S$2,0),FALSE)</f>
        <v>0</v>
      </c>
      <c r="G46" s="312">
        <f>+GPpcntSCH*(VLOOKUP($A46,FY16Rev0!$A$4:$F$24,6,FALSE))*VLOOKUP($A46,FY16ProjSCH!$A$3:$S$23,MATCH(G$28,FY16ProjSCH!$A$2:$S$2,0),FALSE)</f>
        <v>0</v>
      </c>
      <c r="H46" s="312">
        <f>+GPpcntSCH*(VLOOKUP($A46,FY16Rev0!$A$4:$F$24,6,FALSE))*VLOOKUP($A46,FY16ProjSCH!$A$3:$S$23,MATCH(H$28,FY16ProjSCH!$A$2:$S$2,0),FALSE)</f>
        <v>0</v>
      </c>
      <c r="I46" s="312">
        <f>+GPpcntSCH*(VLOOKUP($A46,FY16Rev0!$A$4:$F$24,6,FALSE))*VLOOKUP($A46,FY16ProjSCH!$A$3:$S$23,MATCH(I$28,FY16ProjSCH!$A$2:$S$2,0),FALSE)</f>
        <v>0</v>
      </c>
      <c r="J46" s="312">
        <f>+GPpcntSCH*(VLOOKUP($A46,FY16Rev0!$A$4:$F$24,6,FALSE))*VLOOKUP($A46,FY16ProjSCH!$A$3:$S$23,MATCH(J$28,FY16ProjSCH!$A$2:$S$2,0),FALSE)</f>
        <v>0</v>
      </c>
      <c r="K46" s="312">
        <f>+GPpcntSCH*(VLOOKUP($A46,FY16Rev0!$A$4:$F$24,6,FALSE))*VLOOKUP($A46,FY16ProjSCH!$A$3:$S$23,MATCH(K$28,FY16ProjSCH!$A$2:$S$2,0),FALSE)</f>
        <v>0</v>
      </c>
      <c r="L46" s="312">
        <f>+GPpcntSCH*(VLOOKUP($A46,FY16Rev0!$A$4:$F$24,6,FALSE))*VLOOKUP($A46,FY16ProjSCH!$A$3:$S$23,MATCH(L$28,FY16ProjSCH!$A$2:$S$2,0),FALSE)</f>
        <v>0</v>
      </c>
      <c r="M46" s="312">
        <f>+GPpcntSCH*(VLOOKUP($A46,FY16Rev0!$A$4:$F$24,6,FALSE))*VLOOKUP($A46,FY16ProjSCH!$A$3:$S$23,MATCH(M$28,FY16ProjSCH!$A$2:$S$2,0),FALSE)</f>
        <v>147.36867088903256</v>
      </c>
      <c r="N46" s="312">
        <f>+GPpcntSCH*(VLOOKUP($A46,FY16Rev0!$A$4:$F$24,6,FALSE))*VLOOKUP($A46,FY16ProjSCH!$A$3:$S$23,MATCH(N$28,FY16ProjSCH!$A$2:$S$2,0),FALSE)</f>
        <v>145305.50949658611</v>
      </c>
      <c r="O46" s="312">
        <f>+GPpcntSCH*(VLOOKUP($A46,FY16Rev0!$A$4:$F$24,6,FALSE))*VLOOKUP($A46,FY16ProjSCH!$A$3:$S$23,MATCH(O$28,FY16ProjSCH!$A$2:$S$2,0),FALSE)</f>
        <v>2726.3204114471023</v>
      </c>
      <c r="P46" s="312">
        <f>+GPpcntSCH*(VLOOKUP($A46,FY16Rev0!$A$4:$F$24,6,FALSE))*VLOOKUP($A46,FY16ProjSCH!$A$3:$S$23,MATCH(P$28,FY16ProjSCH!$A$2:$S$2,0),FALSE)</f>
        <v>1215423.1131572961</v>
      </c>
      <c r="Q46" s="312">
        <f>+GPpcntSCH*(VLOOKUP($A46,FY16Rev0!$A$4:$F$24,6,FALSE))*VLOOKUP($A46,FY16ProjSCH!$A$3:$S$23,MATCH(Q$28,FY16ProjSCH!$A$2:$S$2,0),FALSE)</f>
        <v>12821.074367345833</v>
      </c>
      <c r="R46" s="312">
        <f>+GPpcntSCH*(VLOOKUP($A46,FY16Rev0!$A$4:$F$24,6,FALSE))*VLOOKUP($A46,FY16ProjSCH!$A$3:$S$23,MATCH(R$28,FY16ProjSCH!$A$2:$S$2,0),FALSE)</f>
        <v>0</v>
      </c>
      <c r="S46" s="312">
        <f>+GPpcntSCH*(VLOOKUP($A46,FY16Rev0!$A$4:$F$24,6,FALSE))*VLOOKUP($A46,FY16ProjSCH!$A$3:$S$23,MATCH(S$28,FY16ProjSCH!$A$2:$S$2,0),FALSE)</f>
        <v>0</v>
      </c>
      <c r="T46" s="327">
        <f t="shared" si="4"/>
        <v>1379002.3378441222</v>
      </c>
    </row>
    <row r="47" spans="1:91" ht="17.100000000000001" customHeight="1" x14ac:dyDescent="0.25">
      <c r="A47" s="325" t="s">
        <v>159</v>
      </c>
      <c r="B47" s="328" t="s">
        <v>46</v>
      </c>
      <c r="C47" s="329">
        <f>+GPpcntSCH*(VLOOKUP($A47,FY16Rev0!$A$4:$F$24,6,FALSE))*VLOOKUP($A47,FY16ProjSCH!$A$3:$S$23,MATCH(C$28,FY16ProjSCH!$A$2:$S$2,0),FALSE)</f>
        <v>0</v>
      </c>
      <c r="D47" s="329">
        <f>+GPpcntSCH*(VLOOKUP($A47,FY16Rev0!$A$4:$F$24,6,FALSE))*VLOOKUP($A47,FY16ProjSCH!$A$3:$S$23,MATCH(D$28,FY16ProjSCH!$A$2:$S$2,0),FALSE)</f>
        <v>825.76503159573565</v>
      </c>
      <c r="E47" s="329">
        <f>+GPpcntSCH*(VLOOKUP($A47,FY16Rev0!$A$4:$F$24,6,FALSE))*VLOOKUP($A47,FY16ProjSCH!$A$3:$S$23,MATCH(E$28,FY16ProjSCH!$A$2:$S$2,0),FALSE)</f>
        <v>0</v>
      </c>
      <c r="F47" s="329">
        <f>+GPpcntSCH*(VLOOKUP($A47,FY16Rev0!$A$4:$F$24,6,FALSE))*VLOOKUP($A47,FY16ProjSCH!$A$3:$S$23,MATCH(F$28,FY16ProjSCH!$A$2:$S$2,0),FALSE)</f>
        <v>0</v>
      </c>
      <c r="G47" s="329">
        <f>+GPpcntSCH*(VLOOKUP($A47,FY16Rev0!$A$4:$F$24,6,FALSE))*VLOOKUP($A47,FY16ProjSCH!$A$3:$S$23,MATCH(G$28,FY16ProjSCH!$A$2:$S$2,0),FALSE)</f>
        <v>1032.2062894946694</v>
      </c>
      <c r="H47" s="329">
        <f>+GPpcntSCH*(VLOOKUP($A47,FY16Rev0!$A$4:$F$24,6,FALSE))*VLOOKUP($A47,FY16ProjSCH!$A$3:$S$23,MATCH(H$28,FY16ProjSCH!$A$2:$S$2,0),FALSE)</f>
        <v>206.44125789893391</v>
      </c>
      <c r="I47" s="329">
        <f>+GPpcntSCH*(VLOOKUP($A47,FY16Rev0!$A$4:$F$24,6,FALSE))*VLOOKUP($A47,FY16ProjSCH!$A$3:$S$23,MATCH(I$28,FY16ProjSCH!$A$2:$S$2,0),FALSE)</f>
        <v>0</v>
      </c>
      <c r="J47" s="329">
        <f>+GPpcntSCH*(VLOOKUP($A47,FY16Rev0!$A$4:$F$24,6,FALSE))*VLOOKUP($A47,FY16ProjSCH!$A$3:$S$23,MATCH(J$28,FY16ProjSCH!$A$2:$S$2,0),FALSE)</f>
        <v>0</v>
      </c>
      <c r="K47" s="329">
        <f>+GPpcntSCH*(VLOOKUP($A47,FY16Rev0!$A$4:$F$24,6,FALSE))*VLOOKUP($A47,FY16ProjSCH!$A$3:$S$23,MATCH(K$28,FY16ProjSCH!$A$2:$S$2,0),FALSE)</f>
        <v>0</v>
      </c>
      <c r="L47" s="329">
        <f>+GPpcntSCH*(VLOOKUP($A47,FY16Rev0!$A$4:$F$24,6,FALSE))*VLOOKUP($A47,FY16ProjSCH!$A$3:$S$23,MATCH(L$28,FY16ProjSCH!$A$2:$S$2,0),FALSE)</f>
        <v>0</v>
      </c>
      <c r="M47" s="329">
        <f>+GPpcntSCH*(VLOOKUP($A47,FY16Rev0!$A$4:$F$24,6,FALSE))*VLOOKUP($A47,FY16ProjSCH!$A$3:$S$23,MATCH(M$28,FY16ProjSCH!$A$2:$S$2,0),FALSE)</f>
        <v>0</v>
      </c>
      <c r="N47" s="329">
        <f>+GPpcntSCH*(VLOOKUP($A47,FY16Rev0!$A$4:$F$24,6,FALSE))*VLOOKUP($A47,FY16ProjSCH!$A$3:$S$23,MATCH(N$28,FY16ProjSCH!$A$2:$S$2,0),FALSE)</f>
        <v>2925960.7619542228</v>
      </c>
      <c r="O47" s="329">
        <f>+GPpcntSCH*(VLOOKUP($A47,FY16Rev0!$A$4:$F$24,6,FALSE))*VLOOKUP($A47,FY16ProjSCH!$A$3:$S$23,MATCH(O$28,FY16ProjSCH!$A$2:$S$2,0),FALSE)</f>
        <v>0</v>
      </c>
      <c r="P47" s="329">
        <f>+GPpcntSCH*(VLOOKUP($A47,FY16Rev0!$A$4:$F$24,6,FALSE))*VLOOKUP($A47,FY16ProjSCH!$A$3:$S$23,MATCH(P$28,FY16ProjSCH!$A$2:$S$2,0),FALSE)</f>
        <v>0</v>
      </c>
      <c r="Q47" s="329">
        <f>+GPpcntSCH*(VLOOKUP($A47,FY16Rev0!$A$4:$F$24,6,FALSE))*VLOOKUP($A47,FY16ProjSCH!$A$3:$S$23,MATCH(Q$28,FY16ProjSCH!$A$2:$S$2,0),FALSE)</f>
        <v>6606.1202527658852</v>
      </c>
      <c r="R47" s="329">
        <f>+GPpcntSCH*(VLOOKUP($A47,FY16Rev0!$A$4:$F$24,6,FALSE))*VLOOKUP($A47,FY16ProjSCH!$A$3:$S$23,MATCH(R$28,FY16ProjSCH!$A$2:$S$2,0),FALSE)</f>
        <v>0</v>
      </c>
      <c r="S47" s="329">
        <f>+GPpcntSCH*(VLOOKUP($A47,FY16Rev0!$A$4:$F$24,6,FALSE))*VLOOKUP($A47,FY16ProjSCH!$A$3:$S$23,MATCH(S$28,FY16ProjSCH!$A$2:$S$2,0),FALSE)</f>
        <v>0</v>
      </c>
      <c r="T47" s="330">
        <f t="shared" si="4"/>
        <v>2934631.2947859778</v>
      </c>
    </row>
    <row r="48" spans="1:91" s="209" customFormat="1" ht="17.100000000000001" customHeight="1" x14ac:dyDescent="0.25">
      <c r="A48" s="325" t="s">
        <v>160</v>
      </c>
      <c r="B48" s="326" t="s">
        <v>48</v>
      </c>
      <c r="C48" s="312">
        <f>+GPpcntSCH*(VLOOKUP($A48,FY16Rev0!$A$4:$F$24,6,FALSE))*VLOOKUP($A48,FY16ProjSCH!$A$3:$S$23,MATCH(C$28,FY16ProjSCH!$A$2:$S$2,0),FALSE)</f>
        <v>0</v>
      </c>
      <c r="D48" s="312">
        <f>+GPpcntSCH*(VLOOKUP($A48,FY16Rev0!$A$4:$F$24,6,FALSE))*VLOOKUP($A48,FY16ProjSCH!$A$3:$S$23,MATCH(D$28,FY16ProjSCH!$A$2:$S$2,0),FALSE)</f>
        <v>424.2316144530688</v>
      </c>
      <c r="E48" s="312">
        <f>+GPpcntSCH*(VLOOKUP($A48,FY16Rev0!$A$4:$F$24,6,FALSE))*VLOOKUP($A48,FY16ProjSCH!$A$3:$S$23,MATCH(E$28,FY16ProjSCH!$A$2:$S$2,0),FALSE)</f>
        <v>0</v>
      </c>
      <c r="F48" s="312">
        <f>+GPpcntSCH*(VLOOKUP($A48,FY16Rev0!$A$4:$F$24,6,FALSE))*VLOOKUP($A48,FY16ProjSCH!$A$3:$S$23,MATCH(F$28,FY16ProjSCH!$A$2:$S$2,0),FALSE)</f>
        <v>0</v>
      </c>
      <c r="G48" s="312">
        <f>+GPpcntSCH*(VLOOKUP($A48,FY16Rev0!$A$4:$F$24,6,FALSE))*VLOOKUP($A48,FY16ProjSCH!$A$3:$S$23,MATCH(G$28,FY16ProjSCH!$A$2:$S$2,0),FALSE)</f>
        <v>0</v>
      </c>
      <c r="H48" s="312">
        <f>+GPpcntSCH*(VLOOKUP($A48,FY16Rev0!$A$4:$F$24,6,FALSE))*VLOOKUP($A48,FY16ProjSCH!$A$3:$S$23,MATCH(H$28,FY16ProjSCH!$A$2:$S$2,0),FALSE)</f>
        <v>0</v>
      </c>
      <c r="I48" s="312">
        <f>+GPpcntSCH*(VLOOKUP($A48,FY16Rev0!$A$4:$F$24,6,FALSE))*VLOOKUP($A48,FY16ProjSCH!$A$3:$S$23,MATCH(I$28,FY16ProjSCH!$A$2:$S$2,0),FALSE)</f>
        <v>0</v>
      </c>
      <c r="J48" s="312">
        <f>+GPpcntSCH*(VLOOKUP($A48,FY16Rev0!$A$4:$F$24,6,FALSE))*VLOOKUP($A48,FY16ProjSCH!$A$3:$S$23,MATCH(J$28,FY16ProjSCH!$A$2:$S$2,0),FALSE)</f>
        <v>0</v>
      </c>
      <c r="K48" s="312">
        <f>+GPpcntSCH*(VLOOKUP($A48,FY16Rev0!$A$4:$F$24,6,FALSE))*VLOOKUP($A48,FY16ProjSCH!$A$3:$S$23,MATCH(K$28,FY16ProjSCH!$A$2:$S$2,0),FALSE)</f>
        <v>0</v>
      </c>
      <c r="L48" s="312">
        <f>+GPpcntSCH*(VLOOKUP($A48,FY16Rev0!$A$4:$F$24,6,FALSE))*VLOOKUP($A48,FY16ProjSCH!$A$3:$S$23,MATCH(L$28,FY16ProjSCH!$A$2:$S$2,0),FALSE)</f>
        <v>0</v>
      </c>
      <c r="M48" s="312">
        <f>+GPpcntSCH*(VLOOKUP($A48,FY16Rev0!$A$4:$F$24,6,FALSE))*VLOOKUP($A48,FY16ProjSCH!$A$3:$S$23,MATCH(M$28,FY16ProjSCH!$A$2:$S$2,0),FALSE)</f>
        <v>1008045.021209567</v>
      </c>
      <c r="N48" s="312">
        <f>+GPpcntSCH*(VLOOKUP($A48,FY16Rev0!$A$4:$F$24,6,FALSE))*VLOOKUP($A48,FY16ProjSCH!$A$3:$S$23,MATCH(N$28,FY16ProjSCH!$A$2:$S$2,0),FALSE)</f>
        <v>150107.28624731084</v>
      </c>
      <c r="O48" s="312">
        <f>+GPpcntSCH*(VLOOKUP($A48,FY16Rev0!$A$4:$F$24,6,FALSE))*VLOOKUP($A48,FY16ProjSCH!$A$3:$S$23,MATCH(O$28,FY16ProjSCH!$A$2:$S$2,0),FALSE)</f>
        <v>0</v>
      </c>
      <c r="P48" s="312">
        <f>+GPpcntSCH*(VLOOKUP($A48,FY16Rev0!$A$4:$F$24,6,FALSE))*VLOOKUP($A48,FY16ProjSCH!$A$3:$S$23,MATCH(P$28,FY16ProjSCH!$A$2:$S$2,0),FALSE)</f>
        <v>0</v>
      </c>
      <c r="Q48" s="312">
        <f>+GPpcntSCH*(VLOOKUP($A48,FY16Rev0!$A$4:$F$24,6,FALSE))*VLOOKUP($A48,FY16ProjSCH!$A$3:$S$23,MATCH(Q$28,FY16ProjSCH!$A$2:$S$2,0),FALSE)</f>
        <v>0</v>
      </c>
      <c r="R48" s="312">
        <f>+GPpcntSCH*(VLOOKUP($A48,FY16Rev0!$A$4:$F$24,6,FALSE))*VLOOKUP($A48,FY16ProjSCH!$A$3:$S$23,MATCH(R$28,FY16ProjSCH!$A$2:$S$2,0),FALSE)</f>
        <v>0</v>
      </c>
      <c r="S48" s="312">
        <f>+GPpcntSCH*(VLOOKUP($A48,FY16Rev0!$A$4:$F$24,6,FALSE))*VLOOKUP($A48,FY16ProjSCH!$A$3:$S$23,MATCH(S$28,FY16ProjSCH!$A$2:$S$2,0),FALSE)</f>
        <v>0</v>
      </c>
      <c r="T48" s="327">
        <f t="shared" si="4"/>
        <v>1158576.5390713308</v>
      </c>
    </row>
    <row r="49" spans="1:20" ht="17.100000000000001" customHeight="1" x14ac:dyDescent="0.25">
      <c r="A49" s="325" t="s">
        <v>161</v>
      </c>
      <c r="B49" s="332" t="s">
        <v>289</v>
      </c>
      <c r="C49" s="329">
        <f>+GPpcntSCH*(VLOOKUP($A49,FY16Rev0!$A$4:$F$24,6,FALSE))*VLOOKUP($A49,FY16ProjSCH!$A$3:$S$23,MATCH(C$28,FY16ProjSCH!$A$2:$S$2,0),FALSE)</f>
        <v>0</v>
      </c>
      <c r="D49" s="329">
        <f>+GPpcntSCH*(VLOOKUP($A49,FY16Rev0!$A$4:$F$24,6,FALSE))*VLOOKUP($A49,FY16ProjSCH!$A$3:$S$23,MATCH(D$28,FY16ProjSCH!$A$2:$S$2,0),FALSE)</f>
        <v>0</v>
      </c>
      <c r="E49" s="329">
        <f>+GPpcntSCH*(VLOOKUP($A49,FY16Rev0!$A$4:$F$24,6,FALSE))*VLOOKUP($A49,FY16ProjSCH!$A$3:$S$23,MATCH(E$28,FY16ProjSCH!$A$2:$S$2,0),FALSE)</f>
        <v>0</v>
      </c>
      <c r="F49" s="329">
        <f>+GPpcntSCH*(VLOOKUP($A49,FY16Rev0!$A$4:$F$24,6,FALSE))*VLOOKUP($A49,FY16ProjSCH!$A$3:$S$23,MATCH(F$28,FY16ProjSCH!$A$2:$S$2,0),FALSE)</f>
        <v>0</v>
      </c>
      <c r="G49" s="329">
        <f>+GPpcntSCH*(VLOOKUP($A49,FY16Rev0!$A$4:$F$24,6,FALSE))*VLOOKUP($A49,FY16ProjSCH!$A$3:$S$23,MATCH(G$28,FY16ProjSCH!$A$2:$S$2,0),FALSE)</f>
        <v>0</v>
      </c>
      <c r="H49" s="329">
        <f>+GPpcntSCH*(VLOOKUP($A49,FY16Rev0!$A$4:$F$24,6,FALSE))*VLOOKUP($A49,FY16ProjSCH!$A$3:$S$23,MATCH(H$28,FY16ProjSCH!$A$2:$S$2,0),FALSE)</f>
        <v>0</v>
      </c>
      <c r="I49" s="329">
        <f>+GPpcntSCH*(VLOOKUP($A49,FY16Rev0!$A$4:$F$24,6,FALSE))*VLOOKUP($A49,FY16ProjSCH!$A$3:$S$23,MATCH(I$28,FY16ProjSCH!$A$2:$S$2,0),FALSE)</f>
        <v>0</v>
      </c>
      <c r="J49" s="329">
        <f>+GPpcntSCH*(VLOOKUP($A49,FY16Rev0!$A$4:$F$24,6,FALSE))*VLOOKUP($A49,FY16ProjSCH!$A$3:$S$23,MATCH(J$28,FY16ProjSCH!$A$2:$S$2,0),FALSE)</f>
        <v>0</v>
      </c>
      <c r="K49" s="329">
        <f>+GPpcntSCH*(VLOOKUP($A49,FY16Rev0!$A$4:$F$24,6,FALSE))*VLOOKUP($A49,FY16ProjSCH!$A$3:$S$23,MATCH(K$28,FY16ProjSCH!$A$2:$S$2,0),FALSE)</f>
        <v>0</v>
      </c>
      <c r="L49" s="329">
        <f>+GPpcntSCH*(VLOOKUP($A49,FY16Rev0!$A$4:$F$24,6,FALSE))*VLOOKUP($A49,FY16ProjSCH!$A$3:$S$23,MATCH(L$28,FY16ProjSCH!$A$2:$S$2,0),FALSE)</f>
        <v>0</v>
      </c>
      <c r="M49" s="329">
        <f>+GPpcntSCH*(VLOOKUP($A49,FY16Rev0!$A$4:$F$24,6,FALSE))*VLOOKUP($A49,FY16ProjSCH!$A$3:$S$23,MATCH(M$28,FY16ProjSCH!$A$2:$S$2,0),FALSE)</f>
        <v>173225.21986330618</v>
      </c>
      <c r="N49" s="329">
        <f>+GPpcntSCH*(VLOOKUP($A49,FY16Rev0!$A$4:$F$24,6,FALSE))*VLOOKUP($A49,FY16ProjSCH!$A$3:$S$23,MATCH(N$28,FY16ProjSCH!$A$2:$S$2,0),FALSE)</f>
        <v>1821.9481053583984</v>
      </c>
      <c r="O49" s="329">
        <f>+GPpcntSCH*(VLOOKUP($A49,FY16Rev0!$A$4:$F$24,6,FALSE))*VLOOKUP($A49,FY16ProjSCH!$A$3:$S$23,MATCH(O$28,FY16ProjSCH!$A$2:$S$2,0),FALSE)</f>
        <v>0</v>
      </c>
      <c r="P49" s="329">
        <f>+GPpcntSCH*(VLOOKUP($A49,FY16Rev0!$A$4:$F$24,6,FALSE))*VLOOKUP($A49,FY16ProjSCH!$A$3:$S$23,MATCH(P$28,FY16ProjSCH!$A$2:$S$2,0),FALSE)</f>
        <v>0</v>
      </c>
      <c r="Q49" s="329">
        <f>+GPpcntSCH*(VLOOKUP($A49,FY16Rev0!$A$4:$F$24,6,FALSE))*VLOOKUP($A49,FY16ProjSCH!$A$3:$S$23,MATCH(Q$28,FY16ProjSCH!$A$2:$S$2,0),FALSE)</f>
        <v>840.89912555002991</v>
      </c>
      <c r="R49" s="329">
        <f>+GPpcntSCH*(VLOOKUP($A49,FY16Rev0!$A$4:$F$24,6,FALSE))*VLOOKUP($A49,FY16ProjSCH!$A$3:$S$23,MATCH(R$28,FY16ProjSCH!$A$2:$S$2,0),FALSE)</f>
        <v>0</v>
      </c>
      <c r="S49" s="329">
        <f>+GPpcntSCH*(VLOOKUP($A49,FY16Rev0!$A$4:$F$24,6,FALSE))*VLOOKUP($A49,FY16ProjSCH!$A$3:$S$23,MATCH(S$28,FY16ProjSCH!$A$2:$S$2,0),FALSE)</f>
        <v>0</v>
      </c>
      <c r="T49" s="333">
        <f t="shared" si="4"/>
        <v>175888.06709421461</v>
      </c>
    </row>
    <row r="50" spans="1:20" ht="17.100000000000001" customHeight="1" x14ac:dyDescent="0.25">
      <c r="A50" s="334"/>
      <c r="B50" s="335" t="s">
        <v>141</v>
      </c>
      <c r="C50" s="360">
        <f t="shared" ref="C50:S50" si="5">SUM(C29:C49)</f>
        <v>4633077.5612584185</v>
      </c>
      <c r="D50" s="336">
        <f t="shared" si="5"/>
        <v>112842955.25860687</v>
      </c>
      <c r="E50" s="336">
        <f t="shared" si="5"/>
        <v>11817708.338103225</v>
      </c>
      <c r="F50" s="336">
        <f t="shared" si="5"/>
        <v>3139326.3620507251</v>
      </c>
      <c r="G50" s="336">
        <f t="shared" si="5"/>
        <v>17734558.057596117</v>
      </c>
      <c r="H50" s="336">
        <f t="shared" si="5"/>
        <v>10338014.78162192</v>
      </c>
      <c r="I50" s="336">
        <f t="shared" si="5"/>
        <v>2376806.6780006285</v>
      </c>
      <c r="J50" s="336">
        <f t="shared" si="5"/>
        <v>2289758.2297550514</v>
      </c>
      <c r="K50" s="336">
        <f t="shared" si="5"/>
        <v>865794.1089979033</v>
      </c>
      <c r="L50" s="336">
        <f t="shared" si="5"/>
        <v>1163206.8316164815</v>
      </c>
      <c r="M50" s="336">
        <f t="shared" si="5"/>
        <v>1191942.1484957929</v>
      </c>
      <c r="N50" s="336">
        <f t="shared" si="5"/>
        <v>8662288.9317661822</v>
      </c>
      <c r="O50" s="336">
        <f t="shared" si="5"/>
        <v>1761350.0090004345</v>
      </c>
      <c r="P50" s="336">
        <f t="shared" si="5"/>
        <v>1331581.8134125306</v>
      </c>
      <c r="Q50" s="336">
        <f t="shared" si="5"/>
        <v>3594526.9079087581</v>
      </c>
      <c r="R50" s="336">
        <f t="shared" si="5"/>
        <v>2301253.6331704408</v>
      </c>
      <c r="S50" s="336">
        <f t="shared" si="5"/>
        <v>215369.52783221009</v>
      </c>
      <c r="T50" s="336">
        <f>SUM(C50:S50)</f>
        <v>186259519.17919368</v>
      </c>
    </row>
    <row r="51" spans="1:20" ht="17.100000000000001" customHeight="1" x14ac:dyDescent="0.25">
      <c r="B51" s="500" t="s">
        <v>298</v>
      </c>
      <c r="C51" s="500"/>
      <c r="D51" s="500"/>
      <c r="E51" s="500"/>
      <c r="F51" s="500"/>
      <c r="G51" s="500"/>
      <c r="H51" s="500"/>
      <c r="I51" s="500"/>
      <c r="J51" s="500"/>
      <c r="K51" s="500"/>
      <c r="L51" s="500"/>
      <c r="M51" s="500"/>
      <c r="N51" s="500"/>
      <c r="O51" s="500"/>
      <c r="P51" s="500"/>
      <c r="Q51" s="500"/>
      <c r="R51" s="500"/>
      <c r="S51" s="500"/>
      <c r="T51" s="500"/>
    </row>
    <row r="52" spans="1:20" ht="45" x14ac:dyDescent="0.25">
      <c r="B52" s="337"/>
      <c r="C52" s="338" t="s">
        <v>246</v>
      </c>
      <c r="D52" s="338" t="s">
        <v>248</v>
      </c>
      <c r="E52" s="338" t="s">
        <v>249</v>
      </c>
      <c r="F52" s="339" t="s">
        <v>250</v>
      </c>
      <c r="G52" s="338" t="s">
        <v>251</v>
      </c>
      <c r="H52" s="338" t="s">
        <v>252</v>
      </c>
      <c r="I52" s="338" t="s">
        <v>253</v>
      </c>
      <c r="J52" s="338" t="s">
        <v>254</v>
      </c>
      <c r="K52" s="338" t="s">
        <v>256</v>
      </c>
      <c r="L52" s="338" t="s">
        <v>258</v>
      </c>
      <c r="M52" s="338" t="s">
        <v>260</v>
      </c>
      <c r="N52" s="338" t="s">
        <v>262</v>
      </c>
      <c r="O52" s="338" t="s">
        <v>264</v>
      </c>
      <c r="P52" s="338" t="s">
        <v>265</v>
      </c>
      <c r="Q52" s="338" t="s">
        <v>267</v>
      </c>
      <c r="R52" s="338" t="s">
        <v>292</v>
      </c>
      <c r="S52" s="340" t="s">
        <v>293</v>
      </c>
      <c r="T52" s="341" t="s">
        <v>294</v>
      </c>
    </row>
    <row r="53" spans="1:20" ht="17.100000000000001" customHeight="1" x14ac:dyDescent="0.25">
      <c r="A53" s="321" t="s">
        <v>1</v>
      </c>
      <c r="B53" s="342" t="s">
        <v>2</v>
      </c>
      <c r="C53" s="343">
        <f>+UGpcntDeg*(VLOOKUP($A53,FY16Rev0!$A$4:$F$24,6,FALSE))*VLOOKUP($A53,FY16ProjMjrsActDegs!$A$3:$S$23,MATCH(C$28,FY16ProjMjrsActDegs!$A$2:$S$2,0),FALSE)</f>
        <v>1845326.6381543807</v>
      </c>
      <c r="D53" s="343">
        <f>+UGpcntDeg*(VLOOKUP($A53,FY16Rev0!$A$4:$F$24,6,FALSE))*VLOOKUP($A53,FY16ProjMjrsActDegs!$A$3:$S$23,MATCH(D$28,FY16ProjMjrsActDegs!$A$2:$S$2,0),FALSE)</f>
        <v>70018450.18574509</v>
      </c>
      <c r="E53" s="343">
        <f>+UGpcntDeg*(VLOOKUP($A53,FY16Rev0!$A$4:$F$24,6,FALSE))*VLOOKUP($A53,FY16ProjMjrsActDegs!$A$3:$S$23,MATCH(E$28,FY16ProjMjrsActDegs!$A$2:$S$2,0),FALSE)</f>
        <v>12124575.72815519</v>
      </c>
      <c r="F53" s="343">
        <f>+UGpcntDeg*(VLOOKUP($A53,FY16Rev0!$A$4:$F$24,6,FALSE))*VLOOKUP($A53,FY16ProjMjrsActDegs!$A$3:$S$23,MATCH(F$28,FY16ProjMjrsActDegs!$A$2:$S$2,0),FALSE)</f>
        <v>1975279.2183060977</v>
      </c>
      <c r="G53" s="343">
        <f>+UGpcntDeg*(VLOOKUP($A53,FY16Rev0!$A$4:$F$24,6,FALSE))*VLOOKUP($A53,FY16ProjMjrsActDegs!$A$3:$S$23,MATCH(G$28,FY16ProjMjrsActDegs!$A$2:$S$2,0),FALSE)</f>
        <v>12592405.016701372</v>
      </c>
      <c r="H53" s="343">
        <f>+UGpcntDeg*(VLOOKUP($A53,FY16Rev0!$A$4:$F$24,6,FALSE))*VLOOKUP($A53,FY16ProjMjrsActDegs!$A$3:$S$23,MATCH(H$28,FY16ProjMjrsActDegs!$A$2:$S$2,0),FALSE)</f>
        <v>3690653.2763087614</v>
      </c>
      <c r="I53" s="343">
        <f>+UGpcntDeg*(VLOOKUP($A53,FY16Rev0!$A$4:$F$24,6,FALSE))*VLOOKUP($A53,FY16ProjMjrsActDegs!$A$3:$S$23,MATCH(I$28,FY16ProjMjrsActDegs!$A$2:$S$2,0),FALSE)</f>
        <v>1624407.2518964617</v>
      </c>
      <c r="J53" s="343">
        <f>+UGpcntDeg*(VLOOKUP($A53,FY16Rev0!$A$4:$F$24,6,FALSE))*VLOOKUP($A53,FY16ProjMjrsActDegs!$A$3:$S$23,MATCH(J$28,FY16ProjMjrsActDegs!$A$2:$S$2,0),FALSE)</f>
        <v>0</v>
      </c>
      <c r="K53" s="343">
        <f>+UGpcntDeg*(VLOOKUP($A53,FY16Rev0!$A$4:$F$24,6,FALSE))*VLOOKUP($A53,FY16ProjMjrsActDegs!$A$3:$S$23,MATCH(K$28,FY16ProjMjrsActDegs!$A$2:$S$2,0),FALSE)</f>
        <v>0</v>
      </c>
      <c r="L53" s="343">
        <f>+UGpcntDeg*(VLOOKUP($A53,FY16Rev0!$A$4:$F$24,6,FALSE))*VLOOKUP($A53,FY16ProjMjrsActDegs!$A$3:$S$23,MATCH(L$28,FY16ProjMjrsActDegs!$A$2:$S$2,0),FALSE)</f>
        <v>519810.32060686778</v>
      </c>
      <c r="M53" s="343">
        <f>+UGpcntDeg*(VLOOKUP($A53,FY16Rev0!$A$4:$F$24,6,FALSE))*VLOOKUP($A53,FY16ProjMjrsActDegs!$A$3:$S$23,MATCH(M$28,FY16ProjMjrsActDegs!$A$2:$S$2,0),FALSE)</f>
        <v>0</v>
      </c>
      <c r="N53" s="343">
        <f>+UGpcntDeg*(VLOOKUP($A53,FY16Rev0!$A$4:$F$24,6,FALSE))*VLOOKUP($A53,FY16ProjMjrsActDegs!$A$3:$S$23,MATCH(N$28,FY16ProjMjrsActDegs!$A$2:$S$2,0),FALSE)</f>
        <v>3222823.9877625802</v>
      </c>
      <c r="O53" s="343">
        <f>+UGpcntDeg*(VLOOKUP($A53,FY16Rev0!$A$4:$F$24,6,FALSE))*VLOOKUP($A53,FY16ProjMjrsActDegs!$A$3:$S$23,MATCH(O$28,FY16ProjMjrsActDegs!$A$2:$S$2,0),FALSE)</f>
        <v>1793345.606093694</v>
      </c>
      <c r="P53" s="343">
        <f>+UGpcntDeg*(VLOOKUP($A53,FY16Rev0!$A$4:$F$24,6,FALSE))*VLOOKUP($A53,FY16ProjMjrsActDegs!$A$3:$S$23,MATCH(P$28,FY16ProjMjrsActDegs!$A$2:$S$2,0),FALSE)</f>
        <v>0</v>
      </c>
      <c r="Q53" s="343">
        <f>+UGpcntDeg*(VLOOKUP($A53,FY16Rev0!$A$4:$F$24,6,FALSE))*VLOOKUP($A53,FY16ProjMjrsActDegs!$A$3:$S$23,MATCH(Q$28,FY16ProjMjrsActDegs!$A$2:$S$2,0),FALSE)</f>
        <v>2222189.1205943595</v>
      </c>
      <c r="R53" s="343">
        <f>+UGpcntDeg*(VLOOKUP($A53,FY16Rev0!$A$4:$F$24,6,FALSE))*VLOOKUP($A53,FY16ProjMjrsActDegs!$A$3:$S$23,MATCH(R$28,FY16ProjMjrsActDegs!$A$2:$S$2,0),FALSE)</f>
        <v>155943.09618206034</v>
      </c>
      <c r="S53" s="343">
        <f>+UGpcntDeg*(VLOOKUP($A53,FY16Rev0!$A$4:$F$24,6,FALSE))*VLOOKUP($A53,FY16ProjMjrsActDegs!$A$3:$S$23,MATCH(S$28,FY16ProjMjrsActDegs!$A$2:$S$2,0),FALSE)</f>
        <v>0</v>
      </c>
      <c r="T53" s="343">
        <f t="shared" ref="T53:T74" si="6">SUM(C53:Q53)+R53+S53</f>
        <v>111785209.44650692</v>
      </c>
    </row>
    <row r="54" spans="1:20" s="209" customFormat="1" ht="17.100000000000001" customHeight="1" x14ac:dyDescent="0.25">
      <c r="A54" s="325" t="s">
        <v>7</v>
      </c>
      <c r="B54" s="326" t="s">
        <v>9</v>
      </c>
      <c r="C54" s="312">
        <f>+GPpcntMjr*(VLOOKUP($A54,FY16Rev0!$A$4:$F$24,6,FALSE))*VLOOKUP($A54,FY16ProjMjrsActDegs!$A$3:$S$23,MATCH(C$28,FY16ProjMjrsActDegs!$A$2:$S$2,0),FALSE)</f>
        <v>66041.420420565919</v>
      </c>
      <c r="D54" s="312">
        <f>+GPpcntMjr*(VLOOKUP($A54,FY16Rev0!$A$4:$F$24,6,FALSE))*VLOOKUP($A54,FY16ProjMjrsActDegs!$A$3:$S$23,MATCH(D$28,FY16ProjMjrsActDegs!$A$2:$S$2,0),FALSE)</f>
        <v>6692956.3660704559</v>
      </c>
      <c r="E54" s="312">
        <f>+GPpcntMjr*(VLOOKUP($A54,FY16Rev0!$A$4:$F$24,6,FALSE))*VLOOKUP($A54,FY16ProjMjrsActDegs!$A$3:$S$23,MATCH(E$28,FY16ProjMjrsActDegs!$A$2:$S$2,0),FALSE)</f>
        <v>249363.29434661957</v>
      </c>
      <c r="F54" s="312">
        <f>+GPpcntMjr*(VLOOKUP($A54,FY16Rev0!$A$4:$F$24,6,FALSE))*VLOOKUP($A54,FY16ProjMjrsActDegs!$A$3:$S$23,MATCH(F$28,FY16ProjMjrsActDegs!$A$2:$S$2,0),FALSE)</f>
        <v>21634.258413633659</v>
      </c>
      <c r="G54" s="312">
        <f>+GPpcntMjr*(VLOOKUP($A54,FY16Rev0!$A$4:$F$24,6,FALSE))*VLOOKUP($A54,FY16ProjMjrsActDegs!$A$3:$S$23,MATCH(G$28,FY16ProjMjrsActDegs!$A$2:$S$2,0),FALSE)</f>
        <v>411050.90985903959</v>
      </c>
      <c r="H54" s="312">
        <f>+GPpcntMjr*(VLOOKUP($A54,FY16Rev0!$A$4:$F$24,6,FALSE))*VLOOKUP($A54,FY16ProjMjrsActDegs!$A$3:$S$23,MATCH(H$28,FY16ProjMjrsActDegs!$A$2:$S$2,0),FALSE)</f>
        <v>0</v>
      </c>
      <c r="I54" s="312">
        <f>+GPpcntMjr*(VLOOKUP($A54,FY16Rev0!$A$4:$F$24,6,FALSE))*VLOOKUP($A54,FY16ProjMjrsActDegs!$A$3:$S$23,MATCH(I$28,FY16ProjMjrsActDegs!$A$2:$S$2,0),FALSE)</f>
        <v>169658.13177007448</v>
      </c>
      <c r="J54" s="312">
        <f>+GPpcntMjr*(VLOOKUP($A54,FY16Rev0!$A$4:$F$24,6,FALSE))*VLOOKUP($A54,FY16ProjMjrsActDegs!$A$3:$S$23,MATCH(J$28,FY16ProjMjrsActDegs!$A$2:$S$2,0),FALSE)</f>
        <v>3415.9355389947887</v>
      </c>
      <c r="K54" s="312">
        <f>+GPpcntMjr*(VLOOKUP($A54,FY16Rev0!$A$4:$F$24,6,FALSE))*VLOOKUP($A54,FY16ProjMjrsActDegs!$A$3:$S$23,MATCH(K$28,FY16ProjMjrsActDegs!$A$2:$S$2,0),FALSE)</f>
        <v>59209.549342576327</v>
      </c>
      <c r="L54" s="312">
        <f>+GPpcntMjr*(VLOOKUP($A54,FY16Rev0!$A$4:$F$24,6,FALSE))*VLOOKUP($A54,FY16ProjMjrsActDegs!$A$3:$S$23,MATCH(L$28,FY16ProjMjrsActDegs!$A$2:$S$2,0),FALSE)</f>
        <v>1138.6451796649296</v>
      </c>
      <c r="M54" s="312">
        <f>+GPpcntMjr*(VLOOKUP($A54,FY16Rev0!$A$4:$F$24,6,FALSE))*VLOOKUP($A54,FY16ProjMjrsActDegs!$A$3:$S$23,MATCH(M$28,FY16ProjMjrsActDegs!$A$2:$S$2,0),FALSE)</f>
        <v>0</v>
      </c>
      <c r="N54" s="312">
        <f>+GPpcntMjr*(VLOOKUP($A54,FY16Rev0!$A$4:$F$24,6,FALSE))*VLOOKUP($A54,FY16ProjMjrsActDegs!$A$3:$S$23,MATCH(N$28,FY16ProjMjrsActDegs!$A$2:$S$2,0),FALSE)</f>
        <v>1456327.184791445</v>
      </c>
      <c r="O54" s="312">
        <f>+GPpcntMjr*(VLOOKUP($A54,FY16Rev0!$A$4:$F$24,6,FALSE))*VLOOKUP($A54,FY16ProjMjrsActDegs!$A$3:$S$23,MATCH(O$28,FY16ProjMjrsActDegs!$A$2:$S$2,0),FALSE)</f>
        <v>2277.2903593298593</v>
      </c>
      <c r="P54" s="312">
        <f>+GPpcntMjr*(VLOOKUP($A54,FY16Rev0!$A$4:$F$24,6,FALSE))*VLOOKUP($A54,FY16ProjMjrsActDegs!$A$3:$S$23,MATCH(P$28,FY16ProjMjrsActDegs!$A$2:$S$2,0),FALSE)</f>
        <v>236838.19737030531</v>
      </c>
      <c r="Q54" s="312">
        <f>+GPpcntMjr*(VLOOKUP($A54,FY16Rev0!$A$4:$F$24,6,FALSE))*VLOOKUP($A54,FY16ProjMjrsActDegs!$A$3:$S$23,MATCH(Q$28,FY16ProjMjrsActDegs!$A$2:$S$2,0),FALSE)</f>
        <v>2277.2903593298593</v>
      </c>
      <c r="R54" s="312">
        <f>+GPpcntMjr*(VLOOKUP($A54,FY16Rev0!$A$4:$F$24,6,FALSE))*VLOOKUP($A54,FY16ProjMjrsActDegs!$A$3:$S$23,MATCH(R$28,FY16ProjMjrsActDegs!$A$2:$S$2,0),FALSE)</f>
        <v>0</v>
      </c>
      <c r="S54" s="312">
        <f>+GPpcntMjr*(VLOOKUP($A54,FY16Rev0!$A$4:$F$24,6,FALSE))*VLOOKUP($A54,FY16ProjMjrsActDegs!$A$3:$S$23,MATCH(S$28,FY16ProjMjrsActDegs!$A$2:$S$2,0),FALSE)</f>
        <v>817547.23899941926</v>
      </c>
      <c r="T54" s="312">
        <f t="shared" si="6"/>
        <v>10189735.712821454</v>
      </c>
    </row>
    <row r="55" spans="1:20" ht="17.100000000000001" customHeight="1" x14ac:dyDescent="0.25">
      <c r="A55" s="325" t="s">
        <v>10</v>
      </c>
      <c r="B55" s="344" t="s">
        <v>11</v>
      </c>
      <c r="C55" s="345">
        <f>+GPpcntMjr*(VLOOKUP($A55,FY16Rev0!$A$4:$F$24,6,FALSE))*VLOOKUP($A55,FY16ProjMjrsActDegs!$A$3:$S$23,MATCH(C$28,FY16ProjMjrsActDegs!$A$2:$S$2,0),FALSE)</f>
        <v>0</v>
      </c>
      <c r="D55" s="345">
        <f>+GPpcntMjr*(VLOOKUP($A55,FY16Rev0!$A$4:$F$24,6,FALSE))*VLOOKUP($A55,FY16ProjMjrsActDegs!$A$3:$S$23,MATCH(D$28,FY16ProjMjrsActDegs!$A$2:$S$2,0),FALSE)</f>
        <v>0</v>
      </c>
      <c r="E55" s="345">
        <f>+GPpcntMjr*(VLOOKUP($A55,FY16Rev0!$A$4:$F$24,6,FALSE))*VLOOKUP($A55,FY16ProjMjrsActDegs!$A$3:$S$23,MATCH(E$28,FY16ProjMjrsActDegs!$A$2:$S$2,0),FALSE)</f>
        <v>0</v>
      </c>
      <c r="F55" s="345">
        <f>+GPpcntMjr*(VLOOKUP($A55,FY16Rev0!$A$4:$F$24,6,FALSE))*VLOOKUP($A55,FY16ProjMjrsActDegs!$A$3:$S$23,MATCH(F$28,FY16ProjMjrsActDegs!$A$2:$S$2,0),FALSE)</f>
        <v>0</v>
      </c>
      <c r="G55" s="345">
        <f>+GPpcntMjr*(VLOOKUP($A55,FY16Rev0!$A$4:$F$24,6,FALSE))*VLOOKUP($A55,FY16ProjMjrsActDegs!$A$3:$S$23,MATCH(G$28,FY16ProjMjrsActDegs!$A$2:$S$2,0),FALSE)</f>
        <v>0</v>
      </c>
      <c r="H55" s="345">
        <f>+GPpcntMjr*(VLOOKUP($A55,FY16Rev0!$A$4:$F$24,6,FALSE))*VLOOKUP($A55,FY16ProjMjrsActDegs!$A$3:$S$23,MATCH(H$28,FY16ProjMjrsActDegs!$A$2:$S$2,0),FALSE)</f>
        <v>0</v>
      </c>
      <c r="I55" s="345">
        <f>+GPpcntMjr*(VLOOKUP($A55,FY16Rev0!$A$4:$F$24,6,FALSE))*VLOOKUP($A55,FY16ProjMjrsActDegs!$A$3:$S$23,MATCH(I$28,FY16ProjMjrsActDegs!$A$2:$S$2,0),FALSE)</f>
        <v>0</v>
      </c>
      <c r="J55" s="345">
        <f>+GPpcntMjr*(VLOOKUP($A55,FY16Rev0!$A$4:$F$24,6,FALSE))*VLOOKUP($A55,FY16ProjMjrsActDegs!$A$3:$S$23,MATCH(J$28,FY16ProjMjrsActDegs!$A$2:$S$2,0),FALSE)</f>
        <v>0</v>
      </c>
      <c r="K55" s="345">
        <f>+GPpcntMjr*(VLOOKUP($A55,FY16Rev0!$A$4:$F$24,6,FALSE))*VLOOKUP($A55,FY16ProjMjrsActDegs!$A$3:$S$23,MATCH(K$28,FY16ProjMjrsActDegs!$A$2:$S$2,0),FALSE)</f>
        <v>0</v>
      </c>
      <c r="L55" s="345">
        <f>+GPpcntMjr*(VLOOKUP($A55,FY16Rev0!$A$4:$F$24,6,FALSE))*VLOOKUP($A55,FY16ProjMjrsActDegs!$A$3:$S$23,MATCH(L$28,FY16ProjMjrsActDegs!$A$2:$S$2,0),FALSE)</f>
        <v>236865.72925219394</v>
      </c>
      <c r="M55" s="345">
        <f>+GPpcntMjr*(VLOOKUP($A55,FY16Rev0!$A$4:$F$24,6,FALSE))*VLOOKUP($A55,FY16ProjMjrsActDegs!$A$3:$S$23,MATCH(M$28,FY16ProjMjrsActDegs!$A$2:$S$2,0),FALSE)</f>
        <v>0</v>
      </c>
      <c r="N55" s="345">
        <f>+GPpcntMjr*(VLOOKUP($A55,FY16Rev0!$A$4:$F$24,6,FALSE))*VLOOKUP($A55,FY16ProjMjrsActDegs!$A$3:$S$23,MATCH(N$28,FY16ProjMjrsActDegs!$A$2:$S$2,0),FALSE)</f>
        <v>720784.96105775156</v>
      </c>
      <c r="O55" s="345">
        <f>+GPpcntMjr*(VLOOKUP($A55,FY16Rev0!$A$4:$F$24,6,FALSE))*VLOOKUP($A55,FY16ProjMjrsActDegs!$A$3:$S$23,MATCH(O$28,FY16ProjMjrsActDegs!$A$2:$S$2,0),FALSE)</f>
        <v>0</v>
      </c>
      <c r="P55" s="345">
        <f>+GPpcntMjr*(VLOOKUP($A55,FY16Rev0!$A$4:$F$24,6,FALSE))*VLOOKUP($A55,FY16ProjMjrsActDegs!$A$3:$S$23,MATCH(P$28,FY16ProjMjrsActDegs!$A$2:$S$2,0),FALSE)</f>
        <v>0</v>
      </c>
      <c r="Q55" s="345">
        <f>+GPpcntMjr*(VLOOKUP($A55,FY16Rev0!$A$4:$F$24,6,FALSE))*VLOOKUP($A55,FY16ProjMjrsActDegs!$A$3:$S$23,MATCH(Q$28,FY16ProjMjrsActDegs!$A$2:$S$2,0),FALSE)</f>
        <v>0</v>
      </c>
      <c r="R55" s="345">
        <f>+GPpcntMjr*(VLOOKUP($A55,FY16Rev0!$A$4:$F$24,6,FALSE))*VLOOKUP($A55,FY16ProjMjrsActDegs!$A$3:$S$23,MATCH(R$28,FY16ProjMjrsActDegs!$A$2:$S$2,0),FALSE)</f>
        <v>0</v>
      </c>
      <c r="S55" s="345">
        <f>+GPpcntMjr*(VLOOKUP($A55,FY16Rev0!$A$4:$F$24,6,FALSE))*VLOOKUP($A55,FY16ProjMjrsActDegs!$A$3:$S$23,MATCH(S$28,FY16ProjMjrsActDegs!$A$2:$S$2,0),FALSE)</f>
        <v>0</v>
      </c>
      <c r="T55" s="345">
        <f t="shared" si="6"/>
        <v>957650.69030994549</v>
      </c>
    </row>
    <row r="56" spans="1:20" s="209" customFormat="1" ht="17.100000000000001" customHeight="1" x14ac:dyDescent="0.25">
      <c r="A56" s="325" t="s">
        <v>12</v>
      </c>
      <c r="B56" s="326" t="s">
        <v>14</v>
      </c>
      <c r="C56" s="312">
        <f>+GPpcntMjr*(VLOOKUP($A56,FY16Rev0!$A$4:$F$24,6,FALSE))*VLOOKUP($A56,FY16ProjMjrsActDegs!$A$3:$S$23,MATCH(C$28,FY16ProjMjrsActDegs!$A$2:$S$2,0),FALSE)</f>
        <v>1948.2897267849096</v>
      </c>
      <c r="D56" s="312">
        <f>+GPpcntMjr*(VLOOKUP($A56,FY16Rev0!$A$4:$F$24,6,FALSE))*VLOOKUP($A56,FY16ProjMjrsActDegs!$A$3:$S$23,MATCH(D$28,FY16ProjMjrsActDegs!$A$2:$S$2,0),FALSE)</f>
        <v>50655.532896407647</v>
      </c>
      <c r="E56" s="312">
        <f>+GPpcntMjr*(VLOOKUP($A56,FY16Rev0!$A$4:$F$24,6,FALSE))*VLOOKUP($A56,FY16ProjMjrsActDegs!$A$3:$S$23,MATCH(E$28,FY16ProjMjrsActDegs!$A$2:$S$2,0),FALSE)</f>
        <v>13638.028087494367</v>
      </c>
      <c r="F56" s="312">
        <f>+GPpcntMjr*(VLOOKUP($A56,FY16Rev0!$A$4:$F$24,6,FALSE))*VLOOKUP($A56,FY16ProjMjrsActDegs!$A$3:$S$23,MATCH(F$28,FY16ProjMjrsActDegs!$A$2:$S$2,0),FALSE)</f>
        <v>11689.738360709458</v>
      </c>
      <c r="G56" s="312">
        <f>+GPpcntMjr*(VLOOKUP($A56,FY16Rev0!$A$4:$F$24,6,FALSE))*VLOOKUP($A56,FY16ProjMjrsActDegs!$A$3:$S$23,MATCH(G$28,FY16ProjMjrsActDegs!$A$2:$S$2,0),FALSE)</f>
        <v>5825386.2830868782</v>
      </c>
      <c r="H56" s="312">
        <f>+GPpcntMjr*(VLOOKUP($A56,FY16Rev0!$A$4:$F$24,6,FALSE))*VLOOKUP($A56,FY16ProjMjrsActDegs!$A$3:$S$23,MATCH(H$28,FY16ProjMjrsActDegs!$A$2:$S$2,0),FALSE)</f>
        <v>3896.5794535698192</v>
      </c>
      <c r="I56" s="312">
        <f>+GPpcntMjr*(VLOOKUP($A56,FY16Rev0!$A$4:$F$24,6,FALSE))*VLOOKUP($A56,FY16ProjMjrsActDegs!$A$3:$S$23,MATCH(I$28,FY16ProjMjrsActDegs!$A$2:$S$2,0),FALSE)</f>
        <v>0</v>
      </c>
      <c r="J56" s="312">
        <f>+GPpcntMjr*(VLOOKUP($A56,FY16Rev0!$A$4:$F$24,6,FALSE))*VLOOKUP($A56,FY16ProjMjrsActDegs!$A$3:$S$23,MATCH(J$28,FY16ProjMjrsActDegs!$A$2:$S$2,0),FALSE)</f>
        <v>17534.607541064186</v>
      </c>
      <c r="K56" s="312">
        <f>+GPpcntMjr*(VLOOKUP($A56,FY16Rev0!$A$4:$F$24,6,FALSE))*VLOOKUP($A56,FY16ProjMjrsActDegs!$A$3:$S$23,MATCH(K$28,FY16ProjMjrsActDegs!$A$2:$S$2,0),FALSE)</f>
        <v>0</v>
      </c>
      <c r="L56" s="312">
        <f>+GPpcntMjr*(VLOOKUP($A56,FY16Rev0!$A$4:$F$24,6,FALSE))*VLOOKUP($A56,FY16ProjMjrsActDegs!$A$3:$S$23,MATCH(L$28,FY16ProjMjrsActDegs!$A$2:$S$2,0),FALSE)</f>
        <v>0</v>
      </c>
      <c r="M56" s="312">
        <f>+GPpcntMjr*(VLOOKUP($A56,FY16Rev0!$A$4:$F$24,6,FALSE))*VLOOKUP($A56,FY16ProjMjrsActDegs!$A$3:$S$23,MATCH(M$28,FY16ProjMjrsActDegs!$A$2:$S$2,0),FALSE)</f>
        <v>0</v>
      </c>
      <c r="N56" s="312">
        <f>+GPpcntMjr*(VLOOKUP($A56,FY16Rev0!$A$4:$F$24,6,FALSE))*VLOOKUP($A56,FY16ProjMjrsActDegs!$A$3:$S$23,MATCH(N$28,FY16ProjMjrsActDegs!$A$2:$S$2,0),FALSE)</f>
        <v>89621.327432105842</v>
      </c>
      <c r="O56" s="312">
        <f>+GPpcntMjr*(VLOOKUP($A56,FY16Rev0!$A$4:$F$24,6,FALSE))*VLOOKUP($A56,FY16ProjMjrsActDegs!$A$3:$S$23,MATCH(O$28,FY16ProjMjrsActDegs!$A$2:$S$2,0),FALSE)</f>
        <v>379916.49672305735</v>
      </c>
      <c r="P56" s="312">
        <f>+GPpcntMjr*(VLOOKUP($A56,FY16Rev0!$A$4:$F$24,6,FALSE))*VLOOKUP($A56,FY16ProjMjrsActDegs!$A$3:$S$23,MATCH(P$28,FY16ProjMjrsActDegs!$A$2:$S$2,0),FALSE)</f>
        <v>0</v>
      </c>
      <c r="Q56" s="312">
        <f>+GPpcntMjr*(VLOOKUP($A56,FY16Rev0!$A$4:$F$24,6,FALSE))*VLOOKUP($A56,FY16ProjMjrsActDegs!$A$3:$S$23,MATCH(Q$28,FY16ProjMjrsActDegs!$A$2:$S$2,0),FALSE)</f>
        <v>77931.589071396389</v>
      </c>
      <c r="R56" s="312">
        <f>+GPpcntMjr*(VLOOKUP($A56,FY16Rev0!$A$4:$F$24,6,FALSE))*VLOOKUP($A56,FY16ProjMjrsActDegs!$A$3:$S$23,MATCH(R$28,FY16ProjMjrsActDegs!$A$2:$S$2,0),FALSE)</f>
        <v>0</v>
      </c>
      <c r="S56" s="312">
        <f>+GPpcntMjr*(VLOOKUP($A56,FY16Rev0!$A$4:$F$24,6,FALSE))*VLOOKUP($A56,FY16ProjMjrsActDegs!$A$3:$S$23,MATCH(S$28,FY16ProjMjrsActDegs!$A$2:$S$2,0),FALSE)</f>
        <v>56500.402076762373</v>
      </c>
      <c r="T56" s="312">
        <f t="shared" si="6"/>
        <v>6528718.8744562315</v>
      </c>
    </row>
    <row r="57" spans="1:20" ht="17.100000000000001" customHeight="1" x14ac:dyDescent="0.25">
      <c r="A57" s="325" t="s">
        <v>15</v>
      </c>
      <c r="B57" s="344" t="s">
        <v>17</v>
      </c>
      <c r="C57" s="345">
        <f>+GPpcntMjr*(VLOOKUP($A57,FY16Rev0!$A$4:$F$24,6,FALSE))*VLOOKUP($A57,FY16ProjMjrsActDegs!$A$3:$S$23,MATCH(C$28,FY16ProjMjrsActDegs!$A$2:$S$2,0),FALSE)</f>
        <v>0</v>
      </c>
      <c r="D57" s="345">
        <f>+GPpcntMjr*(VLOOKUP($A57,FY16Rev0!$A$4:$F$24,6,FALSE))*VLOOKUP($A57,FY16ProjMjrsActDegs!$A$3:$S$23,MATCH(D$28,FY16ProjMjrsActDegs!$A$2:$S$2,0),FALSE)</f>
        <v>47525.885033558479</v>
      </c>
      <c r="E57" s="345">
        <f>+GPpcntMjr*(VLOOKUP($A57,FY16Rev0!$A$4:$F$24,6,FALSE))*VLOOKUP($A57,FY16ProjMjrsActDegs!$A$3:$S$23,MATCH(E$28,FY16ProjMjrsActDegs!$A$2:$S$2,0),FALSE)</f>
        <v>0</v>
      </c>
      <c r="F57" s="345">
        <f>+GPpcntMjr*(VLOOKUP($A57,FY16Rev0!$A$4:$F$24,6,FALSE))*VLOOKUP($A57,FY16ProjMjrsActDegs!$A$3:$S$23,MATCH(F$28,FY16ProjMjrsActDegs!$A$2:$S$2,0),FALSE)</f>
        <v>0</v>
      </c>
      <c r="G57" s="345">
        <f>+GPpcntMjr*(VLOOKUP($A57,FY16Rev0!$A$4:$F$24,6,FALSE))*VLOOKUP($A57,FY16ProjMjrsActDegs!$A$3:$S$23,MATCH(G$28,FY16ProjMjrsActDegs!$A$2:$S$2,0),FALSE)</f>
        <v>0</v>
      </c>
      <c r="H57" s="345">
        <f>+GPpcntMjr*(VLOOKUP($A57,FY16Rev0!$A$4:$F$24,6,FALSE))*VLOOKUP($A57,FY16ProjMjrsActDegs!$A$3:$S$23,MATCH(H$28,FY16ProjMjrsActDegs!$A$2:$S$2,0),FALSE)</f>
        <v>2634835.0662604817</v>
      </c>
      <c r="I57" s="345">
        <f>+GPpcntMjr*(VLOOKUP($A57,FY16Rev0!$A$4:$F$24,6,FALSE))*VLOOKUP($A57,FY16ProjMjrsActDegs!$A$3:$S$23,MATCH(I$28,FY16ProjMjrsActDegs!$A$2:$S$2,0),FALSE)</f>
        <v>0</v>
      </c>
      <c r="J57" s="345">
        <f>+GPpcntMjr*(VLOOKUP($A57,FY16Rev0!$A$4:$F$24,6,FALSE))*VLOOKUP($A57,FY16ProjMjrsActDegs!$A$3:$S$23,MATCH(J$28,FY16ProjMjrsActDegs!$A$2:$S$2,0),FALSE)</f>
        <v>0</v>
      </c>
      <c r="K57" s="345">
        <f>+GPpcntMjr*(VLOOKUP($A57,FY16Rev0!$A$4:$F$24,6,FALSE))*VLOOKUP($A57,FY16ProjMjrsActDegs!$A$3:$S$23,MATCH(K$28,FY16ProjMjrsActDegs!$A$2:$S$2,0),FALSE)</f>
        <v>0</v>
      </c>
      <c r="L57" s="345">
        <f>+GPpcntMjr*(VLOOKUP($A57,FY16Rev0!$A$4:$F$24,6,FALSE))*VLOOKUP($A57,FY16ProjMjrsActDegs!$A$3:$S$23,MATCH(L$28,FY16ProjMjrsActDegs!$A$2:$S$2,0),FALSE)</f>
        <v>0</v>
      </c>
      <c r="M57" s="345">
        <f>+GPpcntMjr*(VLOOKUP($A57,FY16Rev0!$A$4:$F$24,6,FALSE))*VLOOKUP($A57,FY16ProjMjrsActDegs!$A$3:$S$23,MATCH(M$28,FY16ProjMjrsActDegs!$A$2:$S$2,0),FALSE)</f>
        <v>0</v>
      </c>
      <c r="N57" s="345">
        <f>+GPpcntMjr*(VLOOKUP($A57,FY16Rev0!$A$4:$F$24,6,FALSE))*VLOOKUP($A57,FY16ProjMjrsActDegs!$A$3:$S$23,MATCH(N$28,FY16ProjMjrsActDegs!$A$2:$S$2,0),FALSE)</f>
        <v>0</v>
      </c>
      <c r="O57" s="345">
        <f>+GPpcntMjr*(VLOOKUP($A57,FY16Rev0!$A$4:$F$24,6,FALSE))*VLOOKUP($A57,FY16ProjMjrsActDegs!$A$3:$S$23,MATCH(O$28,FY16ProjMjrsActDegs!$A$2:$S$2,0),FALSE)</f>
        <v>0</v>
      </c>
      <c r="P57" s="345">
        <f>+GPpcntMjr*(VLOOKUP($A57,FY16Rev0!$A$4:$F$24,6,FALSE))*VLOOKUP($A57,FY16ProjMjrsActDegs!$A$3:$S$23,MATCH(P$28,FY16ProjMjrsActDegs!$A$2:$S$2,0),FALSE)</f>
        <v>0</v>
      </c>
      <c r="Q57" s="345">
        <f>+GPpcntMjr*(VLOOKUP($A57,FY16Rev0!$A$4:$F$24,6,FALSE))*VLOOKUP($A57,FY16ProjMjrsActDegs!$A$3:$S$23,MATCH(Q$28,FY16ProjMjrsActDegs!$A$2:$S$2,0),FALSE)</f>
        <v>0</v>
      </c>
      <c r="R57" s="345">
        <f>+GPpcntMjr*(VLOOKUP($A57,FY16Rev0!$A$4:$F$24,6,FALSE))*VLOOKUP($A57,FY16ProjMjrsActDegs!$A$3:$S$23,MATCH(R$28,FY16ProjMjrsActDegs!$A$2:$S$2,0),FALSE)</f>
        <v>0</v>
      </c>
      <c r="S57" s="345">
        <f>+GPpcntMjr*(VLOOKUP($A57,FY16Rev0!$A$4:$F$24,6,FALSE))*VLOOKUP($A57,FY16ProjMjrsActDegs!$A$3:$S$23,MATCH(S$28,FY16ProjMjrsActDegs!$A$2:$S$2,0),FALSE)</f>
        <v>0</v>
      </c>
      <c r="T57" s="345">
        <f t="shared" si="6"/>
        <v>2682360.9512940403</v>
      </c>
    </row>
    <row r="58" spans="1:20" s="209" customFormat="1" ht="17.100000000000001" customHeight="1" x14ac:dyDescent="0.25">
      <c r="A58" s="325" t="s">
        <v>18</v>
      </c>
      <c r="B58" s="326" t="s">
        <v>19</v>
      </c>
      <c r="C58" s="312">
        <f>+GPpcntMjr*(VLOOKUP($A58,FY16Rev0!$A$4:$F$24,6,FALSE))*VLOOKUP($A58,FY16ProjMjrsActDegs!$A$3:$S$23,MATCH(C$28,FY16ProjMjrsActDegs!$A$2:$S$2,0),FALSE)</f>
        <v>0</v>
      </c>
      <c r="D58" s="312">
        <f>+GPpcntMjr*(VLOOKUP($A58,FY16Rev0!$A$4:$F$24,6,FALSE))*VLOOKUP($A58,FY16ProjMjrsActDegs!$A$3:$S$23,MATCH(D$28,FY16ProjMjrsActDegs!$A$2:$S$2,0),FALSE)</f>
        <v>5826.6209292140884</v>
      </c>
      <c r="E58" s="312">
        <f>+GPpcntMjr*(VLOOKUP($A58,FY16Rev0!$A$4:$F$24,6,FALSE))*VLOOKUP($A58,FY16ProjMjrsActDegs!$A$3:$S$23,MATCH(E$28,FY16ProjMjrsActDegs!$A$2:$S$2,0),FALSE)</f>
        <v>0</v>
      </c>
      <c r="F58" s="312">
        <f>+GPpcntMjr*(VLOOKUP($A58,FY16Rev0!$A$4:$F$24,6,FALSE))*VLOOKUP($A58,FY16ProjMjrsActDegs!$A$3:$S$23,MATCH(F$28,FY16ProjMjrsActDegs!$A$2:$S$2,0),FALSE)</f>
        <v>3365844.6901093386</v>
      </c>
      <c r="G58" s="312">
        <f>+GPpcntMjr*(VLOOKUP($A58,FY16Rev0!$A$4:$F$24,6,FALSE))*VLOOKUP($A58,FY16ProjMjrsActDegs!$A$3:$S$23,MATCH(G$28,FY16ProjMjrsActDegs!$A$2:$S$2,0),FALSE)</f>
        <v>0</v>
      </c>
      <c r="H58" s="312">
        <f>+GPpcntMjr*(VLOOKUP($A58,FY16Rev0!$A$4:$F$24,6,FALSE))*VLOOKUP($A58,FY16ProjMjrsActDegs!$A$3:$S$23,MATCH(H$28,FY16ProjMjrsActDegs!$A$2:$S$2,0),FALSE)</f>
        <v>0</v>
      </c>
      <c r="I58" s="312">
        <f>+GPpcntMjr*(VLOOKUP($A58,FY16Rev0!$A$4:$F$24,6,FALSE))*VLOOKUP($A58,FY16ProjMjrsActDegs!$A$3:$S$23,MATCH(I$28,FY16ProjMjrsActDegs!$A$2:$S$2,0),FALSE)</f>
        <v>0</v>
      </c>
      <c r="J58" s="312">
        <f>+GPpcntMjr*(VLOOKUP($A58,FY16Rev0!$A$4:$F$24,6,FALSE))*VLOOKUP($A58,FY16ProjMjrsActDegs!$A$3:$S$23,MATCH(J$28,FY16ProjMjrsActDegs!$A$2:$S$2,0),FALSE)</f>
        <v>0</v>
      </c>
      <c r="K58" s="312">
        <f>+GPpcntMjr*(VLOOKUP($A58,FY16Rev0!$A$4:$F$24,6,FALSE))*VLOOKUP($A58,FY16ProjMjrsActDegs!$A$3:$S$23,MATCH(K$28,FY16ProjMjrsActDegs!$A$2:$S$2,0),FALSE)</f>
        <v>0</v>
      </c>
      <c r="L58" s="312">
        <f>+GPpcntMjr*(VLOOKUP($A58,FY16Rev0!$A$4:$F$24,6,FALSE))*VLOOKUP($A58,FY16ProjMjrsActDegs!$A$3:$S$23,MATCH(L$28,FY16ProjMjrsActDegs!$A$2:$S$2,0),FALSE)</f>
        <v>0</v>
      </c>
      <c r="M58" s="312">
        <f>+GPpcntMjr*(VLOOKUP($A58,FY16Rev0!$A$4:$F$24,6,FALSE))*VLOOKUP($A58,FY16ProjMjrsActDegs!$A$3:$S$23,MATCH(M$28,FY16ProjMjrsActDegs!$A$2:$S$2,0),FALSE)</f>
        <v>0</v>
      </c>
      <c r="N58" s="312">
        <f>+GPpcntMjr*(VLOOKUP($A58,FY16Rev0!$A$4:$F$24,6,FALSE))*VLOOKUP($A58,FY16ProjMjrsActDegs!$A$3:$S$23,MATCH(N$28,FY16ProjMjrsActDegs!$A$2:$S$2,0),FALSE)</f>
        <v>0</v>
      </c>
      <c r="O58" s="312">
        <f>+GPpcntMjr*(VLOOKUP($A58,FY16Rev0!$A$4:$F$24,6,FALSE))*VLOOKUP($A58,FY16ProjMjrsActDegs!$A$3:$S$23,MATCH(O$28,FY16ProjMjrsActDegs!$A$2:$S$2,0),FALSE)</f>
        <v>0</v>
      </c>
      <c r="P58" s="312">
        <f>+GPpcntMjr*(VLOOKUP($A58,FY16Rev0!$A$4:$F$24,6,FALSE))*VLOOKUP($A58,FY16ProjMjrsActDegs!$A$3:$S$23,MATCH(P$28,FY16ProjMjrsActDegs!$A$2:$S$2,0),FALSE)</f>
        <v>0</v>
      </c>
      <c r="Q58" s="312">
        <f>+GPpcntMjr*(VLOOKUP($A58,FY16Rev0!$A$4:$F$24,6,FALSE))*VLOOKUP($A58,FY16ProjMjrsActDegs!$A$3:$S$23,MATCH(Q$28,FY16ProjMjrsActDegs!$A$2:$S$2,0),FALSE)</f>
        <v>0</v>
      </c>
      <c r="R58" s="312">
        <f>+GPpcntMjr*(VLOOKUP($A58,FY16Rev0!$A$4:$F$24,6,FALSE))*VLOOKUP($A58,FY16ProjMjrsActDegs!$A$3:$S$23,MATCH(R$28,FY16ProjMjrsActDegs!$A$2:$S$2,0),FALSE)</f>
        <v>0</v>
      </c>
      <c r="S58" s="312">
        <f>+GPpcntMjr*(VLOOKUP($A58,FY16Rev0!$A$4:$F$24,6,FALSE))*VLOOKUP($A58,FY16ProjMjrsActDegs!$A$3:$S$23,MATCH(S$28,FY16ProjMjrsActDegs!$A$2:$S$2,0),FALSE)</f>
        <v>0</v>
      </c>
      <c r="T58" s="312">
        <f t="shared" si="6"/>
        <v>3371671.3110385528</v>
      </c>
    </row>
    <row r="59" spans="1:20" s="209" customFormat="1" ht="17.100000000000001" customHeight="1" x14ac:dyDescent="0.25">
      <c r="A59" s="325"/>
      <c r="B59" s="326"/>
      <c r="C59" s="312">
        <v>0</v>
      </c>
      <c r="D59" s="312">
        <v>0</v>
      </c>
      <c r="E59" s="312">
        <v>0</v>
      </c>
      <c r="F59" s="312">
        <v>0</v>
      </c>
      <c r="G59" s="312">
        <v>0</v>
      </c>
      <c r="H59" s="312">
        <v>0</v>
      </c>
      <c r="I59" s="312">
        <v>0</v>
      </c>
      <c r="J59" s="312">
        <v>0</v>
      </c>
      <c r="K59" s="312">
        <v>0</v>
      </c>
      <c r="L59" s="312">
        <v>0</v>
      </c>
      <c r="M59" s="312">
        <v>0</v>
      </c>
      <c r="N59" s="312">
        <v>0</v>
      </c>
      <c r="O59" s="312">
        <v>0</v>
      </c>
      <c r="P59" s="312">
        <v>0</v>
      </c>
      <c r="Q59" s="312">
        <v>0</v>
      </c>
      <c r="R59" s="312">
        <v>0</v>
      </c>
      <c r="S59" s="312">
        <v>0</v>
      </c>
      <c r="T59" s="312"/>
    </row>
    <row r="60" spans="1:20" s="209" customFormat="1" ht="17.100000000000001" customHeight="1" x14ac:dyDescent="0.25">
      <c r="A60" s="325" t="s">
        <v>21</v>
      </c>
      <c r="B60" s="326" t="s">
        <v>22</v>
      </c>
      <c r="C60" s="312">
        <f>+GPpcntMjr*(VLOOKUP($A60,FY16Rev0!$A$4:$F$24,6,FALSE))*VLOOKUP($A60,FY16ProjMjrsActDegs!$A$3:$S$23,MATCH(C$28,FY16ProjMjrsActDegs!$A$2:$S$2,0),FALSE)</f>
        <v>0</v>
      </c>
      <c r="D60" s="312">
        <f>+GPpcntMjr*(VLOOKUP($A60,FY16Rev0!$A$4:$F$24,6,FALSE))*VLOOKUP($A60,FY16ProjMjrsActDegs!$A$3:$S$23,MATCH(D$28,FY16ProjMjrsActDegs!$A$2:$S$2,0),FALSE)</f>
        <v>0</v>
      </c>
      <c r="E60" s="312">
        <f>+GPpcntMjr*(VLOOKUP($A60,FY16Rev0!$A$4:$F$24,6,FALSE))*VLOOKUP($A60,FY16ProjMjrsActDegs!$A$3:$S$23,MATCH(E$28,FY16ProjMjrsActDegs!$A$2:$S$2,0),FALSE)</f>
        <v>0</v>
      </c>
      <c r="F60" s="312">
        <f>+GPpcntMjr*(VLOOKUP($A60,FY16Rev0!$A$4:$F$24,6,FALSE))*VLOOKUP($A60,FY16ProjMjrsActDegs!$A$3:$S$23,MATCH(F$28,FY16ProjMjrsActDegs!$A$2:$S$2,0),FALSE)</f>
        <v>9023.34705478666</v>
      </c>
      <c r="G60" s="312">
        <f>+GPpcntMjr*(VLOOKUP($A60,FY16Rev0!$A$4:$F$24,6,FALSE))*VLOOKUP($A60,FY16ProjMjrsActDegs!$A$3:$S$23,MATCH(G$28,FY16ProjMjrsActDegs!$A$2:$S$2,0),FALSE)</f>
        <v>0</v>
      </c>
      <c r="H60" s="312">
        <f>+GPpcntMjr*(VLOOKUP($A60,FY16Rev0!$A$4:$F$24,6,FALSE))*VLOOKUP($A60,FY16ProjMjrsActDegs!$A$3:$S$23,MATCH(H$28,FY16ProjMjrsActDegs!$A$2:$S$2,0),FALSE)</f>
        <v>0</v>
      </c>
      <c r="I60" s="312">
        <f>+GPpcntMjr*(VLOOKUP($A60,FY16Rev0!$A$4:$F$24,6,FALSE))*VLOOKUP($A60,FY16ProjMjrsActDegs!$A$3:$S$23,MATCH(I$28,FY16ProjMjrsActDegs!$A$2:$S$2,0),FALSE)</f>
        <v>0</v>
      </c>
      <c r="J60" s="312">
        <f>+GPpcntMjr*(VLOOKUP($A60,FY16Rev0!$A$4:$F$24,6,FALSE))*VLOOKUP($A60,FY16ProjMjrsActDegs!$A$3:$S$23,MATCH(J$28,FY16ProjMjrsActDegs!$A$2:$S$2,0),FALSE)</f>
        <v>0</v>
      </c>
      <c r="K60" s="312">
        <f>+GPpcntMjr*(VLOOKUP($A60,FY16Rev0!$A$4:$F$24,6,FALSE))*VLOOKUP($A60,FY16ProjMjrsActDegs!$A$3:$S$23,MATCH(K$28,FY16ProjMjrsActDegs!$A$2:$S$2,0),FALSE)</f>
        <v>0</v>
      </c>
      <c r="L60" s="312">
        <f>+GPpcntMjr*(VLOOKUP($A60,FY16Rev0!$A$4:$F$24,6,FALSE))*VLOOKUP($A60,FY16ProjMjrsActDegs!$A$3:$S$23,MATCH(L$28,FY16ProjMjrsActDegs!$A$2:$S$2,0),FALSE)</f>
        <v>2349078.0165961268</v>
      </c>
      <c r="M60" s="312">
        <f>+GPpcntMjr*(VLOOKUP($A60,FY16Rev0!$A$4:$F$24,6,FALSE))*VLOOKUP($A60,FY16ProjMjrsActDegs!$A$3:$S$23,MATCH(M$28,FY16ProjMjrsActDegs!$A$2:$S$2,0),FALSE)</f>
        <v>0</v>
      </c>
      <c r="N60" s="312">
        <f>+GPpcntMjr*(VLOOKUP($A60,FY16Rev0!$A$4:$F$24,6,FALSE))*VLOOKUP($A60,FY16ProjMjrsActDegs!$A$3:$S$23,MATCH(N$28,FY16ProjMjrsActDegs!$A$2:$S$2,0),FALSE)</f>
        <v>12031.129406382213</v>
      </c>
      <c r="O60" s="312">
        <f>+GPpcntMjr*(VLOOKUP($A60,FY16Rev0!$A$4:$F$24,6,FALSE))*VLOOKUP($A60,FY16ProjMjrsActDegs!$A$3:$S$23,MATCH(O$28,FY16ProjMjrsActDegs!$A$2:$S$2,0),FALSE)</f>
        <v>0</v>
      </c>
      <c r="P60" s="312">
        <f>+GPpcntMjr*(VLOOKUP($A60,FY16Rev0!$A$4:$F$24,6,FALSE))*VLOOKUP($A60,FY16ProjMjrsActDegs!$A$3:$S$23,MATCH(P$28,FY16ProjMjrsActDegs!$A$2:$S$2,0),FALSE)</f>
        <v>0</v>
      </c>
      <c r="Q60" s="312">
        <f>+GPpcntMjr*(VLOOKUP($A60,FY16Rev0!$A$4:$F$24,6,FALSE))*VLOOKUP($A60,FY16ProjMjrsActDegs!$A$3:$S$23,MATCH(Q$28,FY16ProjMjrsActDegs!$A$2:$S$2,0),FALSE)</f>
        <v>75194.558789888833</v>
      </c>
      <c r="R60" s="312">
        <f>+GPpcntMjr*(VLOOKUP($A60,FY16Rev0!$A$4:$F$24,6,FALSE))*VLOOKUP($A60,FY16ProjMjrsActDegs!$A$3:$S$23,MATCH(R$28,FY16ProjMjrsActDegs!$A$2:$S$2,0),FALSE)</f>
        <v>0</v>
      </c>
      <c r="S60" s="312">
        <f>+GPpcntMjr*(VLOOKUP($A60,FY16Rev0!$A$4:$F$24,6,FALSE))*VLOOKUP($A60,FY16ProjMjrsActDegs!$A$3:$S$23,MATCH(S$28,FY16ProjMjrsActDegs!$A$2:$S$2,0),FALSE)</f>
        <v>18046.69410957332</v>
      </c>
      <c r="T60" s="312">
        <f t="shared" si="6"/>
        <v>2463373.745956758</v>
      </c>
    </row>
    <row r="61" spans="1:20" ht="17.100000000000001" customHeight="1" x14ac:dyDescent="0.25">
      <c r="A61" s="325" t="s">
        <v>23</v>
      </c>
      <c r="B61" s="344" t="s">
        <v>25</v>
      </c>
      <c r="C61" s="345">
        <f>+GPpcntMjr*(VLOOKUP($A61,FY16Rev0!$A$4:$F$24,6,FALSE))*VLOOKUP($A61,FY16ProjMjrsActDegs!$A$3:$S$23,MATCH(C$28,FY16ProjMjrsActDegs!$A$2:$S$2,0),FALSE)</f>
        <v>0</v>
      </c>
      <c r="D61" s="345">
        <f>+GPpcntMjr*(VLOOKUP($A61,FY16Rev0!$A$4:$F$24,6,FALSE))*VLOOKUP($A61,FY16ProjMjrsActDegs!$A$3:$S$23,MATCH(D$28,FY16ProjMjrsActDegs!$A$2:$S$2,0),FALSE)</f>
        <v>0</v>
      </c>
      <c r="E61" s="345">
        <f>+GPpcntMjr*(VLOOKUP($A61,FY16Rev0!$A$4:$F$24,6,FALSE))*VLOOKUP($A61,FY16ProjMjrsActDegs!$A$3:$S$23,MATCH(E$28,FY16ProjMjrsActDegs!$A$2:$S$2,0),FALSE)</f>
        <v>0</v>
      </c>
      <c r="F61" s="345">
        <f>+GPpcntMjr*(VLOOKUP($A61,FY16Rev0!$A$4:$F$24,6,FALSE))*VLOOKUP($A61,FY16ProjMjrsActDegs!$A$3:$S$23,MATCH(F$28,FY16ProjMjrsActDegs!$A$2:$S$2,0),FALSE)</f>
        <v>0</v>
      </c>
      <c r="G61" s="345">
        <f>+GPpcntMjr*(VLOOKUP($A61,FY16Rev0!$A$4:$F$24,6,FALSE))*VLOOKUP($A61,FY16ProjMjrsActDegs!$A$3:$S$23,MATCH(G$28,FY16ProjMjrsActDegs!$A$2:$S$2,0),FALSE)</f>
        <v>0</v>
      </c>
      <c r="H61" s="345">
        <f>+GPpcntMjr*(VLOOKUP($A61,FY16Rev0!$A$4:$F$24,6,FALSE))*VLOOKUP($A61,FY16ProjMjrsActDegs!$A$3:$S$23,MATCH(H$28,FY16ProjMjrsActDegs!$A$2:$S$2,0),FALSE)</f>
        <v>0</v>
      </c>
      <c r="I61" s="345">
        <f>+GPpcntMjr*(VLOOKUP($A61,FY16Rev0!$A$4:$F$24,6,FALSE))*VLOOKUP($A61,FY16ProjMjrsActDegs!$A$3:$S$23,MATCH(I$28,FY16ProjMjrsActDegs!$A$2:$S$2,0),FALSE)</f>
        <v>0</v>
      </c>
      <c r="J61" s="345">
        <f>+GPpcntMjr*(VLOOKUP($A61,FY16Rev0!$A$4:$F$24,6,FALSE))*VLOOKUP($A61,FY16ProjMjrsActDegs!$A$3:$S$23,MATCH(J$28,FY16ProjMjrsActDegs!$A$2:$S$2,0),FALSE)</f>
        <v>0</v>
      </c>
      <c r="K61" s="345">
        <f>+GPpcntMjr*(VLOOKUP($A61,FY16Rev0!$A$4:$F$24,6,FALSE))*VLOOKUP($A61,FY16ProjMjrsActDegs!$A$3:$S$23,MATCH(K$28,FY16ProjMjrsActDegs!$A$2:$S$2,0),FALSE)</f>
        <v>0</v>
      </c>
      <c r="L61" s="345">
        <f>+GPpcntMjr*(VLOOKUP($A61,FY16Rev0!$A$4:$F$24,6,FALSE))*VLOOKUP($A61,FY16ProjMjrsActDegs!$A$3:$S$23,MATCH(L$28,FY16ProjMjrsActDegs!$A$2:$S$2,0),FALSE)</f>
        <v>0</v>
      </c>
      <c r="M61" s="345">
        <f>+GPpcntMjr*(VLOOKUP($A61,FY16Rev0!$A$4:$F$24,6,FALSE))*VLOOKUP($A61,FY16ProjMjrsActDegs!$A$3:$S$23,MATCH(M$28,FY16ProjMjrsActDegs!$A$2:$S$2,0),FALSE)</f>
        <v>0</v>
      </c>
      <c r="N61" s="345">
        <f>+GPpcntMjr*(VLOOKUP($A61,FY16Rev0!$A$4:$F$24,6,FALSE))*VLOOKUP($A61,FY16ProjMjrsActDegs!$A$3:$S$23,MATCH(N$28,FY16ProjMjrsActDegs!$A$2:$S$2,0),FALSE)</f>
        <v>18012.945105215</v>
      </c>
      <c r="O61" s="345">
        <f>+GPpcntMjr*(VLOOKUP($A61,FY16Rev0!$A$4:$F$24,6,FALSE))*VLOOKUP($A61,FY16ProjMjrsActDegs!$A$3:$S$23,MATCH(O$28,FY16ProjMjrsActDegs!$A$2:$S$2,0),FALSE)</f>
        <v>0</v>
      </c>
      <c r="P61" s="345">
        <f>+GPpcntMjr*(VLOOKUP($A61,FY16Rev0!$A$4:$F$24,6,FALSE))*VLOOKUP($A61,FY16ProjMjrsActDegs!$A$3:$S$23,MATCH(P$28,FY16ProjMjrsActDegs!$A$2:$S$2,0),FALSE)</f>
        <v>0</v>
      </c>
      <c r="Q61" s="345">
        <f>+GPpcntMjr*(VLOOKUP($A61,FY16Rev0!$A$4:$F$24,6,FALSE))*VLOOKUP($A61,FY16ProjMjrsActDegs!$A$3:$S$23,MATCH(Q$28,FY16ProjMjrsActDegs!$A$2:$S$2,0),FALSE)</f>
        <v>1795290.195486428</v>
      </c>
      <c r="R61" s="345">
        <f>+GPpcntMjr*(VLOOKUP($A61,FY16Rev0!$A$4:$F$24,6,FALSE))*VLOOKUP($A61,FY16ProjMjrsActDegs!$A$3:$S$23,MATCH(R$28,FY16ProjMjrsActDegs!$A$2:$S$2,0),FALSE)</f>
        <v>0</v>
      </c>
      <c r="S61" s="345">
        <f>+GPpcntMjr*(VLOOKUP($A61,FY16Rev0!$A$4:$F$24,6,FALSE))*VLOOKUP($A61,FY16ProjMjrsActDegs!$A$3:$S$23,MATCH(S$28,FY16ProjMjrsActDegs!$A$2:$S$2,0),FALSE)</f>
        <v>0</v>
      </c>
      <c r="T61" s="345">
        <f t="shared" si="6"/>
        <v>1813303.1405916431</v>
      </c>
    </row>
    <row r="62" spans="1:20" s="209" customFormat="1" ht="17.100000000000001" customHeight="1" x14ac:dyDescent="0.25">
      <c r="A62" s="325" t="s">
        <v>26</v>
      </c>
      <c r="B62" s="326" t="s">
        <v>27</v>
      </c>
      <c r="C62" s="312">
        <f>+GPpcntMjr*(VLOOKUP($A62,FY16Rev0!$A$4:$F$24,6,FALSE))*VLOOKUP($A62,FY16ProjMjrsActDegs!$A$3:$S$23,MATCH(C$28,FY16ProjMjrsActDegs!$A$2:$S$2,0),FALSE)</f>
        <v>2367.7914450072994</v>
      </c>
      <c r="D62" s="312">
        <f>+GPpcntMjr*(VLOOKUP($A62,FY16Rev0!$A$4:$F$24,6,FALSE))*VLOOKUP($A62,FY16ProjMjrsActDegs!$A$3:$S$23,MATCH(D$28,FY16ProjMjrsActDegs!$A$2:$S$2,0),FALSE)</f>
        <v>42620.246010131377</v>
      </c>
      <c r="E62" s="312">
        <f>+GPpcntMjr*(VLOOKUP($A62,FY16Rev0!$A$4:$F$24,6,FALSE))*VLOOKUP($A62,FY16ProjMjrsActDegs!$A$3:$S$23,MATCH(E$28,FY16ProjMjrsActDegs!$A$2:$S$2,0),FALSE)</f>
        <v>0</v>
      </c>
      <c r="F62" s="312">
        <f>+GPpcntMjr*(VLOOKUP($A62,FY16Rev0!$A$4:$F$24,6,FALSE))*VLOOKUP($A62,FY16ProjMjrsActDegs!$A$3:$S$23,MATCH(F$28,FY16ProjMjrsActDegs!$A$2:$S$2,0),FALSE)</f>
        <v>0</v>
      </c>
      <c r="G62" s="312">
        <f>+GPpcntMjr*(VLOOKUP($A62,FY16Rev0!$A$4:$F$24,6,FALSE))*VLOOKUP($A62,FY16ProjMjrsActDegs!$A$3:$S$23,MATCH(G$28,FY16ProjMjrsActDegs!$A$2:$S$2,0),FALSE)</f>
        <v>7103.3743350218974</v>
      </c>
      <c r="H62" s="312">
        <f>+GPpcntMjr*(VLOOKUP($A62,FY16Rev0!$A$4:$F$24,6,FALSE))*VLOOKUP($A62,FY16ProjMjrsActDegs!$A$3:$S$23,MATCH(H$28,FY16ProjMjrsActDegs!$A$2:$S$2,0),FALSE)</f>
        <v>0</v>
      </c>
      <c r="I62" s="312">
        <f>+GPpcntMjr*(VLOOKUP($A62,FY16Rev0!$A$4:$F$24,6,FALSE))*VLOOKUP($A62,FY16ProjMjrsActDegs!$A$3:$S$23,MATCH(I$28,FY16ProjMjrsActDegs!$A$2:$S$2,0),FALSE)</f>
        <v>0</v>
      </c>
      <c r="J62" s="312">
        <f>+GPpcntMjr*(VLOOKUP($A62,FY16Rev0!$A$4:$F$24,6,FALSE))*VLOOKUP($A62,FY16ProjMjrsActDegs!$A$3:$S$23,MATCH(J$28,FY16ProjMjrsActDegs!$A$2:$S$2,0),FALSE)</f>
        <v>0</v>
      </c>
      <c r="K62" s="312">
        <f>+GPpcntMjr*(VLOOKUP($A62,FY16Rev0!$A$4:$F$24,6,FALSE))*VLOOKUP($A62,FY16ProjMjrsActDegs!$A$3:$S$23,MATCH(K$28,FY16ProjMjrsActDegs!$A$2:$S$2,0),FALSE)</f>
        <v>0</v>
      </c>
      <c r="L62" s="312">
        <f>+GPpcntMjr*(VLOOKUP($A62,FY16Rev0!$A$4:$F$24,6,FALSE))*VLOOKUP($A62,FY16ProjMjrsActDegs!$A$3:$S$23,MATCH(L$28,FY16ProjMjrsActDegs!$A$2:$S$2,0),FALSE)</f>
        <v>21310.123005065696</v>
      </c>
      <c r="M62" s="312">
        <f>+GPpcntMjr*(VLOOKUP($A62,FY16Rev0!$A$4:$F$24,6,FALSE))*VLOOKUP($A62,FY16ProjMjrsActDegs!$A$3:$S$23,MATCH(M$28,FY16ProjMjrsActDegs!$A$2:$S$2,0),FALSE)</f>
        <v>2367.7914450072994</v>
      </c>
      <c r="N62" s="312">
        <f>+GPpcntMjr*(VLOOKUP($A62,FY16Rev0!$A$4:$F$24,6,FALSE))*VLOOKUP($A62,FY16ProjMjrsActDegs!$A$3:$S$23,MATCH(N$28,FY16ProjMjrsActDegs!$A$2:$S$2,0),FALSE)</f>
        <v>331490.80230102187</v>
      </c>
      <c r="O62" s="312">
        <f>+GPpcntMjr*(VLOOKUP($A62,FY16Rev0!$A$4:$F$24,6,FALSE))*VLOOKUP($A62,FY16ProjMjrsActDegs!$A$3:$S$23,MATCH(O$28,FY16ProjMjrsActDegs!$A$2:$S$2,0),FALSE)</f>
        <v>2367.7914450072994</v>
      </c>
      <c r="P62" s="312">
        <f>+GPpcntMjr*(VLOOKUP($A62,FY16Rev0!$A$4:$F$24,6,FALSE))*VLOOKUP($A62,FY16ProjMjrsActDegs!$A$3:$S$23,MATCH(P$28,FY16ProjMjrsActDegs!$A$2:$S$2,0),FALSE)</f>
        <v>0</v>
      </c>
      <c r="Q62" s="312">
        <f>+GPpcntMjr*(VLOOKUP($A62,FY16Rev0!$A$4:$F$24,6,FALSE))*VLOOKUP($A62,FY16ProjMjrsActDegs!$A$3:$S$23,MATCH(Q$28,FY16ProjMjrsActDegs!$A$2:$S$2,0),FALSE)</f>
        <v>968426.70100798551</v>
      </c>
      <c r="R62" s="312">
        <f>+GPpcntMjr*(VLOOKUP($A62,FY16Rev0!$A$4:$F$24,6,FALSE))*VLOOKUP($A62,FY16ProjMjrsActDegs!$A$3:$S$23,MATCH(R$28,FY16ProjMjrsActDegs!$A$2:$S$2,0),FALSE)</f>
        <v>0</v>
      </c>
      <c r="S62" s="312">
        <f>+GPpcntMjr*(VLOOKUP($A62,FY16Rev0!$A$4:$F$24,6,FALSE))*VLOOKUP($A62,FY16ProjMjrsActDegs!$A$3:$S$23,MATCH(S$28,FY16ProjMjrsActDegs!$A$2:$S$2,0),FALSE)</f>
        <v>0</v>
      </c>
      <c r="T62" s="312">
        <f t="shared" si="6"/>
        <v>1378054.6209942482</v>
      </c>
    </row>
    <row r="63" spans="1:20" ht="17.100000000000001" customHeight="1" x14ac:dyDescent="0.25">
      <c r="A63" s="331" t="s">
        <v>28</v>
      </c>
      <c r="B63" s="344" t="s">
        <v>30</v>
      </c>
      <c r="C63" s="345">
        <f>+GPpcntMjr*(VLOOKUP($A63,FY16Rev0!$A$4:$F$24,6,FALSE))*VLOOKUP($A63,FY16ProjMjrsActDegs!$A$3:$S$23,MATCH(C$28,FY16ProjMjrsActDegs!$A$2:$S$2,0),FALSE)</f>
        <v>3765718.1455406803</v>
      </c>
      <c r="D63" s="345">
        <f>+GPpcntMjr*(VLOOKUP($A63,FY16Rev0!$A$4:$F$24,6,FALSE))*VLOOKUP($A63,FY16ProjMjrsActDegs!$A$3:$S$23,MATCH(D$28,FY16ProjMjrsActDegs!$A$2:$S$2,0),FALSE)</f>
        <v>0</v>
      </c>
      <c r="E63" s="345">
        <f>+GPpcntMjr*(VLOOKUP($A63,FY16Rev0!$A$4:$F$24,6,FALSE))*VLOOKUP($A63,FY16ProjMjrsActDegs!$A$3:$S$23,MATCH(E$28,FY16ProjMjrsActDegs!$A$2:$S$2,0),FALSE)</f>
        <v>0</v>
      </c>
      <c r="F63" s="345">
        <f>+GPpcntMjr*(VLOOKUP($A63,FY16Rev0!$A$4:$F$24,6,FALSE))*VLOOKUP($A63,FY16ProjMjrsActDegs!$A$3:$S$23,MATCH(F$28,FY16ProjMjrsActDegs!$A$2:$S$2,0),FALSE)</f>
        <v>0</v>
      </c>
      <c r="G63" s="345">
        <f>+GPpcntMjr*(VLOOKUP($A63,FY16Rev0!$A$4:$F$24,6,FALSE))*VLOOKUP($A63,FY16ProjMjrsActDegs!$A$3:$S$23,MATCH(G$28,FY16ProjMjrsActDegs!$A$2:$S$2,0),FALSE)</f>
        <v>10597.705850489721</v>
      </c>
      <c r="H63" s="345">
        <f>+GPpcntMjr*(VLOOKUP($A63,FY16Rev0!$A$4:$F$24,6,FALSE))*VLOOKUP($A63,FY16ProjMjrsActDegs!$A$3:$S$23,MATCH(H$28,FY16ProjMjrsActDegs!$A$2:$S$2,0),FALSE)</f>
        <v>0</v>
      </c>
      <c r="I63" s="345">
        <f>+GPpcntMjr*(VLOOKUP($A63,FY16Rev0!$A$4:$F$24,6,FALSE))*VLOOKUP($A63,FY16ProjMjrsActDegs!$A$3:$S$23,MATCH(I$28,FY16ProjMjrsActDegs!$A$2:$S$2,0),FALSE)</f>
        <v>0</v>
      </c>
      <c r="J63" s="345">
        <f>+GPpcntMjr*(VLOOKUP($A63,FY16Rev0!$A$4:$F$24,6,FALSE))*VLOOKUP($A63,FY16ProjMjrsActDegs!$A$3:$S$23,MATCH(J$28,FY16ProjMjrsActDegs!$A$2:$S$2,0),FALSE)</f>
        <v>0</v>
      </c>
      <c r="K63" s="345">
        <f>+GPpcntMjr*(VLOOKUP($A63,FY16Rev0!$A$4:$F$24,6,FALSE))*VLOOKUP($A63,FY16ProjMjrsActDegs!$A$3:$S$23,MATCH(K$28,FY16ProjMjrsActDegs!$A$2:$S$2,0),FALSE)</f>
        <v>0</v>
      </c>
      <c r="L63" s="345">
        <f>+GPpcntMjr*(VLOOKUP($A63,FY16Rev0!$A$4:$F$24,6,FALSE))*VLOOKUP($A63,FY16ProjMjrsActDegs!$A$3:$S$23,MATCH(L$28,FY16ProjMjrsActDegs!$A$2:$S$2,0),FALSE)</f>
        <v>0</v>
      </c>
      <c r="M63" s="345">
        <f>+GPpcntMjr*(VLOOKUP($A63,FY16Rev0!$A$4:$F$24,6,FALSE))*VLOOKUP($A63,FY16ProjMjrsActDegs!$A$3:$S$23,MATCH(M$28,FY16ProjMjrsActDegs!$A$2:$S$2,0),FALSE)</f>
        <v>0</v>
      </c>
      <c r="N63" s="345">
        <f>+GPpcntMjr*(VLOOKUP($A63,FY16Rev0!$A$4:$F$24,6,FALSE))*VLOOKUP($A63,FY16ProjMjrsActDegs!$A$3:$S$23,MATCH(N$28,FY16ProjMjrsActDegs!$A$2:$S$2,0),FALSE)</f>
        <v>0</v>
      </c>
      <c r="O63" s="345">
        <f>+GPpcntMjr*(VLOOKUP($A63,FY16Rev0!$A$4:$F$24,6,FALSE))*VLOOKUP($A63,FY16ProjMjrsActDegs!$A$3:$S$23,MATCH(O$28,FY16ProjMjrsActDegs!$A$2:$S$2,0),FALSE)</f>
        <v>0</v>
      </c>
      <c r="P63" s="345">
        <f>+GPpcntMjr*(VLOOKUP($A63,FY16Rev0!$A$4:$F$24,6,FALSE))*VLOOKUP($A63,FY16ProjMjrsActDegs!$A$3:$S$23,MATCH(P$28,FY16ProjMjrsActDegs!$A$2:$S$2,0),FALSE)</f>
        <v>0</v>
      </c>
      <c r="Q63" s="345">
        <f>+GPpcntMjr*(VLOOKUP($A63,FY16Rev0!$A$4:$F$24,6,FALSE))*VLOOKUP($A63,FY16ProjMjrsActDegs!$A$3:$S$23,MATCH(Q$28,FY16ProjMjrsActDegs!$A$2:$S$2,0),FALSE)</f>
        <v>0</v>
      </c>
      <c r="R63" s="345">
        <f>+GPpcntMjr*(VLOOKUP($A63,FY16Rev0!$A$4:$F$24,6,FALSE))*VLOOKUP($A63,FY16ProjMjrsActDegs!$A$3:$S$23,MATCH(R$28,FY16ProjMjrsActDegs!$A$2:$S$2,0),FALSE)</f>
        <v>0</v>
      </c>
      <c r="S63" s="345">
        <f>+GPpcntMjr*(VLOOKUP($A63,FY16Rev0!$A$4:$F$24,6,FALSE))*VLOOKUP($A63,FY16ProjMjrsActDegs!$A$3:$S$23,MATCH(S$28,FY16ProjMjrsActDegs!$A$2:$S$2,0),FALSE)</f>
        <v>0</v>
      </c>
      <c r="T63" s="345">
        <f t="shared" si="6"/>
        <v>3776315.8513911702</v>
      </c>
    </row>
    <row r="64" spans="1:20" s="209" customFormat="1" ht="17.100000000000001" customHeight="1" x14ac:dyDescent="0.25">
      <c r="A64" s="325" t="s">
        <v>31</v>
      </c>
      <c r="B64" s="326" t="s">
        <v>33</v>
      </c>
      <c r="C64" s="312">
        <f>+GPpcntMjr*(VLOOKUP($A64,FY16Rev0!$A$4:$F$24,6,FALSE))*VLOOKUP($A64,FY16ProjMjrsActDegs!$A$3:$S$23,MATCH(C$28,FY16ProjMjrsActDegs!$A$2:$S$2,0),FALSE)</f>
        <v>0</v>
      </c>
      <c r="D64" s="312">
        <f>+GPpcntMjr*(VLOOKUP($A64,FY16Rev0!$A$4:$F$24,6,FALSE))*VLOOKUP($A64,FY16ProjMjrsActDegs!$A$3:$S$23,MATCH(D$28,FY16ProjMjrsActDegs!$A$2:$S$2,0),FALSE)</f>
        <v>0</v>
      </c>
      <c r="E64" s="312">
        <f>+GPpcntMjr*(VLOOKUP($A64,FY16Rev0!$A$4:$F$24,6,FALSE))*VLOOKUP($A64,FY16ProjMjrsActDegs!$A$3:$S$23,MATCH(E$28,FY16ProjMjrsActDegs!$A$2:$S$2,0),FALSE)</f>
        <v>0</v>
      </c>
      <c r="F64" s="312">
        <f>+GPpcntMjr*(VLOOKUP($A64,FY16Rev0!$A$4:$F$24,6,FALSE))*VLOOKUP($A64,FY16ProjMjrsActDegs!$A$3:$S$23,MATCH(F$28,FY16ProjMjrsActDegs!$A$2:$S$2,0),FALSE)</f>
        <v>0</v>
      </c>
      <c r="G64" s="312">
        <f>+GPpcntMjr*(VLOOKUP($A64,FY16Rev0!$A$4:$F$24,6,FALSE))*VLOOKUP($A64,FY16ProjMjrsActDegs!$A$3:$S$23,MATCH(G$28,FY16ProjMjrsActDegs!$A$2:$S$2,0),FALSE)</f>
        <v>1222435.230466503</v>
      </c>
      <c r="H64" s="312">
        <f>+GPpcntMjr*(VLOOKUP($A64,FY16Rev0!$A$4:$F$24,6,FALSE))*VLOOKUP($A64,FY16ProjMjrsActDegs!$A$3:$S$23,MATCH(H$28,FY16ProjMjrsActDegs!$A$2:$S$2,0),FALSE)</f>
        <v>14105.021889998112</v>
      </c>
      <c r="I64" s="312">
        <f>+GPpcntMjr*(VLOOKUP($A64,FY16Rev0!$A$4:$F$24,6,FALSE))*VLOOKUP($A64,FY16ProjMjrsActDegs!$A$3:$S$23,MATCH(I$28,FY16ProjMjrsActDegs!$A$2:$S$2,0),FALSE)</f>
        <v>0</v>
      </c>
      <c r="J64" s="312">
        <f>+GPpcntMjr*(VLOOKUP($A64,FY16Rev0!$A$4:$F$24,6,FALSE))*VLOOKUP($A64,FY16ProjMjrsActDegs!$A$3:$S$23,MATCH(J$28,FY16ProjMjrsActDegs!$A$2:$S$2,0),FALSE)</f>
        <v>0</v>
      </c>
      <c r="K64" s="312">
        <f>+GPpcntMjr*(VLOOKUP($A64,FY16Rev0!$A$4:$F$24,6,FALSE))*VLOOKUP($A64,FY16ProjMjrsActDegs!$A$3:$S$23,MATCH(K$28,FY16ProjMjrsActDegs!$A$2:$S$2,0),FALSE)</f>
        <v>0</v>
      </c>
      <c r="L64" s="312">
        <f>+GPpcntMjr*(VLOOKUP($A64,FY16Rev0!$A$4:$F$24,6,FALSE))*VLOOKUP($A64,FY16ProjMjrsActDegs!$A$3:$S$23,MATCH(L$28,FY16ProjMjrsActDegs!$A$2:$S$2,0),FALSE)</f>
        <v>0</v>
      </c>
      <c r="M64" s="312">
        <f>+GPpcntMjr*(VLOOKUP($A64,FY16Rev0!$A$4:$F$24,6,FALSE))*VLOOKUP($A64,FY16ProjMjrsActDegs!$A$3:$S$23,MATCH(M$28,FY16ProjMjrsActDegs!$A$2:$S$2,0),FALSE)</f>
        <v>0</v>
      </c>
      <c r="N64" s="312">
        <f>+GPpcntMjr*(VLOOKUP($A64,FY16Rev0!$A$4:$F$24,6,FALSE))*VLOOKUP($A64,FY16ProjMjrsActDegs!$A$3:$S$23,MATCH(N$28,FY16ProjMjrsActDegs!$A$2:$S$2,0),FALSE)</f>
        <v>0</v>
      </c>
      <c r="O64" s="312">
        <f>+GPpcntMjr*(VLOOKUP($A64,FY16Rev0!$A$4:$F$24,6,FALSE))*VLOOKUP($A64,FY16ProjMjrsActDegs!$A$3:$S$23,MATCH(O$28,FY16ProjMjrsActDegs!$A$2:$S$2,0),FALSE)</f>
        <v>0</v>
      </c>
      <c r="P64" s="312">
        <f>+GPpcntMjr*(VLOOKUP($A64,FY16Rev0!$A$4:$F$24,6,FALSE))*VLOOKUP($A64,FY16ProjMjrsActDegs!$A$3:$S$23,MATCH(P$28,FY16ProjMjrsActDegs!$A$2:$S$2,0),FALSE)</f>
        <v>0</v>
      </c>
      <c r="Q64" s="312">
        <f>+GPpcntMjr*(VLOOKUP($A64,FY16Rev0!$A$4:$F$24,6,FALSE))*VLOOKUP($A64,FY16ProjMjrsActDegs!$A$3:$S$23,MATCH(Q$28,FY16ProjMjrsActDegs!$A$2:$S$2,0),FALSE)</f>
        <v>0</v>
      </c>
      <c r="R64" s="312">
        <f>+GPpcntMjr*(VLOOKUP($A64,FY16Rev0!$A$4:$F$24,6,FALSE))*VLOOKUP($A64,FY16ProjMjrsActDegs!$A$3:$S$23,MATCH(R$28,FY16ProjMjrsActDegs!$A$2:$S$2,0),FALSE)</f>
        <v>0</v>
      </c>
      <c r="S64" s="312">
        <f>+GPpcntMjr*(VLOOKUP($A64,FY16Rev0!$A$4:$F$24,6,FALSE))*VLOOKUP($A64,FY16ProjMjrsActDegs!$A$3:$S$23,MATCH(S$28,FY16ProjMjrsActDegs!$A$2:$S$2,0),FALSE)</f>
        <v>0</v>
      </c>
      <c r="T64" s="312">
        <f t="shared" si="6"/>
        <v>1236540.2523565011</v>
      </c>
    </row>
    <row r="65" spans="1:20" ht="17.100000000000001" customHeight="1" x14ac:dyDescent="0.25">
      <c r="A65" s="325" t="s">
        <v>34</v>
      </c>
      <c r="B65" s="344" t="s">
        <v>35</v>
      </c>
      <c r="C65" s="345">
        <f>+GPpcntMjr*(VLOOKUP($A65,FY16Rev0!$A$4:$F$24,6,FALSE))*VLOOKUP($A65,FY16ProjMjrsActDegs!$A$3:$S$23,MATCH(C$28,FY16ProjMjrsActDegs!$A$2:$S$2,0),FALSE)</f>
        <v>55256.906508250016</v>
      </c>
      <c r="D65" s="345">
        <f>+GPpcntMjr*(VLOOKUP($A65,FY16Rev0!$A$4:$F$24,6,FALSE))*VLOOKUP($A65,FY16ProjMjrsActDegs!$A$3:$S$23,MATCH(D$28,FY16ProjMjrsActDegs!$A$2:$S$2,0),FALSE)</f>
        <v>133266.65687283827</v>
      </c>
      <c r="E65" s="345">
        <f>+GPpcntMjr*(VLOOKUP($A65,FY16Rev0!$A$4:$F$24,6,FALSE))*VLOOKUP($A65,FY16ProjMjrsActDegs!$A$3:$S$23,MATCH(E$28,FY16ProjMjrsActDegs!$A$2:$S$2,0),FALSE)</f>
        <v>0</v>
      </c>
      <c r="F65" s="345">
        <f>+GPpcntMjr*(VLOOKUP($A65,FY16Rev0!$A$4:$F$24,6,FALSE))*VLOOKUP($A65,FY16ProjMjrsActDegs!$A$3:$S$23,MATCH(F$28,FY16ProjMjrsActDegs!$A$2:$S$2,0),FALSE)</f>
        <v>0</v>
      </c>
      <c r="G65" s="345">
        <f>+GPpcntMjr*(VLOOKUP($A65,FY16Rev0!$A$4:$F$24,6,FALSE))*VLOOKUP($A65,FY16ProjMjrsActDegs!$A$3:$S$23,MATCH(G$28,FY16ProjMjrsActDegs!$A$2:$S$2,0),FALSE)</f>
        <v>0</v>
      </c>
      <c r="H65" s="345">
        <f>+GPpcntMjr*(VLOOKUP($A65,FY16Rev0!$A$4:$F$24,6,FALSE))*VLOOKUP($A65,FY16ProjMjrsActDegs!$A$3:$S$23,MATCH(H$28,FY16ProjMjrsActDegs!$A$2:$S$2,0),FALSE)</f>
        <v>87760.969160161781</v>
      </c>
      <c r="I65" s="345">
        <f>+GPpcntMjr*(VLOOKUP($A65,FY16Rev0!$A$4:$F$24,6,FALSE))*VLOOKUP($A65,FY16ProjMjrsActDegs!$A$3:$S$23,MATCH(I$28,FY16ProjMjrsActDegs!$A$2:$S$2,0),FALSE)</f>
        <v>9751.2187955735317</v>
      </c>
      <c r="J65" s="345">
        <f>+GPpcntMjr*(VLOOKUP($A65,FY16Rev0!$A$4:$F$24,6,FALSE))*VLOOKUP($A65,FY16ProjMjrsActDegs!$A$3:$S$23,MATCH(J$28,FY16ProjMjrsActDegs!$A$2:$S$2,0),FALSE)</f>
        <v>9751.2187955735317</v>
      </c>
      <c r="K65" s="345">
        <f>+GPpcntMjr*(VLOOKUP($A65,FY16Rev0!$A$4:$F$24,6,FALSE))*VLOOKUP($A65,FY16ProjMjrsActDegs!$A$3:$S$23,MATCH(K$28,FY16ProjMjrsActDegs!$A$2:$S$2,0),FALSE)</f>
        <v>3243905.4526607953</v>
      </c>
      <c r="L65" s="345">
        <f>+GPpcntMjr*(VLOOKUP($A65,FY16Rev0!$A$4:$F$24,6,FALSE))*VLOOKUP($A65,FY16ProjMjrsActDegs!$A$3:$S$23,MATCH(L$28,FY16ProjMjrsActDegs!$A$2:$S$2,0),FALSE)</f>
        <v>22752.843856338241</v>
      </c>
      <c r="M65" s="345">
        <f>+GPpcntMjr*(VLOOKUP($A65,FY16Rev0!$A$4:$F$24,6,FALSE))*VLOOKUP($A65,FY16ProjMjrsActDegs!$A$3:$S$23,MATCH(M$28,FY16ProjMjrsActDegs!$A$2:$S$2,0),FALSE)</f>
        <v>0</v>
      </c>
      <c r="N65" s="345">
        <f>+GPpcntMjr*(VLOOKUP($A65,FY16Rev0!$A$4:$F$24,6,FALSE))*VLOOKUP($A65,FY16ProjMjrsActDegs!$A$3:$S$23,MATCH(N$28,FY16ProjMjrsActDegs!$A$2:$S$2,0),FALSE)</f>
        <v>0</v>
      </c>
      <c r="O65" s="345">
        <f>+GPpcntMjr*(VLOOKUP($A65,FY16Rev0!$A$4:$F$24,6,FALSE))*VLOOKUP($A65,FY16ProjMjrsActDegs!$A$3:$S$23,MATCH(O$28,FY16ProjMjrsActDegs!$A$2:$S$2,0),FALSE)</f>
        <v>0</v>
      </c>
      <c r="P65" s="345">
        <f>+GPpcntMjr*(VLOOKUP($A65,FY16Rev0!$A$4:$F$24,6,FALSE))*VLOOKUP($A65,FY16ProjMjrsActDegs!$A$3:$S$23,MATCH(P$28,FY16ProjMjrsActDegs!$A$2:$S$2,0),FALSE)</f>
        <v>0</v>
      </c>
      <c r="Q65" s="345">
        <f>+GPpcntMjr*(VLOOKUP($A65,FY16Rev0!$A$4:$F$24,6,FALSE))*VLOOKUP($A65,FY16ProjMjrsActDegs!$A$3:$S$23,MATCH(Q$28,FY16ProjMjrsActDegs!$A$2:$S$2,0),FALSE)</f>
        <v>71508.937834205906</v>
      </c>
      <c r="R65" s="345">
        <f>+GPpcntMjr*(VLOOKUP($A65,FY16Rev0!$A$4:$F$24,6,FALSE))*VLOOKUP($A65,FY16ProjMjrsActDegs!$A$3:$S$23,MATCH(R$28,FY16ProjMjrsActDegs!$A$2:$S$2,0),FALSE)</f>
        <v>0</v>
      </c>
      <c r="S65" s="345">
        <f>+GPpcntMjr*(VLOOKUP($A65,FY16Rev0!$A$4:$F$24,6,FALSE))*VLOOKUP($A65,FY16ProjMjrsActDegs!$A$3:$S$23,MATCH(S$28,FY16ProjMjrsActDegs!$A$2:$S$2,0),FALSE)</f>
        <v>0</v>
      </c>
      <c r="T65" s="345">
        <f t="shared" si="6"/>
        <v>3633954.2044837368</v>
      </c>
    </row>
    <row r="66" spans="1:20" s="209" customFormat="1" ht="17.100000000000001" customHeight="1" x14ac:dyDescent="0.25">
      <c r="A66" s="325" t="s">
        <v>156</v>
      </c>
      <c r="B66" s="326" t="s">
        <v>36</v>
      </c>
      <c r="C66" s="312">
        <f>+GPpcntMjr*(VLOOKUP($A66,FY16Rev0!$A$4:$F$24,6,FALSE))*VLOOKUP($A66,FY16ProjMjrsActDegs!$A$3:$S$23,MATCH(C$28,FY16ProjMjrsActDegs!$A$2:$S$2,0),FALSE)</f>
        <v>0</v>
      </c>
      <c r="D66" s="312">
        <f>+GPpcntMjr*(VLOOKUP($A66,FY16Rev0!$A$4:$F$24,6,FALSE))*VLOOKUP($A66,FY16ProjMjrsActDegs!$A$3:$S$23,MATCH(D$28,FY16ProjMjrsActDegs!$A$2:$S$2,0),FALSE)</f>
        <v>24574.74607730627</v>
      </c>
      <c r="E66" s="312">
        <f>+GPpcntMjr*(VLOOKUP($A66,FY16Rev0!$A$4:$F$24,6,FALSE))*VLOOKUP($A66,FY16ProjMjrsActDegs!$A$3:$S$23,MATCH(E$28,FY16ProjMjrsActDegs!$A$2:$S$2,0),FALSE)</f>
        <v>3612487.6733640218</v>
      </c>
      <c r="F66" s="312">
        <f>+GPpcntMjr*(VLOOKUP($A66,FY16Rev0!$A$4:$F$24,6,FALSE))*VLOOKUP($A66,FY16ProjMjrsActDegs!$A$3:$S$23,MATCH(F$28,FY16ProjMjrsActDegs!$A$2:$S$2,0),FALSE)</f>
        <v>0</v>
      </c>
      <c r="G66" s="312">
        <f>+GPpcntMjr*(VLOOKUP($A66,FY16Rev0!$A$4:$F$24,6,FALSE))*VLOOKUP($A66,FY16ProjMjrsActDegs!$A$3:$S$23,MATCH(G$28,FY16ProjMjrsActDegs!$A$2:$S$2,0),FALSE)</f>
        <v>9829.8984309225089</v>
      </c>
      <c r="H66" s="312">
        <f>+GPpcntMjr*(VLOOKUP($A66,FY16Rev0!$A$4:$F$24,6,FALSE))*VLOOKUP($A66,FY16ProjMjrsActDegs!$A$3:$S$23,MATCH(H$28,FY16ProjMjrsActDegs!$A$2:$S$2,0),FALSE)</f>
        <v>0</v>
      </c>
      <c r="I66" s="312">
        <f>+GPpcntMjr*(VLOOKUP($A66,FY16Rev0!$A$4:$F$24,6,FALSE))*VLOOKUP($A66,FY16ProjMjrsActDegs!$A$3:$S$23,MATCH(I$28,FY16ProjMjrsActDegs!$A$2:$S$2,0),FALSE)</f>
        <v>0</v>
      </c>
      <c r="J66" s="312">
        <f>+GPpcntMjr*(VLOOKUP($A66,FY16Rev0!$A$4:$F$24,6,FALSE))*VLOOKUP($A66,FY16ProjMjrsActDegs!$A$3:$S$23,MATCH(J$28,FY16ProjMjrsActDegs!$A$2:$S$2,0),FALSE)</f>
        <v>9829.8984309225089</v>
      </c>
      <c r="K66" s="312">
        <f>+GPpcntMjr*(VLOOKUP($A66,FY16Rev0!$A$4:$F$24,6,FALSE))*VLOOKUP($A66,FY16ProjMjrsActDegs!$A$3:$S$23,MATCH(K$28,FY16ProjMjrsActDegs!$A$2:$S$2,0),FALSE)</f>
        <v>0</v>
      </c>
      <c r="L66" s="312">
        <f>+GPpcntMjr*(VLOOKUP($A66,FY16Rev0!$A$4:$F$24,6,FALSE))*VLOOKUP($A66,FY16ProjMjrsActDegs!$A$3:$S$23,MATCH(L$28,FY16ProjMjrsActDegs!$A$2:$S$2,0),FALSE)</f>
        <v>0</v>
      </c>
      <c r="M66" s="312">
        <f>+GPpcntMjr*(VLOOKUP($A66,FY16Rev0!$A$4:$F$24,6,FALSE))*VLOOKUP($A66,FY16ProjMjrsActDegs!$A$3:$S$23,MATCH(M$28,FY16ProjMjrsActDegs!$A$2:$S$2,0),FALSE)</f>
        <v>0</v>
      </c>
      <c r="N66" s="312">
        <f>+GPpcntMjr*(VLOOKUP($A66,FY16Rev0!$A$4:$F$24,6,FALSE))*VLOOKUP($A66,FY16ProjMjrsActDegs!$A$3:$S$23,MATCH(N$28,FY16ProjMjrsActDegs!$A$2:$S$2,0),FALSE)</f>
        <v>9829.8984309225089</v>
      </c>
      <c r="O66" s="312">
        <f>+GPpcntMjr*(VLOOKUP($A66,FY16Rev0!$A$4:$F$24,6,FALSE))*VLOOKUP($A66,FY16ProjMjrsActDegs!$A$3:$S$23,MATCH(O$28,FY16ProjMjrsActDegs!$A$2:$S$2,0),FALSE)</f>
        <v>0</v>
      </c>
      <c r="P66" s="312">
        <f>+GPpcntMjr*(VLOOKUP($A66,FY16Rev0!$A$4:$F$24,6,FALSE))*VLOOKUP($A66,FY16ProjMjrsActDegs!$A$3:$S$23,MATCH(P$28,FY16ProjMjrsActDegs!$A$2:$S$2,0),FALSE)</f>
        <v>9829.8984309225089</v>
      </c>
      <c r="Q66" s="312">
        <f>+GPpcntMjr*(VLOOKUP($A66,FY16Rev0!$A$4:$F$24,6,FALSE))*VLOOKUP($A66,FY16ProjMjrsActDegs!$A$3:$S$23,MATCH(Q$28,FY16ProjMjrsActDegs!$A$2:$S$2,0),FALSE)</f>
        <v>29489.695292767527</v>
      </c>
      <c r="R66" s="312">
        <f>+GPpcntMjr*(VLOOKUP($A66,FY16Rev0!$A$4:$F$24,6,FALSE))*VLOOKUP($A66,FY16ProjMjrsActDegs!$A$3:$S$23,MATCH(R$28,FY16ProjMjrsActDegs!$A$2:$S$2,0),FALSE)</f>
        <v>0</v>
      </c>
      <c r="S66" s="312">
        <f>+GPpcntMjr*(VLOOKUP($A66,FY16Rev0!$A$4:$F$24,6,FALSE))*VLOOKUP($A66,FY16ProjMjrsActDegs!$A$3:$S$23,MATCH(S$28,FY16ProjMjrsActDegs!$A$2:$S$2,0),FALSE)</f>
        <v>0</v>
      </c>
      <c r="T66" s="312">
        <f t="shared" si="6"/>
        <v>3705871.7084577857</v>
      </c>
    </row>
    <row r="67" spans="1:20" ht="17.100000000000001" customHeight="1" x14ac:dyDescent="0.25">
      <c r="A67" s="325" t="s">
        <v>37</v>
      </c>
      <c r="B67" s="344" t="s">
        <v>39</v>
      </c>
      <c r="C67" s="345">
        <f>+GPpcntMjr*(VLOOKUP($A67,FY16Rev0!$A$4:$F$24,6,FALSE))*VLOOKUP($A67,FY16ProjMjrsActDegs!$A$3:$S$23,MATCH(C$28,FY16ProjMjrsActDegs!$A$2:$S$2,0),FALSE)</f>
        <v>0</v>
      </c>
      <c r="D67" s="345">
        <f>+GPpcntMjr*(VLOOKUP($A67,FY16Rev0!$A$4:$F$24,6,FALSE))*VLOOKUP($A67,FY16ProjMjrsActDegs!$A$3:$S$23,MATCH(D$28,FY16ProjMjrsActDegs!$A$2:$S$2,0),FALSE)</f>
        <v>29989.956093910099</v>
      </c>
      <c r="E67" s="345">
        <f>+GPpcntMjr*(VLOOKUP($A67,FY16Rev0!$A$4:$F$24,6,FALSE))*VLOOKUP($A67,FY16ProjMjrsActDegs!$A$3:$S$23,MATCH(E$28,FY16ProjMjrsActDegs!$A$2:$S$2,0),FALSE)</f>
        <v>19993.304062606734</v>
      </c>
      <c r="F67" s="345">
        <f>+GPpcntMjr*(VLOOKUP($A67,FY16Rev0!$A$4:$F$24,6,FALSE))*VLOOKUP($A67,FY16ProjMjrsActDegs!$A$3:$S$23,MATCH(F$28,FY16ProjMjrsActDegs!$A$2:$S$2,0),FALSE)</f>
        <v>24991.630078258419</v>
      </c>
      <c r="G67" s="345">
        <f>+GPpcntMjr*(VLOOKUP($A67,FY16Rev0!$A$4:$F$24,6,FALSE))*VLOOKUP($A67,FY16ProjMjrsActDegs!$A$3:$S$23,MATCH(G$28,FY16ProjMjrsActDegs!$A$2:$S$2,0),FALSE)</f>
        <v>14994.97804695505</v>
      </c>
      <c r="H67" s="345">
        <f>+GPpcntMjr*(VLOOKUP($A67,FY16Rev0!$A$4:$F$24,6,FALSE))*VLOOKUP($A67,FY16ProjMjrsActDegs!$A$3:$S$23,MATCH(H$28,FY16ProjMjrsActDegs!$A$2:$S$2,0),FALSE)</f>
        <v>14994.97804695505</v>
      </c>
      <c r="I67" s="345">
        <f>+GPpcntMjr*(VLOOKUP($A67,FY16Rev0!$A$4:$F$24,6,FALSE))*VLOOKUP($A67,FY16ProjMjrsActDegs!$A$3:$S$23,MATCH(I$28,FY16ProjMjrsActDegs!$A$2:$S$2,0),FALSE)</f>
        <v>14994.97804695505</v>
      </c>
      <c r="J67" s="345">
        <f>+GPpcntMjr*(VLOOKUP($A67,FY16Rev0!$A$4:$F$24,6,FALSE))*VLOOKUP($A67,FY16ProjMjrsActDegs!$A$3:$S$23,MATCH(J$28,FY16ProjMjrsActDegs!$A$2:$S$2,0),FALSE)</f>
        <v>7697422.0641035913</v>
      </c>
      <c r="K67" s="345">
        <f>+GPpcntMjr*(VLOOKUP($A67,FY16Rev0!$A$4:$F$24,6,FALSE))*VLOOKUP($A67,FY16ProjMjrsActDegs!$A$3:$S$23,MATCH(K$28,FY16ProjMjrsActDegs!$A$2:$S$2,0),FALSE)</f>
        <v>14994.97804695505</v>
      </c>
      <c r="L67" s="345">
        <f>+GPpcntMjr*(VLOOKUP($A67,FY16Rev0!$A$4:$F$24,6,FALSE))*VLOOKUP($A67,FY16ProjMjrsActDegs!$A$3:$S$23,MATCH(L$28,FY16ProjMjrsActDegs!$A$2:$S$2,0),FALSE)</f>
        <v>0</v>
      </c>
      <c r="M67" s="345">
        <f>+GPpcntMjr*(VLOOKUP($A67,FY16Rev0!$A$4:$F$24,6,FALSE))*VLOOKUP($A67,FY16ProjMjrsActDegs!$A$3:$S$23,MATCH(M$28,FY16ProjMjrsActDegs!$A$2:$S$2,0),FALSE)</f>
        <v>0</v>
      </c>
      <c r="N67" s="345">
        <f>+GPpcntMjr*(VLOOKUP($A67,FY16Rev0!$A$4:$F$24,6,FALSE))*VLOOKUP($A67,FY16ProjMjrsActDegs!$A$3:$S$23,MATCH(N$28,FY16ProjMjrsActDegs!$A$2:$S$2,0),FALSE)</f>
        <v>0</v>
      </c>
      <c r="O67" s="345">
        <f>+GPpcntMjr*(VLOOKUP($A67,FY16Rev0!$A$4:$F$24,6,FALSE))*VLOOKUP($A67,FY16ProjMjrsActDegs!$A$3:$S$23,MATCH(O$28,FY16ProjMjrsActDegs!$A$2:$S$2,0),FALSE)</f>
        <v>0</v>
      </c>
      <c r="P67" s="345">
        <f>+GPpcntMjr*(VLOOKUP($A67,FY16Rev0!$A$4:$F$24,6,FALSE))*VLOOKUP($A67,FY16ProjMjrsActDegs!$A$3:$S$23,MATCH(P$28,FY16ProjMjrsActDegs!$A$2:$S$2,0),FALSE)</f>
        <v>0</v>
      </c>
      <c r="Q67" s="345">
        <f>+GPpcntMjr*(VLOOKUP($A67,FY16Rev0!$A$4:$F$24,6,FALSE))*VLOOKUP($A67,FY16ProjMjrsActDegs!$A$3:$S$23,MATCH(Q$28,FY16ProjMjrsActDegs!$A$2:$S$2,0),FALSE)</f>
        <v>14994.97804695505</v>
      </c>
      <c r="R67" s="345">
        <f>+GPpcntMjr*(VLOOKUP($A67,FY16Rev0!$A$4:$F$24,6,FALSE))*VLOOKUP($A67,FY16ProjMjrsActDegs!$A$3:$S$23,MATCH(R$28,FY16ProjMjrsActDegs!$A$2:$S$2,0),FALSE)</f>
        <v>0</v>
      </c>
      <c r="S67" s="345">
        <f>+GPpcntMjr*(VLOOKUP($A67,FY16Rev0!$A$4:$F$24,6,FALSE))*VLOOKUP($A67,FY16ProjMjrsActDegs!$A$3:$S$23,MATCH(S$28,FY16ProjMjrsActDegs!$A$2:$S$2,0),FALSE)</f>
        <v>0</v>
      </c>
      <c r="T67" s="345">
        <f t="shared" si="6"/>
        <v>7847371.8445731411</v>
      </c>
    </row>
    <row r="68" spans="1:20" s="209" customFormat="1" ht="17.100000000000001" customHeight="1" x14ac:dyDescent="0.25">
      <c r="A68" s="325" t="s">
        <v>40</v>
      </c>
      <c r="B68" s="326" t="s">
        <v>42</v>
      </c>
      <c r="C68" s="312">
        <f>+GPpcntMjr*(VLOOKUP($A68,FY16Rev0!$A$4:$F$24,6,FALSE))*VLOOKUP($A68,FY16ProjMjrsActDegs!$A$3:$S$23,MATCH(C$28,FY16ProjMjrsActDegs!$A$2:$S$2,0),FALSE)</f>
        <v>0</v>
      </c>
      <c r="D68" s="312">
        <f>+GPpcntMjr*(VLOOKUP($A68,FY16Rev0!$A$4:$F$24,6,FALSE))*VLOOKUP($A68,FY16ProjMjrsActDegs!$A$3:$S$23,MATCH(D$28,FY16ProjMjrsActDegs!$A$2:$S$2,0),FALSE)</f>
        <v>0</v>
      </c>
      <c r="E68" s="312">
        <f>+GPpcntMjr*(VLOOKUP($A68,FY16Rev0!$A$4:$F$24,6,FALSE))*VLOOKUP($A68,FY16ProjMjrsActDegs!$A$3:$S$23,MATCH(E$28,FY16ProjMjrsActDegs!$A$2:$S$2,0),FALSE)</f>
        <v>0</v>
      </c>
      <c r="F68" s="312">
        <f>+GPpcntMjr*(VLOOKUP($A68,FY16Rev0!$A$4:$F$24,6,FALSE))*VLOOKUP($A68,FY16ProjMjrsActDegs!$A$3:$S$23,MATCH(F$28,FY16ProjMjrsActDegs!$A$2:$S$2,0),FALSE)</f>
        <v>0</v>
      </c>
      <c r="G68" s="312">
        <f>+GPpcntMjr*(VLOOKUP($A68,FY16Rev0!$A$4:$F$24,6,FALSE))*VLOOKUP($A68,FY16ProjMjrsActDegs!$A$3:$S$23,MATCH(G$28,FY16ProjMjrsActDegs!$A$2:$S$2,0),FALSE)</f>
        <v>0</v>
      </c>
      <c r="H68" s="312">
        <f>+GPpcntMjr*(VLOOKUP($A68,FY16Rev0!$A$4:$F$24,6,FALSE))*VLOOKUP($A68,FY16ProjMjrsActDegs!$A$3:$S$23,MATCH(H$28,FY16ProjMjrsActDegs!$A$2:$S$2,0),FALSE)</f>
        <v>0</v>
      </c>
      <c r="I68" s="312">
        <f>+GPpcntMjr*(VLOOKUP($A68,FY16Rev0!$A$4:$F$24,6,FALSE))*VLOOKUP($A68,FY16ProjMjrsActDegs!$A$3:$S$23,MATCH(I$28,FY16ProjMjrsActDegs!$A$2:$S$2,0),FALSE)</f>
        <v>0</v>
      </c>
      <c r="J68" s="312">
        <f>+GPpcntMjr*(VLOOKUP($A68,FY16Rev0!$A$4:$F$24,6,FALSE))*VLOOKUP($A68,FY16ProjMjrsActDegs!$A$3:$S$23,MATCH(J$28,FY16ProjMjrsActDegs!$A$2:$S$2,0),FALSE)</f>
        <v>1046314.4348004265</v>
      </c>
      <c r="K68" s="312">
        <f>+GPpcntMjr*(VLOOKUP($A68,FY16Rev0!$A$4:$F$24,6,FALSE))*VLOOKUP($A68,FY16ProjMjrsActDegs!$A$3:$S$23,MATCH(K$28,FY16ProjMjrsActDegs!$A$2:$S$2,0),FALSE)</f>
        <v>0</v>
      </c>
      <c r="L68" s="312">
        <f>+GPpcntMjr*(VLOOKUP($A68,FY16Rev0!$A$4:$F$24,6,FALSE))*VLOOKUP($A68,FY16ProjMjrsActDegs!$A$3:$S$23,MATCH(L$28,FY16ProjMjrsActDegs!$A$2:$S$2,0),FALSE)</f>
        <v>0</v>
      </c>
      <c r="M68" s="312">
        <f>+GPpcntMjr*(VLOOKUP($A68,FY16Rev0!$A$4:$F$24,6,FALSE))*VLOOKUP($A68,FY16ProjMjrsActDegs!$A$3:$S$23,MATCH(M$28,FY16ProjMjrsActDegs!$A$2:$S$2,0),FALSE)</f>
        <v>0</v>
      </c>
      <c r="N68" s="312">
        <f>+GPpcntMjr*(VLOOKUP($A68,FY16Rev0!$A$4:$F$24,6,FALSE))*VLOOKUP($A68,FY16ProjMjrsActDegs!$A$3:$S$23,MATCH(N$28,FY16ProjMjrsActDegs!$A$2:$S$2,0),FALSE)</f>
        <v>0</v>
      </c>
      <c r="O68" s="312">
        <f>+GPpcntMjr*(VLOOKUP($A68,FY16Rev0!$A$4:$F$24,6,FALSE))*VLOOKUP($A68,FY16ProjMjrsActDegs!$A$3:$S$23,MATCH(O$28,FY16ProjMjrsActDegs!$A$2:$S$2,0),FALSE)</f>
        <v>0</v>
      </c>
      <c r="P68" s="312">
        <f>+GPpcntMjr*(VLOOKUP($A68,FY16Rev0!$A$4:$F$24,6,FALSE))*VLOOKUP($A68,FY16ProjMjrsActDegs!$A$3:$S$23,MATCH(P$28,FY16ProjMjrsActDegs!$A$2:$S$2,0),FALSE)</f>
        <v>0</v>
      </c>
      <c r="Q68" s="312">
        <f>+GPpcntMjr*(VLOOKUP($A68,FY16Rev0!$A$4:$F$24,6,FALSE))*VLOOKUP($A68,FY16ProjMjrsActDegs!$A$3:$S$23,MATCH(Q$28,FY16ProjMjrsActDegs!$A$2:$S$2,0),FALSE)</f>
        <v>0</v>
      </c>
      <c r="R68" s="312">
        <f>+GPpcntMjr*(VLOOKUP($A68,FY16Rev0!$A$4:$F$24,6,FALSE))*VLOOKUP($A68,FY16ProjMjrsActDegs!$A$3:$S$23,MATCH(R$28,FY16ProjMjrsActDegs!$A$2:$S$2,0),FALSE)</f>
        <v>0</v>
      </c>
      <c r="S68" s="312">
        <f>+GPpcntMjr*(VLOOKUP($A68,FY16Rev0!$A$4:$F$24,6,FALSE))*VLOOKUP($A68,FY16ProjMjrsActDegs!$A$3:$S$23,MATCH(S$28,FY16ProjMjrsActDegs!$A$2:$S$2,0),FALSE)</f>
        <v>0</v>
      </c>
      <c r="T68" s="312">
        <f t="shared" si="6"/>
        <v>1046314.4348004265</v>
      </c>
    </row>
    <row r="69" spans="1:20" ht="17.100000000000001" customHeight="1" x14ac:dyDescent="0.25">
      <c r="A69" s="325" t="s">
        <v>157</v>
      </c>
      <c r="B69" s="344" t="s">
        <v>288</v>
      </c>
      <c r="C69" s="345">
        <f>+GPpcntMjr*(VLOOKUP($A69,FY16Rev0!$A$4:$F$24,6,FALSE))*VLOOKUP($A69,FY16ProjMjrsActDegs!$A$3:$S$23,MATCH(C$28,FY16ProjMjrsActDegs!$A$2:$S$2,0),FALSE)</f>
        <v>0</v>
      </c>
      <c r="D69" s="345">
        <f>+GPpcntMjr*(VLOOKUP($A69,FY16Rev0!$A$4:$F$24,6,FALSE))*VLOOKUP($A69,FY16ProjMjrsActDegs!$A$3:$S$23,MATCH(D$28,FY16ProjMjrsActDegs!$A$2:$S$2,0),FALSE)</f>
        <v>0</v>
      </c>
      <c r="E69" s="345">
        <f>+GPpcntMjr*(VLOOKUP($A69,FY16Rev0!$A$4:$F$24,6,FALSE))*VLOOKUP($A69,FY16ProjMjrsActDegs!$A$3:$S$23,MATCH(E$28,FY16ProjMjrsActDegs!$A$2:$S$2,0),FALSE)</f>
        <v>0</v>
      </c>
      <c r="F69" s="345">
        <f>+GPpcntMjr*(VLOOKUP($A69,FY16Rev0!$A$4:$F$24,6,FALSE))*VLOOKUP($A69,FY16ProjMjrsActDegs!$A$3:$S$23,MATCH(F$28,FY16ProjMjrsActDegs!$A$2:$S$2,0),FALSE)</f>
        <v>0</v>
      </c>
      <c r="G69" s="345">
        <f>+GPpcntMjr*(VLOOKUP($A69,FY16Rev0!$A$4:$F$24,6,FALSE))*VLOOKUP($A69,FY16ProjMjrsActDegs!$A$3:$S$23,MATCH(G$28,FY16ProjMjrsActDegs!$A$2:$S$2,0),FALSE)</f>
        <v>0</v>
      </c>
      <c r="H69" s="345">
        <f>+GPpcntMjr*(VLOOKUP($A69,FY16Rev0!$A$4:$F$24,6,FALSE))*VLOOKUP($A69,FY16ProjMjrsActDegs!$A$3:$S$23,MATCH(H$28,FY16ProjMjrsActDegs!$A$2:$S$2,0),FALSE)</f>
        <v>0</v>
      </c>
      <c r="I69" s="345">
        <f>+GPpcntMjr*(VLOOKUP($A69,FY16Rev0!$A$4:$F$24,6,FALSE))*VLOOKUP($A69,FY16ProjMjrsActDegs!$A$3:$S$23,MATCH(I$28,FY16ProjMjrsActDegs!$A$2:$S$2,0),FALSE)</f>
        <v>0</v>
      </c>
      <c r="J69" s="345">
        <f>+GPpcntMjr*(VLOOKUP($A69,FY16Rev0!$A$4:$F$24,6,FALSE))*VLOOKUP($A69,FY16ProjMjrsActDegs!$A$3:$S$23,MATCH(J$28,FY16ProjMjrsActDegs!$A$2:$S$2,0),FALSE)</f>
        <v>0</v>
      </c>
      <c r="K69" s="345">
        <f>+GPpcntMjr*(VLOOKUP($A69,FY16Rev0!$A$4:$F$24,6,FALSE))*VLOOKUP($A69,FY16ProjMjrsActDegs!$A$3:$S$23,MATCH(K$28,FY16ProjMjrsActDegs!$A$2:$S$2,0),FALSE)</f>
        <v>0</v>
      </c>
      <c r="L69" s="345">
        <f>+GPpcntMjr*(VLOOKUP($A69,FY16Rev0!$A$4:$F$24,6,FALSE))*VLOOKUP($A69,FY16ProjMjrsActDegs!$A$3:$S$23,MATCH(L$28,FY16ProjMjrsActDegs!$A$2:$S$2,0),FALSE)</f>
        <v>0</v>
      </c>
      <c r="M69" s="345">
        <f>+GPpcntMjr*(VLOOKUP($A69,FY16Rev0!$A$4:$F$24,6,FALSE))*VLOOKUP($A69,FY16ProjMjrsActDegs!$A$3:$S$23,MATCH(M$28,FY16ProjMjrsActDegs!$A$2:$S$2,0),FALSE)</f>
        <v>0</v>
      </c>
      <c r="N69" s="345">
        <f>+GPpcntMjr*(VLOOKUP($A69,FY16Rev0!$A$4:$F$24,6,FALSE))*VLOOKUP($A69,FY16ProjMjrsActDegs!$A$3:$S$23,MATCH(N$28,FY16ProjMjrsActDegs!$A$2:$S$2,0),FALSE)</f>
        <v>0</v>
      </c>
      <c r="O69" s="345">
        <f>+GPpcntMjr*(VLOOKUP($A69,FY16Rev0!$A$4:$F$24,6,FALSE))*VLOOKUP($A69,FY16ProjMjrsActDegs!$A$3:$S$23,MATCH(O$28,FY16ProjMjrsActDegs!$A$2:$S$2,0),FALSE)</f>
        <v>1103189.7390250289</v>
      </c>
      <c r="P69" s="345">
        <f>+GPpcntMjr*(VLOOKUP($A69,FY16Rev0!$A$4:$F$24,6,FALSE))*VLOOKUP($A69,FY16ProjMjrsActDegs!$A$3:$S$23,MATCH(P$28,FY16ProjMjrsActDegs!$A$2:$S$2,0),FALSE)</f>
        <v>0</v>
      </c>
      <c r="Q69" s="345">
        <f>+GPpcntMjr*(VLOOKUP($A69,FY16Rev0!$A$4:$F$24,6,FALSE))*VLOOKUP($A69,FY16ProjMjrsActDegs!$A$3:$S$23,MATCH(Q$28,FY16ProjMjrsActDegs!$A$2:$S$2,0),FALSE)</f>
        <v>0</v>
      </c>
      <c r="R69" s="345">
        <f>+GPpcntMjr*(VLOOKUP($A69,FY16Rev0!$A$4:$F$24,6,FALSE))*VLOOKUP($A69,FY16ProjMjrsActDegs!$A$3:$S$23,MATCH(R$28,FY16ProjMjrsActDegs!$A$2:$S$2,0),FALSE)</f>
        <v>0</v>
      </c>
      <c r="S69" s="345">
        <f>+GPpcntMjr*(VLOOKUP($A69,FY16Rev0!$A$4:$F$24,6,FALSE))*VLOOKUP($A69,FY16ProjMjrsActDegs!$A$3:$S$23,MATCH(S$28,FY16ProjMjrsActDegs!$A$2:$S$2,0),FALSE)</f>
        <v>0</v>
      </c>
      <c r="T69" s="345">
        <f t="shared" si="6"/>
        <v>1103189.7390250289</v>
      </c>
    </row>
    <row r="70" spans="1:20" s="209" customFormat="1" ht="17.100000000000001" customHeight="1" x14ac:dyDescent="0.25">
      <c r="A70" s="325" t="s">
        <v>158</v>
      </c>
      <c r="B70" s="326" t="s">
        <v>45</v>
      </c>
      <c r="C70" s="312">
        <f>+GPpcntMjr*(VLOOKUP($A70,FY16Rev0!$A$4:$F$24,6,FALSE))*VLOOKUP($A70,FY16ProjMjrsActDegs!$A$3:$S$23,MATCH(C$28,FY16ProjMjrsActDegs!$A$2:$S$2,0),FALSE)</f>
        <v>0</v>
      </c>
      <c r="D70" s="312">
        <f>+GPpcntMjr*(VLOOKUP($A70,FY16Rev0!$A$4:$F$24,6,FALSE))*VLOOKUP($A70,FY16ProjMjrsActDegs!$A$3:$S$23,MATCH(D$28,FY16ProjMjrsActDegs!$A$2:$S$2,0),FALSE)</f>
        <v>0</v>
      </c>
      <c r="E70" s="312">
        <f>+GPpcntMjr*(VLOOKUP($A70,FY16Rev0!$A$4:$F$24,6,FALSE))*VLOOKUP($A70,FY16ProjMjrsActDegs!$A$3:$S$23,MATCH(E$28,FY16ProjMjrsActDegs!$A$2:$S$2,0),FALSE)</f>
        <v>0</v>
      </c>
      <c r="F70" s="312">
        <f>+GPpcntMjr*(VLOOKUP($A70,FY16Rev0!$A$4:$F$24,6,FALSE))*VLOOKUP($A70,FY16ProjMjrsActDegs!$A$3:$S$23,MATCH(F$28,FY16ProjMjrsActDegs!$A$2:$S$2,0),FALSE)</f>
        <v>0</v>
      </c>
      <c r="G70" s="312">
        <f>+GPpcntMjr*(VLOOKUP($A70,FY16Rev0!$A$4:$F$24,6,FALSE))*VLOOKUP($A70,FY16ProjMjrsActDegs!$A$3:$S$23,MATCH(G$28,FY16ProjMjrsActDegs!$A$2:$S$2,0),FALSE)</f>
        <v>0</v>
      </c>
      <c r="H70" s="312">
        <f>+GPpcntMjr*(VLOOKUP($A70,FY16Rev0!$A$4:$F$24,6,FALSE))*VLOOKUP($A70,FY16ProjMjrsActDegs!$A$3:$S$23,MATCH(H$28,FY16ProjMjrsActDegs!$A$2:$S$2,0),FALSE)</f>
        <v>0</v>
      </c>
      <c r="I70" s="312">
        <f>+GPpcntMjr*(VLOOKUP($A70,FY16Rev0!$A$4:$F$24,6,FALSE))*VLOOKUP($A70,FY16ProjMjrsActDegs!$A$3:$S$23,MATCH(I$28,FY16ProjMjrsActDegs!$A$2:$S$2,0),FALSE)</f>
        <v>0</v>
      </c>
      <c r="J70" s="312">
        <f>+GPpcntMjr*(VLOOKUP($A70,FY16Rev0!$A$4:$F$24,6,FALSE))*VLOOKUP($A70,FY16ProjMjrsActDegs!$A$3:$S$23,MATCH(J$28,FY16ProjMjrsActDegs!$A$2:$S$2,0),FALSE)</f>
        <v>0</v>
      </c>
      <c r="K70" s="312">
        <f>+GPpcntMjr*(VLOOKUP($A70,FY16Rev0!$A$4:$F$24,6,FALSE))*VLOOKUP($A70,FY16ProjMjrsActDegs!$A$3:$S$23,MATCH(K$28,FY16ProjMjrsActDegs!$A$2:$S$2,0),FALSE)</f>
        <v>0</v>
      </c>
      <c r="L70" s="312">
        <f>+GPpcntMjr*(VLOOKUP($A70,FY16Rev0!$A$4:$F$24,6,FALSE))*VLOOKUP($A70,FY16ProjMjrsActDegs!$A$3:$S$23,MATCH(L$28,FY16ProjMjrsActDegs!$A$2:$S$2,0),FALSE)</f>
        <v>0</v>
      </c>
      <c r="M70" s="312">
        <f>+GPpcntMjr*(VLOOKUP($A70,FY16Rev0!$A$4:$F$24,6,FALSE))*VLOOKUP($A70,FY16ProjMjrsActDegs!$A$3:$S$23,MATCH(M$28,FY16ProjMjrsActDegs!$A$2:$S$2,0),FALSE)</f>
        <v>0</v>
      </c>
      <c r="N70" s="312">
        <f>+GPpcntMjr*(VLOOKUP($A70,FY16Rev0!$A$4:$F$24,6,FALSE))*VLOOKUP($A70,FY16ProjMjrsActDegs!$A$3:$S$23,MATCH(N$28,FY16ProjMjrsActDegs!$A$2:$S$2,0),FALSE)</f>
        <v>0</v>
      </c>
      <c r="O70" s="312">
        <f>+GPpcntMjr*(VLOOKUP($A70,FY16Rev0!$A$4:$F$24,6,FALSE))*VLOOKUP($A70,FY16ProjMjrsActDegs!$A$3:$S$23,MATCH(O$28,FY16ProjMjrsActDegs!$A$2:$S$2,0),FALSE)</f>
        <v>0</v>
      </c>
      <c r="P70" s="312">
        <f>+GPpcntMjr*(VLOOKUP($A70,FY16Rev0!$A$4:$F$24,6,FALSE))*VLOOKUP($A70,FY16ProjMjrsActDegs!$A$3:$S$23,MATCH(P$28,FY16ProjMjrsActDegs!$A$2:$S$2,0),FALSE)</f>
        <v>5516009.3513764888</v>
      </c>
      <c r="Q70" s="312">
        <f>+GPpcntMjr*(VLOOKUP($A70,FY16Rev0!$A$4:$F$24,6,FALSE))*VLOOKUP($A70,FY16ProjMjrsActDegs!$A$3:$S$23,MATCH(Q$28,FY16ProjMjrsActDegs!$A$2:$S$2,0),FALSE)</f>
        <v>0</v>
      </c>
      <c r="R70" s="312">
        <f>+GPpcntMjr*(VLOOKUP($A70,FY16Rev0!$A$4:$F$24,6,FALSE))*VLOOKUP($A70,FY16ProjMjrsActDegs!$A$3:$S$23,MATCH(R$28,FY16ProjMjrsActDegs!$A$2:$S$2,0),FALSE)</f>
        <v>0</v>
      </c>
      <c r="S70" s="312">
        <f>+GPpcntMjr*(VLOOKUP($A70,FY16Rev0!$A$4:$F$24,6,FALSE))*VLOOKUP($A70,FY16ProjMjrsActDegs!$A$3:$S$23,MATCH(S$28,FY16ProjMjrsActDegs!$A$2:$S$2,0),FALSE)</f>
        <v>0</v>
      </c>
      <c r="T70" s="312">
        <f t="shared" si="6"/>
        <v>5516009.3513764888</v>
      </c>
    </row>
    <row r="71" spans="1:20" ht="17.100000000000001" customHeight="1" x14ac:dyDescent="0.25">
      <c r="A71" s="325" t="s">
        <v>159</v>
      </c>
      <c r="B71" s="344" t="s">
        <v>46</v>
      </c>
      <c r="C71" s="345">
        <f>+GPpcntMjr*(VLOOKUP($A71,FY16Rev0!$A$4:$F$24,6,FALSE))*VLOOKUP($A71,FY16ProjMjrsActDegs!$A$3:$S$23,MATCH(C$28,FY16ProjMjrsActDegs!$A$2:$S$2,0),FALSE)</f>
        <v>0</v>
      </c>
      <c r="D71" s="345">
        <f>+GPpcntMjr*(VLOOKUP($A71,FY16Rev0!$A$4:$F$24,6,FALSE))*VLOOKUP($A71,FY16ProjMjrsActDegs!$A$3:$S$23,MATCH(D$28,FY16ProjMjrsActDegs!$A$2:$S$2,0),FALSE)</f>
        <v>0</v>
      </c>
      <c r="E71" s="345">
        <f>+GPpcntMjr*(VLOOKUP($A71,FY16Rev0!$A$4:$F$24,6,FALSE))*VLOOKUP($A71,FY16ProjMjrsActDegs!$A$3:$S$23,MATCH(E$28,FY16ProjMjrsActDegs!$A$2:$S$2,0),FALSE)</f>
        <v>0</v>
      </c>
      <c r="F71" s="345">
        <f>+GPpcntMjr*(VLOOKUP($A71,FY16Rev0!$A$4:$F$24,6,FALSE))*VLOOKUP($A71,FY16ProjMjrsActDegs!$A$3:$S$23,MATCH(F$28,FY16ProjMjrsActDegs!$A$2:$S$2,0),FALSE)</f>
        <v>0</v>
      </c>
      <c r="G71" s="345">
        <f>+GPpcntMjr*(VLOOKUP($A71,FY16Rev0!$A$4:$F$24,6,FALSE))*VLOOKUP($A71,FY16ProjMjrsActDegs!$A$3:$S$23,MATCH(G$28,FY16ProjMjrsActDegs!$A$2:$S$2,0),FALSE)</f>
        <v>29067.747038738537</v>
      </c>
      <c r="H71" s="345">
        <f>+GPpcntMjr*(VLOOKUP($A71,FY16Rev0!$A$4:$F$24,6,FALSE))*VLOOKUP($A71,FY16ProjMjrsActDegs!$A$3:$S$23,MATCH(H$28,FY16ProjMjrsActDegs!$A$2:$S$2,0),FALSE)</f>
        <v>0</v>
      </c>
      <c r="I71" s="345">
        <f>+GPpcntMjr*(VLOOKUP($A71,FY16Rev0!$A$4:$F$24,6,FALSE))*VLOOKUP($A71,FY16ProjMjrsActDegs!$A$3:$S$23,MATCH(I$28,FY16ProjMjrsActDegs!$A$2:$S$2,0),FALSE)</f>
        <v>0</v>
      </c>
      <c r="J71" s="345">
        <f>+GPpcntMjr*(VLOOKUP($A71,FY16Rev0!$A$4:$F$24,6,FALSE))*VLOOKUP($A71,FY16ProjMjrsActDegs!$A$3:$S$23,MATCH(J$28,FY16ProjMjrsActDegs!$A$2:$S$2,0),FALSE)</f>
        <v>0</v>
      </c>
      <c r="K71" s="345">
        <f>+GPpcntMjr*(VLOOKUP($A71,FY16Rev0!$A$4:$F$24,6,FALSE))*VLOOKUP($A71,FY16ProjMjrsActDegs!$A$3:$S$23,MATCH(K$28,FY16ProjMjrsActDegs!$A$2:$S$2,0),FALSE)</f>
        <v>0</v>
      </c>
      <c r="L71" s="345">
        <f>+GPpcntMjr*(VLOOKUP($A71,FY16Rev0!$A$4:$F$24,6,FALSE))*VLOOKUP($A71,FY16ProjMjrsActDegs!$A$3:$S$23,MATCH(L$28,FY16ProjMjrsActDegs!$A$2:$S$2,0),FALSE)</f>
        <v>0</v>
      </c>
      <c r="M71" s="345">
        <f>+GPpcntMjr*(VLOOKUP($A71,FY16Rev0!$A$4:$F$24,6,FALSE))*VLOOKUP($A71,FY16ProjMjrsActDegs!$A$3:$S$23,MATCH(M$28,FY16ProjMjrsActDegs!$A$2:$S$2,0),FALSE)</f>
        <v>0</v>
      </c>
      <c r="N71" s="345">
        <f>+GPpcntMjr*(VLOOKUP($A71,FY16Rev0!$A$4:$F$24,6,FALSE))*VLOOKUP($A71,FY16ProjMjrsActDegs!$A$3:$S$23,MATCH(N$28,FY16ProjMjrsActDegs!$A$2:$S$2,0),FALSE)</f>
        <v>11452692.333262982</v>
      </c>
      <c r="O71" s="345">
        <f>+GPpcntMjr*(VLOOKUP($A71,FY16Rev0!$A$4:$F$24,6,FALSE))*VLOOKUP($A71,FY16ProjMjrsActDegs!$A$3:$S$23,MATCH(O$28,FY16ProjMjrsActDegs!$A$2:$S$2,0),FALSE)</f>
        <v>0</v>
      </c>
      <c r="P71" s="345">
        <f>+GPpcntMjr*(VLOOKUP($A71,FY16Rev0!$A$4:$F$24,6,FALSE))*VLOOKUP($A71,FY16ProjMjrsActDegs!$A$3:$S$23,MATCH(P$28,FY16ProjMjrsActDegs!$A$2:$S$2,0),FALSE)</f>
        <v>0</v>
      </c>
      <c r="Q71" s="345">
        <f>+GPpcntMjr*(VLOOKUP($A71,FY16Rev0!$A$4:$F$24,6,FALSE))*VLOOKUP($A71,FY16ProjMjrsActDegs!$A$3:$S$23,MATCH(Q$28,FY16ProjMjrsActDegs!$A$2:$S$2,0),FALSE)</f>
        <v>179251.10673888761</v>
      </c>
      <c r="R71" s="345">
        <f>+GPpcntMjr*(VLOOKUP($A71,FY16Rev0!$A$4:$F$24,6,FALSE))*VLOOKUP($A71,FY16ProjMjrsActDegs!$A$3:$S$23,MATCH(R$28,FY16ProjMjrsActDegs!$A$2:$S$2,0),FALSE)</f>
        <v>0</v>
      </c>
      <c r="S71" s="345">
        <f>+GPpcntMjr*(VLOOKUP($A71,FY16Rev0!$A$4:$F$24,6,FALSE))*VLOOKUP($A71,FY16ProjMjrsActDegs!$A$3:$S$23,MATCH(S$28,FY16ProjMjrsActDegs!$A$2:$S$2,0),FALSE)</f>
        <v>77513.992103302779</v>
      </c>
      <c r="T71" s="345">
        <f t="shared" si="6"/>
        <v>11738525.179143911</v>
      </c>
    </row>
    <row r="72" spans="1:20" s="209" customFormat="1" ht="17.100000000000001" customHeight="1" x14ac:dyDescent="0.25">
      <c r="A72" s="325" t="s">
        <v>160</v>
      </c>
      <c r="B72" s="326" t="s">
        <v>48</v>
      </c>
      <c r="C72" s="312">
        <f>+GPpcntMjr*(VLOOKUP($A72,FY16Rev0!$A$4:$F$24,6,FALSE))*VLOOKUP($A72,FY16ProjMjrsActDegs!$A$3:$S$23,MATCH(C$28,FY16ProjMjrsActDegs!$A$2:$S$2,0),FALSE)</f>
        <v>0</v>
      </c>
      <c r="D72" s="312">
        <f>+GPpcntMjr*(VLOOKUP($A72,FY16Rev0!$A$4:$F$24,6,FALSE))*VLOOKUP($A72,FY16ProjMjrsActDegs!$A$3:$S$23,MATCH(D$28,FY16ProjMjrsActDegs!$A$2:$S$2,0),FALSE)</f>
        <v>0</v>
      </c>
      <c r="E72" s="312">
        <f>+GPpcntMjr*(VLOOKUP($A72,FY16Rev0!$A$4:$F$24,6,FALSE))*VLOOKUP($A72,FY16ProjMjrsActDegs!$A$3:$S$23,MATCH(E$28,FY16ProjMjrsActDegs!$A$2:$S$2,0),FALSE)</f>
        <v>0</v>
      </c>
      <c r="F72" s="312">
        <f>+GPpcntMjr*(VLOOKUP($A72,FY16Rev0!$A$4:$F$24,6,FALSE))*VLOOKUP($A72,FY16ProjMjrsActDegs!$A$3:$S$23,MATCH(F$28,FY16ProjMjrsActDegs!$A$2:$S$2,0),FALSE)</f>
        <v>0</v>
      </c>
      <c r="G72" s="312">
        <f>+GPpcntMjr*(VLOOKUP($A72,FY16Rev0!$A$4:$F$24,6,FALSE))*VLOOKUP($A72,FY16ProjMjrsActDegs!$A$3:$S$23,MATCH(G$28,FY16ProjMjrsActDegs!$A$2:$S$2,0),FALSE)</f>
        <v>0</v>
      </c>
      <c r="H72" s="312">
        <f>+GPpcntMjr*(VLOOKUP($A72,FY16Rev0!$A$4:$F$24,6,FALSE))*VLOOKUP($A72,FY16ProjMjrsActDegs!$A$3:$S$23,MATCH(H$28,FY16ProjMjrsActDegs!$A$2:$S$2,0),FALSE)</f>
        <v>0</v>
      </c>
      <c r="I72" s="312">
        <f>+GPpcntMjr*(VLOOKUP($A72,FY16Rev0!$A$4:$F$24,6,FALSE))*VLOOKUP($A72,FY16ProjMjrsActDegs!$A$3:$S$23,MATCH(I$28,FY16ProjMjrsActDegs!$A$2:$S$2,0),FALSE)</f>
        <v>0</v>
      </c>
      <c r="J72" s="312">
        <f>+GPpcntMjr*(VLOOKUP($A72,FY16Rev0!$A$4:$F$24,6,FALSE))*VLOOKUP($A72,FY16ProjMjrsActDegs!$A$3:$S$23,MATCH(J$28,FY16ProjMjrsActDegs!$A$2:$S$2,0),FALSE)</f>
        <v>0</v>
      </c>
      <c r="K72" s="312">
        <f>+GPpcntMjr*(VLOOKUP($A72,FY16Rev0!$A$4:$F$24,6,FALSE))*VLOOKUP($A72,FY16ProjMjrsActDegs!$A$3:$S$23,MATCH(K$28,FY16ProjMjrsActDegs!$A$2:$S$2,0),FALSE)</f>
        <v>0</v>
      </c>
      <c r="L72" s="312">
        <f>+GPpcntMjr*(VLOOKUP($A72,FY16Rev0!$A$4:$F$24,6,FALSE))*VLOOKUP($A72,FY16ProjMjrsActDegs!$A$3:$S$23,MATCH(L$28,FY16ProjMjrsActDegs!$A$2:$S$2,0),FALSE)</f>
        <v>0</v>
      </c>
      <c r="M72" s="312">
        <f>+GPpcntMjr*(VLOOKUP($A72,FY16Rev0!$A$4:$F$24,6,FALSE))*VLOOKUP($A72,FY16ProjMjrsActDegs!$A$3:$S$23,MATCH(M$28,FY16ProjMjrsActDegs!$A$2:$S$2,0),FALSE)</f>
        <v>4634306.1562853232</v>
      </c>
      <c r="N72" s="312">
        <f>+GPpcntMjr*(VLOOKUP($A72,FY16Rev0!$A$4:$F$24,6,FALSE))*VLOOKUP($A72,FY16ProjMjrsActDegs!$A$3:$S$23,MATCH(N$28,FY16ProjMjrsActDegs!$A$2:$S$2,0),FALSE)</f>
        <v>0</v>
      </c>
      <c r="O72" s="312">
        <f>+GPpcntMjr*(VLOOKUP($A72,FY16Rev0!$A$4:$F$24,6,FALSE))*VLOOKUP($A72,FY16ProjMjrsActDegs!$A$3:$S$23,MATCH(O$28,FY16ProjMjrsActDegs!$A$2:$S$2,0),FALSE)</f>
        <v>0</v>
      </c>
      <c r="P72" s="312">
        <f>+GPpcntMjr*(VLOOKUP($A72,FY16Rev0!$A$4:$F$24,6,FALSE))*VLOOKUP($A72,FY16ProjMjrsActDegs!$A$3:$S$23,MATCH(P$28,FY16ProjMjrsActDegs!$A$2:$S$2,0),FALSE)</f>
        <v>0</v>
      </c>
      <c r="Q72" s="312">
        <f>+GPpcntMjr*(VLOOKUP($A72,FY16Rev0!$A$4:$F$24,6,FALSE))*VLOOKUP($A72,FY16ProjMjrsActDegs!$A$3:$S$23,MATCH(Q$28,FY16ProjMjrsActDegs!$A$2:$S$2,0),FALSE)</f>
        <v>0</v>
      </c>
      <c r="R72" s="312">
        <f>+GPpcntMjr*(VLOOKUP($A72,FY16Rev0!$A$4:$F$24,6,FALSE))*VLOOKUP($A72,FY16ProjMjrsActDegs!$A$3:$S$23,MATCH(R$28,FY16ProjMjrsActDegs!$A$2:$S$2,0),FALSE)</f>
        <v>0</v>
      </c>
      <c r="S72" s="312">
        <f>+GPpcntMjr*(VLOOKUP($A72,FY16Rev0!$A$4:$F$24,6,FALSE))*VLOOKUP($A72,FY16ProjMjrsActDegs!$A$3:$S$23,MATCH(S$28,FY16ProjMjrsActDegs!$A$2:$S$2,0),FALSE)</f>
        <v>0</v>
      </c>
      <c r="T72" s="312">
        <f t="shared" si="6"/>
        <v>4634306.1562853232</v>
      </c>
    </row>
    <row r="73" spans="1:20" ht="17.100000000000001" customHeight="1" x14ac:dyDescent="0.25">
      <c r="A73" s="346" t="s">
        <v>161</v>
      </c>
      <c r="B73" s="347" t="s">
        <v>289</v>
      </c>
      <c r="C73" s="345">
        <f>+GPpcntMjr*(VLOOKUP($A73,FY16Rev0!$A$4:$F$24,6,FALSE))*VLOOKUP($A73,FY16ProjMjrsActDegs!$A$3:$S$23,MATCH(C$28,FY16ProjMjrsActDegs!$A$2:$S$2,0),FALSE)</f>
        <v>0</v>
      </c>
      <c r="D73" s="345">
        <f>+GPpcntMjr*(VLOOKUP($A73,FY16Rev0!$A$4:$F$24,6,FALSE))*VLOOKUP($A73,FY16ProjMjrsActDegs!$A$3:$S$23,MATCH(D$28,FY16ProjMjrsActDegs!$A$2:$S$2,0),FALSE)</f>
        <v>0</v>
      </c>
      <c r="E73" s="345">
        <f>+GPpcntMjr*(VLOOKUP($A73,FY16Rev0!$A$4:$F$24,6,FALSE))*VLOOKUP($A73,FY16ProjMjrsActDegs!$A$3:$S$23,MATCH(E$28,FY16ProjMjrsActDegs!$A$2:$S$2,0),FALSE)</f>
        <v>0</v>
      </c>
      <c r="F73" s="345">
        <f>+GPpcntMjr*(VLOOKUP($A73,FY16Rev0!$A$4:$F$24,6,FALSE))*VLOOKUP($A73,FY16ProjMjrsActDegs!$A$3:$S$23,MATCH(F$28,FY16ProjMjrsActDegs!$A$2:$S$2,0),FALSE)</f>
        <v>0</v>
      </c>
      <c r="G73" s="345">
        <f>+GPpcntMjr*(VLOOKUP($A73,FY16Rev0!$A$4:$F$24,6,FALSE))*VLOOKUP($A73,FY16ProjMjrsActDegs!$A$3:$S$23,MATCH(G$28,FY16ProjMjrsActDegs!$A$2:$S$2,0),FALSE)</f>
        <v>0</v>
      </c>
      <c r="H73" s="345">
        <f>+GPpcntMjr*(VLOOKUP($A73,FY16Rev0!$A$4:$F$24,6,FALSE))*VLOOKUP($A73,FY16ProjMjrsActDegs!$A$3:$S$23,MATCH(H$28,FY16ProjMjrsActDegs!$A$2:$S$2,0),FALSE)</f>
        <v>0</v>
      </c>
      <c r="I73" s="345">
        <f>+GPpcntMjr*(VLOOKUP($A73,FY16Rev0!$A$4:$F$24,6,FALSE))*VLOOKUP($A73,FY16ProjMjrsActDegs!$A$3:$S$23,MATCH(I$28,FY16ProjMjrsActDegs!$A$2:$S$2,0),FALSE)</f>
        <v>0</v>
      </c>
      <c r="J73" s="345">
        <f>+GPpcntMjr*(VLOOKUP($A73,FY16Rev0!$A$4:$F$24,6,FALSE))*VLOOKUP($A73,FY16ProjMjrsActDegs!$A$3:$S$23,MATCH(J$28,FY16ProjMjrsActDegs!$A$2:$S$2,0),FALSE)</f>
        <v>0</v>
      </c>
      <c r="K73" s="345">
        <f>+GPpcntMjr*(VLOOKUP($A73,FY16Rev0!$A$4:$F$24,6,FALSE))*VLOOKUP($A73,FY16ProjMjrsActDegs!$A$3:$S$23,MATCH(K$28,FY16ProjMjrsActDegs!$A$2:$S$2,0),FALSE)</f>
        <v>0</v>
      </c>
      <c r="L73" s="345">
        <f>+GPpcntMjr*(VLOOKUP($A73,FY16Rev0!$A$4:$F$24,6,FALSE))*VLOOKUP($A73,FY16ProjMjrsActDegs!$A$3:$S$23,MATCH(L$28,FY16ProjMjrsActDegs!$A$2:$S$2,0),FALSE)</f>
        <v>0</v>
      </c>
      <c r="M73" s="345">
        <f>+GPpcntMjr*(VLOOKUP($A73,FY16Rev0!$A$4:$F$24,6,FALSE))*VLOOKUP($A73,FY16ProjMjrsActDegs!$A$3:$S$23,MATCH(M$28,FY16ProjMjrsActDegs!$A$2:$S$2,0),FALSE)</f>
        <v>703552.26837685844</v>
      </c>
      <c r="N73" s="345">
        <f>+GPpcntMjr*(VLOOKUP($A73,FY16Rev0!$A$4:$F$24,6,FALSE))*VLOOKUP($A73,FY16ProjMjrsActDegs!$A$3:$S$23,MATCH(N$28,FY16ProjMjrsActDegs!$A$2:$S$2,0),FALSE)</f>
        <v>0</v>
      </c>
      <c r="O73" s="345">
        <f>+GPpcntMjr*(VLOOKUP($A73,FY16Rev0!$A$4:$F$24,6,FALSE))*VLOOKUP($A73,FY16ProjMjrsActDegs!$A$3:$S$23,MATCH(O$28,FY16ProjMjrsActDegs!$A$2:$S$2,0),FALSE)</f>
        <v>0</v>
      </c>
      <c r="P73" s="345">
        <f>+GPpcntMjr*(VLOOKUP($A73,FY16Rev0!$A$4:$F$24,6,FALSE))*VLOOKUP($A73,FY16ProjMjrsActDegs!$A$3:$S$23,MATCH(P$28,FY16ProjMjrsActDegs!$A$2:$S$2,0),FALSE)</f>
        <v>0</v>
      </c>
      <c r="Q73" s="345">
        <f>+GPpcntMjr*(VLOOKUP($A73,FY16Rev0!$A$4:$F$24,6,FALSE))*VLOOKUP($A73,FY16ProjMjrsActDegs!$A$3:$S$23,MATCH(Q$28,FY16ProjMjrsActDegs!$A$2:$S$2,0),FALSE)</f>
        <v>0</v>
      </c>
      <c r="R73" s="345">
        <f>+GPpcntMjr*(VLOOKUP($A73,FY16Rev0!$A$4:$F$24,6,FALSE))*VLOOKUP($A73,FY16ProjMjrsActDegs!$A$3:$S$23,MATCH(R$28,FY16ProjMjrsActDegs!$A$2:$S$2,0),FALSE)</f>
        <v>0</v>
      </c>
      <c r="S73" s="345">
        <f>+GPpcntMjr*(VLOOKUP($A73,FY16Rev0!$A$4:$F$24,6,FALSE))*VLOOKUP($A73,FY16ProjMjrsActDegs!$A$3:$S$23,MATCH(S$28,FY16ProjMjrsActDegs!$A$2:$S$2,0),FALSE)</f>
        <v>0</v>
      </c>
      <c r="T73" s="345">
        <f t="shared" si="6"/>
        <v>703552.26837685844</v>
      </c>
    </row>
    <row r="74" spans="1:20" ht="17.100000000000001" customHeight="1" x14ac:dyDescent="0.25">
      <c r="B74" s="348" t="s">
        <v>141</v>
      </c>
      <c r="C74" s="349">
        <f t="shared" ref="C74:S74" si="7">SUM(C53:C73)</f>
        <v>5736659.1917956695</v>
      </c>
      <c r="D74" s="349">
        <f t="shared" si="7"/>
        <v>77045866.195728898</v>
      </c>
      <c r="E74" s="349">
        <f t="shared" si="7"/>
        <v>16020058.028015932</v>
      </c>
      <c r="F74" s="349">
        <f t="shared" si="7"/>
        <v>5408462.8823228246</v>
      </c>
      <c r="G74" s="349">
        <f t="shared" si="7"/>
        <v>20122871.143815916</v>
      </c>
      <c r="H74" s="349">
        <f t="shared" si="7"/>
        <v>6446245.8911199281</v>
      </c>
      <c r="I74" s="349">
        <f t="shared" si="7"/>
        <v>1818811.580509065</v>
      </c>
      <c r="J74" s="349">
        <f t="shared" si="7"/>
        <v>8784268.1592105739</v>
      </c>
      <c r="K74" s="349">
        <f t="shared" si="7"/>
        <v>3318109.9800503268</v>
      </c>
      <c r="L74" s="349">
        <f t="shared" si="7"/>
        <v>3150955.6784962574</v>
      </c>
      <c r="M74" s="349">
        <f t="shared" si="7"/>
        <v>5340226.2161071897</v>
      </c>
      <c r="N74" s="349">
        <f t="shared" si="7"/>
        <v>17313614.569550406</v>
      </c>
      <c r="O74" s="349">
        <f t="shared" si="7"/>
        <v>3281096.9236461171</v>
      </c>
      <c r="P74" s="349">
        <f t="shared" si="7"/>
        <v>5762677.4471777165</v>
      </c>
      <c r="Q74" s="349">
        <f t="shared" si="7"/>
        <v>5436554.1732222037</v>
      </c>
      <c r="R74" s="349">
        <f t="shared" si="7"/>
        <v>155943.09618206034</v>
      </c>
      <c r="S74" s="349">
        <f t="shared" si="7"/>
        <v>969608.32728905778</v>
      </c>
      <c r="T74" s="349">
        <f t="shared" si="6"/>
        <v>186112029.48424011</v>
      </c>
    </row>
  </sheetData>
  <mergeCells count="5">
    <mergeCell ref="B1:T1"/>
    <mergeCell ref="A2:A3"/>
    <mergeCell ref="B4:T4"/>
    <mergeCell ref="B27:T27"/>
    <mergeCell ref="B51:T5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74"/>
  <sheetViews>
    <sheetView topLeftCell="B1" workbookViewId="0">
      <pane xSplit="1" ySplit="4" topLeftCell="H47" activePane="bottomRight" state="frozen"/>
      <selection activeCell="B1" sqref="B1"/>
      <selection pane="topRight" activeCell="C1" sqref="C1"/>
      <selection pane="bottomLeft" activeCell="B5" sqref="B5"/>
      <selection pane="bottomRight" activeCell="B1" sqref="A1:XFD1048576"/>
    </sheetView>
  </sheetViews>
  <sheetFormatPr defaultColWidth="8.85546875" defaultRowHeight="15" x14ac:dyDescent="0.25"/>
  <cols>
    <col min="1" max="1" width="2.28515625" customWidth="1"/>
    <col min="2" max="2" width="41.85546875" customWidth="1"/>
    <col min="3" max="3" width="13.42578125" customWidth="1"/>
    <col min="4" max="19" width="13.7109375" customWidth="1"/>
    <col min="20" max="20" width="14.85546875" customWidth="1"/>
    <col min="21" max="24" width="12.7109375" customWidth="1"/>
    <col min="25" max="25" width="15.85546875" customWidth="1"/>
    <col min="26" max="30" width="13.7109375" customWidth="1"/>
    <col min="31" max="31" width="24.42578125" customWidth="1"/>
    <col min="32" max="33" width="15.7109375" customWidth="1"/>
    <col min="34" max="34" width="13.28515625" bestFit="1" customWidth="1"/>
    <col min="35" max="35" width="14.28515625" bestFit="1" customWidth="1"/>
    <col min="36" max="39" width="13.28515625" bestFit="1" customWidth="1"/>
    <col min="40" max="40" width="14.7109375" customWidth="1"/>
    <col min="41" max="41" width="16" customWidth="1"/>
  </cols>
  <sheetData>
    <row r="1" spans="1:24" ht="18.75" x14ac:dyDescent="0.25">
      <c r="B1" s="494" t="s">
        <v>326</v>
      </c>
      <c r="C1" s="494"/>
      <c r="D1" s="494"/>
      <c r="E1" s="494"/>
      <c r="F1" s="494"/>
      <c r="G1" s="494"/>
      <c r="H1" s="494"/>
      <c r="I1" s="494"/>
      <c r="J1" s="494"/>
      <c r="K1" s="494"/>
      <c r="L1" s="494"/>
      <c r="M1" s="494"/>
      <c r="N1" s="494"/>
      <c r="O1" s="494"/>
      <c r="P1" s="494"/>
      <c r="Q1" s="494"/>
      <c r="R1" s="494"/>
      <c r="S1" s="494"/>
      <c r="T1" s="494"/>
    </row>
    <row r="2" spans="1:24" ht="45" x14ac:dyDescent="0.25">
      <c r="A2" s="495"/>
      <c r="B2" s="361" t="s">
        <v>104</v>
      </c>
      <c r="C2" s="362" t="s">
        <v>246</v>
      </c>
      <c r="D2" s="362" t="s">
        <v>248</v>
      </c>
      <c r="E2" s="362" t="s">
        <v>249</v>
      </c>
      <c r="F2" s="363" t="s">
        <v>250</v>
      </c>
      <c r="G2" s="362" t="s">
        <v>251</v>
      </c>
      <c r="H2" s="362" t="s">
        <v>252</v>
      </c>
      <c r="I2" s="362" t="s">
        <v>253</v>
      </c>
      <c r="J2" s="362" t="s">
        <v>254</v>
      </c>
      <c r="K2" s="362" t="s">
        <v>256</v>
      </c>
      <c r="L2" s="362" t="s">
        <v>258</v>
      </c>
      <c r="M2" s="362" t="s">
        <v>260</v>
      </c>
      <c r="N2" s="362" t="s">
        <v>262</v>
      </c>
      <c r="O2" s="362" t="s">
        <v>264</v>
      </c>
      <c r="P2" s="362" t="s">
        <v>265</v>
      </c>
      <c r="Q2" s="362" t="s">
        <v>267</v>
      </c>
      <c r="R2" s="362" t="s">
        <v>292</v>
      </c>
      <c r="S2" s="362" t="s">
        <v>293</v>
      </c>
      <c r="T2" s="364" t="s">
        <v>294</v>
      </c>
    </row>
    <row r="3" spans="1:24" x14ac:dyDescent="0.25">
      <c r="A3" s="496"/>
      <c r="B3" s="365"/>
      <c r="C3" s="366">
        <v>252</v>
      </c>
      <c r="D3" s="366">
        <v>254</v>
      </c>
      <c r="E3" s="366">
        <v>256</v>
      </c>
      <c r="F3" s="367">
        <v>258</v>
      </c>
      <c r="G3" s="366">
        <v>260</v>
      </c>
      <c r="H3" s="366">
        <v>263</v>
      </c>
      <c r="I3" s="366">
        <v>267</v>
      </c>
      <c r="J3" s="366">
        <v>268</v>
      </c>
      <c r="K3" s="366">
        <v>270</v>
      </c>
      <c r="L3" s="366">
        <v>272</v>
      </c>
      <c r="M3" s="366">
        <v>302</v>
      </c>
      <c r="N3" s="366">
        <v>304</v>
      </c>
      <c r="O3" s="366">
        <v>306</v>
      </c>
      <c r="P3" s="366">
        <v>308</v>
      </c>
      <c r="Q3" s="366">
        <v>310</v>
      </c>
      <c r="R3" s="366">
        <v>282</v>
      </c>
      <c r="S3" s="366">
        <v>266</v>
      </c>
      <c r="T3" s="368"/>
    </row>
    <row r="4" spans="1:24" ht="15.75" x14ac:dyDescent="0.25">
      <c r="A4" s="308"/>
      <c r="B4" s="497" t="s">
        <v>295</v>
      </c>
      <c r="C4" s="497"/>
      <c r="D4" s="497"/>
      <c r="E4" s="497"/>
      <c r="F4" s="497"/>
      <c r="G4" s="497"/>
      <c r="H4" s="497"/>
      <c r="I4" s="497"/>
      <c r="J4" s="497"/>
      <c r="K4" s="497"/>
      <c r="L4" s="497"/>
      <c r="M4" s="497"/>
      <c r="N4" s="497"/>
      <c r="O4" s="497"/>
      <c r="P4" s="497"/>
      <c r="Q4" s="497"/>
      <c r="R4" s="497"/>
      <c r="S4" s="497"/>
      <c r="T4" s="497"/>
    </row>
    <row r="5" spans="1:24" ht="24.75" x14ac:dyDescent="0.25">
      <c r="A5" s="369" t="s">
        <v>1</v>
      </c>
      <c r="B5" s="370" t="s">
        <v>2</v>
      </c>
      <c r="C5" s="371">
        <f t="shared" ref="C5:S10" si="0">+C29+C53</f>
        <v>5643647.3924750919</v>
      </c>
      <c r="D5" s="371">
        <f t="shared" si="0"/>
        <v>184080443.70103019</v>
      </c>
      <c r="E5" s="371">
        <f t="shared" si="0"/>
        <v>23355909.351973239</v>
      </c>
      <c r="F5" s="371">
        <f t="shared" si="0"/>
        <v>4364127.1956583746</v>
      </c>
      <c r="G5" s="371">
        <f t="shared" si="0"/>
        <v>29051396.557701141</v>
      </c>
      <c r="H5" s="371">
        <f t="shared" si="0"/>
        <v>13585282.024471926</v>
      </c>
      <c r="I5" s="371">
        <f t="shared" si="0"/>
        <v>4017346.4646355938</v>
      </c>
      <c r="J5" s="371">
        <f t="shared" si="0"/>
        <v>100264.44540524995</v>
      </c>
      <c r="K5" s="371">
        <f t="shared" si="0"/>
        <v>29539.666634974488</v>
      </c>
      <c r="L5" s="371">
        <f t="shared" si="0"/>
        <v>1062668.4032173855</v>
      </c>
      <c r="M5" s="371">
        <f t="shared" si="0"/>
        <v>10083.251591746099</v>
      </c>
      <c r="N5" s="371">
        <f t="shared" si="0"/>
        <v>8151107.2543611079</v>
      </c>
      <c r="O5" s="371">
        <f t="shared" si="0"/>
        <v>3300702.3226619894</v>
      </c>
      <c r="P5" s="371">
        <f t="shared" si="0"/>
        <v>58085.209873579646</v>
      </c>
      <c r="Q5" s="371">
        <f t="shared" si="0"/>
        <v>5109248.8713438287</v>
      </c>
      <c r="R5" s="371">
        <f t="shared" si="0"/>
        <v>2500887.174233098</v>
      </c>
      <c r="S5" s="371">
        <f t="shared" si="0"/>
        <v>41043.094507248206</v>
      </c>
      <c r="T5" s="371">
        <f t="shared" ref="T5:T26" si="1">SUM(C5:S5)</f>
        <v>284461782.3817758</v>
      </c>
      <c r="X5" s="309"/>
    </row>
    <row r="6" spans="1:24" ht="24.75" x14ac:dyDescent="0.25">
      <c r="A6" s="310" t="s">
        <v>7</v>
      </c>
      <c r="B6" s="311" t="s">
        <v>9</v>
      </c>
      <c r="C6" s="312">
        <f t="shared" si="0"/>
        <v>95732.785316507463</v>
      </c>
      <c r="D6" s="312">
        <f t="shared" si="0"/>
        <v>9272887.2520291191</v>
      </c>
      <c r="E6" s="312">
        <f t="shared" si="0"/>
        <v>336186.99058240128</v>
      </c>
      <c r="F6" s="312">
        <f t="shared" si="0"/>
        <v>39184.756743500475</v>
      </c>
      <c r="G6" s="312">
        <f t="shared" si="0"/>
        <v>579564.59710478655</v>
      </c>
      <c r="H6" s="312">
        <f t="shared" si="0"/>
        <v>14774.792280698914</v>
      </c>
      <c r="I6" s="312">
        <f t="shared" si="0"/>
        <v>229332.96205562862</v>
      </c>
      <c r="J6" s="312">
        <f t="shared" si="0"/>
        <v>9709.6883822140808</v>
      </c>
      <c r="K6" s="312">
        <f t="shared" si="0"/>
        <v>79475.214100148849</v>
      </c>
      <c r="L6" s="312">
        <f t="shared" si="0"/>
        <v>4418.546176527273</v>
      </c>
      <c r="M6" s="312">
        <f t="shared" si="0"/>
        <v>29.549584561397825</v>
      </c>
      <c r="N6" s="312">
        <f t="shared" si="0"/>
        <v>1972840.5256527741</v>
      </c>
      <c r="O6" s="312">
        <f t="shared" si="0"/>
        <v>3045.3737790205723</v>
      </c>
      <c r="P6" s="312">
        <f t="shared" si="0"/>
        <v>313763.91456199973</v>
      </c>
      <c r="Q6" s="312">
        <f t="shared" si="0"/>
        <v>29639.999884278615</v>
      </c>
      <c r="R6" s="312">
        <f t="shared" si="0"/>
        <v>147.74792280698912</v>
      </c>
      <c r="S6" s="312">
        <f t="shared" si="0"/>
        <v>1077480.1589280374</v>
      </c>
      <c r="T6" s="312">
        <f t="shared" si="1"/>
        <v>14058214.85508501</v>
      </c>
      <c r="W6" s="313"/>
      <c r="X6" s="309"/>
    </row>
    <row r="7" spans="1:24" ht="24.75" x14ac:dyDescent="0.25">
      <c r="A7" s="372" t="s">
        <v>10</v>
      </c>
      <c r="B7" s="373" t="s">
        <v>11</v>
      </c>
      <c r="C7" s="374">
        <f t="shared" si="0"/>
        <v>0</v>
      </c>
      <c r="D7" s="374">
        <f t="shared" si="0"/>
        <v>11570.819569255458</v>
      </c>
      <c r="E7" s="374">
        <f t="shared" si="0"/>
        <v>0</v>
      </c>
      <c r="F7" s="374">
        <f t="shared" si="0"/>
        <v>1382.3545503092805</v>
      </c>
      <c r="G7" s="374">
        <f t="shared" si="0"/>
        <v>51.1983166781215</v>
      </c>
      <c r="H7" s="374">
        <f t="shared" si="0"/>
        <v>0</v>
      </c>
      <c r="I7" s="374">
        <f t="shared" si="0"/>
        <v>204.793266712486</v>
      </c>
      <c r="J7" s="374">
        <f t="shared" si="0"/>
        <v>307.189900068729</v>
      </c>
      <c r="K7" s="374">
        <f t="shared" si="0"/>
        <v>204.793266712486</v>
      </c>
      <c r="L7" s="374">
        <f t="shared" si="0"/>
        <v>276573.57902668405</v>
      </c>
      <c r="M7" s="374">
        <f t="shared" si="0"/>
        <v>0</v>
      </c>
      <c r="N7" s="374">
        <f t="shared" si="0"/>
        <v>921492.63039969828</v>
      </c>
      <c r="O7" s="374">
        <f t="shared" si="0"/>
        <v>0</v>
      </c>
      <c r="P7" s="374">
        <f t="shared" si="0"/>
        <v>204.793266712486</v>
      </c>
      <c r="Q7" s="374">
        <f t="shared" si="0"/>
        <v>2918.304050652926</v>
      </c>
      <c r="R7" s="374">
        <f t="shared" si="0"/>
        <v>0</v>
      </c>
      <c r="S7" s="374">
        <f t="shared" si="0"/>
        <v>153.5949500343645</v>
      </c>
      <c r="T7" s="374">
        <f t="shared" si="1"/>
        <v>1215064.0505635187</v>
      </c>
    </row>
    <row r="8" spans="1:24" ht="24.75" x14ac:dyDescent="0.25">
      <c r="A8" s="310" t="s">
        <v>12</v>
      </c>
      <c r="B8" s="311" t="s">
        <v>14</v>
      </c>
      <c r="C8" s="312">
        <f t="shared" si="0"/>
        <v>11621.718791768284</v>
      </c>
      <c r="D8" s="312">
        <f t="shared" si="0"/>
        <v>161147.43327494728</v>
      </c>
      <c r="E8" s="312">
        <f t="shared" si="0"/>
        <v>22407.014815773808</v>
      </c>
      <c r="F8" s="312">
        <f t="shared" si="0"/>
        <v>18233.045435845786</v>
      </c>
      <c r="G8" s="312">
        <f t="shared" si="0"/>
        <v>7804451.7658909094</v>
      </c>
      <c r="H8" s="312">
        <f t="shared" si="0"/>
        <v>18539.59584974272</v>
      </c>
      <c r="I8" s="312">
        <f t="shared" si="0"/>
        <v>3135.8944891959</v>
      </c>
      <c r="J8" s="312">
        <f t="shared" si="0"/>
        <v>24924.149759781227</v>
      </c>
      <c r="K8" s="312">
        <f t="shared" si="0"/>
        <v>783.97362229897499</v>
      </c>
      <c r="L8" s="312">
        <f t="shared" si="0"/>
        <v>1077.9637306610907</v>
      </c>
      <c r="M8" s="312">
        <f t="shared" si="0"/>
        <v>0</v>
      </c>
      <c r="N8" s="312">
        <f t="shared" si="0"/>
        <v>130142.17284216051</v>
      </c>
      <c r="O8" s="312">
        <f t="shared" si="0"/>
        <v>474659.44403608289</v>
      </c>
      <c r="P8" s="312">
        <f t="shared" si="0"/>
        <v>587.98021672423124</v>
      </c>
      <c r="Q8" s="312">
        <f t="shared" si="0"/>
        <v>120998.32158984349</v>
      </c>
      <c r="R8" s="312">
        <f t="shared" si="0"/>
        <v>0</v>
      </c>
      <c r="S8" s="312">
        <f t="shared" si="0"/>
        <v>70846.301015081393</v>
      </c>
      <c r="T8" s="312">
        <f t="shared" si="1"/>
        <v>8863556.775360819</v>
      </c>
    </row>
    <row r="9" spans="1:24" ht="24.75" x14ac:dyDescent="0.25">
      <c r="A9" s="372" t="s">
        <v>15</v>
      </c>
      <c r="B9" s="373" t="s">
        <v>17</v>
      </c>
      <c r="C9" s="374">
        <f t="shared" si="0"/>
        <v>597.82950770315483</v>
      </c>
      <c r="D9" s="374">
        <f t="shared" si="0"/>
        <v>90874.654992468248</v>
      </c>
      <c r="E9" s="374">
        <f t="shared" si="0"/>
        <v>1110.2548000201448</v>
      </c>
      <c r="F9" s="374">
        <f t="shared" si="0"/>
        <v>640.53161539623738</v>
      </c>
      <c r="G9" s="374">
        <f t="shared" si="0"/>
        <v>4526.4234154667438</v>
      </c>
      <c r="H9" s="374">
        <f t="shared" si="0"/>
        <v>3382002.3594705448</v>
      </c>
      <c r="I9" s="374">
        <f t="shared" si="0"/>
        <v>0</v>
      </c>
      <c r="J9" s="374">
        <f t="shared" si="0"/>
        <v>1067.5526923270622</v>
      </c>
      <c r="K9" s="374">
        <f t="shared" si="0"/>
        <v>6490.720369348539</v>
      </c>
      <c r="L9" s="374">
        <f t="shared" si="0"/>
        <v>0</v>
      </c>
      <c r="M9" s="374">
        <f t="shared" si="0"/>
        <v>0</v>
      </c>
      <c r="N9" s="374">
        <f t="shared" si="0"/>
        <v>1323.7653384855573</v>
      </c>
      <c r="O9" s="374">
        <f t="shared" si="0"/>
        <v>0</v>
      </c>
      <c r="P9" s="374">
        <f t="shared" si="0"/>
        <v>0</v>
      </c>
      <c r="Q9" s="374">
        <f t="shared" si="0"/>
        <v>1494.5737692578873</v>
      </c>
      <c r="R9" s="374">
        <f t="shared" si="0"/>
        <v>128.10632307924746</v>
      </c>
      <c r="S9" s="374">
        <f t="shared" si="0"/>
        <v>1708.0843077232996</v>
      </c>
      <c r="T9" s="374">
        <f t="shared" si="1"/>
        <v>3491964.8566018213</v>
      </c>
    </row>
    <row r="10" spans="1:24" ht="24.75" x14ac:dyDescent="0.25">
      <c r="A10" s="310" t="s">
        <v>18</v>
      </c>
      <c r="B10" s="311" t="s">
        <v>19</v>
      </c>
      <c r="C10" s="312">
        <f t="shared" si="0"/>
        <v>0</v>
      </c>
      <c r="D10" s="312">
        <f t="shared" si="0"/>
        <v>34050.124708123127</v>
      </c>
      <c r="E10" s="312">
        <f t="shared" si="0"/>
        <v>178.13483436940191</v>
      </c>
      <c r="F10" s="312">
        <f t="shared" si="0"/>
        <v>4379863.8687141025</v>
      </c>
      <c r="G10" s="312">
        <f t="shared" si="0"/>
        <v>311.73596014645335</v>
      </c>
      <c r="H10" s="312">
        <f t="shared" si="0"/>
        <v>3829.8989389421417</v>
      </c>
      <c r="I10" s="312">
        <f t="shared" si="0"/>
        <v>757.0730460699582</v>
      </c>
      <c r="J10" s="312">
        <f t="shared" si="0"/>
        <v>0</v>
      </c>
      <c r="K10" s="312">
        <f t="shared" si="0"/>
        <v>5878.4495341902639</v>
      </c>
      <c r="L10" s="312">
        <f t="shared" si="0"/>
        <v>2716.5562241333791</v>
      </c>
      <c r="M10" s="312">
        <f t="shared" si="0"/>
        <v>0</v>
      </c>
      <c r="N10" s="312">
        <f t="shared" si="0"/>
        <v>1202.410131993463</v>
      </c>
      <c r="O10" s="312">
        <f t="shared" si="0"/>
        <v>445.33708592350479</v>
      </c>
      <c r="P10" s="312">
        <f t="shared" si="0"/>
        <v>0</v>
      </c>
      <c r="Q10" s="312">
        <f t="shared" si="0"/>
        <v>1603.2135093246175</v>
      </c>
      <c r="R10" s="312">
        <f t="shared" si="0"/>
        <v>0</v>
      </c>
      <c r="S10" s="312">
        <f t="shared" si="0"/>
        <v>1380.5449663628649</v>
      </c>
      <c r="T10" s="312">
        <f t="shared" si="1"/>
        <v>4432217.3476536805</v>
      </c>
    </row>
    <row r="11" spans="1:24" x14ac:dyDescent="0.25">
      <c r="A11" s="372"/>
      <c r="B11" s="373" t="s">
        <v>155</v>
      </c>
      <c r="C11" s="374"/>
      <c r="D11" s="374"/>
      <c r="E11" s="374"/>
      <c r="F11" s="374"/>
      <c r="G11" s="374"/>
      <c r="H11" s="374"/>
      <c r="I11" s="374"/>
      <c r="J11" s="374"/>
      <c r="K11" s="374"/>
      <c r="L11" s="374"/>
      <c r="M11" s="374"/>
      <c r="N11" s="374"/>
      <c r="O11" s="374"/>
      <c r="P11" s="374"/>
      <c r="Q11" s="374"/>
      <c r="R11" s="374"/>
      <c r="S11" s="374"/>
      <c r="T11" s="374"/>
    </row>
    <row r="12" spans="1:24" ht="24.75" x14ac:dyDescent="0.25">
      <c r="A12" s="310" t="s">
        <v>21</v>
      </c>
      <c r="B12" s="311" t="s">
        <v>22</v>
      </c>
      <c r="C12" s="312">
        <f t="shared" ref="C12:S25" si="2">+C36+C60</f>
        <v>123.37509888549818</v>
      </c>
      <c r="D12" s="312">
        <f t="shared" si="2"/>
        <v>6353.8175926031563</v>
      </c>
      <c r="E12" s="312">
        <f t="shared" si="2"/>
        <v>0</v>
      </c>
      <c r="F12" s="312">
        <f t="shared" si="2"/>
        <v>10240.359169215921</v>
      </c>
      <c r="G12" s="312">
        <f t="shared" si="2"/>
        <v>0</v>
      </c>
      <c r="H12" s="312">
        <f t="shared" si="2"/>
        <v>185.06264832824726</v>
      </c>
      <c r="I12" s="312">
        <f t="shared" si="2"/>
        <v>0</v>
      </c>
      <c r="J12" s="312">
        <f t="shared" si="2"/>
        <v>0</v>
      </c>
      <c r="K12" s="312">
        <f t="shared" si="2"/>
        <v>1974.0015821679708</v>
      </c>
      <c r="L12" s="312">
        <f t="shared" si="2"/>
        <v>3032145.8180941455</v>
      </c>
      <c r="M12" s="312">
        <f t="shared" si="2"/>
        <v>0</v>
      </c>
      <c r="N12" s="312">
        <f t="shared" si="2"/>
        <v>19760.879620453386</v>
      </c>
      <c r="O12" s="312">
        <f t="shared" si="2"/>
        <v>123.37509888549818</v>
      </c>
      <c r="P12" s="312">
        <f t="shared" si="2"/>
        <v>0</v>
      </c>
      <c r="Q12" s="312">
        <f t="shared" si="2"/>
        <v>89222.642025025867</v>
      </c>
      <c r="R12" s="312">
        <f t="shared" si="2"/>
        <v>0</v>
      </c>
      <c r="S12" s="312">
        <f t="shared" si="2"/>
        <v>18630.091855149371</v>
      </c>
      <c r="T12" s="312">
        <f t="shared" si="1"/>
        <v>3178759.4227848602</v>
      </c>
    </row>
    <row r="13" spans="1:24" ht="24.75" x14ac:dyDescent="0.25">
      <c r="A13" s="372" t="s">
        <v>23</v>
      </c>
      <c r="B13" s="373" t="s">
        <v>25</v>
      </c>
      <c r="C13" s="374">
        <f t="shared" si="2"/>
        <v>152.33739192198325</v>
      </c>
      <c r="D13" s="374">
        <f t="shared" si="2"/>
        <v>27471.509676597649</v>
      </c>
      <c r="E13" s="374">
        <f t="shared" si="2"/>
        <v>304.67478384396651</v>
      </c>
      <c r="F13" s="374">
        <f t="shared" si="2"/>
        <v>304.67478384396651</v>
      </c>
      <c r="G13" s="374">
        <f t="shared" si="2"/>
        <v>2386.6191401110709</v>
      </c>
      <c r="H13" s="374">
        <f t="shared" si="2"/>
        <v>1472.5947885791713</v>
      </c>
      <c r="I13" s="374">
        <f t="shared" si="2"/>
        <v>203.11652256264435</v>
      </c>
      <c r="J13" s="374">
        <f t="shared" si="2"/>
        <v>253.89565320330544</v>
      </c>
      <c r="K13" s="374">
        <f t="shared" si="2"/>
        <v>1624.9321805011548</v>
      </c>
      <c r="L13" s="374">
        <f t="shared" si="2"/>
        <v>457.01217576594973</v>
      </c>
      <c r="M13" s="374">
        <f t="shared" si="2"/>
        <v>101.55826128132217</v>
      </c>
      <c r="N13" s="374">
        <f t="shared" si="2"/>
        <v>33438.393812508708</v>
      </c>
      <c r="O13" s="374">
        <f t="shared" si="2"/>
        <v>203.11652256264435</v>
      </c>
      <c r="P13" s="374">
        <f t="shared" si="2"/>
        <v>2742.073054595699</v>
      </c>
      <c r="Q13" s="374">
        <f t="shared" si="2"/>
        <v>2413607.9117609491</v>
      </c>
      <c r="R13" s="374">
        <f t="shared" si="2"/>
        <v>0</v>
      </c>
      <c r="S13" s="374">
        <f t="shared" si="2"/>
        <v>914.02435153189947</v>
      </c>
      <c r="T13" s="374">
        <f t="shared" si="1"/>
        <v>2485638.4448603606</v>
      </c>
    </row>
    <row r="14" spans="1:24" ht="24.75" x14ac:dyDescent="0.25">
      <c r="A14" s="310" t="s">
        <v>26</v>
      </c>
      <c r="B14" s="311" t="s">
        <v>27</v>
      </c>
      <c r="C14" s="312">
        <f t="shared" si="2"/>
        <v>4078.2714685979781</v>
      </c>
      <c r="D14" s="312">
        <f t="shared" si="2"/>
        <v>55896.044945003538</v>
      </c>
      <c r="E14" s="312">
        <f t="shared" si="2"/>
        <v>0</v>
      </c>
      <c r="F14" s="312">
        <f t="shared" si="2"/>
        <v>178.09669311620408</v>
      </c>
      <c r="G14" s="312">
        <f t="shared" si="2"/>
        <v>9444.632880306739</v>
      </c>
      <c r="H14" s="312">
        <f t="shared" si="2"/>
        <v>593.65564372068025</v>
      </c>
      <c r="I14" s="312">
        <f t="shared" si="2"/>
        <v>0</v>
      </c>
      <c r="J14" s="312">
        <f t="shared" si="2"/>
        <v>1127.9457230692924</v>
      </c>
      <c r="K14" s="312">
        <f t="shared" si="2"/>
        <v>2018.4291886503127</v>
      </c>
      <c r="L14" s="312">
        <f t="shared" si="2"/>
        <v>27324.684046595063</v>
      </c>
      <c r="M14" s="312">
        <f t="shared" si="2"/>
        <v>3069.0568742728219</v>
      </c>
      <c r="N14" s="312">
        <f t="shared" si="2"/>
        <v>419249.30585089722</v>
      </c>
      <c r="O14" s="312">
        <f t="shared" si="2"/>
        <v>3128.4224386448905</v>
      </c>
      <c r="P14" s="312">
        <f t="shared" si="2"/>
        <v>1365.4079805575645</v>
      </c>
      <c r="Q14" s="312">
        <f t="shared" si="2"/>
        <v>1315915.868365838</v>
      </c>
      <c r="R14" s="312">
        <f t="shared" si="2"/>
        <v>0</v>
      </c>
      <c r="S14" s="312">
        <f t="shared" si="2"/>
        <v>653.02120809274822</v>
      </c>
      <c r="T14" s="312">
        <f t="shared" si="1"/>
        <v>1844042.8433073631</v>
      </c>
    </row>
    <row r="15" spans="1:24" x14ac:dyDescent="0.25">
      <c r="A15" s="372">
        <v>25</v>
      </c>
      <c r="B15" s="373" t="s">
        <v>30</v>
      </c>
      <c r="C15" s="374">
        <f t="shared" si="2"/>
        <v>4674502.7528023962</v>
      </c>
      <c r="D15" s="374">
        <f t="shared" si="2"/>
        <v>16504.510456714685</v>
      </c>
      <c r="E15" s="374">
        <f t="shared" si="2"/>
        <v>4789.2552664573859</v>
      </c>
      <c r="F15" s="374">
        <f t="shared" si="2"/>
        <v>0</v>
      </c>
      <c r="G15" s="374">
        <f t="shared" si="2"/>
        <v>15578.089214195381</v>
      </c>
      <c r="H15" s="374">
        <f t="shared" si="2"/>
        <v>12009.978591270061</v>
      </c>
      <c r="I15" s="374">
        <f t="shared" si="2"/>
        <v>147.36170050638111</v>
      </c>
      <c r="J15" s="374">
        <f t="shared" si="2"/>
        <v>442.08510151914334</v>
      </c>
      <c r="K15" s="374">
        <f t="shared" si="2"/>
        <v>12452.063692789205</v>
      </c>
      <c r="L15" s="374">
        <f t="shared" si="2"/>
        <v>0</v>
      </c>
      <c r="M15" s="374">
        <f t="shared" si="2"/>
        <v>0</v>
      </c>
      <c r="N15" s="374">
        <f t="shared" si="2"/>
        <v>515.76595177233389</v>
      </c>
      <c r="O15" s="374">
        <f t="shared" si="2"/>
        <v>0</v>
      </c>
      <c r="P15" s="374">
        <f t="shared" si="2"/>
        <v>0</v>
      </c>
      <c r="Q15" s="374">
        <f t="shared" si="2"/>
        <v>2947.2340101276222</v>
      </c>
      <c r="R15" s="374">
        <f t="shared" si="2"/>
        <v>0</v>
      </c>
      <c r="S15" s="374">
        <f t="shared" si="2"/>
        <v>0</v>
      </c>
      <c r="T15" s="374">
        <f t="shared" si="1"/>
        <v>4739889.0967877479</v>
      </c>
    </row>
    <row r="16" spans="1:24" ht="24.75" x14ac:dyDescent="0.25">
      <c r="A16" s="310" t="s">
        <v>31</v>
      </c>
      <c r="B16" s="311" t="s">
        <v>33</v>
      </c>
      <c r="C16" s="312">
        <f t="shared" si="2"/>
        <v>0</v>
      </c>
      <c r="D16" s="312">
        <f t="shared" si="2"/>
        <v>1235.9864312497391</v>
      </c>
      <c r="E16" s="312">
        <f t="shared" si="2"/>
        <v>308.99660781243477</v>
      </c>
      <c r="F16" s="312">
        <f t="shared" si="2"/>
        <v>0</v>
      </c>
      <c r="G16" s="312">
        <f t="shared" si="2"/>
        <v>1723894.4247696633</v>
      </c>
      <c r="H16" s="312">
        <f t="shared" si="2"/>
        <v>18228.450076843823</v>
      </c>
      <c r="I16" s="312">
        <f t="shared" si="2"/>
        <v>1544.9830390621739</v>
      </c>
      <c r="J16" s="312">
        <f t="shared" si="2"/>
        <v>0</v>
      </c>
      <c r="K16" s="312">
        <f t="shared" si="2"/>
        <v>0</v>
      </c>
      <c r="L16" s="312">
        <f t="shared" si="2"/>
        <v>0</v>
      </c>
      <c r="M16" s="312">
        <f t="shared" si="2"/>
        <v>0</v>
      </c>
      <c r="N16" s="312">
        <f t="shared" si="2"/>
        <v>12977.857528122258</v>
      </c>
      <c r="O16" s="312">
        <f t="shared" si="2"/>
        <v>0</v>
      </c>
      <c r="P16" s="312">
        <f t="shared" si="2"/>
        <v>0</v>
      </c>
      <c r="Q16" s="312">
        <f t="shared" si="2"/>
        <v>463.49491171865213</v>
      </c>
      <c r="R16" s="312">
        <f t="shared" si="2"/>
        <v>0</v>
      </c>
      <c r="S16" s="312">
        <f t="shared" si="2"/>
        <v>1853.9796468746085</v>
      </c>
      <c r="T16" s="312">
        <f t="shared" si="1"/>
        <v>1760508.1730113472</v>
      </c>
    </row>
    <row r="17" spans="1:91" ht="17.100000000000001" customHeight="1" x14ac:dyDescent="0.25">
      <c r="A17" s="372" t="s">
        <v>34</v>
      </c>
      <c r="B17" s="373" t="s">
        <v>35</v>
      </c>
      <c r="C17" s="374">
        <f t="shared" si="2"/>
        <v>65875.470913139114</v>
      </c>
      <c r="D17" s="374">
        <f t="shared" si="2"/>
        <v>181036.78422335378</v>
      </c>
      <c r="E17" s="374">
        <f t="shared" si="2"/>
        <v>14436.772831249125</v>
      </c>
      <c r="F17" s="374">
        <f t="shared" si="2"/>
        <v>3819.2520717590278</v>
      </c>
      <c r="G17" s="374">
        <f t="shared" si="2"/>
        <v>1833.2409944443332</v>
      </c>
      <c r="H17" s="374">
        <f t="shared" si="2"/>
        <v>115005.12708058959</v>
      </c>
      <c r="I17" s="374">
        <f t="shared" si="2"/>
        <v>11454.340068522381</v>
      </c>
      <c r="J17" s="374">
        <f t="shared" si="2"/>
        <v>14509.741725929602</v>
      </c>
      <c r="K17" s="374">
        <f t="shared" si="2"/>
        <v>4195203.1214903053</v>
      </c>
      <c r="L17" s="374">
        <f t="shared" si="2"/>
        <v>27057.795339437998</v>
      </c>
      <c r="M17" s="374">
        <f t="shared" si="2"/>
        <v>0</v>
      </c>
      <c r="N17" s="374">
        <f t="shared" si="2"/>
        <v>5194.1828175922774</v>
      </c>
      <c r="O17" s="374">
        <f t="shared" si="2"/>
        <v>0</v>
      </c>
      <c r="P17" s="374">
        <f t="shared" si="2"/>
        <v>0</v>
      </c>
      <c r="Q17" s="374">
        <f t="shared" si="2"/>
        <v>95252.556607280727</v>
      </c>
      <c r="R17" s="374">
        <f t="shared" si="2"/>
        <v>0</v>
      </c>
      <c r="S17" s="374">
        <f t="shared" si="2"/>
        <v>229.15512430554165</v>
      </c>
      <c r="T17" s="374">
        <f t="shared" si="1"/>
        <v>4730907.5412879093</v>
      </c>
    </row>
    <row r="18" spans="1:91" ht="17.100000000000001" customHeight="1" x14ac:dyDescent="0.25">
      <c r="A18" s="310" t="s">
        <v>156</v>
      </c>
      <c r="B18" s="311" t="s">
        <v>36</v>
      </c>
      <c r="C18" s="312">
        <f t="shared" si="2"/>
        <v>2646.2970192783237</v>
      </c>
      <c r="D18" s="312">
        <f t="shared" si="2"/>
        <v>30388.148495956826</v>
      </c>
      <c r="E18" s="312">
        <f t="shared" si="2"/>
        <v>4723236.4532557912</v>
      </c>
      <c r="F18" s="312">
        <f t="shared" si="2"/>
        <v>0</v>
      </c>
      <c r="G18" s="312">
        <f t="shared" si="2"/>
        <v>14374.734317777455</v>
      </c>
      <c r="H18" s="312">
        <f t="shared" si="2"/>
        <v>0</v>
      </c>
      <c r="I18" s="312">
        <f t="shared" si="2"/>
        <v>2390.2037593481632</v>
      </c>
      <c r="J18" s="312">
        <f t="shared" si="2"/>
        <v>11130.88635866209</v>
      </c>
      <c r="K18" s="312">
        <f t="shared" si="2"/>
        <v>4438.9498387894464</v>
      </c>
      <c r="L18" s="312">
        <f t="shared" si="2"/>
        <v>0</v>
      </c>
      <c r="M18" s="312">
        <f t="shared" si="2"/>
        <v>0</v>
      </c>
      <c r="N18" s="312">
        <f t="shared" si="2"/>
        <v>11643.072878522411</v>
      </c>
      <c r="O18" s="312">
        <f t="shared" si="2"/>
        <v>0</v>
      </c>
      <c r="P18" s="312">
        <f t="shared" si="2"/>
        <v>10277.242158894889</v>
      </c>
      <c r="Q18" s="312">
        <f t="shared" si="2"/>
        <v>32624.379296195795</v>
      </c>
      <c r="R18" s="312">
        <f t="shared" si="2"/>
        <v>0</v>
      </c>
      <c r="S18" s="312">
        <f t="shared" si="2"/>
        <v>0</v>
      </c>
      <c r="T18" s="312">
        <f t="shared" si="1"/>
        <v>4843150.3673792165</v>
      </c>
    </row>
    <row r="19" spans="1:91" ht="17.100000000000001" customHeight="1" x14ac:dyDescent="0.25">
      <c r="A19" s="372" t="s">
        <v>37</v>
      </c>
      <c r="B19" s="373" t="s">
        <v>39</v>
      </c>
      <c r="C19" s="374">
        <f t="shared" si="2"/>
        <v>1379.8694084083818</v>
      </c>
      <c r="D19" s="374">
        <f t="shared" si="2"/>
        <v>42319.474161301805</v>
      </c>
      <c r="E19" s="374">
        <f t="shared" si="2"/>
        <v>24878.298370547614</v>
      </c>
      <c r="F19" s="374">
        <f t="shared" si="2"/>
        <v>27087.627494997661</v>
      </c>
      <c r="G19" s="374">
        <f t="shared" si="2"/>
        <v>15252.17117590252</v>
      </c>
      <c r="H19" s="374">
        <f t="shared" si="2"/>
        <v>15165.929337876996</v>
      </c>
      <c r="I19" s="374">
        <f t="shared" si="2"/>
        <v>21806.550865842331</v>
      </c>
      <c r="J19" s="374">
        <f t="shared" si="2"/>
        <v>9568744.5123160481</v>
      </c>
      <c r="K19" s="374">
        <f t="shared" si="2"/>
        <v>15252.17117590252</v>
      </c>
      <c r="L19" s="374">
        <f t="shared" si="2"/>
        <v>258.72551407657153</v>
      </c>
      <c r="M19" s="374">
        <f t="shared" si="2"/>
        <v>0</v>
      </c>
      <c r="N19" s="374">
        <f t="shared" si="2"/>
        <v>86.241838025523862</v>
      </c>
      <c r="O19" s="374">
        <f t="shared" si="2"/>
        <v>0</v>
      </c>
      <c r="P19" s="374">
        <f t="shared" si="2"/>
        <v>258.72551407657153</v>
      </c>
      <c r="Q19" s="374">
        <f t="shared" si="2"/>
        <v>18615.60285889795</v>
      </c>
      <c r="R19" s="374">
        <f t="shared" si="2"/>
        <v>0</v>
      </c>
      <c r="S19" s="374">
        <f t="shared" si="2"/>
        <v>689.93470420419089</v>
      </c>
      <c r="T19" s="374">
        <f t="shared" si="1"/>
        <v>9751795.8347361088</v>
      </c>
    </row>
    <row r="20" spans="1:91" ht="17.100000000000001" customHeight="1" x14ac:dyDescent="0.25">
      <c r="A20" s="310" t="s">
        <v>40</v>
      </c>
      <c r="B20" s="311" t="s">
        <v>42</v>
      </c>
      <c r="C20" s="312">
        <f t="shared" si="2"/>
        <v>0</v>
      </c>
      <c r="D20" s="312">
        <f t="shared" si="2"/>
        <v>12089.162367860639</v>
      </c>
      <c r="E20" s="312">
        <f t="shared" si="2"/>
        <v>1318.8177128575242</v>
      </c>
      <c r="F20" s="312">
        <f t="shared" si="2"/>
        <v>0</v>
      </c>
      <c r="G20" s="312">
        <f t="shared" si="2"/>
        <v>0</v>
      </c>
      <c r="H20" s="312">
        <f t="shared" si="2"/>
        <v>329.70442821438104</v>
      </c>
      <c r="I20" s="312">
        <f t="shared" si="2"/>
        <v>0</v>
      </c>
      <c r="J20" s="312">
        <f t="shared" si="2"/>
        <v>1340358.4021675305</v>
      </c>
      <c r="K20" s="312">
        <f t="shared" si="2"/>
        <v>2417.8324735721276</v>
      </c>
      <c r="L20" s="312">
        <f t="shared" si="2"/>
        <v>0</v>
      </c>
      <c r="M20" s="312">
        <f t="shared" si="2"/>
        <v>0</v>
      </c>
      <c r="N20" s="312">
        <f t="shared" si="2"/>
        <v>329.70442821438104</v>
      </c>
      <c r="O20" s="312">
        <f t="shared" si="2"/>
        <v>0</v>
      </c>
      <c r="P20" s="312">
        <f t="shared" si="2"/>
        <v>0</v>
      </c>
      <c r="Q20" s="312">
        <f t="shared" si="2"/>
        <v>549.50738035730171</v>
      </c>
      <c r="R20" s="312">
        <f t="shared" si="2"/>
        <v>0</v>
      </c>
      <c r="S20" s="312">
        <f t="shared" si="2"/>
        <v>439.6059042858414</v>
      </c>
      <c r="T20" s="312">
        <f t="shared" si="1"/>
        <v>1357832.7368628925</v>
      </c>
    </row>
    <row r="21" spans="1:91" ht="17.100000000000001" customHeight="1" x14ac:dyDescent="0.25">
      <c r="A21" s="372" t="s">
        <v>157</v>
      </c>
      <c r="B21" s="373" t="s">
        <v>43</v>
      </c>
      <c r="C21" s="374">
        <f t="shared" si="2"/>
        <v>763.46344261735555</v>
      </c>
      <c r="D21" s="374">
        <f t="shared" si="2"/>
        <v>1145.1951639260335</v>
      </c>
      <c r="E21" s="374">
        <f t="shared" si="2"/>
        <v>2035.9025136462815</v>
      </c>
      <c r="F21" s="374">
        <f t="shared" si="2"/>
        <v>0</v>
      </c>
      <c r="G21" s="374">
        <f t="shared" si="2"/>
        <v>0</v>
      </c>
      <c r="H21" s="374">
        <f t="shared" si="2"/>
        <v>0</v>
      </c>
      <c r="I21" s="374">
        <f t="shared" si="2"/>
        <v>381.73172130867778</v>
      </c>
      <c r="J21" s="374">
        <f t="shared" si="2"/>
        <v>0</v>
      </c>
      <c r="K21" s="374">
        <f t="shared" si="2"/>
        <v>2544.8781420578516</v>
      </c>
      <c r="L21" s="374">
        <f t="shared" si="2"/>
        <v>763.46344261735555</v>
      </c>
      <c r="M21" s="374">
        <f t="shared" si="2"/>
        <v>0</v>
      </c>
      <c r="N21" s="374">
        <f t="shared" si="2"/>
        <v>5089.7562841157032</v>
      </c>
      <c r="O21" s="374">
        <f t="shared" si="2"/>
        <v>1403245.8075306995</v>
      </c>
      <c r="P21" s="374">
        <f t="shared" si="2"/>
        <v>7125.6587977619847</v>
      </c>
      <c r="Q21" s="374">
        <f t="shared" si="2"/>
        <v>6362.1953551446295</v>
      </c>
      <c r="R21" s="374">
        <f t="shared" si="2"/>
        <v>0</v>
      </c>
      <c r="S21" s="374">
        <f t="shared" si="2"/>
        <v>127.24390710289259</v>
      </c>
      <c r="T21" s="374">
        <f t="shared" si="1"/>
        <v>1429585.2963009982</v>
      </c>
    </row>
    <row r="22" spans="1:91" ht="17.100000000000001" customHeight="1" x14ac:dyDescent="0.25">
      <c r="A22" s="310" t="s">
        <v>158</v>
      </c>
      <c r="B22" s="311" t="s">
        <v>45</v>
      </c>
      <c r="C22" s="312">
        <f t="shared" si="2"/>
        <v>0</v>
      </c>
      <c r="D22" s="312">
        <f t="shared" si="2"/>
        <v>1901.4155098599526</v>
      </c>
      <c r="E22" s="312">
        <f t="shared" si="2"/>
        <v>760.56620394398112</v>
      </c>
      <c r="F22" s="312">
        <f t="shared" si="2"/>
        <v>0</v>
      </c>
      <c r="G22" s="312">
        <f t="shared" si="2"/>
        <v>0</v>
      </c>
      <c r="H22" s="312">
        <f t="shared" si="2"/>
        <v>0</v>
      </c>
      <c r="I22" s="312">
        <f t="shared" si="2"/>
        <v>0</v>
      </c>
      <c r="J22" s="312">
        <f t="shared" si="2"/>
        <v>0</v>
      </c>
      <c r="K22" s="312">
        <f t="shared" si="2"/>
        <v>0</v>
      </c>
      <c r="L22" s="312">
        <f t="shared" si="2"/>
        <v>0</v>
      </c>
      <c r="M22" s="312">
        <f t="shared" si="2"/>
        <v>152.11324078879622</v>
      </c>
      <c r="N22" s="312">
        <f t="shared" si="2"/>
        <v>149983.65541775306</v>
      </c>
      <c r="O22" s="312">
        <f t="shared" si="2"/>
        <v>2814.0949545927297</v>
      </c>
      <c r="P22" s="312">
        <f t="shared" si="2"/>
        <v>6948152.5561302397</v>
      </c>
      <c r="Q22" s="312">
        <f t="shared" si="2"/>
        <v>13233.851948625272</v>
      </c>
      <c r="R22" s="312">
        <f t="shared" si="2"/>
        <v>0</v>
      </c>
      <c r="S22" s="312">
        <f t="shared" si="2"/>
        <v>0</v>
      </c>
      <c r="T22" s="312">
        <f t="shared" si="1"/>
        <v>7116998.2534058038</v>
      </c>
    </row>
    <row r="23" spans="1:91" ht="17.100000000000001" customHeight="1" x14ac:dyDescent="0.25">
      <c r="A23" s="372" t="s">
        <v>159</v>
      </c>
      <c r="B23" s="373" t="s">
        <v>46</v>
      </c>
      <c r="C23" s="374">
        <f t="shared" si="2"/>
        <v>0</v>
      </c>
      <c r="D23" s="374">
        <f t="shared" si="2"/>
        <v>884.33274656614401</v>
      </c>
      <c r="E23" s="374">
        <f t="shared" si="2"/>
        <v>0</v>
      </c>
      <c r="F23" s="374">
        <f t="shared" si="2"/>
        <v>0</v>
      </c>
      <c r="G23" s="374">
        <f t="shared" si="2"/>
        <v>32234.804550673442</v>
      </c>
      <c r="H23" s="374">
        <f t="shared" si="2"/>
        <v>221.083186641536</v>
      </c>
      <c r="I23" s="374">
        <f t="shared" si="2"/>
        <v>0</v>
      </c>
      <c r="J23" s="374">
        <f t="shared" si="2"/>
        <v>0</v>
      </c>
      <c r="K23" s="374">
        <f t="shared" si="2"/>
        <v>0</v>
      </c>
      <c r="L23" s="374">
        <f t="shared" si="2"/>
        <v>0</v>
      </c>
      <c r="M23" s="374">
        <f t="shared" si="2"/>
        <v>0</v>
      </c>
      <c r="N23" s="374">
        <f t="shared" si="2"/>
        <v>15398464.813947545</v>
      </c>
      <c r="O23" s="374">
        <f t="shared" si="2"/>
        <v>0</v>
      </c>
      <c r="P23" s="374">
        <f t="shared" si="2"/>
        <v>0</v>
      </c>
      <c r="Q23" s="374">
        <f t="shared" si="2"/>
        <v>199039.22511356798</v>
      </c>
      <c r="R23" s="374">
        <f t="shared" si="2"/>
        <v>0</v>
      </c>
      <c r="S23" s="374">
        <f t="shared" si="2"/>
        <v>83011.702979908703</v>
      </c>
      <c r="T23" s="374">
        <f t="shared" si="1"/>
        <v>15713855.962524904</v>
      </c>
    </row>
    <row r="24" spans="1:91" ht="17.100000000000001" customHeight="1" x14ac:dyDescent="0.25">
      <c r="A24" s="310" t="s">
        <v>160</v>
      </c>
      <c r="B24" s="311" t="s">
        <v>48</v>
      </c>
      <c r="C24" s="312">
        <f t="shared" si="2"/>
        <v>0</v>
      </c>
      <c r="D24" s="312">
        <f t="shared" si="2"/>
        <v>467.520225606027</v>
      </c>
      <c r="E24" s="312">
        <f t="shared" si="2"/>
        <v>0</v>
      </c>
      <c r="F24" s="312">
        <f t="shared" si="2"/>
        <v>0</v>
      </c>
      <c r="G24" s="312">
        <f t="shared" si="2"/>
        <v>0</v>
      </c>
      <c r="H24" s="312">
        <f t="shared" si="2"/>
        <v>0</v>
      </c>
      <c r="I24" s="312">
        <f t="shared" si="2"/>
        <v>0</v>
      </c>
      <c r="J24" s="312">
        <f t="shared" si="2"/>
        <v>0</v>
      </c>
      <c r="K24" s="312">
        <f t="shared" si="2"/>
        <v>0</v>
      </c>
      <c r="L24" s="312">
        <f t="shared" si="2"/>
        <v>0</v>
      </c>
      <c r="M24" s="312">
        <f t="shared" si="2"/>
        <v>6218096.92059776</v>
      </c>
      <c r="N24" s="312">
        <f t="shared" si="2"/>
        <v>165424.23982693255</v>
      </c>
      <c r="O24" s="312">
        <f t="shared" si="2"/>
        <v>0</v>
      </c>
      <c r="P24" s="312">
        <f t="shared" si="2"/>
        <v>0</v>
      </c>
      <c r="Q24" s="312">
        <f t="shared" si="2"/>
        <v>0</v>
      </c>
      <c r="R24" s="312">
        <f t="shared" si="2"/>
        <v>0</v>
      </c>
      <c r="S24" s="312">
        <f t="shared" si="2"/>
        <v>0</v>
      </c>
      <c r="T24" s="312">
        <f t="shared" si="1"/>
        <v>6383988.6806502985</v>
      </c>
    </row>
    <row r="25" spans="1:91" ht="17.100000000000001" customHeight="1" x14ac:dyDescent="0.25">
      <c r="A25" s="375" t="s">
        <v>161</v>
      </c>
      <c r="B25" s="376" t="s">
        <v>289</v>
      </c>
      <c r="C25" s="377">
        <f t="shared" si="2"/>
        <v>0</v>
      </c>
      <c r="D25" s="377">
        <f t="shared" si="2"/>
        <v>0</v>
      </c>
      <c r="E25" s="377">
        <f t="shared" si="2"/>
        <v>0</v>
      </c>
      <c r="F25" s="377">
        <f t="shared" si="2"/>
        <v>0</v>
      </c>
      <c r="G25" s="377">
        <f t="shared" si="2"/>
        <v>0</v>
      </c>
      <c r="H25" s="377">
        <f t="shared" si="2"/>
        <v>0</v>
      </c>
      <c r="I25" s="377">
        <f t="shared" si="2"/>
        <v>0</v>
      </c>
      <c r="J25" s="377">
        <f t="shared" si="2"/>
        <v>0</v>
      </c>
      <c r="K25" s="377">
        <f t="shared" si="2"/>
        <v>0</v>
      </c>
      <c r="L25" s="377">
        <f t="shared" si="2"/>
        <v>0</v>
      </c>
      <c r="M25" s="377">
        <f t="shared" si="2"/>
        <v>913821.53273184528</v>
      </c>
      <c r="N25" s="377">
        <f t="shared" si="2"/>
        <v>1898.9258192957145</v>
      </c>
      <c r="O25" s="377">
        <f t="shared" si="2"/>
        <v>0</v>
      </c>
      <c r="P25" s="377">
        <f t="shared" si="2"/>
        <v>0</v>
      </c>
      <c r="Q25" s="377">
        <f t="shared" si="2"/>
        <v>876.42730121340662</v>
      </c>
      <c r="R25" s="377">
        <f t="shared" si="2"/>
        <v>0</v>
      </c>
      <c r="S25" s="377">
        <f t="shared" si="2"/>
        <v>0</v>
      </c>
      <c r="T25" s="378">
        <f t="shared" si="1"/>
        <v>916596.88585235435</v>
      </c>
    </row>
    <row r="26" spans="1:91" ht="17.100000000000001" customHeight="1" x14ac:dyDescent="0.25">
      <c r="A26" s="379"/>
      <c r="B26" s="380" t="s">
        <v>141</v>
      </c>
      <c r="C26" s="381">
        <f t="shared" ref="C26:S26" si="3">SUM(C5:C25)</f>
        <v>10501121.563636316</v>
      </c>
      <c r="D26" s="381">
        <f t="shared" si="3"/>
        <v>194028667.88760066</v>
      </c>
      <c r="E26" s="381">
        <f t="shared" si="3"/>
        <v>28487861.484551959</v>
      </c>
      <c r="F26" s="381">
        <f t="shared" si="3"/>
        <v>8845061.7629304621</v>
      </c>
      <c r="G26" s="381">
        <f t="shared" si="3"/>
        <v>39255300.995432213</v>
      </c>
      <c r="H26" s="381">
        <f t="shared" si="3"/>
        <v>17167640.25679392</v>
      </c>
      <c r="I26" s="381">
        <f t="shared" si="3"/>
        <v>4288705.4751703534</v>
      </c>
      <c r="J26" s="381">
        <f t="shared" si="3"/>
        <v>11072840.495185602</v>
      </c>
      <c r="K26" s="381">
        <f t="shared" si="3"/>
        <v>4360299.1972924098</v>
      </c>
      <c r="L26" s="381">
        <f t="shared" si="3"/>
        <v>4435462.54698803</v>
      </c>
      <c r="M26" s="381">
        <f t="shared" si="3"/>
        <v>7145353.9828822557</v>
      </c>
      <c r="N26" s="381">
        <f t="shared" si="3"/>
        <v>27402165.554747973</v>
      </c>
      <c r="O26" s="381">
        <f t="shared" si="3"/>
        <v>5188367.294108402</v>
      </c>
      <c r="P26" s="381">
        <f t="shared" si="3"/>
        <v>7342563.5615551425</v>
      </c>
      <c r="Q26" s="381">
        <f t="shared" si="3"/>
        <v>9454614.1810821295</v>
      </c>
      <c r="R26" s="382">
        <f t="shared" si="3"/>
        <v>2501163.0284789843</v>
      </c>
      <c r="S26" s="383">
        <f t="shared" si="3"/>
        <v>1299160.538355943</v>
      </c>
      <c r="T26" s="384">
        <f t="shared" si="1"/>
        <v>382776349.80679274</v>
      </c>
    </row>
    <row r="27" spans="1:91" s="209" customFormat="1" ht="17.100000000000001" customHeight="1" x14ac:dyDescent="0.25">
      <c r="A27" s="314"/>
      <c r="B27" s="498" t="s">
        <v>296</v>
      </c>
      <c r="C27" s="499"/>
      <c r="D27" s="499"/>
      <c r="E27" s="499"/>
      <c r="F27" s="499"/>
      <c r="G27" s="499"/>
      <c r="H27" s="499"/>
      <c r="I27" s="499"/>
      <c r="J27" s="499"/>
      <c r="K27" s="499"/>
      <c r="L27" s="499"/>
      <c r="M27" s="499"/>
      <c r="N27" s="499"/>
      <c r="O27" s="499"/>
      <c r="P27" s="499"/>
      <c r="Q27" s="499"/>
      <c r="R27" s="499"/>
      <c r="S27" s="499"/>
      <c r="T27" s="499"/>
      <c r="U27" s="315"/>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row>
    <row r="28" spans="1:91" ht="17.100000000000001" customHeight="1" x14ac:dyDescent="0.25">
      <c r="A28" s="316" t="s">
        <v>297</v>
      </c>
      <c r="B28" s="317"/>
      <c r="C28" s="318">
        <v>252</v>
      </c>
      <c r="D28" s="318">
        <v>254</v>
      </c>
      <c r="E28" s="318">
        <v>256</v>
      </c>
      <c r="F28" s="319">
        <v>258</v>
      </c>
      <c r="G28" s="318">
        <v>260</v>
      </c>
      <c r="H28" s="318">
        <v>263</v>
      </c>
      <c r="I28" s="318">
        <v>267</v>
      </c>
      <c r="J28" s="318">
        <v>268</v>
      </c>
      <c r="K28" s="318">
        <v>270</v>
      </c>
      <c r="L28" s="318">
        <v>272</v>
      </c>
      <c r="M28" s="318">
        <v>302</v>
      </c>
      <c r="N28" s="318">
        <v>304</v>
      </c>
      <c r="O28" s="318">
        <v>306</v>
      </c>
      <c r="P28" s="318">
        <v>308</v>
      </c>
      <c r="Q28" s="318">
        <v>310</v>
      </c>
      <c r="R28" s="318">
        <v>282</v>
      </c>
      <c r="S28" s="320">
        <v>266</v>
      </c>
      <c r="T28" s="4"/>
    </row>
    <row r="29" spans="1:91" ht="17.100000000000001" customHeight="1" x14ac:dyDescent="0.25">
      <c r="A29" s="321" t="s">
        <v>1</v>
      </c>
      <c r="B29" s="322" t="s">
        <v>2</v>
      </c>
      <c r="C29" s="323">
        <f>+UGpcntSCH*(VLOOKUP($A29,FY17Rev0!$A$4:$F$24,6,FALSE))*VLOOKUP($A29,FY16ProjSCH!$A$3:$S$23,MATCH(C$28,FY16ProjSCH!$A$2:$S$2,0),FALSE)</f>
        <v>3765313.3725628778</v>
      </c>
      <c r="D29" s="323">
        <f>+UGpcntSCH*(VLOOKUP($A29,FY17Rev0!$A$4:$F$24,6,FALSE))*VLOOKUP($A29,FY16ProjSCH!$A$3:$S$23,MATCH(D$28,FY16ProjSCH!$A$2:$S$2,0),FALSE)</f>
        <v>112809572.57929069</v>
      </c>
      <c r="E29" s="323">
        <f>+UGpcntSCH*(VLOOKUP($A29,FY17Rev0!$A$4:$F$24,6,FALSE))*VLOOKUP($A29,FY16ProjSCH!$A$3:$S$23,MATCH(E$28,FY16ProjSCH!$A$2:$S$2,0),FALSE)</f>
        <v>11014461.17888806</v>
      </c>
      <c r="F29" s="323">
        <f>+UGpcntSCH*(VLOOKUP($A29,FY17Rev0!$A$4:$F$24,6,FALSE))*VLOOKUP($A29,FY16ProjSCH!$A$3:$S$23,MATCH(F$28,FY16ProjSCH!$A$2:$S$2,0),FALSE)</f>
        <v>2353516.1320903711</v>
      </c>
      <c r="G29" s="323">
        <f>+UGpcntSCH*(VLOOKUP($A29,FY17Rev0!$A$4:$F$24,6,FALSE))*VLOOKUP($A29,FY16ProjSCH!$A$3:$S$23,MATCH(G$28,FY16ProjSCH!$A$2:$S$2,0),FALSE)</f>
        <v>16233751.027455116</v>
      </c>
      <c r="H29" s="323">
        <f>+UGpcntSCH*(VLOOKUP($A29,FY17Rev0!$A$4:$F$24,6,FALSE))*VLOOKUP($A29,FY16ProjSCH!$A$3:$S$23,MATCH(H$28,FY16ProjSCH!$A$2:$S$2,0),FALSE)</f>
        <v>9828613.9846474975</v>
      </c>
      <c r="I29" s="323">
        <f>+UGpcntSCH*(VLOOKUP($A29,FY17Rev0!$A$4:$F$24,6,FALSE))*VLOOKUP($A29,FY16ProjSCH!$A$3:$S$23,MATCH(I$28,FY16ProjSCH!$A$2:$S$2,0),FALSE)</f>
        <v>2363883.4189382228</v>
      </c>
      <c r="J29" s="323">
        <f>+UGpcntSCH*(VLOOKUP($A29,FY17Rev0!$A$4:$F$24,6,FALSE))*VLOOKUP($A29,FY16ProjSCH!$A$3:$S$23,MATCH(J$28,FY16ProjSCH!$A$2:$S$2,0),FALSE)</f>
        <v>100264.44540524995</v>
      </c>
      <c r="K29" s="323">
        <f>+UGpcntSCH*(VLOOKUP($A29,FY17Rev0!$A$4:$F$24,6,FALSE))*VLOOKUP($A29,FY16ProjSCH!$A$3:$S$23,MATCH(K$28,FY16ProjSCH!$A$2:$S$2,0),FALSE)</f>
        <v>29539.666634974488</v>
      </c>
      <c r="L29" s="323">
        <f>+UGpcntSCH*(VLOOKUP($A29,FY17Rev0!$A$4:$F$24,6,FALSE))*VLOOKUP($A29,FY16ProjSCH!$A$3:$S$23,MATCH(L$28,FY16ProjSCH!$A$2:$S$2,0),FALSE)</f>
        <v>533560.22859422676</v>
      </c>
      <c r="M29" s="323">
        <f>+UGpcntSCH*(VLOOKUP($A29,FY17Rev0!$A$4:$F$24,6,FALSE))*VLOOKUP($A29,FY16ProjSCH!$A$3:$S$23,MATCH(M$28,FY16ProjSCH!$A$2:$S$2,0),FALSE)</f>
        <v>10083.251591746099</v>
      </c>
      <c r="N29" s="323">
        <f>+UGpcntSCH*(VLOOKUP($A29,FY17Rev0!$A$4:$F$24,6,FALSE))*VLOOKUP($A29,FY16ProjSCH!$A$3:$S$23,MATCH(N$28,FY16ProjSCH!$A$2:$S$2,0),FALSE)</f>
        <v>4870636.5716975238</v>
      </c>
      <c r="O29" s="323">
        <f>+UGpcntSCH*(VLOOKUP($A29,FY17Rev0!$A$4:$F$24,6,FALSE))*VLOOKUP($A29,FY16ProjSCH!$A$3:$S$23,MATCH(O$28,FY16ProjSCH!$A$2:$S$2,0),FALSE)</f>
        <v>1475279.1202120911</v>
      </c>
      <c r="P29" s="323">
        <f>+UGpcntSCH*(VLOOKUP($A29,FY17Rev0!$A$4:$F$24,6,FALSE))*VLOOKUP($A29,FY16ProjSCH!$A$3:$S$23,MATCH(P$28,FY16ProjSCH!$A$2:$S$2,0),FALSE)</f>
        <v>58085.209873579646</v>
      </c>
      <c r="Q29" s="323">
        <f>+UGpcntSCH*(VLOOKUP($A29,FY17Rev0!$A$4:$F$24,6,FALSE))*VLOOKUP($A29,FY16ProjSCH!$A$3:$S$23,MATCH(Q$28,FY16ProjSCH!$A$2:$S$2,0),FALSE)</f>
        <v>2847311.4248298248</v>
      </c>
      <c r="R29" s="323">
        <f>+UGpcntSCH*(VLOOKUP($A29,FY17Rev0!$A$4:$F$24,6,FALSE))*VLOOKUP($A29,FY16ProjSCH!$A$3:$S$23,MATCH(R$28,FY16ProjSCH!$A$2:$S$2,0),FALSE)</f>
        <v>2342154.7218461502</v>
      </c>
      <c r="S29" s="323">
        <f>+UGpcntSCH*(VLOOKUP($A29,FY17Rev0!$A$4:$F$24,6,FALSE))*VLOOKUP($A29,FY16ProjSCH!$A$3:$S$23,MATCH(S$28,FY16ProjSCH!$A$2:$S$2,0),FALSE)</f>
        <v>41043.094507248206</v>
      </c>
      <c r="T29" s="324">
        <f t="shared" ref="T29:T49" si="4">SUM(C29:Q29)+R29+S29</f>
        <v>170677069.42906541</v>
      </c>
    </row>
    <row r="30" spans="1:91" s="209" customFormat="1" ht="17.100000000000001" customHeight="1" x14ac:dyDescent="0.25">
      <c r="A30" s="325" t="s">
        <v>7</v>
      </c>
      <c r="B30" s="326" t="s">
        <v>9</v>
      </c>
      <c r="C30" s="312">
        <f>+GPpcntSCH*(VLOOKUP($A30,FY17Rev0!$A$4:$F$24,6,FALSE))*VLOOKUP($A30,FY16ProjSCH!$A$3:$S$23,MATCH(C$28,FY16ProjSCH!$A$2:$S$2,0),FALSE)</f>
        <v>22841.82886596052</v>
      </c>
      <c r="D30" s="312">
        <f>+GPpcntSCH*(VLOOKUP($A30,FY17Rev0!$A$4:$F$24,6,FALSE))*VLOOKUP($A30,FY16ProjSCH!$A$3:$S$23,MATCH(D$28,FY16ProjSCH!$A$2:$S$2,0),FALSE)</f>
        <v>1885765.8379547249</v>
      </c>
      <c r="E30" s="312">
        <f>+GPpcntSCH*(VLOOKUP($A30,FY17Rev0!$A$4:$F$24,6,FALSE))*VLOOKUP($A30,FY16ProjSCH!$A$3:$S$23,MATCH(E$28,FY16ProjSCH!$A$2:$S$2,0),FALSE)</f>
        <v>60960.792950163712</v>
      </c>
      <c r="F30" s="312">
        <f>+GPpcntSCH*(VLOOKUP($A30,FY17Rev0!$A$4:$F$24,6,FALSE))*VLOOKUP($A30,FY16ProjSCH!$A$3:$S$23,MATCH(F$28,FY16ProjSCH!$A$2:$S$2,0),FALSE)</f>
        <v>15306.684802804073</v>
      </c>
      <c r="G30" s="312">
        <f>+GPpcntSCH*(VLOOKUP($A30,FY17Rev0!$A$4:$F$24,6,FALSE))*VLOOKUP($A30,FY16ProjSCH!$A$3:$S$23,MATCH(G$28,FY16ProjSCH!$A$2:$S$2,0),FALSE)</f>
        <v>125881.23023155473</v>
      </c>
      <c r="H30" s="312">
        <f>+GPpcntSCH*(VLOOKUP($A30,FY17Rev0!$A$4:$F$24,6,FALSE))*VLOOKUP($A30,FY16ProjSCH!$A$3:$S$23,MATCH(H$28,FY16ProjSCH!$A$2:$S$2,0),FALSE)</f>
        <v>14774.792280698914</v>
      </c>
      <c r="I30" s="312">
        <f>+GPpcntSCH*(VLOOKUP($A30,FY17Rev0!$A$4:$F$24,6,FALSE))*VLOOKUP($A30,FY16ProjSCH!$A$3:$S$23,MATCH(I$28,FY16ProjSCH!$A$2:$S$2,0),FALSE)</f>
        <v>42078.608415430506</v>
      </c>
      <c r="J30" s="312">
        <f>+GPpcntSCH*(VLOOKUP($A30,FY17Rev0!$A$4:$F$24,6,FALSE))*VLOOKUP($A30,FY16ProjSCH!$A$3:$S$23,MATCH(J$28,FY16ProjSCH!$A$2:$S$2,0),FALSE)</f>
        <v>5939.4664968409634</v>
      </c>
      <c r="K30" s="312">
        <f>+GPpcntSCH*(VLOOKUP($A30,FY17Rev0!$A$4:$F$24,6,FALSE))*VLOOKUP($A30,FY16ProjSCH!$A$3:$S$23,MATCH(K$28,FY16ProjSCH!$A$2:$S$2,0),FALSE)</f>
        <v>14124.701420348161</v>
      </c>
      <c r="L30" s="312">
        <f>+GPpcntSCH*(VLOOKUP($A30,FY17Rev0!$A$4:$F$24,6,FALSE))*VLOOKUP($A30,FY16ProjSCH!$A$3:$S$23,MATCH(L$28,FY16ProjSCH!$A$2:$S$2,0),FALSE)</f>
        <v>3161.8055480695671</v>
      </c>
      <c r="M30" s="312">
        <f>+GPpcntSCH*(VLOOKUP($A30,FY17Rev0!$A$4:$F$24,6,FALSE))*VLOOKUP($A30,FY16ProjSCH!$A$3:$S$23,MATCH(M$28,FY16ProjSCH!$A$2:$S$2,0),FALSE)</f>
        <v>29.549584561397825</v>
      </c>
      <c r="N30" s="312">
        <f>+GPpcntSCH*(VLOOKUP($A30,FY17Rev0!$A$4:$F$24,6,FALSE))*VLOOKUP($A30,FY16ProjSCH!$A$3:$S$23,MATCH(N$28,FY16ProjSCH!$A$2:$S$2,0),FALSE)</f>
        <v>365469.26185536833</v>
      </c>
      <c r="O30" s="312">
        <f>+GPpcntSCH*(VLOOKUP($A30,FY17Rev0!$A$4:$F$24,6,FALSE))*VLOOKUP($A30,FY16ProjSCH!$A$3:$S$23,MATCH(O$28,FY16ProjSCH!$A$2:$S$2,0),FALSE)</f>
        <v>531.89252210516088</v>
      </c>
      <c r="P30" s="312">
        <f>+GPpcntSCH*(VLOOKUP($A30,FY17Rev0!$A$4:$F$24,6,FALSE))*VLOOKUP($A30,FY16ProjSCH!$A$3:$S$23,MATCH(P$28,FY16ProjSCH!$A$2:$S$2,0),FALSE)</f>
        <v>52361.863842796942</v>
      </c>
      <c r="Q30" s="312">
        <f>+GPpcntSCH*(VLOOKUP($A30,FY17Rev0!$A$4:$F$24,6,FALSE))*VLOOKUP($A30,FY16ProjSCH!$A$3:$S$23,MATCH(Q$28,FY16ProjSCH!$A$2:$S$2,0),FALSE)</f>
        <v>27126.518627363203</v>
      </c>
      <c r="R30" s="312">
        <f>+GPpcntSCH*(VLOOKUP($A30,FY17Rev0!$A$4:$F$24,6,FALSE))*VLOOKUP($A30,FY16ProjSCH!$A$3:$S$23,MATCH(R$28,FY16ProjSCH!$A$2:$S$2,0),FALSE)</f>
        <v>147.74792280698912</v>
      </c>
      <c r="S30" s="312">
        <f>+GPpcntSCH*(VLOOKUP($A30,FY17Rev0!$A$4:$F$24,6,FALSE))*VLOOKUP($A30,FY16ProjSCH!$A$3:$S$23,MATCH(S$28,FY16ProjSCH!$A$2:$S$2,0),FALSE)</f>
        <v>175140.3876954049</v>
      </c>
      <c r="T30" s="327">
        <f t="shared" si="4"/>
        <v>2811642.9710170031</v>
      </c>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row>
    <row r="31" spans="1:91" ht="17.100000000000001" customHeight="1" x14ac:dyDescent="0.25">
      <c r="A31" s="325" t="s">
        <v>10</v>
      </c>
      <c r="B31" s="328" t="s">
        <v>11</v>
      </c>
      <c r="C31" s="329">
        <f>+GPpcntSCH*(VLOOKUP($A31,FY17Rev0!$A$4:$F$24,6,FALSE))*VLOOKUP($A31,FY16ProjSCH!$A$3:$S$23,MATCH(C$28,FY16ProjSCH!$A$2:$S$2,0),FALSE)</f>
        <v>0</v>
      </c>
      <c r="D31" s="329">
        <f>+GPpcntSCH*(VLOOKUP($A31,FY17Rev0!$A$4:$F$24,6,FALSE))*VLOOKUP($A31,FY16ProjSCH!$A$3:$S$23,MATCH(D$28,FY16ProjSCH!$A$2:$S$2,0),FALSE)</f>
        <v>11570.819569255458</v>
      </c>
      <c r="E31" s="329">
        <f>+GPpcntSCH*(VLOOKUP($A31,FY17Rev0!$A$4:$F$24,6,FALSE))*VLOOKUP($A31,FY16ProjSCH!$A$3:$S$23,MATCH(E$28,FY16ProjSCH!$A$2:$S$2,0),FALSE)</f>
        <v>0</v>
      </c>
      <c r="F31" s="329">
        <f>+GPpcntSCH*(VLOOKUP($A31,FY17Rev0!$A$4:$F$24,6,FALSE))*VLOOKUP($A31,FY16ProjSCH!$A$3:$S$23,MATCH(F$28,FY16ProjSCH!$A$2:$S$2,0),FALSE)</f>
        <v>1382.3545503092805</v>
      </c>
      <c r="G31" s="329">
        <f>+GPpcntSCH*(VLOOKUP($A31,FY17Rev0!$A$4:$F$24,6,FALSE))*VLOOKUP($A31,FY16ProjSCH!$A$3:$S$23,MATCH(G$28,FY16ProjSCH!$A$2:$S$2,0),FALSE)</f>
        <v>51.1983166781215</v>
      </c>
      <c r="H31" s="329">
        <f>+GPpcntSCH*(VLOOKUP($A31,FY17Rev0!$A$4:$F$24,6,FALSE))*VLOOKUP($A31,FY16ProjSCH!$A$3:$S$23,MATCH(H$28,FY16ProjSCH!$A$2:$S$2,0),FALSE)</f>
        <v>0</v>
      </c>
      <c r="I31" s="329">
        <f>+GPpcntSCH*(VLOOKUP($A31,FY17Rev0!$A$4:$F$24,6,FALSE))*VLOOKUP($A31,FY16ProjSCH!$A$3:$S$23,MATCH(I$28,FY16ProjSCH!$A$2:$S$2,0),FALSE)</f>
        <v>204.793266712486</v>
      </c>
      <c r="J31" s="329">
        <f>+GPpcntSCH*(VLOOKUP($A31,FY17Rev0!$A$4:$F$24,6,FALSE))*VLOOKUP($A31,FY16ProjSCH!$A$3:$S$23,MATCH(J$28,FY16ProjSCH!$A$2:$S$2,0),FALSE)</f>
        <v>307.189900068729</v>
      </c>
      <c r="K31" s="329">
        <f>+GPpcntSCH*(VLOOKUP($A31,FY17Rev0!$A$4:$F$24,6,FALSE))*VLOOKUP($A31,FY16ProjSCH!$A$3:$S$23,MATCH(K$28,FY16ProjSCH!$A$2:$S$2,0),FALSE)</f>
        <v>204.793266712486</v>
      </c>
      <c r="L31" s="329">
        <f>+GPpcntSCH*(VLOOKUP($A31,FY17Rev0!$A$4:$F$24,6,FALSE))*VLOOKUP($A31,FY16ProjSCH!$A$3:$S$23,MATCH(L$28,FY16ProjSCH!$A$2:$S$2,0),FALSE)</f>
        <v>36146.011574753786</v>
      </c>
      <c r="M31" s="329">
        <f>+GPpcntSCH*(VLOOKUP($A31,FY17Rev0!$A$4:$F$24,6,FALSE))*VLOOKUP($A31,FY16ProjSCH!$A$3:$S$23,MATCH(M$28,FY16ProjSCH!$A$2:$S$2,0),FALSE)</f>
        <v>0</v>
      </c>
      <c r="N31" s="329">
        <f>+GPpcntSCH*(VLOOKUP($A31,FY17Rev0!$A$4:$F$24,6,FALSE))*VLOOKUP($A31,FY16ProjSCH!$A$3:$S$23,MATCH(N$28,FY16ProjSCH!$A$2:$S$2,0),FALSE)</f>
        <v>189868.95740081358</v>
      </c>
      <c r="O31" s="329">
        <f>+GPpcntSCH*(VLOOKUP($A31,FY17Rev0!$A$4:$F$24,6,FALSE))*VLOOKUP($A31,FY16ProjSCH!$A$3:$S$23,MATCH(O$28,FY16ProjSCH!$A$2:$S$2,0),FALSE)</f>
        <v>0</v>
      </c>
      <c r="P31" s="329">
        <f>+GPpcntSCH*(VLOOKUP($A31,FY17Rev0!$A$4:$F$24,6,FALSE))*VLOOKUP($A31,FY16ProjSCH!$A$3:$S$23,MATCH(P$28,FY16ProjSCH!$A$2:$S$2,0),FALSE)</f>
        <v>204.793266712486</v>
      </c>
      <c r="Q31" s="329">
        <f>+GPpcntSCH*(VLOOKUP($A31,FY17Rev0!$A$4:$F$24,6,FALSE))*VLOOKUP($A31,FY16ProjSCH!$A$3:$S$23,MATCH(Q$28,FY16ProjSCH!$A$2:$S$2,0),FALSE)</f>
        <v>2918.304050652926</v>
      </c>
      <c r="R31" s="329">
        <f>+GPpcntSCH*(VLOOKUP($A31,FY17Rev0!$A$4:$F$24,6,FALSE))*VLOOKUP($A31,FY16ProjSCH!$A$3:$S$23,MATCH(R$28,FY16ProjSCH!$A$2:$S$2,0),FALSE)</f>
        <v>0</v>
      </c>
      <c r="S31" s="329">
        <f>+GPpcntSCH*(VLOOKUP($A31,FY17Rev0!$A$4:$F$24,6,FALSE))*VLOOKUP($A31,FY16ProjSCH!$A$3:$S$23,MATCH(S$28,FY16ProjSCH!$A$2:$S$2,0),FALSE)</f>
        <v>153.5949500343645</v>
      </c>
      <c r="T31" s="330">
        <f t="shared" si="4"/>
        <v>243012.81011270371</v>
      </c>
    </row>
    <row r="32" spans="1:91" s="209" customFormat="1" ht="17.100000000000001" customHeight="1" x14ac:dyDescent="0.25">
      <c r="A32" s="325" t="s">
        <v>12</v>
      </c>
      <c r="B32" s="326" t="s">
        <v>14</v>
      </c>
      <c r="C32" s="312">
        <f>+GPpcntSCH*(VLOOKUP($A32,FY17Rev0!$A$4:$F$24,6,FALSE))*VLOOKUP($A32,FY16ProjSCH!$A$3:$S$23,MATCH(C$28,FY16ProjSCH!$A$2:$S$2,0),FALSE)</f>
        <v>9505.6801703750716</v>
      </c>
      <c r="D32" s="312">
        <f>+GPpcntSCH*(VLOOKUP($A32,FY17Rev0!$A$4:$F$24,6,FALSE))*VLOOKUP($A32,FY16ProjSCH!$A$3:$S$23,MATCH(D$28,FY16ProjSCH!$A$2:$S$2,0),FALSE)</f>
        <v>106130.42911872374</v>
      </c>
      <c r="E32" s="312">
        <f>+GPpcntSCH*(VLOOKUP($A32,FY17Rev0!$A$4:$F$24,6,FALSE))*VLOOKUP($A32,FY16ProjSCH!$A$3:$S$23,MATCH(E$28,FY16ProjSCH!$A$2:$S$2,0),FALSE)</f>
        <v>7594.7444660213205</v>
      </c>
      <c r="F32" s="312">
        <f>+GPpcntSCH*(VLOOKUP($A32,FY17Rev0!$A$4:$F$24,6,FALSE))*VLOOKUP($A32,FY16ProjSCH!$A$3:$S$23,MATCH(F$28,FY16ProjSCH!$A$2:$S$2,0),FALSE)</f>
        <v>5536.8137074865108</v>
      </c>
      <c r="G32" s="312">
        <f>+GPpcntSCH*(VLOOKUP($A32,FY17Rev0!$A$4:$F$24,6,FALSE))*VLOOKUP($A32,FY16ProjSCH!$A$3:$S$23,MATCH(G$28,FY16ProjSCH!$A$2:$S$2,0),FALSE)</f>
        <v>1477496.2879252057</v>
      </c>
      <c r="H32" s="312">
        <f>+GPpcntSCH*(VLOOKUP($A32,FY17Rev0!$A$4:$F$24,6,FALSE))*VLOOKUP($A32,FY16ProjSCH!$A$3:$S$23,MATCH(H$28,FY16ProjSCH!$A$2:$S$2,0),FALSE)</f>
        <v>14307.518606956293</v>
      </c>
      <c r="I32" s="312">
        <f>+GPpcntSCH*(VLOOKUP($A32,FY17Rev0!$A$4:$F$24,6,FALSE))*VLOOKUP($A32,FY16ProjSCH!$A$3:$S$23,MATCH(I$28,FY16ProjSCH!$A$2:$S$2,0),FALSE)</f>
        <v>3135.8944891959</v>
      </c>
      <c r="J32" s="312">
        <f>+GPpcntSCH*(VLOOKUP($A32,FY17Rev0!$A$4:$F$24,6,FALSE))*VLOOKUP($A32,FY16ProjSCH!$A$3:$S$23,MATCH(J$28,FY16ProjSCH!$A$2:$S$2,0),FALSE)</f>
        <v>5879.8021672423129</v>
      </c>
      <c r="K32" s="312">
        <f>+GPpcntSCH*(VLOOKUP($A32,FY17Rev0!$A$4:$F$24,6,FALSE))*VLOOKUP($A32,FY16ProjSCH!$A$3:$S$23,MATCH(K$28,FY16ProjSCH!$A$2:$S$2,0),FALSE)</f>
        <v>783.97362229897499</v>
      </c>
      <c r="L32" s="312">
        <f>+GPpcntSCH*(VLOOKUP($A32,FY17Rev0!$A$4:$F$24,6,FALSE))*VLOOKUP($A32,FY16ProjSCH!$A$3:$S$23,MATCH(L$28,FY16ProjSCH!$A$2:$S$2,0),FALSE)</f>
        <v>1077.9637306610907</v>
      </c>
      <c r="M32" s="312">
        <f>+GPpcntSCH*(VLOOKUP($A32,FY17Rev0!$A$4:$F$24,6,FALSE))*VLOOKUP($A32,FY16ProjSCH!$A$3:$S$23,MATCH(M$28,FY16ProjSCH!$A$2:$S$2,0),FALSE)</f>
        <v>0</v>
      </c>
      <c r="N32" s="312">
        <f>+GPpcntSCH*(VLOOKUP($A32,FY17Rev0!$A$4:$F$24,6,FALSE))*VLOOKUP($A32,FY16ProjSCH!$A$3:$S$23,MATCH(N$28,FY16ProjSCH!$A$2:$S$2,0),FALSE)</f>
        <v>32804.396258072731</v>
      </c>
      <c r="O32" s="312">
        <f>+GPpcntSCH*(VLOOKUP($A32,FY17Rev0!$A$4:$F$24,6,FALSE))*VLOOKUP($A32,FY16ProjSCH!$A$3:$S$23,MATCH(O$28,FY16ProjSCH!$A$2:$S$2,0),FALSE)</f>
        <v>62031.912864406404</v>
      </c>
      <c r="P32" s="312">
        <f>+GPpcntSCH*(VLOOKUP($A32,FY17Rev0!$A$4:$F$24,6,FALSE))*VLOOKUP($A32,FY16ProjSCH!$A$3:$S$23,MATCH(P$28,FY16ProjSCH!$A$2:$S$2,0),FALSE)</f>
        <v>587.98021672423124</v>
      </c>
      <c r="Q32" s="312">
        <f>+GPpcntSCH*(VLOOKUP($A32,FY17Rev0!$A$4:$F$24,6,FALSE))*VLOOKUP($A32,FY16ProjSCH!$A$3:$S$23,MATCH(Q$28,FY16ProjSCH!$A$2:$S$2,0),FALSE)</f>
        <v>36356.776734114967</v>
      </c>
      <c r="R32" s="312">
        <f>+GPpcntSCH*(VLOOKUP($A32,FY17Rev0!$A$4:$F$24,6,FALSE))*VLOOKUP($A32,FY16ProjSCH!$A$3:$S$23,MATCH(R$28,FY16ProjSCH!$A$2:$S$2,0),FALSE)</f>
        <v>0</v>
      </c>
      <c r="S32" s="312">
        <f>+GPpcntSCH*(VLOOKUP($A32,FY17Rev0!$A$4:$F$24,6,FALSE))*VLOOKUP($A32,FY16ProjSCH!$A$3:$S$23,MATCH(S$28,FY16ProjSCH!$A$2:$S$2,0),FALSE)</f>
        <v>9481.1809946782287</v>
      </c>
      <c r="T32" s="327">
        <f t="shared" si="4"/>
        <v>1772711.3550721637</v>
      </c>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row>
    <row r="33" spans="1:91" ht="17.100000000000001" customHeight="1" x14ac:dyDescent="0.25">
      <c r="A33" s="325" t="s">
        <v>15</v>
      </c>
      <c r="B33" s="328" t="s">
        <v>17</v>
      </c>
      <c r="C33" s="329">
        <f>+GPpcntSCH*(VLOOKUP($A33,FY17Rev0!$A$4:$F$24,6,FALSE))*VLOOKUP($A33,FY16ProjSCH!$A$3:$S$23,MATCH(C$28,FY16ProjSCH!$A$2:$S$2,0),FALSE)</f>
        <v>597.82950770315483</v>
      </c>
      <c r="D33" s="329">
        <f>+GPpcntSCH*(VLOOKUP($A33,FY17Rev0!$A$4:$F$24,6,FALSE))*VLOOKUP($A33,FY16ProjSCH!$A$3:$S$23,MATCH(D$28,FY16ProjSCH!$A$2:$S$2,0),FALSE)</f>
        <v>41378.342354596934</v>
      </c>
      <c r="E33" s="329">
        <f>+GPpcntSCH*(VLOOKUP($A33,FY17Rev0!$A$4:$F$24,6,FALSE))*VLOOKUP($A33,FY16ProjSCH!$A$3:$S$23,MATCH(E$28,FY16ProjSCH!$A$2:$S$2,0),FALSE)</f>
        <v>1110.2548000201448</v>
      </c>
      <c r="F33" s="329">
        <f>+GPpcntSCH*(VLOOKUP($A33,FY17Rev0!$A$4:$F$24,6,FALSE))*VLOOKUP($A33,FY16ProjSCH!$A$3:$S$23,MATCH(F$28,FY16ProjSCH!$A$2:$S$2,0),FALSE)</f>
        <v>640.53161539623738</v>
      </c>
      <c r="G33" s="329">
        <f>+GPpcntSCH*(VLOOKUP($A33,FY17Rev0!$A$4:$F$24,6,FALSE))*VLOOKUP($A33,FY16ProjSCH!$A$3:$S$23,MATCH(G$28,FY16ProjSCH!$A$2:$S$2,0),FALSE)</f>
        <v>4526.4234154667438</v>
      </c>
      <c r="H33" s="329">
        <f>+GPpcntSCH*(VLOOKUP($A33,FY17Rev0!$A$4:$F$24,6,FALSE))*VLOOKUP($A33,FY16ProjSCH!$A$3:$S$23,MATCH(H$28,FY16ProjSCH!$A$2:$S$2,0),FALSE)</f>
        <v>637926.78682695935</v>
      </c>
      <c r="I33" s="329">
        <f>+GPpcntSCH*(VLOOKUP($A33,FY17Rev0!$A$4:$F$24,6,FALSE))*VLOOKUP($A33,FY16ProjSCH!$A$3:$S$23,MATCH(I$28,FY16ProjSCH!$A$2:$S$2,0),FALSE)</f>
        <v>0</v>
      </c>
      <c r="J33" s="329">
        <f>+GPpcntSCH*(VLOOKUP($A33,FY17Rev0!$A$4:$F$24,6,FALSE))*VLOOKUP($A33,FY16ProjSCH!$A$3:$S$23,MATCH(J$28,FY16ProjSCH!$A$2:$S$2,0),FALSE)</f>
        <v>1067.5526923270622</v>
      </c>
      <c r="K33" s="329">
        <f>+GPpcntSCH*(VLOOKUP($A33,FY17Rev0!$A$4:$F$24,6,FALSE))*VLOOKUP($A33,FY16ProjSCH!$A$3:$S$23,MATCH(K$28,FY16ProjSCH!$A$2:$S$2,0),FALSE)</f>
        <v>6490.720369348539</v>
      </c>
      <c r="L33" s="329">
        <f>+GPpcntSCH*(VLOOKUP($A33,FY17Rev0!$A$4:$F$24,6,FALSE))*VLOOKUP($A33,FY16ProjSCH!$A$3:$S$23,MATCH(L$28,FY16ProjSCH!$A$2:$S$2,0),FALSE)</f>
        <v>0</v>
      </c>
      <c r="M33" s="329">
        <f>+GPpcntSCH*(VLOOKUP($A33,FY17Rev0!$A$4:$F$24,6,FALSE))*VLOOKUP($A33,FY16ProjSCH!$A$3:$S$23,MATCH(M$28,FY16ProjSCH!$A$2:$S$2,0),FALSE)</f>
        <v>0</v>
      </c>
      <c r="N33" s="329">
        <f>+GPpcntSCH*(VLOOKUP($A33,FY17Rev0!$A$4:$F$24,6,FALSE))*VLOOKUP($A33,FY16ProjSCH!$A$3:$S$23,MATCH(N$28,FY16ProjSCH!$A$2:$S$2,0),FALSE)</f>
        <v>1323.7653384855573</v>
      </c>
      <c r="O33" s="329">
        <f>+GPpcntSCH*(VLOOKUP($A33,FY17Rev0!$A$4:$F$24,6,FALSE))*VLOOKUP($A33,FY16ProjSCH!$A$3:$S$23,MATCH(O$28,FY16ProjSCH!$A$2:$S$2,0),FALSE)</f>
        <v>0</v>
      </c>
      <c r="P33" s="329">
        <f>+GPpcntSCH*(VLOOKUP($A33,FY17Rev0!$A$4:$F$24,6,FALSE))*VLOOKUP($A33,FY16ProjSCH!$A$3:$S$23,MATCH(P$28,FY16ProjSCH!$A$2:$S$2,0),FALSE)</f>
        <v>0</v>
      </c>
      <c r="Q33" s="329">
        <f>+GPpcntSCH*(VLOOKUP($A33,FY17Rev0!$A$4:$F$24,6,FALSE))*VLOOKUP($A33,FY16ProjSCH!$A$3:$S$23,MATCH(Q$28,FY16ProjSCH!$A$2:$S$2,0),FALSE)</f>
        <v>1494.5737692578873</v>
      </c>
      <c r="R33" s="329">
        <f>+GPpcntSCH*(VLOOKUP($A33,FY17Rev0!$A$4:$F$24,6,FALSE))*VLOOKUP($A33,FY16ProjSCH!$A$3:$S$23,MATCH(R$28,FY16ProjSCH!$A$2:$S$2,0),FALSE)</f>
        <v>128.10632307924746</v>
      </c>
      <c r="S33" s="329">
        <f>+GPpcntSCH*(VLOOKUP($A33,FY17Rev0!$A$4:$F$24,6,FALSE))*VLOOKUP($A33,FY16ProjSCH!$A$3:$S$23,MATCH(S$28,FY16ProjSCH!$A$2:$S$2,0),FALSE)</f>
        <v>1708.0843077232996</v>
      </c>
      <c r="T33" s="330">
        <f t="shared" si="4"/>
        <v>698392.97132036416</v>
      </c>
    </row>
    <row r="34" spans="1:91" s="209" customFormat="1" ht="17.100000000000001" customHeight="1" x14ac:dyDescent="0.25">
      <c r="A34" s="325" t="s">
        <v>18</v>
      </c>
      <c r="B34" s="326" t="s">
        <v>19</v>
      </c>
      <c r="C34" s="312">
        <f>+GPpcntSCH*(VLOOKUP($A34,FY17Rev0!$A$4:$F$24,6,FALSE))*VLOOKUP($A34,FY16ProjSCH!$A$3:$S$23,MATCH(C$28,FY16ProjSCH!$A$2:$S$2,0),FALSE)</f>
        <v>0</v>
      </c>
      <c r="D34" s="312">
        <f>+GPpcntSCH*(VLOOKUP($A34,FY17Rev0!$A$4:$F$24,6,FALSE))*VLOOKUP($A34,FY16ProjSCH!$A$3:$S$23,MATCH(D$28,FY16ProjSCH!$A$2:$S$2,0),FALSE)</f>
        <v>27922.635287403755</v>
      </c>
      <c r="E34" s="312">
        <f>+GPpcntSCH*(VLOOKUP($A34,FY17Rev0!$A$4:$F$24,6,FALSE))*VLOOKUP($A34,FY16ProjSCH!$A$3:$S$23,MATCH(E$28,FY16ProjSCH!$A$2:$S$2,0),FALSE)</f>
        <v>178.13483436940191</v>
      </c>
      <c r="F34" s="312">
        <f>+GPpcntSCH*(VLOOKUP($A34,FY17Rev0!$A$4:$F$24,6,FALSE))*VLOOKUP($A34,FY16ProjSCH!$A$3:$S$23,MATCH(F$28,FY16ProjSCH!$A$2:$S$2,0),FALSE)</f>
        <v>840217.48001187656</v>
      </c>
      <c r="G34" s="312">
        <f>+GPpcntSCH*(VLOOKUP($A34,FY17Rev0!$A$4:$F$24,6,FALSE))*VLOOKUP($A34,FY16ProjSCH!$A$3:$S$23,MATCH(G$28,FY16ProjSCH!$A$2:$S$2,0),FALSE)</f>
        <v>311.73596014645335</v>
      </c>
      <c r="H34" s="312">
        <f>+GPpcntSCH*(VLOOKUP($A34,FY17Rev0!$A$4:$F$24,6,FALSE))*VLOOKUP($A34,FY16ProjSCH!$A$3:$S$23,MATCH(H$28,FY16ProjSCH!$A$2:$S$2,0),FALSE)</f>
        <v>3829.8989389421417</v>
      </c>
      <c r="I34" s="312">
        <f>+GPpcntSCH*(VLOOKUP($A34,FY17Rev0!$A$4:$F$24,6,FALSE))*VLOOKUP($A34,FY16ProjSCH!$A$3:$S$23,MATCH(I$28,FY16ProjSCH!$A$2:$S$2,0),FALSE)</f>
        <v>757.0730460699582</v>
      </c>
      <c r="J34" s="312">
        <f>+GPpcntSCH*(VLOOKUP($A34,FY17Rev0!$A$4:$F$24,6,FALSE))*VLOOKUP($A34,FY16ProjSCH!$A$3:$S$23,MATCH(J$28,FY16ProjSCH!$A$2:$S$2,0),FALSE)</f>
        <v>0</v>
      </c>
      <c r="K34" s="312">
        <f>+GPpcntSCH*(VLOOKUP($A34,FY17Rev0!$A$4:$F$24,6,FALSE))*VLOOKUP($A34,FY16ProjSCH!$A$3:$S$23,MATCH(K$28,FY16ProjSCH!$A$2:$S$2,0),FALSE)</f>
        <v>5878.4495341902639</v>
      </c>
      <c r="L34" s="312">
        <f>+GPpcntSCH*(VLOOKUP($A34,FY17Rev0!$A$4:$F$24,6,FALSE))*VLOOKUP($A34,FY16ProjSCH!$A$3:$S$23,MATCH(L$28,FY16ProjSCH!$A$2:$S$2,0),FALSE)</f>
        <v>2716.5562241333791</v>
      </c>
      <c r="M34" s="312">
        <f>+GPpcntSCH*(VLOOKUP($A34,FY17Rev0!$A$4:$F$24,6,FALSE))*VLOOKUP($A34,FY16ProjSCH!$A$3:$S$23,MATCH(M$28,FY16ProjSCH!$A$2:$S$2,0),FALSE)</f>
        <v>0</v>
      </c>
      <c r="N34" s="312">
        <f>+GPpcntSCH*(VLOOKUP($A34,FY17Rev0!$A$4:$F$24,6,FALSE))*VLOOKUP($A34,FY16ProjSCH!$A$3:$S$23,MATCH(N$28,FY16ProjSCH!$A$2:$S$2,0),FALSE)</f>
        <v>1202.410131993463</v>
      </c>
      <c r="O34" s="312">
        <f>+GPpcntSCH*(VLOOKUP($A34,FY17Rev0!$A$4:$F$24,6,FALSE))*VLOOKUP($A34,FY16ProjSCH!$A$3:$S$23,MATCH(O$28,FY16ProjSCH!$A$2:$S$2,0),FALSE)</f>
        <v>445.33708592350479</v>
      </c>
      <c r="P34" s="312">
        <f>+GPpcntSCH*(VLOOKUP($A34,FY17Rev0!$A$4:$F$24,6,FALSE))*VLOOKUP($A34,FY16ProjSCH!$A$3:$S$23,MATCH(P$28,FY16ProjSCH!$A$2:$S$2,0),FALSE)</f>
        <v>0</v>
      </c>
      <c r="Q34" s="312">
        <f>+GPpcntSCH*(VLOOKUP($A34,FY17Rev0!$A$4:$F$24,6,FALSE))*VLOOKUP($A34,FY16ProjSCH!$A$3:$S$23,MATCH(Q$28,FY16ProjSCH!$A$2:$S$2,0),FALSE)</f>
        <v>1603.2135093246175</v>
      </c>
      <c r="R34" s="312">
        <f>+GPpcntSCH*(VLOOKUP($A34,FY17Rev0!$A$4:$F$24,6,FALSE))*VLOOKUP($A34,FY16ProjSCH!$A$3:$S$23,MATCH(R$28,FY16ProjSCH!$A$2:$S$2,0),FALSE)</f>
        <v>0</v>
      </c>
      <c r="S34" s="312">
        <f>+GPpcntSCH*(VLOOKUP($A34,FY17Rev0!$A$4:$F$24,6,FALSE))*VLOOKUP($A34,FY16ProjSCH!$A$3:$S$23,MATCH(S$28,FY16ProjSCH!$A$2:$S$2,0),FALSE)</f>
        <v>1380.5449663628649</v>
      </c>
      <c r="T34" s="327">
        <f t="shared" si="4"/>
        <v>886443.46953073621</v>
      </c>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row>
    <row r="35" spans="1:91" ht="17.100000000000001" customHeight="1" x14ac:dyDescent="0.25">
      <c r="A35" s="325"/>
      <c r="B35" s="328" t="s">
        <v>155</v>
      </c>
      <c r="C35" s="329">
        <v>0</v>
      </c>
      <c r="D35" s="329">
        <v>0</v>
      </c>
      <c r="E35" s="329">
        <v>0</v>
      </c>
      <c r="F35" s="329">
        <v>0</v>
      </c>
      <c r="G35" s="329">
        <v>0</v>
      </c>
      <c r="H35" s="329">
        <v>0</v>
      </c>
      <c r="I35" s="329">
        <v>0</v>
      </c>
      <c r="J35" s="329">
        <v>0</v>
      </c>
      <c r="K35" s="329">
        <v>0</v>
      </c>
      <c r="L35" s="329">
        <v>0</v>
      </c>
      <c r="M35" s="329">
        <v>0</v>
      </c>
      <c r="N35" s="329">
        <v>0</v>
      </c>
      <c r="O35" s="329">
        <v>0</v>
      </c>
      <c r="P35" s="329">
        <v>0</v>
      </c>
      <c r="Q35" s="329">
        <v>0</v>
      </c>
      <c r="R35" s="329">
        <v>0</v>
      </c>
      <c r="S35" s="329">
        <v>0</v>
      </c>
      <c r="T35" s="330">
        <f t="shared" si="4"/>
        <v>0</v>
      </c>
    </row>
    <row r="36" spans="1:91" s="209" customFormat="1" ht="17.100000000000001" customHeight="1" x14ac:dyDescent="0.25">
      <c r="A36" s="325" t="s">
        <v>21</v>
      </c>
      <c r="B36" s="326" t="s">
        <v>22</v>
      </c>
      <c r="C36" s="312">
        <f>+GPpcntSCH*(VLOOKUP($A36,FY17Rev0!$A$4:$F$24,6,FALSE))*VLOOKUP($A36,FY16ProjSCH!$A$3:$S$23,MATCH(C$28,FY16ProjSCH!$A$2:$S$2,0),FALSE)</f>
        <v>123.37509888549818</v>
      </c>
      <c r="D36" s="312">
        <f>+GPpcntSCH*(VLOOKUP($A36,FY17Rev0!$A$4:$F$24,6,FALSE))*VLOOKUP($A36,FY16ProjSCH!$A$3:$S$23,MATCH(D$28,FY16ProjSCH!$A$2:$S$2,0),FALSE)</f>
        <v>6353.8175926031563</v>
      </c>
      <c r="E36" s="312">
        <f>+GPpcntSCH*(VLOOKUP($A36,FY17Rev0!$A$4:$F$24,6,FALSE))*VLOOKUP($A36,FY16ProjSCH!$A$3:$S$23,MATCH(E$28,FY16ProjSCH!$A$2:$S$2,0),FALSE)</f>
        <v>0</v>
      </c>
      <c r="F36" s="312">
        <f>+GPpcntSCH*(VLOOKUP($A36,FY17Rev0!$A$4:$F$24,6,FALSE))*VLOOKUP($A36,FY16ProjSCH!$A$3:$S$23,MATCH(F$28,FY16ProjSCH!$A$2:$S$2,0),FALSE)</f>
        <v>925.31324164123635</v>
      </c>
      <c r="G36" s="312">
        <f>+GPpcntSCH*(VLOOKUP($A36,FY17Rev0!$A$4:$F$24,6,FALSE))*VLOOKUP($A36,FY16ProjSCH!$A$3:$S$23,MATCH(G$28,FY16ProjSCH!$A$2:$S$2,0),FALSE)</f>
        <v>0</v>
      </c>
      <c r="H36" s="312">
        <f>+GPpcntSCH*(VLOOKUP($A36,FY17Rev0!$A$4:$F$24,6,FALSE))*VLOOKUP($A36,FY16ProjSCH!$A$3:$S$23,MATCH(H$28,FY16ProjSCH!$A$2:$S$2,0),FALSE)</f>
        <v>185.06264832824726</v>
      </c>
      <c r="I36" s="312">
        <f>+GPpcntSCH*(VLOOKUP($A36,FY17Rev0!$A$4:$F$24,6,FALSE))*VLOOKUP($A36,FY16ProjSCH!$A$3:$S$23,MATCH(I$28,FY16ProjSCH!$A$2:$S$2,0),FALSE)</f>
        <v>0</v>
      </c>
      <c r="J36" s="312">
        <f>+GPpcntSCH*(VLOOKUP($A36,FY17Rev0!$A$4:$F$24,6,FALSE))*VLOOKUP($A36,FY16ProjSCH!$A$3:$S$23,MATCH(J$28,FY16ProjSCH!$A$2:$S$2,0),FALSE)</f>
        <v>0</v>
      </c>
      <c r="K36" s="312">
        <f>+GPpcntSCH*(VLOOKUP($A36,FY17Rev0!$A$4:$F$24,6,FALSE))*VLOOKUP($A36,FY16ProjSCH!$A$3:$S$23,MATCH(K$28,FY16ProjSCH!$A$2:$S$2,0),FALSE)</f>
        <v>1974.0015821679708</v>
      </c>
      <c r="L36" s="312">
        <f>+GPpcntSCH*(VLOOKUP($A36,FY17Rev0!$A$4:$F$24,6,FALSE))*VLOOKUP($A36,FY16ProjSCH!$A$3:$S$23,MATCH(L$28,FY16ProjSCH!$A$2:$S$2,0),FALSE)</f>
        <v>607128.8616155365</v>
      </c>
      <c r="M36" s="312">
        <f>+GPpcntSCH*(VLOOKUP($A36,FY17Rev0!$A$4:$F$24,6,FALSE))*VLOOKUP($A36,FY16ProjSCH!$A$3:$S$23,MATCH(M$28,FY16ProjSCH!$A$2:$S$2,0),FALSE)</f>
        <v>0</v>
      </c>
      <c r="N36" s="312">
        <f>+GPpcntSCH*(VLOOKUP($A36,FY17Rev0!$A$4:$F$24,6,FALSE))*VLOOKUP($A36,FY16ProjSCH!$A$3:$S$23,MATCH(N$28,FY16ProjSCH!$A$2:$S$2,0),FALSE)</f>
        <v>7340.8183836871412</v>
      </c>
      <c r="O36" s="312">
        <f>+GPpcntSCH*(VLOOKUP($A36,FY17Rev0!$A$4:$F$24,6,FALSE))*VLOOKUP($A36,FY16ProjSCH!$A$3:$S$23,MATCH(O$28,FY16ProjSCH!$A$2:$S$2,0),FALSE)</f>
        <v>123.37509888549818</v>
      </c>
      <c r="P36" s="312">
        <f>+GPpcntSCH*(VLOOKUP($A36,FY17Rev0!$A$4:$F$24,6,FALSE))*VLOOKUP($A36,FY16ProjSCH!$A$3:$S$23,MATCH(P$28,FY16ProjSCH!$A$2:$S$2,0),FALSE)</f>
        <v>0</v>
      </c>
      <c r="Q36" s="312">
        <f>+GPpcntSCH*(VLOOKUP($A36,FY17Rev0!$A$4:$F$24,6,FALSE))*VLOOKUP($A36,FY16ProjSCH!$A$3:$S$23,MATCH(Q$28,FY16ProjSCH!$A$2:$S$2,0),FALSE)</f>
        <v>11597.259295236829</v>
      </c>
      <c r="R36" s="312">
        <f>+GPpcntSCH*(VLOOKUP($A36,FY17Rev0!$A$4:$F$24,6,FALSE))*VLOOKUP($A36,FY16ProjSCH!$A$3:$S$23,MATCH(R$28,FY16ProjSCH!$A$2:$S$2,0),FALSE)</f>
        <v>0</v>
      </c>
      <c r="S36" s="312">
        <f>+GPpcntSCH*(VLOOKUP($A36,FY17Rev0!$A$4:$F$24,6,FALSE))*VLOOKUP($A36,FY16ProjSCH!$A$3:$S$23,MATCH(S$28,FY16ProjSCH!$A$2:$S$2,0),FALSE)</f>
        <v>0</v>
      </c>
      <c r="T36" s="327">
        <f t="shared" si="4"/>
        <v>635751.88455697207</v>
      </c>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row>
    <row r="37" spans="1:91" ht="17.100000000000001" customHeight="1" x14ac:dyDescent="0.25">
      <c r="A37" s="325" t="s">
        <v>23</v>
      </c>
      <c r="B37" s="328" t="s">
        <v>25</v>
      </c>
      <c r="C37" s="329">
        <f>+GPpcntSCH*(VLOOKUP($A37,FY17Rev0!$A$4:$F$24,6,FALSE))*VLOOKUP($A37,FY16ProjSCH!$A$3:$S$23,MATCH(C$28,FY16ProjSCH!$A$2:$S$2,0),FALSE)</f>
        <v>152.33739192198325</v>
      </c>
      <c r="D37" s="329">
        <f>+GPpcntSCH*(VLOOKUP($A37,FY17Rev0!$A$4:$F$24,6,FALSE))*VLOOKUP($A37,FY16ProjSCH!$A$3:$S$23,MATCH(D$28,FY16ProjSCH!$A$2:$S$2,0),FALSE)</f>
        <v>27471.509676597649</v>
      </c>
      <c r="E37" s="329">
        <f>+GPpcntSCH*(VLOOKUP($A37,FY17Rev0!$A$4:$F$24,6,FALSE))*VLOOKUP($A37,FY16ProjSCH!$A$3:$S$23,MATCH(E$28,FY16ProjSCH!$A$2:$S$2,0),FALSE)</f>
        <v>304.67478384396651</v>
      </c>
      <c r="F37" s="329">
        <f>+GPpcntSCH*(VLOOKUP($A37,FY17Rev0!$A$4:$F$24,6,FALSE))*VLOOKUP($A37,FY16ProjSCH!$A$3:$S$23,MATCH(F$28,FY16ProjSCH!$A$2:$S$2,0),FALSE)</f>
        <v>304.67478384396651</v>
      </c>
      <c r="G37" s="329">
        <f>+GPpcntSCH*(VLOOKUP($A37,FY17Rev0!$A$4:$F$24,6,FALSE))*VLOOKUP($A37,FY16ProjSCH!$A$3:$S$23,MATCH(G$28,FY16ProjSCH!$A$2:$S$2,0),FALSE)</f>
        <v>2386.6191401110709</v>
      </c>
      <c r="H37" s="329">
        <f>+GPpcntSCH*(VLOOKUP($A37,FY17Rev0!$A$4:$F$24,6,FALSE))*VLOOKUP($A37,FY16ProjSCH!$A$3:$S$23,MATCH(H$28,FY16ProjSCH!$A$2:$S$2,0),FALSE)</f>
        <v>1472.5947885791713</v>
      </c>
      <c r="I37" s="329">
        <f>+GPpcntSCH*(VLOOKUP($A37,FY17Rev0!$A$4:$F$24,6,FALSE))*VLOOKUP($A37,FY16ProjSCH!$A$3:$S$23,MATCH(I$28,FY16ProjSCH!$A$2:$S$2,0),FALSE)</f>
        <v>203.11652256264435</v>
      </c>
      <c r="J37" s="329">
        <f>+GPpcntSCH*(VLOOKUP($A37,FY17Rev0!$A$4:$F$24,6,FALSE))*VLOOKUP($A37,FY16ProjSCH!$A$3:$S$23,MATCH(J$28,FY16ProjSCH!$A$2:$S$2,0),FALSE)</f>
        <v>253.89565320330544</v>
      </c>
      <c r="K37" s="329">
        <f>+GPpcntSCH*(VLOOKUP($A37,FY17Rev0!$A$4:$F$24,6,FALSE))*VLOOKUP($A37,FY16ProjSCH!$A$3:$S$23,MATCH(K$28,FY16ProjSCH!$A$2:$S$2,0),FALSE)</f>
        <v>1624.9321805011548</v>
      </c>
      <c r="L37" s="329">
        <f>+GPpcntSCH*(VLOOKUP($A37,FY17Rev0!$A$4:$F$24,6,FALSE))*VLOOKUP($A37,FY16ProjSCH!$A$3:$S$23,MATCH(L$28,FY16ProjSCH!$A$2:$S$2,0),FALSE)</f>
        <v>457.01217576594973</v>
      </c>
      <c r="M37" s="329">
        <f>+GPpcntSCH*(VLOOKUP($A37,FY17Rev0!$A$4:$F$24,6,FALSE))*VLOOKUP($A37,FY16ProjSCH!$A$3:$S$23,MATCH(M$28,FY16ProjSCH!$A$2:$S$2,0),FALSE)</f>
        <v>101.55826128132217</v>
      </c>
      <c r="N37" s="329">
        <f>+GPpcntSCH*(VLOOKUP($A37,FY17Rev0!$A$4:$F$24,6,FALSE))*VLOOKUP($A37,FY16ProjSCH!$A$3:$S$23,MATCH(N$28,FY16ProjSCH!$A$2:$S$2,0),FALSE)</f>
        <v>13684.975707658163</v>
      </c>
      <c r="O37" s="329">
        <f>+GPpcntSCH*(VLOOKUP($A37,FY17Rev0!$A$4:$F$24,6,FALSE))*VLOOKUP($A37,FY16ProjSCH!$A$3:$S$23,MATCH(O$28,FY16ProjSCH!$A$2:$S$2,0),FALSE)</f>
        <v>203.11652256264435</v>
      </c>
      <c r="P37" s="329">
        <f>+GPpcntSCH*(VLOOKUP($A37,FY17Rev0!$A$4:$F$24,6,FALSE))*VLOOKUP($A37,FY16ProjSCH!$A$3:$S$23,MATCH(P$28,FY16ProjSCH!$A$2:$S$2,0),FALSE)</f>
        <v>2742.073054595699</v>
      </c>
      <c r="Q37" s="329">
        <f>+GPpcntSCH*(VLOOKUP($A37,FY17Rev0!$A$4:$F$24,6,FALSE))*VLOOKUP($A37,FY16ProjSCH!$A$3:$S$23,MATCH(Q$28,FY16ProjSCH!$A$2:$S$2,0),FALSE)</f>
        <v>444850.57397751143</v>
      </c>
      <c r="R37" s="329">
        <f>+GPpcntSCH*(VLOOKUP($A37,FY17Rev0!$A$4:$F$24,6,FALSE))*VLOOKUP($A37,FY16ProjSCH!$A$3:$S$23,MATCH(R$28,FY16ProjSCH!$A$2:$S$2,0),FALSE)</f>
        <v>0</v>
      </c>
      <c r="S37" s="329">
        <f>+GPpcntSCH*(VLOOKUP($A37,FY17Rev0!$A$4:$F$24,6,FALSE))*VLOOKUP($A37,FY16ProjSCH!$A$3:$S$23,MATCH(S$28,FY16ProjSCH!$A$2:$S$2,0),FALSE)</f>
        <v>914.02435153189947</v>
      </c>
      <c r="T37" s="330">
        <f t="shared" si="4"/>
        <v>497127.68897207198</v>
      </c>
    </row>
    <row r="38" spans="1:91" s="209" customFormat="1" ht="17.100000000000001" customHeight="1" x14ac:dyDescent="0.25">
      <c r="A38" s="325" t="s">
        <v>26</v>
      </c>
      <c r="B38" s="326" t="s">
        <v>27</v>
      </c>
      <c r="C38" s="312">
        <f>+GPpcntSCH*(VLOOKUP($A38,FY17Rev0!$A$4:$F$24,6,FALSE))*VLOOKUP($A38,FY16ProjSCH!$A$3:$S$23,MATCH(C$28,FY16ProjSCH!$A$2:$S$2,0),FALSE)</f>
        <v>1543.5046736737684</v>
      </c>
      <c r="D38" s="312">
        <f>+GPpcntSCH*(VLOOKUP($A38,FY17Rev0!$A$4:$F$24,6,FALSE))*VLOOKUP($A38,FY16ProjSCH!$A$3:$S$23,MATCH(D$28,FY16ProjSCH!$A$2:$S$2,0),FALSE)</f>
        <v>10270.242636367768</v>
      </c>
      <c r="E38" s="312">
        <f>+GPpcntSCH*(VLOOKUP($A38,FY17Rev0!$A$4:$F$24,6,FALSE))*VLOOKUP($A38,FY16ProjSCH!$A$3:$S$23,MATCH(E$28,FY16ProjSCH!$A$2:$S$2,0),FALSE)</f>
        <v>0</v>
      </c>
      <c r="F38" s="312">
        <f>+GPpcntSCH*(VLOOKUP($A38,FY17Rev0!$A$4:$F$24,6,FALSE))*VLOOKUP($A38,FY16ProjSCH!$A$3:$S$23,MATCH(F$28,FY16ProjSCH!$A$2:$S$2,0),FALSE)</f>
        <v>178.09669311620408</v>
      </c>
      <c r="G38" s="312">
        <f>+GPpcntSCH*(VLOOKUP($A38,FY17Rev0!$A$4:$F$24,6,FALSE))*VLOOKUP($A38,FY16ProjSCH!$A$3:$S$23,MATCH(G$28,FY16ProjSCH!$A$2:$S$2,0),FALSE)</f>
        <v>1840.3324955341088</v>
      </c>
      <c r="H38" s="312">
        <f>+GPpcntSCH*(VLOOKUP($A38,FY17Rev0!$A$4:$F$24,6,FALSE))*VLOOKUP($A38,FY16ProjSCH!$A$3:$S$23,MATCH(H$28,FY16ProjSCH!$A$2:$S$2,0),FALSE)</f>
        <v>593.65564372068025</v>
      </c>
      <c r="I38" s="312">
        <f>+GPpcntSCH*(VLOOKUP($A38,FY17Rev0!$A$4:$F$24,6,FALSE))*VLOOKUP($A38,FY16ProjSCH!$A$3:$S$23,MATCH(I$28,FY16ProjSCH!$A$2:$S$2,0),FALSE)</f>
        <v>0</v>
      </c>
      <c r="J38" s="312">
        <f>+GPpcntSCH*(VLOOKUP($A38,FY17Rev0!$A$4:$F$24,6,FALSE))*VLOOKUP($A38,FY16ProjSCH!$A$3:$S$23,MATCH(J$28,FY16ProjSCH!$A$2:$S$2,0),FALSE)</f>
        <v>1127.9457230692924</v>
      </c>
      <c r="K38" s="312">
        <f>+GPpcntSCH*(VLOOKUP($A38,FY17Rev0!$A$4:$F$24,6,FALSE))*VLOOKUP($A38,FY16ProjSCH!$A$3:$S$23,MATCH(K$28,FY16ProjSCH!$A$2:$S$2,0),FALSE)</f>
        <v>2018.4291886503127</v>
      </c>
      <c r="L38" s="312">
        <f>+GPpcntSCH*(VLOOKUP($A38,FY17Rev0!$A$4:$F$24,6,FALSE))*VLOOKUP($A38,FY16ProjSCH!$A$3:$S$23,MATCH(L$28,FY16ProjSCH!$A$2:$S$2,0),FALSE)</f>
        <v>4511.7828922771696</v>
      </c>
      <c r="M38" s="312">
        <f>+GPpcntSCH*(VLOOKUP($A38,FY17Rev0!$A$4:$F$24,6,FALSE))*VLOOKUP($A38,FY16ProjSCH!$A$3:$S$23,MATCH(M$28,FY16ProjSCH!$A$2:$S$2,0),FALSE)</f>
        <v>534.29007934861215</v>
      </c>
      <c r="N38" s="312">
        <f>+GPpcntSCH*(VLOOKUP($A38,FY17Rev0!$A$4:$F$24,6,FALSE))*VLOOKUP($A38,FY16ProjSCH!$A$3:$S$23,MATCH(N$28,FY16ProjSCH!$A$2:$S$2,0),FALSE)</f>
        <v>64381.954561507766</v>
      </c>
      <c r="O38" s="312">
        <f>+GPpcntSCH*(VLOOKUP($A38,FY17Rev0!$A$4:$F$24,6,FALSE))*VLOOKUP($A38,FY16ProjSCH!$A$3:$S$23,MATCH(O$28,FY16ProjSCH!$A$2:$S$2,0),FALSE)</f>
        <v>593.65564372068025</v>
      </c>
      <c r="P38" s="312">
        <f>+GPpcntSCH*(VLOOKUP($A38,FY17Rev0!$A$4:$F$24,6,FALSE))*VLOOKUP($A38,FY16ProjSCH!$A$3:$S$23,MATCH(P$28,FY16ProjSCH!$A$2:$S$2,0),FALSE)</f>
        <v>1365.4079805575645</v>
      </c>
      <c r="Q38" s="312">
        <f>+GPpcntSCH*(VLOOKUP($A38,FY17Rev0!$A$4:$F$24,6,FALSE))*VLOOKUP($A38,FY16ProjSCH!$A$3:$S$23,MATCH(Q$28,FY16ProjSCH!$A$2:$S$2,0),FALSE)</f>
        <v>279196.2492418359</v>
      </c>
      <c r="R38" s="312">
        <f>+GPpcntSCH*(VLOOKUP($A38,FY17Rev0!$A$4:$F$24,6,FALSE))*VLOOKUP($A38,FY16ProjSCH!$A$3:$S$23,MATCH(R$28,FY16ProjSCH!$A$2:$S$2,0),FALSE)</f>
        <v>0</v>
      </c>
      <c r="S38" s="312">
        <f>+GPpcntSCH*(VLOOKUP($A38,FY17Rev0!$A$4:$F$24,6,FALSE))*VLOOKUP($A38,FY16ProjSCH!$A$3:$S$23,MATCH(S$28,FY16ProjSCH!$A$2:$S$2,0),FALSE)</f>
        <v>653.02120809274822</v>
      </c>
      <c r="T38" s="327">
        <f t="shared" si="4"/>
        <v>368808.56866147259</v>
      </c>
    </row>
    <row r="39" spans="1:91" ht="17.100000000000001" customHeight="1" x14ac:dyDescent="0.25">
      <c r="A39" s="331" t="s">
        <v>28</v>
      </c>
      <c r="B39" s="328" t="s">
        <v>30</v>
      </c>
      <c r="C39" s="329">
        <f>+GPpcntSCH*(VLOOKUP($A39,FY17Rev0!$A$4:$F$24,6,FALSE))*VLOOKUP($A39,FY16ProjSCH!$A$3:$S$23,MATCH(C$28,FY16ProjSCH!$A$2:$S$2,0),FALSE)</f>
        <v>893232.94761942909</v>
      </c>
      <c r="D39" s="329">
        <f>+GPpcntSCH*(VLOOKUP($A39,FY17Rev0!$A$4:$F$24,6,FALSE))*VLOOKUP($A39,FY16ProjSCH!$A$3:$S$23,MATCH(D$28,FY16ProjSCH!$A$2:$S$2,0),FALSE)</f>
        <v>16504.510456714685</v>
      </c>
      <c r="E39" s="329">
        <f>+GPpcntSCH*(VLOOKUP($A39,FY17Rev0!$A$4:$F$24,6,FALSE))*VLOOKUP($A39,FY16ProjSCH!$A$3:$S$23,MATCH(E$28,FY16ProjSCH!$A$2:$S$2,0),FALSE)</f>
        <v>4789.2552664573859</v>
      </c>
      <c r="F39" s="329">
        <f>+GPpcntSCH*(VLOOKUP($A39,FY17Rev0!$A$4:$F$24,6,FALSE))*VLOOKUP($A39,FY16ProjSCH!$A$3:$S$23,MATCH(F$28,FY16ProjSCH!$A$2:$S$2,0),FALSE)</f>
        <v>0</v>
      </c>
      <c r="G39" s="329">
        <f>+GPpcntSCH*(VLOOKUP($A39,FY17Rev0!$A$4:$F$24,6,FALSE))*VLOOKUP($A39,FY16ProjSCH!$A$3:$S$23,MATCH(G$28,FY16ProjSCH!$A$2:$S$2,0),FALSE)</f>
        <v>4936.6169669637666</v>
      </c>
      <c r="H39" s="329">
        <f>+GPpcntSCH*(VLOOKUP($A39,FY17Rev0!$A$4:$F$24,6,FALSE))*VLOOKUP($A39,FY16ProjSCH!$A$3:$S$23,MATCH(H$28,FY16ProjSCH!$A$2:$S$2,0),FALSE)</f>
        <v>12009.978591270061</v>
      </c>
      <c r="I39" s="329">
        <f>+GPpcntSCH*(VLOOKUP($A39,FY17Rev0!$A$4:$F$24,6,FALSE))*VLOOKUP($A39,FY16ProjSCH!$A$3:$S$23,MATCH(I$28,FY16ProjSCH!$A$2:$S$2,0),FALSE)</f>
        <v>147.36170050638111</v>
      </c>
      <c r="J39" s="329">
        <f>+GPpcntSCH*(VLOOKUP($A39,FY17Rev0!$A$4:$F$24,6,FALSE))*VLOOKUP($A39,FY16ProjSCH!$A$3:$S$23,MATCH(J$28,FY16ProjSCH!$A$2:$S$2,0),FALSE)</f>
        <v>442.08510151914334</v>
      </c>
      <c r="K39" s="329">
        <f>+GPpcntSCH*(VLOOKUP($A39,FY17Rev0!$A$4:$F$24,6,FALSE))*VLOOKUP($A39,FY16ProjSCH!$A$3:$S$23,MATCH(K$28,FY16ProjSCH!$A$2:$S$2,0),FALSE)</f>
        <v>12452.063692789205</v>
      </c>
      <c r="L39" s="329">
        <f>+GPpcntSCH*(VLOOKUP($A39,FY17Rev0!$A$4:$F$24,6,FALSE))*VLOOKUP($A39,FY16ProjSCH!$A$3:$S$23,MATCH(L$28,FY16ProjSCH!$A$2:$S$2,0),FALSE)</f>
        <v>0</v>
      </c>
      <c r="M39" s="329">
        <f>+GPpcntSCH*(VLOOKUP($A39,FY17Rev0!$A$4:$F$24,6,FALSE))*VLOOKUP($A39,FY16ProjSCH!$A$3:$S$23,MATCH(M$28,FY16ProjSCH!$A$2:$S$2,0),FALSE)</f>
        <v>0</v>
      </c>
      <c r="N39" s="329">
        <f>+GPpcntSCH*(VLOOKUP($A39,FY17Rev0!$A$4:$F$24,6,FALSE))*VLOOKUP($A39,FY16ProjSCH!$A$3:$S$23,MATCH(N$28,FY16ProjSCH!$A$2:$S$2,0),FALSE)</f>
        <v>515.76595177233389</v>
      </c>
      <c r="O39" s="329">
        <f>+GPpcntSCH*(VLOOKUP($A39,FY17Rev0!$A$4:$F$24,6,FALSE))*VLOOKUP($A39,FY16ProjSCH!$A$3:$S$23,MATCH(O$28,FY16ProjSCH!$A$2:$S$2,0),FALSE)</f>
        <v>0</v>
      </c>
      <c r="P39" s="329">
        <f>+GPpcntSCH*(VLOOKUP($A39,FY17Rev0!$A$4:$F$24,6,FALSE))*VLOOKUP($A39,FY16ProjSCH!$A$3:$S$23,MATCH(P$28,FY16ProjSCH!$A$2:$S$2,0),FALSE)</f>
        <v>0</v>
      </c>
      <c r="Q39" s="329">
        <f>+GPpcntSCH*(VLOOKUP($A39,FY17Rev0!$A$4:$F$24,6,FALSE))*VLOOKUP($A39,FY16ProjSCH!$A$3:$S$23,MATCH(Q$28,FY16ProjSCH!$A$2:$S$2,0),FALSE)</f>
        <v>2947.2340101276222</v>
      </c>
      <c r="R39" s="329">
        <f>+GPpcntSCH*(VLOOKUP($A39,FY17Rev0!$A$4:$F$24,6,FALSE))*VLOOKUP($A39,FY16ProjSCH!$A$3:$S$23,MATCH(R$28,FY16ProjSCH!$A$2:$S$2,0),FALSE)</f>
        <v>0</v>
      </c>
      <c r="S39" s="329">
        <f>+GPpcntSCH*(VLOOKUP($A39,FY17Rev0!$A$4:$F$24,6,FALSE))*VLOOKUP($A39,FY16ProjSCH!$A$3:$S$23,MATCH(S$28,FY16ProjSCH!$A$2:$S$2,0),FALSE)</f>
        <v>0</v>
      </c>
      <c r="T39" s="330">
        <f t="shared" si="4"/>
        <v>947977.81935754954</v>
      </c>
    </row>
    <row r="40" spans="1:91" s="209" customFormat="1" ht="17.100000000000001" customHeight="1" x14ac:dyDescent="0.25">
      <c r="A40" s="325" t="s">
        <v>31</v>
      </c>
      <c r="B40" s="326" t="s">
        <v>33</v>
      </c>
      <c r="C40" s="312">
        <f>+GPpcntSCH*(VLOOKUP($A40,FY17Rev0!$A$4:$F$24,6,FALSE))*VLOOKUP($A40,FY16ProjSCH!$A$3:$S$23,MATCH(C$28,FY16ProjSCH!$A$2:$S$2,0),FALSE)</f>
        <v>0</v>
      </c>
      <c r="D40" s="312">
        <f>+GPpcntSCH*(VLOOKUP($A40,FY17Rev0!$A$4:$F$24,6,FALSE))*VLOOKUP($A40,FY16ProjSCH!$A$3:$S$23,MATCH(D$28,FY16ProjSCH!$A$2:$S$2,0),FALSE)</f>
        <v>1235.9864312497391</v>
      </c>
      <c r="E40" s="312">
        <f>+GPpcntSCH*(VLOOKUP($A40,FY17Rev0!$A$4:$F$24,6,FALSE))*VLOOKUP($A40,FY16ProjSCH!$A$3:$S$23,MATCH(E$28,FY16ProjSCH!$A$2:$S$2,0),FALSE)</f>
        <v>308.99660781243477</v>
      </c>
      <c r="F40" s="312">
        <f>+GPpcntSCH*(VLOOKUP($A40,FY17Rev0!$A$4:$F$24,6,FALSE))*VLOOKUP($A40,FY16ProjSCH!$A$3:$S$23,MATCH(F$28,FY16ProjSCH!$A$2:$S$2,0),FALSE)</f>
        <v>0</v>
      </c>
      <c r="G40" s="312">
        <f>+GPpcntSCH*(VLOOKUP($A40,FY17Rev0!$A$4:$F$24,6,FALSE))*VLOOKUP($A40,FY16ProjSCH!$A$3:$S$23,MATCH(G$28,FY16ProjSCH!$A$2:$S$2,0),FALSE)</f>
        <v>331553.36018274247</v>
      </c>
      <c r="H40" s="312">
        <f>+GPpcntSCH*(VLOOKUP($A40,FY17Rev0!$A$4:$F$24,6,FALSE))*VLOOKUP($A40,FY16ProjSCH!$A$3:$S$23,MATCH(H$28,FY16ProjSCH!$A$2:$S$2,0),FALSE)</f>
        <v>2162.9762546870434</v>
      </c>
      <c r="I40" s="312">
        <f>+GPpcntSCH*(VLOOKUP($A40,FY17Rev0!$A$4:$F$24,6,FALSE))*VLOOKUP($A40,FY16ProjSCH!$A$3:$S$23,MATCH(I$28,FY16ProjSCH!$A$2:$S$2,0),FALSE)</f>
        <v>1544.9830390621739</v>
      </c>
      <c r="J40" s="312">
        <f>+GPpcntSCH*(VLOOKUP($A40,FY17Rev0!$A$4:$F$24,6,FALSE))*VLOOKUP($A40,FY16ProjSCH!$A$3:$S$23,MATCH(J$28,FY16ProjSCH!$A$2:$S$2,0),FALSE)</f>
        <v>0</v>
      </c>
      <c r="K40" s="312">
        <f>+GPpcntSCH*(VLOOKUP($A40,FY17Rev0!$A$4:$F$24,6,FALSE))*VLOOKUP($A40,FY16ProjSCH!$A$3:$S$23,MATCH(K$28,FY16ProjSCH!$A$2:$S$2,0),FALSE)</f>
        <v>0</v>
      </c>
      <c r="L40" s="312">
        <f>+GPpcntSCH*(VLOOKUP($A40,FY17Rev0!$A$4:$F$24,6,FALSE))*VLOOKUP($A40,FY16ProjSCH!$A$3:$S$23,MATCH(L$28,FY16ProjSCH!$A$2:$S$2,0),FALSE)</f>
        <v>0</v>
      </c>
      <c r="M40" s="312">
        <f>+GPpcntSCH*(VLOOKUP($A40,FY17Rev0!$A$4:$F$24,6,FALSE))*VLOOKUP($A40,FY16ProjSCH!$A$3:$S$23,MATCH(M$28,FY16ProjSCH!$A$2:$S$2,0),FALSE)</f>
        <v>0</v>
      </c>
      <c r="N40" s="312">
        <f>+GPpcntSCH*(VLOOKUP($A40,FY17Rev0!$A$4:$F$24,6,FALSE))*VLOOKUP($A40,FY16ProjSCH!$A$3:$S$23,MATCH(N$28,FY16ProjSCH!$A$2:$S$2,0),FALSE)</f>
        <v>12977.857528122258</v>
      </c>
      <c r="O40" s="312">
        <f>+GPpcntSCH*(VLOOKUP($A40,FY17Rev0!$A$4:$F$24,6,FALSE))*VLOOKUP($A40,FY16ProjSCH!$A$3:$S$23,MATCH(O$28,FY16ProjSCH!$A$2:$S$2,0),FALSE)</f>
        <v>0</v>
      </c>
      <c r="P40" s="312">
        <f>+GPpcntSCH*(VLOOKUP($A40,FY17Rev0!$A$4:$F$24,6,FALSE))*VLOOKUP($A40,FY16ProjSCH!$A$3:$S$23,MATCH(P$28,FY16ProjSCH!$A$2:$S$2,0),FALSE)</f>
        <v>0</v>
      </c>
      <c r="Q40" s="312">
        <f>+GPpcntSCH*(VLOOKUP($A40,FY17Rev0!$A$4:$F$24,6,FALSE))*VLOOKUP($A40,FY16ProjSCH!$A$3:$S$23,MATCH(Q$28,FY16ProjSCH!$A$2:$S$2,0),FALSE)</f>
        <v>463.49491171865213</v>
      </c>
      <c r="R40" s="312">
        <f>+GPpcntSCH*(VLOOKUP($A40,FY17Rev0!$A$4:$F$24,6,FALSE))*VLOOKUP($A40,FY16ProjSCH!$A$3:$S$23,MATCH(R$28,FY16ProjSCH!$A$2:$S$2,0),FALSE)</f>
        <v>0</v>
      </c>
      <c r="S40" s="312">
        <f>+GPpcntSCH*(VLOOKUP($A40,FY17Rev0!$A$4:$F$24,6,FALSE))*VLOOKUP($A40,FY16ProjSCH!$A$3:$S$23,MATCH(S$28,FY16ProjSCH!$A$2:$S$2,0),FALSE)</f>
        <v>1853.9796468746085</v>
      </c>
      <c r="T40" s="327">
        <f t="shared" si="4"/>
        <v>352101.63460226939</v>
      </c>
    </row>
    <row r="41" spans="1:91" ht="17.100000000000001" customHeight="1" x14ac:dyDescent="0.25">
      <c r="A41" s="325" t="s">
        <v>34</v>
      </c>
      <c r="B41" s="328" t="s">
        <v>35</v>
      </c>
      <c r="C41" s="329">
        <f>+GPpcntSCH*(VLOOKUP($A41,FY17Rev0!$A$4:$F$24,6,FALSE))*VLOOKUP($A41,FY16ProjSCH!$A$3:$S$23,MATCH(C$28,FY16ProjSCH!$A$2:$S$2,0),FALSE)</f>
        <v>8325.9695164346795</v>
      </c>
      <c r="D41" s="329">
        <f>+GPpcntSCH*(VLOOKUP($A41,FY17Rev0!$A$4:$F$24,6,FALSE))*VLOOKUP($A41,FY16ProjSCH!$A$3:$S$23,MATCH(D$28,FY16ProjSCH!$A$2:$S$2,0),FALSE)</f>
        <v>42240.927913654843</v>
      </c>
      <c r="E41" s="329">
        <f>+GPpcntSCH*(VLOOKUP($A41,FY17Rev0!$A$4:$F$24,6,FALSE))*VLOOKUP($A41,FY16ProjSCH!$A$3:$S$23,MATCH(E$28,FY16ProjSCH!$A$2:$S$2,0),FALSE)</f>
        <v>14436.772831249125</v>
      </c>
      <c r="F41" s="329">
        <f>+GPpcntSCH*(VLOOKUP($A41,FY17Rev0!$A$4:$F$24,6,FALSE))*VLOOKUP($A41,FY16ProjSCH!$A$3:$S$23,MATCH(F$28,FY16ProjSCH!$A$2:$S$2,0),FALSE)</f>
        <v>3819.2520717590278</v>
      </c>
      <c r="G41" s="329">
        <f>+GPpcntSCH*(VLOOKUP($A41,FY17Rev0!$A$4:$F$24,6,FALSE))*VLOOKUP($A41,FY16ProjSCH!$A$3:$S$23,MATCH(G$28,FY16ProjSCH!$A$2:$S$2,0),FALSE)</f>
        <v>1833.2409944443332</v>
      </c>
      <c r="H41" s="329">
        <f>+GPpcntSCH*(VLOOKUP($A41,FY17Rev0!$A$4:$F$24,6,FALSE))*VLOOKUP($A41,FY16ProjSCH!$A$3:$S$23,MATCH(H$28,FY16ProjSCH!$A$2:$S$2,0),FALSE)</f>
        <v>23602.977803470792</v>
      </c>
      <c r="I41" s="329">
        <f>+GPpcntSCH*(VLOOKUP($A41,FY17Rev0!$A$4:$F$24,6,FALSE))*VLOOKUP($A41,FY16ProjSCH!$A$3:$S$23,MATCH(I$28,FY16ProjSCH!$A$2:$S$2,0),FALSE)</f>
        <v>1298.5457043980693</v>
      </c>
      <c r="J41" s="329">
        <f>+GPpcntSCH*(VLOOKUP($A41,FY17Rev0!$A$4:$F$24,6,FALSE))*VLOOKUP($A41,FY16ProjSCH!$A$3:$S$23,MATCH(J$28,FY16ProjSCH!$A$2:$S$2,0),FALSE)</f>
        <v>4353.9473618052916</v>
      </c>
      <c r="K41" s="329">
        <f>+GPpcntSCH*(VLOOKUP($A41,FY17Rev0!$A$4:$F$24,6,FALSE))*VLOOKUP($A41,FY16ProjSCH!$A$3:$S$23,MATCH(K$28,FY16ProjSCH!$A$2:$S$2,0),FALSE)</f>
        <v>816708.86302495049</v>
      </c>
      <c r="L41" s="329">
        <f>+GPpcntSCH*(VLOOKUP($A41,FY17Rev0!$A$4:$F$24,6,FALSE))*VLOOKUP($A41,FY16ProjSCH!$A$3:$S$23,MATCH(L$28,FY16ProjSCH!$A$2:$S$2,0),FALSE)</f>
        <v>3360.9418231479444</v>
      </c>
      <c r="M41" s="329">
        <f>+GPpcntSCH*(VLOOKUP($A41,FY17Rev0!$A$4:$F$24,6,FALSE))*VLOOKUP($A41,FY16ProjSCH!$A$3:$S$23,MATCH(M$28,FY16ProjSCH!$A$2:$S$2,0),FALSE)</f>
        <v>0</v>
      </c>
      <c r="N41" s="329">
        <f>+GPpcntSCH*(VLOOKUP($A41,FY17Rev0!$A$4:$F$24,6,FALSE))*VLOOKUP($A41,FY16ProjSCH!$A$3:$S$23,MATCH(N$28,FY16ProjSCH!$A$2:$S$2,0),FALSE)</f>
        <v>5194.1828175922774</v>
      </c>
      <c r="O41" s="329">
        <f>+GPpcntSCH*(VLOOKUP($A41,FY17Rev0!$A$4:$F$24,6,FALSE))*VLOOKUP($A41,FY16ProjSCH!$A$3:$S$23,MATCH(O$28,FY16ProjSCH!$A$2:$S$2,0),FALSE)</f>
        <v>0</v>
      </c>
      <c r="P41" s="329">
        <f>+GPpcntSCH*(VLOOKUP($A41,FY17Rev0!$A$4:$F$24,6,FALSE))*VLOOKUP($A41,FY16ProjSCH!$A$3:$S$23,MATCH(P$28,FY16ProjSCH!$A$2:$S$2,0),FALSE)</f>
        <v>0</v>
      </c>
      <c r="Q41" s="329">
        <f>+GPpcntSCH*(VLOOKUP($A41,FY17Rev0!$A$4:$F$24,6,FALSE))*VLOOKUP($A41,FY16ProjSCH!$A$3:$S$23,MATCH(Q$28,FY16ProjSCH!$A$2:$S$2,0),FALSE)</f>
        <v>20776.73127036911</v>
      </c>
      <c r="R41" s="329">
        <f>+GPpcntSCH*(VLOOKUP($A41,FY17Rev0!$A$4:$F$24,6,FALSE))*VLOOKUP($A41,FY16ProjSCH!$A$3:$S$23,MATCH(R$28,FY16ProjSCH!$A$2:$S$2,0),FALSE)</f>
        <v>0</v>
      </c>
      <c r="S41" s="329">
        <f>+GPpcntSCH*(VLOOKUP($A41,FY17Rev0!$A$4:$F$24,6,FALSE))*VLOOKUP($A41,FY16ProjSCH!$A$3:$S$23,MATCH(S$28,FY16ProjSCH!$A$2:$S$2,0),FALSE)</f>
        <v>229.15512430554165</v>
      </c>
      <c r="T41" s="330">
        <f t="shared" si="4"/>
        <v>946181.5082575815</v>
      </c>
    </row>
    <row r="42" spans="1:91" s="209" customFormat="1" ht="17.100000000000001" customHeight="1" x14ac:dyDescent="0.25">
      <c r="A42" s="325" t="s">
        <v>156</v>
      </c>
      <c r="B42" s="326" t="s">
        <v>36</v>
      </c>
      <c r="C42" s="312">
        <f>+GPpcntSCH*(VLOOKUP($A42,FY17Rev0!$A$4:$F$24,6,FALSE))*VLOOKUP($A42,FY16ProjSCH!$A$3:$S$23,MATCH(C$28,FY16ProjSCH!$A$2:$S$2,0),FALSE)</f>
        <v>2646.2970192783237</v>
      </c>
      <c r="D42" s="312">
        <f>+GPpcntSCH*(VLOOKUP($A42,FY17Rev0!$A$4:$F$24,6,FALSE))*VLOOKUP($A42,FY16ProjSCH!$A$3:$S$23,MATCH(D$28,FY16ProjSCH!$A$2:$S$2,0),FALSE)</f>
        <v>4695.043098719606</v>
      </c>
      <c r="E42" s="312">
        <f>+GPpcntSCH*(VLOOKUP($A42,FY17Rev0!$A$4:$F$24,6,FALSE))*VLOOKUP($A42,FY16ProjSCH!$A$3:$S$23,MATCH(E$28,FY16ProjSCH!$A$2:$S$2,0),FALSE)</f>
        <v>946349.95986191917</v>
      </c>
      <c r="F42" s="312">
        <f>+GPpcntSCH*(VLOOKUP($A42,FY17Rev0!$A$4:$F$24,6,FALSE))*VLOOKUP($A42,FY16ProjSCH!$A$3:$S$23,MATCH(F$28,FY16ProjSCH!$A$2:$S$2,0),FALSE)</f>
        <v>0</v>
      </c>
      <c r="G42" s="312">
        <f>+GPpcntSCH*(VLOOKUP($A42,FY17Rev0!$A$4:$F$24,6,FALSE))*VLOOKUP($A42,FY16ProjSCH!$A$3:$S$23,MATCH(G$28,FY16ProjSCH!$A$2:$S$2,0),FALSE)</f>
        <v>4097.4921588825655</v>
      </c>
      <c r="H42" s="312">
        <f>+GPpcntSCH*(VLOOKUP($A42,FY17Rev0!$A$4:$F$24,6,FALSE))*VLOOKUP($A42,FY16ProjSCH!$A$3:$S$23,MATCH(H$28,FY16ProjSCH!$A$2:$S$2,0),FALSE)</f>
        <v>0</v>
      </c>
      <c r="I42" s="312">
        <f>+GPpcntSCH*(VLOOKUP($A42,FY17Rev0!$A$4:$F$24,6,FALSE))*VLOOKUP($A42,FY16ProjSCH!$A$3:$S$23,MATCH(I$28,FY16ProjSCH!$A$2:$S$2,0),FALSE)</f>
        <v>2390.2037593481632</v>
      </c>
      <c r="J42" s="312">
        <f>+GPpcntSCH*(VLOOKUP($A42,FY17Rev0!$A$4:$F$24,6,FALSE))*VLOOKUP($A42,FY16ProjSCH!$A$3:$S$23,MATCH(J$28,FY16ProjSCH!$A$2:$S$2,0),FALSE)</f>
        <v>853.64419976720114</v>
      </c>
      <c r="K42" s="312">
        <f>+GPpcntSCH*(VLOOKUP($A42,FY17Rev0!$A$4:$F$24,6,FALSE))*VLOOKUP($A42,FY16ProjSCH!$A$3:$S$23,MATCH(K$28,FY16ProjSCH!$A$2:$S$2,0),FALSE)</f>
        <v>4438.9498387894464</v>
      </c>
      <c r="L42" s="312">
        <f>+GPpcntSCH*(VLOOKUP($A42,FY17Rev0!$A$4:$F$24,6,FALSE))*VLOOKUP($A42,FY16ProjSCH!$A$3:$S$23,MATCH(L$28,FY16ProjSCH!$A$2:$S$2,0),FALSE)</f>
        <v>0</v>
      </c>
      <c r="M42" s="312">
        <f>+GPpcntSCH*(VLOOKUP($A42,FY17Rev0!$A$4:$F$24,6,FALSE))*VLOOKUP($A42,FY16ProjSCH!$A$3:$S$23,MATCH(M$28,FY16ProjSCH!$A$2:$S$2,0),FALSE)</f>
        <v>0</v>
      </c>
      <c r="N42" s="312">
        <f>+GPpcntSCH*(VLOOKUP($A42,FY17Rev0!$A$4:$F$24,6,FALSE))*VLOOKUP($A42,FY16ProjSCH!$A$3:$S$23,MATCH(N$28,FY16ProjSCH!$A$2:$S$2,0),FALSE)</f>
        <v>1365.8307196275218</v>
      </c>
      <c r="O42" s="312">
        <f>+GPpcntSCH*(VLOOKUP($A42,FY17Rev0!$A$4:$F$24,6,FALSE))*VLOOKUP($A42,FY16ProjSCH!$A$3:$S$23,MATCH(O$28,FY16ProjSCH!$A$2:$S$2,0),FALSE)</f>
        <v>0</v>
      </c>
      <c r="P42" s="312">
        <f>+GPpcntSCH*(VLOOKUP($A42,FY17Rev0!$A$4:$F$24,6,FALSE))*VLOOKUP($A42,FY16ProjSCH!$A$3:$S$23,MATCH(P$28,FY16ProjSCH!$A$2:$S$2,0),FALSE)</f>
        <v>0</v>
      </c>
      <c r="Q42" s="312">
        <f>+GPpcntSCH*(VLOOKUP($A42,FY17Rev0!$A$4:$F$24,6,FALSE))*VLOOKUP($A42,FY16ProjSCH!$A$3:$S$23,MATCH(Q$28,FY16ProjSCH!$A$2:$S$2,0),FALSE)</f>
        <v>1792.6528195111225</v>
      </c>
      <c r="R42" s="312">
        <f>+GPpcntSCH*(VLOOKUP($A42,FY17Rev0!$A$4:$F$24,6,FALSE))*VLOOKUP($A42,FY16ProjSCH!$A$3:$S$23,MATCH(R$28,FY16ProjSCH!$A$2:$S$2,0),FALSE)</f>
        <v>0</v>
      </c>
      <c r="S42" s="312">
        <f>+GPpcntSCH*(VLOOKUP($A42,FY17Rev0!$A$4:$F$24,6,FALSE))*VLOOKUP($A42,FY16ProjSCH!$A$3:$S$23,MATCH(S$28,FY16ProjSCH!$A$2:$S$2,0),FALSE)</f>
        <v>0</v>
      </c>
      <c r="T42" s="327">
        <f t="shared" si="4"/>
        <v>968630.07347584306</v>
      </c>
    </row>
    <row r="43" spans="1:91" ht="17.100000000000001" customHeight="1" x14ac:dyDescent="0.25">
      <c r="A43" s="325" t="s">
        <v>37</v>
      </c>
      <c r="B43" s="328" t="s">
        <v>39</v>
      </c>
      <c r="C43" s="329">
        <f>+GPpcntSCH*(VLOOKUP($A43,FY17Rev0!$A$4:$F$24,6,FALSE))*VLOOKUP($A43,FY16ProjSCH!$A$3:$S$23,MATCH(C$28,FY16ProjSCH!$A$2:$S$2,0),FALSE)</f>
        <v>1379.8694084083818</v>
      </c>
      <c r="D43" s="329">
        <f>+GPpcntSCH*(VLOOKUP($A43,FY17Rev0!$A$4:$F$24,6,FALSE))*VLOOKUP($A43,FY16ProjSCH!$A$3:$S$23,MATCH(D$28,FY16ProjSCH!$A$2:$S$2,0),FALSE)</f>
        <v>12505.066513700958</v>
      </c>
      <c r="E43" s="329">
        <f>+GPpcntSCH*(VLOOKUP($A43,FY17Rev0!$A$4:$F$24,6,FALSE))*VLOOKUP($A43,FY16ProjSCH!$A$3:$S$23,MATCH(E$28,FY16ProjSCH!$A$2:$S$2,0),FALSE)</f>
        <v>5002.0266054803833</v>
      </c>
      <c r="F43" s="329">
        <f>+GPpcntSCH*(VLOOKUP($A43,FY17Rev0!$A$4:$F$24,6,FALSE))*VLOOKUP($A43,FY16ProjSCH!$A$3:$S$23,MATCH(F$28,FY16ProjSCH!$A$2:$S$2,0),FALSE)</f>
        <v>2242.2877886636202</v>
      </c>
      <c r="G43" s="329">
        <f>+GPpcntSCH*(VLOOKUP($A43,FY17Rev0!$A$4:$F$24,6,FALSE))*VLOOKUP($A43,FY16ProjSCH!$A$3:$S$23,MATCH(G$28,FY16ProjSCH!$A$2:$S$2,0),FALSE)</f>
        <v>344.96735210209545</v>
      </c>
      <c r="H43" s="329">
        <f>+GPpcntSCH*(VLOOKUP($A43,FY17Rev0!$A$4:$F$24,6,FALSE))*VLOOKUP($A43,FY16ProjSCH!$A$3:$S$23,MATCH(H$28,FY16ProjSCH!$A$2:$S$2,0),FALSE)</f>
        <v>258.72551407657153</v>
      </c>
      <c r="I43" s="329">
        <f>+GPpcntSCH*(VLOOKUP($A43,FY17Rev0!$A$4:$F$24,6,FALSE))*VLOOKUP($A43,FY16ProjSCH!$A$3:$S$23,MATCH(I$28,FY16ProjSCH!$A$2:$S$2,0),FALSE)</f>
        <v>6899.347042041908</v>
      </c>
      <c r="J43" s="329">
        <f>+GPpcntSCH*(VLOOKUP($A43,FY17Rev0!$A$4:$F$24,6,FALSE))*VLOOKUP($A43,FY16ProjSCH!$A$3:$S$23,MATCH(J$28,FY16ProjSCH!$A$2:$S$2,0),FALSE)</f>
        <v>1916379.8827651655</v>
      </c>
      <c r="K43" s="329">
        <f>+GPpcntSCH*(VLOOKUP($A43,FY17Rev0!$A$4:$F$24,6,FALSE))*VLOOKUP($A43,FY16ProjSCH!$A$3:$S$23,MATCH(K$28,FY16ProjSCH!$A$2:$S$2,0),FALSE)</f>
        <v>344.96735210209545</v>
      </c>
      <c r="L43" s="329">
        <f>+GPpcntSCH*(VLOOKUP($A43,FY17Rev0!$A$4:$F$24,6,FALSE))*VLOOKUP($A43,FY16ProjSCH!$A$3:$S$23,MATCH(L$28,FY16ProjSCH!$A$2:$S$2,0),FALSE)</f>
        <v>258.72551407657153</v>
      </c>
      <c r="M43" s="329">
        <f>+GPpcntSCH*(VLOOKUP($A43,FY17Rev0!$A$4:$F$24,6,FALSE))*VLOOKUP($A43,FY16ProjSCH!$A$3:$S$23,MATCH(M$28,FY16ProjSCH!$A$2:$S$2,0),FALSE)</f>
        <v>0</v>
      </c>
      <c r="N43" s="329">
        <f>+GPpcntSCH*(VLOOKUP($A43,FY17Rev0!$A$4:$F$24,6,FALSE))*VLOOKUP($A43,FY16ProjSCH!$A$3:$S$23,MATCH(N$28,FY16ProjSCH!$A$2:$S$2,0),FALSE)</f>
        <v>86.241838025523862</v>
      </c>
      <c r="O43" s="329">
        <f>+GPpcntSCH*(VLOOKUP($A43,FY17Rev0!$A$4:$F$24,6,FALSE))*VLOOKUP($A43,FY16ProjSCH!$A$3:$S$23,MATCH(O$28,FY16ProjSCH!$A$2:$S$2,0),FALSE)</f>
        <v>0</v>
      </c>
      <c r="P43" s="329">
        <f>+GPpcntSCH*(VLOOKUP($A43,FY17Rev0!$A$4:$F$24,6,FALSE))*VLOOKUP($A43,FY16ProjSCH!$A$3:$S$23,MATCH(P$28,FY16ProjSCH!$A$2:$S$2,0),FALSE)</f>
        <v>258.72551407657153</v>
      </c>
      <c r="Q43" s="329">
        <f>+GPpcntSCH*(VLOOKUP($A43,FY17Rev0!$A$4:$F$24,6,FALSE))*VLOOKUP($A43,FY16ProjSCH!$A$3:$S$23,MATCH(Q$28,FY16ProjSCH!$A$2:$S$2,0),FALSE)</f>
        <v>3708.3990350975255</v>
      </c>
      <c r="R43" s="329">
        <f>+GPpcntSCH*(VLOOKUP($A43,FY17Rev0!$A$4:$F$24,6,FALSE))*VLOOKUP($A43,FY16ProjSCH!$A$3:$S$23,MATCH(R$28,FY16ProjSCH!$A$2:$S$2,0),FALSE)</f>
        <v>0</v>
      </c>
      <c r="S43" s="329">
        <f>+GPpcntSCH*(VLOOKUP($A43,FY17Rev0!$A$4:$F$24,6,FALSE))*VLOOKUP($A43,FY16ProjSCH!$A$3:$S$23,MATCH(S$28,FY16ProjSCH!$A$2:$S$2,0),FALSE)</f>
        <v>689.93470420419089</v>
      </c>
      <c r="T43" s="330">
        <f t="shared" si="4"/>
        <v>1950359.1669472221</v>
      </c>
    </row>
    <row r="44" spans="1:91" s="209" customFormat="1" ht="17.100000000000001" customHeight="1" x14ac:dyDescent="0.25">
      <c r="A44" s="325" t="s">
        <v>40</v>
      </c>
      <c r="B44" s="326" t="s">
        <v>42</v>
      </c>
      <c r="C44" s="312">
        <f>+GPpcntSCH*(VLOOKUP($A44,FY17Rev0!$A$4:$F$24,6,FALSE))*VLOOKUP($A44,FY16ProjSCH!$A$3:$S$23,MATCH(C$28,FY16ProjSCH!$A$2:$S$2,0),FALSE)</f>
        <v>0</v>
      </c>
      <c r="D44" s="312">
        <f>+GPpcntSCH*(VLOOKUP($A44,FY17Rev0!$A$4:$F$24,6,FALSE))*VLOOKUP($A44,FY16ProjSCH!$A$3:$S$23,MATCH(D$28,FY16ProjSCH!$A$2:$S$2,0),FALSE)</f>
        <v>12089.162367860639</v>
      </c>
      <c r="E44" s="312">
        <f>+GPpcntSCH*(VLOOKUP($A44,FY17Rev0!$A$4:$F$24,6,FALSE))*VLOOKUP($A44,FY16ProjSCH!$A$3:$S$23,MATCH(E$28,FY16ProjSCH!$A$2:$S$2,0),FALSE)</f>
        <v>1318.8177128575242</v>
      </c>
      <c r="F44" s="312">
        <f>+GPpcntSCH*(VLOOKUP($A44,FY17Rev0!$A$4:$F$24,6,FALSE))*VLOOKUP($A44,FY16ProjSCH!$A$3:$S$23,MATCH(F$28,FY16ProjSCH!$A$2:$S$2,0),FALSE)</f>
        <v>0</v>
      </c>
      <c r="G44" s="312">
        <f>+GPpcntSCH*(VLOOKUP($A44,FY17Rev0!$A$4:$F$24,6,FALSE))*VLOOKUP($A44,FY16ProjSCH!$A$3:$S$23,MATCH(G$28,FY16ProjSCH!$A$2:$S$2,0),FALSE)</f>
        <v>0</v>
      </c>
      <c r="H44" s="312">
        <f>+GPpcntSCH*(VLOOKUP($A44,FY17Rev0!$A$4:$F$24,6,FALSE))*VLOOKUP($A44,FY16ProjSCH!$A$3:$S$23,MATCH(H$28,FY16ProjSCH!$A$2:$S$2,0),FALSE)</f>
        <v>329.70442821438104</v>
      </c>
      <c r="I44" s="312">
        <f>+GPpcntSCH*(VLOOKUP($A44,FY17Rev0!$A$4:$F$24,6,FALSE))*VLOOKUP($A44,FY16ProjSCH!$A$3:$S$23,MATCH(I$28,FY16ProjSCH!$A$2:$S$2,0),FALSE)</f>
        <v>0</v>
      </c>
      <c r="J44" s="312">
        <f>+GPpcntSCH*(VLOOKUP($A44,FY17Rev0!$A$4:$F$24,6,FALSE))*VLOOKUP($A44,FY16ProjSCH!$A$3:$S$23,MATCH(J$28,FY16ProjSCH!$A$2:$S$2,0),FALSE)</f>
        <v>254092.21267721633</v>
      </c>
      <c r="K44" s="312">
        <f>+GPpcntSCH*(VLOOKUP($A44,FY17Rev0!$A$4:$F$24,6,FALSE))*VLOOKUP($A44,FY16ProjSCH!$A$3:$S$23,MATCH(K$28,FY16ProjSCH!$A$2:$S$2,0),FALSE)</f>
        <v>2417.8324735721276</v>
      </c>
      <c r="L44" s="312">
        <f>+GPpcntSCH*(VLOOKUP($A44,FY17Rev0!$A$4:$F$24,6,FALSE))*VLOOKUP($A44,FY16ProjSCH!$A$3:$S$23,MATCH(L$28,FY16ProjSCH!$A$2:$S$2,0),FALSE)</f>
        <v>0</v>
      </c>
      <c r="M44" s="312">
        <f>+GPpcntSCH*(VLOOKUP($A44,FY17Rev0!$A$4:$F$24,6,FALSE))*VLOOKUP($A44,FY16ProjSCH!$A$3:$S$23,MATCH(M$28,FY16ProjSCH!$A$2:$S$2,0),FALSE)</f>
        <v>0</v>
      </c>
      <c r="N44" s="312">
        <f>+GPpcntSCH*(VLOOKUP($A44,FY17Rev0!$A$4:$F$24,6,FALSE))*VLOOKUP($A44,FY16ProjSCH!$A$3:$S$23,MATCH(N$28,FY16ProjSCH!$A$2:$S$2,0),FALSE)</f>
        <v>329.70442821438104</v>
      </c>
      <c r="O44" s="312">
        <f>+GPpcntSCH*(VLOOKUP($A44,FY17Rev0!$A$4:$F$24,6,FALSE))*VLOOKUP($A44,FY16ProjSCH!$A$3:$S$23,MATCH(O$28,FY16ProjSCH!$A$2:$S$2,0),FALSE)</f>
        <v>0</v>
      </c>
      <c r="P44" s="312">
        <f>+GPpcntSCH*(VLOOKUP($A44,FY17Rev0!$A$4:$F$24,6,FALSE))*VLOOKUP($A44,FY16ProjSCH!$A$3:$S$23,MATCH(P$28,FY16ProjSCH!$A$2:$S$2,0),FALSE)</f>
        <v>0</v>
      </c>
      <c r="Q44" s="312">
        <f>+GPpcntSCH*(VLOOKUP($A44,FY17Rev0!$A$4:$F$24,6,FALSE))*VLOOKUP($A44,FY16ProjSCH!$A$3:$S$23,MATCH(Q$28,FY16ProjSCH!$A$2:$S$2,0),FALSE)</f>
        <v>549.50738035730171</v>
      </c>
      <c r="R44" s="312">
        <f>+GPpcntSCH*(VLOOKUP($A44,FY17Rev0!$A$4:$F$24,6,FALSE))*VLOOKUP($A44,FY16ProjSCH!$A$3:$S$23,MATCH(R$28,FY16ProjSCH!$A$2:$S$2,0),FALSE)</f>
        <v>0</v>
      </c>
      <c r="S44" s="312">
        <f>+GPpcntSCH*(VLOOKUP($A44,FY17Rev0!$A$4:$F$24,6,FALSE))*VLOOKUP($A44,FY16ProjSCH!$A$3:$S$23,MATCH(S$28,FY16ProjSCH!$A$2:$S$2,0),FALSE)</f>
        <v>439.6059042858414</v>
      </c>
      <c r="T44" s="327">
        <f t="shared" si="4"/>
        <v>271566.54737257853</v>
      </c>
    </row>
    <row r="45" spans="1:91" ht="17.100000000000001" customHeight="1" x14ac:dyDescent="0.25">
      <c r="A45" s="325" t="s">
        <v>157</v>
      </c>
      <c r="B45" s="328" t="s">
        <v>288</v>
      </c>
      <c r="C45" s="329">
        <f>+GPpcntSCH*(VLOOKUP($A45,FY17Rev0!$A$4:$F$24,6,FALSE))*VLOOKUP($A45,FY16ProjSCH!$A$3:$S$23,MATCH(C$28,FY16ProjSCH!$A$2:$S$2,0),FALSE)</f>
        <v>763.46344261735555</v>
      </c>
      <c r="D45" s="329">
        <f>+GPpcntSCH*(VLOOKUP($A45,FY17Rev0!$A$4:$F$24,6,FALSE))*VLOOKUP($A45,FY16ProjSCH!$A$3:$S$23,MATCH(D$28,FY16ProjSCH!$A$2:$S$2,0),FALSE)</f>
        <v>1145.1951639260335</v>
      </c>
      <c r="E45" s="329">
        <f>+GPpcntSCH*(VLOOKUP($A45,FY17Rev0!$A$4:$F$24,6,FALSE))*VLOOKUP($A45,FY16ProjSCH!$A$3:$S$23,MATCH(E$28,FY16ProjSCH!$A$2:$S$2,0),FALSE)</f>
        <v>2035.9025136462815</v>
      </c>
      <c r="F45" s="329">
        <f>+GPpcntSCH*(VLOOKUP($A45,FY17Rev0!$A$4:$F$24,6,FALSE))*VLOOKUP($A45,FY16ProjSCH!$A$3:$S$23,MATCH(F$28,FY16ProjSCH!$A$2:$S$2,0),FALSE)</f>
        <v>0</v>
      </c>
      <c r="G45" s="329">
        <f>+GPpcntSCH*(VLOOKUP($A45,FY17Rev0!$A$4:$F$24,6,FALSE))*VLOOKUP($A45,FY16ProjSCH!$A$3:$S$23,MATCH(G$28,FY16ProjSCH!$A$2:$S$2,0),FALSE)</f>
        <v>0</v>
      </c>
      <c r="H45" s="329">
        <f>+GPpcntSCH*(VLOOKUP($A45,FY17Rev0!$A$4:$F$24,6,FALSE))*VLOOKUP($A45,FY16ProjSCH!$A$3:$S$23,MATCH(H$28,FY16ProjSCH!$A$2:$S$2,0),FALSE)</f>
        <v>0</v>
      </c>
      <c r="I45" s="329">
        <f>+GPpcntSCH*(VLOOKUP($A45,FY17Rev0!$A$4:$F$24,6,FALSE))*VLOOKUP($A45,FY16ProjSCH!$A$3:$S$23,MATCH(I$28,FY16ProjSCH!$A$2:$S$2,0),FALSE)</f>
        <v>381.73172130867778</v>
      </c>
      <c r="J45" s="329">
        <f>+GPpcntSCH*(VLOOKUP($A45,FY17Rev0!$A$4:$F$24,6,FALSE))*VLOOKUP($A45,FY16ProjSCH!$A$3:$S$23,MATCH(J$28,FY16ProjSCH!$A$2:$S$2,0),FALSE)</f>
        <v>0</v>
      </c>
      <c r="K45" s="329">
        <f>+GPpcntSCH*(VLOOKUP($A45,FY17Rev0!$A$4:$F$24,6,FALSE))*VLOOKUP($A45,FY16ProjSCH!$A$3:$S$23,MATCH(K$28,FY16ProjSCH!$A$2:$S$2,0),FALSE)</f>
        <v>2544.8781420578516</v>
      </c>
      <c r="L45" s="329">
        <f>+GPpcntSCH*(VLOOKUP($A45,FY17Rev0!$A$4:$F$24,6,FALSE))*VLOOKUP($A45,FY16ProjSCH!$A$3:$S$23,MATCH(L$28,FY16ProjSCH!$A$2:$S$2,0),FALSE)</f>
        <v>763.46344261735555</v>
      </c>
      <c r="M45" s="329">
        <f>+GPpcntSCH*(VLOOKUP($A45,FY17Rev0!$A$4:$F$24,6,FALSE))*VLOOKUP($A45,FY16ProjSCH!$A$3:$S$23,MATCH(M$28,FY16ProjSCH!$A$2:$S$2,0),FALSE)</f>
        <v>0</v>
      </c>
      <c r="N45" s="329">
        <f>+GPpcntSCH*(VLOOKUP($A45,FY17Rev0!$A$4:$F$24,6,FALSE))*VLOOKUP($A45,FY16ProjSCH!$A$3:$S$23,MATCH(N$28,FY16ProjSCH!$A$2:$S$2,0),FALSE)</f>
        <v>5089.7562841157032</v>
      </c>
      <c r="O45" s="329">
        <f>+GPpcntSCH*(VLOOKUP($A45,FY17Rev0!$A$4:$F$24,6,FALSE))*VLOOKUP($A45,FY16ProjSCH!$A$3:$S$23,MATCH(O$28,FY16ProjSCH!$A$2:$S$2,0),FALSE)</f>
        <v>259577.57048990089</v>
      </c>
      <c r="P45" s="329">
        <f>+GPpcntSCH*(VLOOKUP($A45,FY17Rev0!$A$4:$F$24,6,FALSE))*VLOOKUP($A45,FY16ProjSCH!$A$3:$S$23,MATCH(P$28,FY16ProjSCH!$A$2:$S$2,0),FALSE)</f>
        <v>7125.6587977619847</v>
      </c>
      <c r="Q45" s="329">
        <f>+GPpcntSCH*(VLOOKUP($A45,FY17Rev0!$A$4:$F$24,6,FALSE))*VLOOKUP($A45,FY16ProjSCH!$A$3:$S$23,MATCH(Q$28,FY16ProjSCH!$A$2:$S$2,0),FALSE)</f>
        <v>6362.1953551446295</v>
      </c>
      <c r="R45" s="329">
        <f>+GPpcntSCH*(VLOOKUP($A45,FY17Rev0!$A$4:$F$24,6,FALSE))*VLOOKUP($A45,FY16ProjSCH!$A$3:$S$23,MATCH(R$28,FY16ProjSCH!$A$2:$S$2,0),FALSE)</f>
        <v>0</v>
      </c>
      <c r="S45" s="329">
        <f>+GPpcntSCH*(VLOOKUP($A45,FY17Rev0!$A$4:$F$24,6,FALSE))*VLOOKUP($A45,FY16ProjSCH!$A$3:$S$23,MATCH(S$28,FY16ProjSCH!$A$2:$S$2,0),FALSE)</f>
        <v>127.24390710289259</v>
      </c>
      <c r="T45" s="330">
        <f t="shared" si="4"/>
        <v>285917.05926019966</v>
      </c>
    </row>
    <row r="46" spans="1:91" s="209" customFormat="1" ht="17.100000000000001" customHeight="1" x14ac:dyDescent="0.25">
      <c r="A46" s="325" t="s">
        <v>158</v>
      </c>
      <c r="B46" s="326" t="s">
        <v>45</v>
      </c>
      <c r="C46" s="312">
        <f>+GPpcntSCH*(VLOOKUP($A46,FY17Rev0!$A$4:$F$24,6,FALSE))*VLOOKUP($A46,FY16ProjSCH!$A$3:$S$23,MATCH(C$28,FY16ProjSCH!$A$2:$S$2,0),FALSE)</f>
        <v>0</v>
      </c>
      <c r="D46" s="312">
        <f>+GPpcntSCH*(VLOOKUP($A46,FY17Rev0!$A$4:$F$24,6,FALSE))*VLOOKUP($A46,FY16ProjSCH!$A$3:$S$23,MATCH(D$28,FY16ProjSCH!$A$2:$S$2,0),FALSE)</f>
        <v>1901.4155098599526</v>
      </c>
      <c r="E46" s="312">
        <f>+GPpcntSCH*(VLOOKUP($A46,FY17Rev0!$A$4:$F$24,6,FALSE))*VLOOKUP($A46,FY16ProjSCH!$A$3:$S$23,MATCH(E$28,FY16ProjSCH!$A$2:$S$2,0),FALSE)</f>
        <v>760.56620394398112</v>
      </c>
      <c r="F46" s="312">
        <f>+GPpcntSCH*(VLOOKUP($A46,FY17Rev0!$A$4:$F$24,6,FALSE))*VLOOKUP($A46,FY16ProjSCH!$A$3:$S$23,MATCH(F$28,FY16ProjSCH!$A$2:$S$2,0),FALSE)</f>
        <v>0</v>
      </c>
      <c r="G46" s="312">
        <f>+GPpcntSCH*(VLOOKUP($A46,FY17Rev0!$A$4:$F$24,6,FALSE))*VLOOKUP($A46,FY16ProjSCH!$A$3:$S$23,MATCH(G$28,FY16ProjSCH!$A$2:$S$2,0),FALSE)</f>
        <v>0</v>
      </c>
      <c r="H46" s="312">
        <f>+GPpcntSCH*(VLOOKUP($A46,FY17Rev0!$A$4:$F$24,6,FALSE))*VLOOKUP($A46,FY16ProjSCH!$A$3:$S$23,MATCH(H$28,FY16ProjSCH!$A$2:$S$2,0),FALSE)</f>
        <v>0</v>
      </c>
      <c r="I46" s="312">
        <f>+GPpcntSCH*(VLOOKUP($A46,FY17Rev0!$A$4:$F$24,6,FALSE))*VLOOKUP($A46,FY16ProjSCH!$A$3:$S$23,MATCH(I$28,FY16ProjSCH!$A$2:$S$2,0),FALSE)</f>
        <v>0</v>
      </c>
      <c r="J46" s="312">
        <f>+GPpcntSCH*(VLOOKUP($A46,FY17Rev0!$A$4:$F$24,6,FALSE))*VLOOKUP($A46,FY16ProjSCH!$A$3:$S$23,MATCH(J$28,FY16ProjSCH!$A$2:$S$2,0),FALSE)</f>
        <v>0</v>
      </c>
      <c r="K46" s="312">
        <f>+GPpcntSCH*(VLOOKUP($A46,FY17Rev0!$A$4:$F$24,6,FALSE))*VLOOKUP($A46,FY16ProjSCH!$A$3:$S$23,MATCH(K$28,FY16ProjSCH!$A$2:$S$2,0),FALSE)</f>
        <v>0</v>
      </c>
      <c r="L46" s="312">
        <f>+GPpcntSCH*(VLOOKUP($A46,FY17Rev0!$A$4:$F$24,6,FALSE))*VLOOKUP($A46,FY16ProjSCH!$A$3:$S$23,MATCH(L$28,FY16ProjSCH!$A$2:$S$2,0),FALSE)</f>
        <v>0</v>
      </c>
      <c r="M46" s="312">
        <f>+GPpcntSCH*(VLOOKUP($A46,FY17Rev0!$A$4:$F$24,6,FALSE))*VLOOKUP($A46,FY16ProjSCH!$A$3:$S$23,MATCH(M$28,FY16ProjSCH!$A$2:$S$2,0),FALSE)</f>
        <v>152.11324078879622</v>
      </c>
      <c r="N46" s="312">
        <f>+GPpcntSCH*(VLOOKUP($A46,FY17Rev0!$A$4:$F$24,6,FALSE))*VLOOKUP($A46,FY16ProjSCH!$A$3:$S$23,MATCH(N$28,FY16ProjSCH!$A$2:$S$2,0),FALSE)</f>
        <v>149983.65541775306</v>
      </c>
      <c r="O46" s="312">
        <f>+GPpcntSCH*(VLOOKUP($A46,FY17Rev0!$A$4:$F$24,6,FALSE))*VLOOKUP($A46,FY16ProjSCH!$A$3:$S$23,MATCH(O$28,FY16ProjSCH!$A$2:$S$2,0),FALSE)</f>
        <v>2814.0949545927297</v>
      </c>
      <c r="P46" s="312">
        <f>+GPpcntSCH*(VLOOKUP($A46,FY17Rev0!$A$4:$F$24,6,FALSE))*VLOOKUP($A46,FY16ProjSCH!$A$3:$S$23,MATCH(P$28,FY16ProjSCH!$A$2:$S$2,0),FALSE)</f>
        <v>1254553.9534055968</v>
      </c>
      <c r="Q46" s="312">
        <f>+GPpcntSCH*(VLOOKUP($A46,FY17Rev0!$A$4:$F$24,6,FALSE))*VLOOKUP($A46,FY16ProjSCH!$A$3:$S$23,MATCH(Q$28,FY16ProjSCH!$A$2:$S$2,0),FALSE)</f>
        <v>13233.851948625272</v>
      </c>
      <c r="R46" s="312">
        <f>+GPpcntSCH*(VLOOKUP($A46,FY17Rev0!$A$4:$F$24,6,FALSE))*VLOOKUP($A46,FY16ProjSCH!$A$3:$S$23,MATCH(R$28,FY16ProjSCH!$A$2:$S$2,0),FALSE)</f>
        <v>0</v>
      </c>
      <c r="S46" s="312">
        <f>+GPpcntSCH*(VLOOKUP($A46,FY17Rev0!$A$4:$F$24,6,FALSE))*VLOOKUP($A46,FY16ProjSCH!$A$3:$S$23,MATCH(S$28,FY16ProjSCH!$A$2:$S$2,0),FALSE)</f>
        <v>0</v>
      </c>
      <c r="T46" s="327">
        <f t="shared" si="4"/>
        <v>1423399.6506811604</v>
      </c>
    </row>
    <row r="47" spans="1:91" ht="17.100000000000001" customHeight="1" x14ac:dyDescent="0.25">
      <c r="A47" s="325" t="s">
        <v>159</v>
      </c>
      <c r="B47" s="328" t="s">
        <v>46</v>
      </c>
      <c r="C47" s="329">
        <f>+GPpcntSCH*(VLOOKUP($A47,FY17Rev0!$A$4:$F$24,6,FALSE))*VLOOKUP($A47,FY16ProjSCH!$A$3:$S$23,MATCH(C$28,FY16ProjSCH!$A$2:$S$2,0),FALSE)</f>
        <v>0</v>
      </c>
      <c r="D47" s="329">
        <f>+GPpcntSCH*(VLOOKUP($A47,FY17Rev0!$A$4:$F$24,6,FALSE))*VLOOKUP($A47,FY16ProjSCH!$A$3:$S$23,MATCH(D$28,FY16ProjSCH!$A$2:$S$2,0),FALSE)</f>
        <v>884.33274656614401</v>
      </c>
      <c r="E47" s="329">
        <f>+GPpcntSCH*(VLOOKUP($A47,FY17Rev0!$A$4:$F$24,6,FALSE))*VLOOKUP($A47,FY16ProjSCH!$A$3:$S$23,MATCH(E$28,FY16ProjSCH!$A$2:$S$2,0),FALSE)</f>
        <v>0</v>
      </c>
      <c r="F47" s="329">
        <f>+GPpcntSCH*(VLOOKUP($A47,FY17Rev0!$A$4:$F$24,6,FALSE))*VLOOKUP($A47,FY16ProjSCH!$A$3:$S$23,MATCH(F$28,FY16ProjSCH!$A$2:$S$2,0),FALSE)</f>
        <v>0</v>
      </c>
      <c r="G47" s="329">
        <f>+GPpcntSCH*(VLOOKUP($A47,FY17Rev0!$A$4:$F$24,6,FALSE))*VLOOKUP($A47,FY16ProjSCH!$A$3:$S$23,MATCH(G$28,FY16ProjSCH!$A$2:$S$2,0),FALSE)</f>
        <v>1105.4159332076799</v>
      </c>
      <c r="H47" s="329">
        <f>+GPpcntSCH*(VLOOKUP($A47,FY17Rev0!$A$4:$F$24,6,FALSE))*VLOOKUP($A47,FY16ProjSCH!$A$3:$S$23,MATCH(H$28,FY16ProjSCH!$A$2:$S$2,0),FALSE)</f>
        <v>221.083186641536</v>
      </c>
      <c r="I47" s="329">
        <f>+GPpcntSCH*(VLOOKUP($A47,FY17Rev0!$A$4:$F$24,6,FALSE))*VLOOKUP($A47,FY16ProjSCH!$A$3:$S$23,MATCH(I$28,FY16ProjSCH!$A$2:$S$2,0),FALSE)</f>
        <v>0</v>
      </c>
      <c r="J47" s="329">
        <f>+GPpcntSCH*(VLOOKUP($A47,FY17Rev0!$A$4:$F$24,6,FALSE))*VLOOKUP($A47,FY16ProjSCH!$A$3:$S$23,MATCH(J$28,FY16ProjSCH!$A$2:$S$2,0),FALSE)</f>
        <v>0</v>
      </c>
      <c r="K47" s="329">
        <f>+GPpcntSCH*(VLOOKUP($A47,FY17Rev0!$A$4:$F$24,6,FALSE))*VLOOKUP($A47,FY16ProjSCH!$A$3:$S$23,MATCH(K$28,FY16ProjSCH!$A$2:$S$2,0),FALSE)</f>
        <v>0</v>
      </c>
      <c r="L47" s="329">
        <f>+GPpcntSCH*(VLOOKUP($A47,FY17Rev0!$A$4:$F$24,6,FALSE))*VLOOKUP($A47,FY16ProjSCH!$A$3:$S$23,MATCH(L$28,FY16ProjSCH!$A$2:$S$2,0),FALSE)</f>
        <v>0</v>
      </c>
      <c r="M47" s="329">
        <f>+GPpcntSCH*(VLOOKUP($A47,FY17Rev0!$A$4:$F$24,6,FALSE))*VLOOKUP($A47,FY16ProjSCH!$A$3:$S$23,MATCH(M$28,FY16ProjSCH!$A$2:$S$2,0),FALSE)</f>
        <v>0</v>
      </c>
      <c r="N47" s="329">
        <f>+GPpcntSCH*(VLOOKUP($A47,FY17Rev0!$A$4:$F$24,6,FALSE))*VLOOKUP($A47,FY16ProjSCH!$A$3:$S$23,MATCH(N$28,FY16ProjSCH!$A$2:$S$2,0),FALSE)</f>
        <v>3133485.6986660366</v>
      </c>
      <c r="O47" s="329">
        <f>+GPpcntSCH*(VLOOKUP($A47,FY17Rev0!$A$4:$F$24,6,FALSE))*VLOOKUP($A47,FY16ProjSCH!$A$3:$S$23,MATCH(O$28,FY16ProjSCH!$A$2:$S$2,0),FALSE)</f>
        <v>0</v>
      </c>
      <c r="P47" s="329">
        <f>+GPpcntSCH*(VLOOKUP($A47,FY17Rev0!$A$4:$F$24,6,FALSE))*VLOOKUP($A47,FY16ProjSCH!$A$3:$S$23,MATCH(P$28,FY16ProjSCH!$A$2:$S$2,0),FALSE)</f>
        <v>0</v>
      </c>
      <c r="Q47" s="329">
        <f>+GPpcntSCH*(VLOOKUP($A47,FY17Rev0!$A$4:$F$24,6,FALSE))*VLOOKUP($A47,FY16ProjSCH!$A$3:$S$23,MATCH(Q$28,FY16ProjSCH!$A$2:$S$2,0),FALSE)</f>
        <v>7074.6619725291521</v>
      </c>
      <c r="R47" s="329">
        <f>+GPpcntSCH*(VLOOKUP($A47,FY17Rev0!$A$4:$F$24,6,FALSE))*VLOOKUP($A47,FY16ProjSCH!$A$3:$S$23,MATCH(R$28,FY16ProjSCH!$A$2:$S$2,0),FALSE)</f>
        <v>0</v>
      </c>
      <c r="S47" s="329">
        <f>+GPpcntSCH*(VLOOKUP($A47,FY17Rev0!$A$4:$F$24,6,FALSE))*VLOOKUP($A47,FY16ProjSCH!$A$3:$S$23,MATCH(S$28,FY16ProjSCH!$A$2:$S$2,0),FALSE)</f>
        <v>0</v>
      </c>
      <c r="T47" s="330">
        <f t="shared" si="4"/>
        <v>3142771.1925049811</v>
      </c>
    </row>
    <row r="48" spans="1:91" s="209" customFormat="1" ht="17.100000000000001" customHeight="1" x14ac:dyDescent="0.25">
      <c r="A48" s="325" t="s">
        <v>160</v>
      </c>
      <c r="B48" s="326" t="s">
        <v>48</v>
      </c>
      <c r="C48" s="312">
        <f>+GPpcntSCH*(VLOOKUP($A48,FY17Rev0!$A$4:$F$24,6,FALSE))*VLOOKUP($A48,FY16ProjSCH!$A$3:$S$23,MATCH(C$28,FY16ProjSCH!$A$2:$S$2,0),FALSE)</f>
        <v>0</v>
      </c>
      <c r="D48" s="312">
        <f>+GPpcntSCH*(VLOOKUP($A48,FY17Rev0!$A$4:$F$24,6,FALSE))*VLOOKUP($A48,FY16ProjSCH!$A$3:$S$23,MATCH(D$28,FY16ProjSCH!$A$2:$S$2,0),FALSE)</f>
        <v>467.520225606027</v>
      </c>
      <c r="E48" s="312">
        <f>+GPpcntSCH*(VLOOKUP($A48,FY17Rev0!$A$4:$F$24,6,FALSE))*VLOOKUP($A48,FY16ProjSCH!$A$3:$S$23,MATCH(E$28,FY16ProjSCH!$A$2:$S$2,0),FALSE)</f>
        <v>0</v>
      </c>
      <c r="F48" s="312">
        <f>+GPpcntSCH*(VLOOKUP($A48,FY17Rev0!$A$4:$F$24,6,FALSE))*VLOOKUP($A48,FY16ProjSCH!$A$3:$S$23,MATCH(F$28,FY16ProjSCH!$A$2:$S$2,0),FALSE)</f>
        <v>0</v>
      </c>
      <c r="G48" s="312">
        <f>+GPpcntSCH*(VLOOKUP($A48,FY17Rev0!$A$4:$F$24,6,FALSE))*VLOOKUP($A48,FY16ProjSCH!$A$3:$S$23,MATCH(G$28,FY16ProjSCH!$A$2:$S$2,0),FALSE)</f>
        <v>0</v>
      </c>
      <c r="H48" s="312">
        <f>+GPpcntSCH*(VLOOKUP($A48,FY17Rev0!$A$4:$F$24,6,FALSE))*VLOOKUP($A48,FY16ProjSCH!$A$3:$S$23,MATCH(H$28,FY16ProjSCH!$A$2:$S$2,0),FALSE)</f>
        <v>0</v>
      </c>
      <c r="I48" s="312">
        <f>+GPpcntSCH*(VLOOKUP($A48,FY17Rev0!$A$4:$F$24,6,FALSE))*VLOOKUP($A48,FY16ProjSCH!$A$3:$S$23,MATCH(I$28,FY16ProjSCH!$A$2:$S$2,0),FALSE)</f>
        <v>0</v>
      </c>
      <c r="J48" s="312">
        <f>+GPpcntSCH*(VLOOKUP($A48,FY17Rev0!$A$4:$F$24,6,FALSE))*VLOOKUP($A48,FY16ProjSCH!$A$3:$S$23,MATCH(J$28,FY16ProjSCH!$A$2:$S$2,0),FALSE)</f>
        <v>0</v>
      </c>
      <c r="K48" s="312">
        <f>+GPpcntSCH*(VLOOKUP($A48,FY17Rev0!$A$4:$F$24,6,FALSE))*VLOOKUP($A48,FY16ProjSCH!$A$3:$S$23,MATCH(K$28,FY16ProjSCH!$A$2:$S$2,0),FALSE)</f>
        <v>0</v>
      </c>
      <c r="L48" s="312">
        <f>+GPpcntSCH*(VLOOKUP($A48,FY17Rev0!$A$4:$F$24,6,FALSE))*VLOOKUP($A48,FY16ProjSCH!$A$3:$S$23,MATCH(L$28,FY16ProjSCH!$A$2:$S$2,0),FALSE)</f>
        <v>0</v>
      </c>
      <c r="M48" s="312">
        <f>+GPpcntSCH*(VLOOKUP($A48,FY17Rev0!$A$4:$F$24,6,FALSE))*VLOOKUP($A48,FY16ProjSCH!$A$3:$S$23,MATCH(M$28,FY16ProjSCH!$A$2:$S$2,0),FALSE)</f>
        <v>1110905.9760775212</v>
      </c>
      <c r="N48" s="312">
        <f>+GPpcntSCH*(VLOOKUP($A48,FY17Rev0!$A$4:$F$24,6,FALSE))*VLOOKUP($A48,FY16ProjSCH!$A$3:$S$23,MATCH(N$28,FY16ProjSCH!$A$2:$S$2,0),FALSE)</f>
        <v>165424.23982693255</v>
      </c>
      <c r="O48" s="312">
        <f>+GPpcntSCH*(VLOOKUP($A48,FY17Rev0!$A$4:$F$24,6,FALSE))*VLOOKUP($A48,FY16ProjSCH!$A$3:$S$23,MATCH(O$28,FY16ProjSCH!$A$2:$S$2,0),FALSE)</f>
        <v>0</v>
      </c>
      <c r="P48" s="312">
        <f>+GPpcntSCH*(VLOOKUP($A48,FY17Rev0!$A$4:$F$24,6,FALSE))*VLOOKUP($A48,FY16ProjSCH!$A$3:$S$23,MATCH(P$28,FY16ProjSCH!$A$2:$S$2,0),FALSE)</f>
        <v>0</v>
      </c>
      <c r="Q48" s="312">
        <f>+GPpcntSCH*(VLOOKUP($A48,FY17Rev0!$A$4:$F$24,6,FALSE))*VLOOKUP($A48,FY16ProjSCH!$A$3:$S$23,MATCH(Q$28,FY16ProjSCH!$A$2:$S$2,0),FALSE)</f>
        <v>0</v>
      </c>
      <c r="R48" s="312">
        <f>+GPpcntSCH*(VLOOKUP($A48,FY17Rev0!$A$4:$F$24,6,FALSE))*VLOOKUP($A48,FY16ProjSCH!$A$3:$S$23,MATCH(R$28,FY16ProjSCH!$A$2:$S$2,0),FALSE)</f>
        <v>0</v>
      </c>
      <c r="S48" s="312">
        <f>+GPpcntSCH*(VLOOKUP($A48,FY17Rev0!$A$4:$F$24,6,FALSE))*VLOOKUP($A48,FY16ProjSCH!$A$3:$S$23,MATCH(S$28,FY16ProjSCH!$A$2:$S$2,0),FALSE)</f>
        <v>0</v>
      </c>
      <c r="T48" s="327">
        <f t="shared" si="4"/>
        <v>1276797.7361300597</v>
      </c>
    </row>
    <row r="49" spans="1:20" ht="24.75" x14ac:dyDescent="0.25">
      <c r="A49" s="325" t="s">
        <v>161</v>
      </c>
      <c r="B49" s="332" t="s">
        <v>289</v>
      </c>
      <c r="C49" s="329">
        <f>+GPpcntSCH*(VLOOKUP($A49,FY17Rev0!$A$4:$F$24,6,FALSE))*VLOOKUP($A49,FY16ProjSCH!$A$3:$S$23,MATCH(C$28,FY16ProjSCH!$A$2:$S$2,0),FALSE)</f>
        <v>0</v>
      </c>
      <c r="D49" s="329">
        <f>+GPpcntSCH*(VLOOKUP($A49,FY17Rev0!$A$4:$F$24,6,FALSE))*VLOOKUP($A49,FY16ProjSCH!$A$3:$S$23,MATCH(D$28,FY16ProjSCH!$A$2:$S$2,0),FALSE)</f>
        <v>0</v>
      </c>
      <c r="E49" s="329">
        <f>+GPpcntSCH*(VLOOKUP($A49,FY17Rev0!$A$4:$F$24,6,FALSE))*VLOOKUP($A49,FY16ProjSCH!$A$3:$S$23,MATCH(E$28,FY16ProjSCH!$A$2:$S$2,0),FALSE)</f>
        <v>0</v>
      </c>
      <c r="F49" s="329">
        <f>+GPpcntSCH*(VLOOKUP($A49,FY17Rev0!$A$4:$F$24,6,FALSE))*VLOOKUP($A49,FY16ProjSCH!$A$3:$S$23,MATCH(F$28,FY16ProjSCH!$A$2:$S$2,0),FALSE)</f>
        <v>0</v>
      </c>
      <c r="G49" s="329">
        <f>+GPpcntSCH*(VLOOKUP($A49,FY17Rev0!$A$4:$F$24,6,FALSE))*VLOOKUP($A49,FY16ProjSCH!$A$3:$S$23,MATCH(G$28,FY16ProjSCH!$A$2:$S$2,0),FALSE)</f>
        <v>0</v>
      </c>
      <c r="H49" s="329">
        <f>+GPpcntSCH*(VLOOKUP($A49,FY17Rev0!$A$4:$F$24,6,FALSE))*VLOOKUP($A49,FY16ProjSCH!$A$3:$S$23,MATCH(H$28,FY16ProjSCH!$A$2:$S$2,0),FALSE)</f>
        <v>0</v>
      </c>
      <c r="I49" s="329">
        <f>+GPpcntSCH*(VLOOKUP($A49,FY17Rev0!$A$4:$F$24,6,FALSE))*VLOOKUP($A49,FY16ProjSCH!$A$3:$S$23,MATCH(I$28,FY16ProjSCH!$A$2:$S$2,0),FALSE)</f>
        <v>0</v>
      </c>
      <c r="J49" s="329">
        <f>+GPpcntSCH*(VLOOKUP($A49,FY17Rev0!$A$4:$F$24,6,FALSE))*VLOOKUP($A49,FY16ProjSCH!$A$3:$S$23,MATCH(J$28,FY16ProjSCH!$A$2:$S$2,0),FALSE)</f>
        <v>0</v>
      </c>
      <c r="K49" s="329">
        <f>+GPpcntSCH*(VLOOKUP($A49,FY17Rev0!$A$4:$F$24,6,FALSE))*VLOOKUP($A49,FY16ProjSCH!$A$3:$S$23,MATCH(K$28,FY16ProjSCH!$A$2:$S$2,0),FALSE)</f>
        <v>0</v>
      </c>
      <c r="L49" s="329">
        <f>+GPpcntSCH*(VLOOKUP($A49,FY17Rev0!$A$4:$F$24,6,FALSE))*VLOOKUP($A49,FY16ProjSCH!$A$3:$S$23,MATCH(L$28,FY16ProjSCH!$A$2:$S$2,0),FALSE)</f>
        <v>0</v>
      </c>
      <c r="M49" s="329">
        <f>+GPpcntSCH*(VLOOKUP($A49,FY17Rev0!$A$4:$F$24,6,FALSE))*VLOOKUP($A49,FY16ProjSCH!$A$3:$S$23,MATCH(M$28,FY16ProjSCH!$A$2:$S$2,0),FALSE)</f>
        <v>180544.02404996176</v>
      </c>
      <c r="N49" s="329">
        <f>+GPpcntSCH*(VLOOKUP($A49,FY17Rev0!$A$4:$F$24,6,FALSE))*VLOOKUP($A49,FY16ProjSCH!$A$3:$S$23,MATCH(N$28,FY16ProjSCH!$A$2:$S$2,0),FALSE)</f>
        <v>1898.9258192957145</v>
      </c>
      <c r="O49" s="329">
        <f>+GPpcntSCH*(VLOOKUP($A49,FY17Rev0!$A$4:$F$24,6,FALSE))*VLOOKUP($A49,FY16ProjSCH!$A$3:$S$23,MATCH(O$28,FY16ProjSCH!$A$2:$S$2,0),FALSE)</f>
        <v>0</v>
      </c>
      <c r="P49" s="329">
        <f>+GPpcntSCH*(VLOOKUP($A49,FY17Rev0!$A$4:$F$24,6,FALSE))*VLOOKUP($A49,FY16ProjSCH!$A$3:$S$23,MATCH(P$28,FY16ProjSCH!$A$2:$S$2,0),FALSE)</f>
        <v>0</v>
      </c>
      <c r="Q49" s="329">
        <f>+GPpcntSCH*(VLOOKUP($A49,FY17Rev0!$A$4:$F$24,6,FALSE))*VLOOKUP($A49,FY16ProjSCH!$A$3:$S$23,MATCH(Q$28,FY16ProjSCH!$A$2:$S$2,0),FALSE)</f>
        <v>876.42730121340662</v>
      </c>
      <c r="R49" s="329">
        <f>+GPpcntSCH*(VLOOKUP($A49,FY17Rev0!$A$4:$F$24,6,FALSE))*VLOOKUP($A49,FY16ProjSCH!$A$3:$S$23,MATCH(R$28,FY16ProjSCH!$A$2:$S$2,0),FALSE)</f>
        <v>0</v>
      </c>
      <c r="S49" s="329">
        <f>+GPpcntSCH*(VLOOKUP($A49,FY17Rev0!$A$4:$F$24,6,FALSE))*VLOOKUP($A49,FY16ProjSCH!$A$3:$S$23,MATCH(S$28,FY16ProjSCH!$A$2:$S$2,0),FALSE)</f>
        <v>0</v>
      </c>
      <c r="T49" s="333">
        <f t="shared" si="4"/>
        <v>183319.37717047089</v>
      </c>
    </row>
    <row r="50" spans="1:20" x14ac:dyDescent="0.25">
      <c r="A50" s="334"/>
      <c r="B50" s="335" t="s">
        <v>141</v>
      </c>
      <c r="C50" s="360">
        <f t="shared" ref="C50:S50" si="5">SUM(C29:C49)</f>
        <v>4706426.4752775654</v>
      </c>
      <c r="D50" s="336">
        <f t="shared" si="5"/>
        <v>115020105.37390882</v>
      </c>
      <c r="E50" s="336">
        <f t="shared" si="5"/>
        <v>12059612.078325849</v>
      </c>
      <c r="F50" s="336">
        <f t="shared" si="5"/>
        <v>3224069.6213572682</v>
      </c>
      <c r="G50" s="336">
        <f t="shared" si="5"/>
        <v>18190115.948528159</v>
      </c>
      <c r="H50" s="336">
        <f t="shared" si="5"/>
        <v>10540289.740160042</v>
      </c>
      <c r="I50" s="336">
        <f t="shared" si="5"/>
        <v>2422925.0776448594</v>
      </c>
      <c r="J50" s="336">
        <f t="shared" si="5"/>
        <v>2290962.0701434752</v>
      </c>
      <c r="K50" s="336">
        <f t="shared" si="5"/>
        <v>901547.2223234534</v>
      </c>
      <c r="L50" s="336">
        <f t="shared" si="5"/>
        <v>1193143.3531352663</v>
      </c>
      <c r="M50" s="336">
        <f t="shared" si="5"/>
        <v>1302350.7628852092</v>
      </c>
      <c r="N50" s="336">
        <f t="shared" si="5"/>
        <v>9023064.9706325997</v>
      </c>
      <c r="O50" s="336">
        <f t="shared" si="5"/>
        <v>1801600.0753941885</v>
      </c>
      <c r="P50" s="336">
        <f t="shared" si="5"/>
        <v>1377285.6659524019</v>
      </c>
      <c r="Q50" s="336">
        <f t="shared" si="5"/>
        <v>3710240.0500398171</v>
      </c>
      <c r="R50" s="336">
        <f t="shared" si="5"/>
        <v>2342430.5760920364</v>
      </c>
      <c r="S50" s="336">
        <f t="shared" si="5"/>
        <v>233813.85226784958</v>
      </c>
      <c r="T50" s="336">
        <f>SUM(C50:S50)</f>
        <v>190339982.91406891</v>
      </c>
    </row>
    <row r="51" spans="1:20" x14ac:dyDescent="0.25">
      <c r="B51" s="500" t="s">
        <v>298</v>
      </c>
      <c r="C51" s="500"/>
      <c r="D51" s="500"/>
      <c r="E51" s="500"/>
      <c r="F51" s="500"/>
      <c r="G51" s="500"/>
      <c r="H51" s="500"/>
      <c r="I51" s="500"/>
      <c r="J51" s="500"/>
      <c r="K51" s="500"/>
      <c r="L51" s="500"/>
      <c r="M51" s="500"/>
      <c r="N51" s="500"/>
      <c r="O51" s="500"/>
      <c r="P51" s="500"/>
      <c r="Q51" s="500"/>
      <c r="R51" s="500"/>
      <c r="S51" s="500"/>
      <c r="T51" s="500"/>
    </row>
    <row r="52" spans="1:20" ht="45" x14ac:dyDescent="0.25">
      <c r="B52" s="337"/>
      <c r="C52" s="338" t="s">
        <v>246</v>
      </c>
      <c r="D52" s="338" t="s">
        <v>248</v>
      </c>
      <c r="E52" s="338" t="s">
        <v>249</v>
      </c>
      <c r="F52" s="339" t="s">
        <v>250</v>
      </c>
      <c r="G52" s="338" t="s">
        <v>251</v>
      </c>
      <c r="H52" s="338" t="s">
        <v>252</v>
      </c>
      <c r="I52" s="338" t="s">
        <v>253</v>
      </c>
      <c r="J52" s="338" t="s">
        <v>254</v>
      </c>
      <c r="K52" s="338" t="s">
        <v>256</v>
      </c>
      <c r="L52" s="338" t="s">
        <v>258</v>
      </c>
      <c r="M52" s="338" t="s">
        <v>260</v>
      </c>
      <c r="N52" s="338" t="s">
        <v>262</v>
      </c>
      <c r="O52" s="338" t="s">
        <v>264</v>
      </c>
      <c r="P52" s="338" t="s">
        <v>265</v>
      </c>
      <c r="Q52" s="338" t="s">
        <v>267</v>
      </c>
      <c r="R52" s="338" t="s">
        <v>292</v>
      </c>
      <c r="S52" s="340" t="s">
        <v>293</v>
      </c>
      <c r="T52" s="341" t="s">
        <v>294</v>
      </c>
    </row>
    <row r="53" spans="1:20" ht="24.75" x14ac:dyDescent="0.25">
      <c r="A53" s="321" t="s">
        <v>1</v>
      </c>
      <c r="B53" s="342" t="s">
        <v>2</v>
      </c>
      <c r="C53" s="343">
        <f>+UGpcntDeg*(VLOOKUP($A53,FY17Rev0!$A$4:$F$24,6,FALSE))*VLOOKUP($A53,FY16ProjMjrsActDegs!$A$3:$S$23,MATCH(C$28,FY16ProjMjrsActDegs!$A$2:$S$2,0),FALSE)</f>
        <v>1878334.0199122138</v>
      </c>
      <c r="D53" s="343">
        <f>+UGpcntDeg*(VLOOKUP($A53,FY17Rev0!$A$4:$F$24,6,FALSE))*VLOOKUP($A53,FY16ProjMjrsActDegs!$A$3:$S$23,MATCH(D$28,FY16ProjMjrsActDegs!$A$2:$S$2,0),FALSE)</f>
        <v>71270871.121739492</v>
      </c>
      <c r="E53" s="343">
        <f>+UGpcntDeg*(VLOOKUP($A53,FY17Rev0!$A$4:$F$24,6,FALSE))*VLOOKUP($A53,FY16ProjMjrsActDegs!$A$3:$S$23,MATCH(E$28,FY16ProjMjrsActDegs!$A$2:$S$2,0),FALSE)</f>
        <v>12341448.173085179</v>
      </c>
      <c r="F53" s="343">
        <f>+UGpcntDeg*(VLOOKUP($A53,FY17Rev0!$A$4:$F$24,6,FALSE))*VLOOKUP($A53,FY16ProjMjrsActDegs!$A$3:$S$23,MATCH(F$28,FY16ProjMjrsActDegs!$A$2:$S$2,0),FALSE)</f>
        <v>2010611.0635680035</v>
      </c>
      <c r="G53" s="343">
        <f>+UGpcntDeg*(VLOOKUP($A53,FY17Rev0!$A$4:$F$24,6,FALSE))*VLOOKUP($A53,FY16ProjMjrsActDegs!$A$3:$S$23,MATCH(G$28,FY16ProjMjrsActDegs!$A$2:$S$2,0),FALSE)</f>
        <v>12817645.530246023</v>
      </c>
      <c r="H53" s="343">
        <f>+UGpcntDeg*(VLOOKUP($A53,FY17Rev0!$A$4:$F$24,6,FALSE))*VLOOKUP($A53,FY16ProjMjrsActDegs!$A$3:$S$23,MATCH(H$28,FY16ProjMjrsActDegs!$A$2:$S$2,0),FALSE)</f>
        <v>3756668.0398244276</v>
      </c>
      <c r="I53" s="343">
        <f>+UGpcntDeg*(VLOOKUP($A53,FY17Rev0!$A$4:$F$24,6,FALSE))*VLOOKUP($A53,FY16ProjMjrsActDegs!$A$3:$S$23,MATCH(I$28,FY16ProjMjrsActDegs!$A$2:$S$2,0),FALSE)</f>
        <v>1653463.0456973712</v>
      </c>
      <c r="J53" s="343">
        <f>+UGpcntDeg*(VLOOKUP($A53,FY17Rev0!$A$4:$F$24,6,FALSE))*VLOOKUP($A53,FY16ProjMjrsActDegs!$A$3:$S$23,MATCH(J$28,FY16ProjMjrsActDegs!$A$2:$S$2,0),FALSE)</f>
        <v>0</v>
      </c>
      <c r="K53" s="343">
        <f>+UGpcntDeg*(VLOOKUP($A53,FY17Rev0!$A$4:$F$24,6,FALSE))*VLOOKUP($A53,FY16ProjMjrsActDegs!$A$3:$S$23,MATCH(K$28,FY16ProjMjrsActDegs!$A$2:$S$2,0),FALSE)</f>
        <v>0</v>
      </c>
      <c r="L53" s="343">
        <f>+UGpcntDeg*(VLOOKUP($A53,FY17Rev0!$A$4:$F$24,6,FALSE))*VLOOKUP($A53,FY16ProjMjrsActDegs!$A$3:$S$23,MATCH(L$28,FY16ProjMjrsActDegs!$A$2:$S$2,0),FALSE)</f>
        <v>529108.17462315888</v>
      </c>
      <c r="M53" s="343">
        <f>+UGpcntDeg*(VLOOKUP($A53,FY17Rev0!$A$4:$F$24,6,FALSE))*VLOOKUP($A53,FY16ProjMjrsActDegs!$A$3:$S$23,MATCH(M$28,FY16ProjMjrsActDegs!$A$2:$S$2,0),FALSE)</f>
        <v>0</v>
      </c>
      <c r="N53" s="343">
        <f>+UGpcntDeg*(VLOOKUP($A53,FY17Rev0!$A$4:$F$24,6,FALSE))*VLOOKUP($A53,FY16ProjMjrsActDegs!$A$3:$S$23,MATCH(N$28,FY16ProjMjrsActDegs!$A$2:$S$2,0),FALSE)</f>
        <v>3280470.6826635846</v>
      </c>
      <c r="O53" s="343">
        <f>+UGpcntDeg*(VLOOKUP($A53,FY17Rev0!$A$4:$F$24,6,FALSE))*VLOOKUP($A53,FY16ProjMjrsActDegs!$A$3:$S$23,MATCH(O$28,FY16ProjMjrsActDegs!$A$2:$S$2,0),FALSE)</f>
        <v>1825423.202449898</v>
      </c>
      <c r="P53" s="343">
        <f>+UGpcntDeg*(VLOOKUP($A53,FY17Rev0!$A$4:$F$24,6,FALSE))*VLOOKUP($A53,FY16ProjMjrsActDegs!$A$3:$S$23,MATCH(P$28,FY16ProjMjrsActDegs!$A$2:$S$2,0),FALSE)</f>
        <v>0</v>
      </c>
      <c r="Q53" s="343">
        <f>+UGpcntDeg*(VLOOKUP($A53,FY17Rev0!$A$4:$F$24,6,FALSE))*VLOOKUP($A53,FY16ProjMjrsActDegs!$A$3:$S$23,MATCH(Q$28,FY16ProjMjrsActDegs!$A$2:$S$2,0),FALSE)</f>
        <v>2261937.4465140039</v>
      </c>
      <c r="R53" s="343">
        <f>+UGpcntDeg*(VLOOKUP($A53,FY17Rev0!$A$4:$F$24,6,FALSE))*VLOOKUP($A53,FY16ProjMjrsActDegs!$A$3:$S$23,MATCH(R$28,FY16ProjMjrsActDegs!$A$2:$S$2,0),FALSE)</f>
        <v>158732.45238694764</v>
      </c>
      <c r="S53" s="343">
        <f>+UGpcntDeg*(VLOOKUP($A53,FY17Rev0!$A$4:$F$24,6,FALSE))*VLOOKUP($A53,FY16ProjMjrsActDegs!$A$3:$S$23,MATCH(S$28,FY16ProjMjrsActDegs!$A$2:$S$2,0),FALSE)</f>
        <v>0</v>
      </c>
      <c r="T53" s="343">
        <f t="shared" ref="T53:T74" si="6">SUM(C53:Q53)+R53+S53</f>
        <v>113784712.95271033</v>
      </c>
    </row>
    <row r="54" spans="1:20" s="209" customFormat="1" ht="24.75" x14ac:dyDescent="0.25">
      <c r="A54" s="325" t="s">
        <v>7</v>
      </c>
      <c r="B54" s="326" t="s">
        <v>9</v>
      </c>
      <c r="C54" s="312">
        <f>+GPpcntMjr*(VLOOKUP($A54,FY17Rev0!$A$4:$F$24,6,FALSE))*VLOOKUP($A54,FY16ProjMjrsActDegs!$A$3:$S$23,MATCH(C$28,FY16ProjMjrsActDegs!$A$2:$S$2,0),FALSE)</f>
        <v>72890.956450546946</v>
      </c>
      <c r="D54" s="312">
        <f>+GPpcntMjr*(VLOOKUP($A54,FY17Rev0!$A$4:$F$24,6,FALSE))*VLOOKUP($A54,FY16ProjMjrsActDegs!$A$3:$S$23,MATCH(D$28,FY16ProjMjrsActDegs!$A$2:$S$2,0),FALSE)</f>
        <v>7387121.4140743949</v>
      </c>
      <c r="E54" s="312">
        <f>+GPpcntMjr*(VLOOKUP($A54,FY17Rev0!$A$4:$F$24,6,FALSE))*VLOOKUP($A54,FY16ProjMjrsActDegs!$A$3:$S$23,MATCH(E$28,FY16ProjMjrsActDegs!$A$2:$S$2,0),FALSE)</f>
        <v>275226.19763223757</v>
      </c>
      <c r="F54" s="312">
        <f>+GPpcntMjr*(VLOOKUP($A54,FY17Rev0!$A$4:$F$24,6,FALSE))*VLOOKUP($A54,FY16ProjMjrsActDegs!$A$3:$S$23,MATCH(F$28,FY16ProjMjrsActDegs!$A$2:$S$2,0),FALSE)</f>
        <v>23878.071940696405</v>
      </c>
      <c r="G54" s="312">
        <f>+GPpcntMjr*(VLOOKUP($A54,FY17Rev0!$A$4:$F$24,6,FALSE))*VLOOKUP($A54,FY16ProjMjrsActDegs!$A$3:$S$23,MATCH(G$28,FY16ProjMjrsActDegs!$A$2:$S$2,0),FALSE)</f>
        <v>453683.36687323183</v>
      </c>
      <c r="H54" s="312">
        <f>+GPpcntMjr*(VLOOKUP($A54,FY17Rev0!$A$4:$F$24,6,FALSE))*VLOOKUP($A54,FY16ProjMjrsActDegs!$A$3:$S$23,MATCH(H$28,FY16ProjMjrsActDegs!$A$2:$S$2,0),FALSE)</f>
        <v>0</v>
      </c>
      <c r="I54" s="312">
        <f>+GPpcntMjr*(VLOOKUP($A54,FY17Rev0!$A$4:$F$24,6,FALSE))*VLOOKUP($A54,FY16ProjMjrsActDegs!$A$3:$S$23,MATCH(I$28,FY16ProjMjrsActDegs!$A$2:$S$2,0),FALSE)</f>
        <v>187254.35364019813</v>
      </c>
      <c r="J54" s="312">
        <f>+GPpcntMjr*(VLOOKUP($A54,FY17Rev0!$A$4:$F$24,6,FALSE))*VLOOKUP($A54,FY16ProjMjrsActDegs!$A$3:$S$23,MATCH(J$28,FY16ProjMjrsActDegs!$A$2:$S$2,0),FALSE)</f>
        <v>3770.2218853731174</v>
      </c>
      <c r="K54" s="312">
        <f>+GPpcntMjr*(VLOOKUP($A54,FY17Rev0!$A$4:$F$24,6,FALSE))*VLOOKUP($A54,FY16ProjMjrsActDegs!$A$3:$S$23,MATCH(K$28,FY16ProjMjrsActDegs!$A$2:$S$2,0),FALSE)</f>
        <v>65350.51267980069</v>
      </c>
      <c r="L54" s="312">
        <f>+GPpcntMjr*(VLOOKUP($A54,FY17Rev0!$A$4:$F$24,6,FALSE))*VLOOKUP($A54,FY16ProjMjrsActDegs!$A$3:$S$23,MATCH(L$28,FY16ProjMjrsActDegs!$A$2:$S$2,0),FALSE)</f>
        <v>1256.7406284577057</v>
      </c>
      <c r="M54" s="312">
        <f>+GPpcntMjr*(VLOOKUP($A54,FY17Rev0!$A$4:$F$24,6,FALSE))*VLOOKUP($A54,FY16ProjMjrsActDegs!$A$3:$S$23,MATCH(M$28,FY16ProjMjrsActDegs!$A$2:$S$2,0),FALSE)</f>
        <v>0</v>
      </c>
      <c r="N54" s="312">
        <f>+GPpcntMjr*(VLOOKUP($A54,FY17Rev0!$A$4:$F$24,6,FALSE))*VLOOKUP($A54,FY16ProjMjrsActDegs!$A$3:$S$23,MATCH(N$28,FY16ProjMjrsActDegs!$A$2:$S$2,0),FALSE)</f>
        <v>1607371.2637974059</v>
      </c>
      <c r="O54" s="312">
        <f>+GPpcntMjr*(VLOOKUP($A54,FY17Rev0!$A$4:$F$24,6,FALSE))*VLOOKUP($A54,FY16ProjMjrsActDegs!$A$3:$S$23,MATCH(O$28,FY16ProjMjrsActDegs!$A$2:$S$2,0),FALSE)</f>
        <v>2513.4812569154114</v>
      </c>
      <c r="P54" s="312">
        <f>+GPpcntMjr*(VLOOKUP($A54,FY17Rev0!$A$4:$F$24,6,FALSE))*VLOOKUP($A54,FY16ProjMjrsActDegs!$A$3:$S$23,MATCH(P$28,FY16ProjMjrsActDegs!$A$2:$S$2,0),FALSE)</f>
        <v>261402.05071920276</v>
      </c>
      <c r="Q54" s="312">
        <f>+GPpcntMjr*(VLOOKUP($A54,FY17Rev0!$A$4:$F$24,6,FALSE))*VLOOKUP($A54,FY16ProjMjrsActDegs!$A$3:$S$23,MATCH(Q$28,FY16ProjMjrsActDegs!$A$2:$S$2,0),FALSE)</f>
        <v>2513.4812569154114</v>
      </c>
      <c r="R54" s="312">
        <f>+GPpcntMjr*(VLOOKUP($A54,FY17Rev0!$A$4:$F$24,6,FALSE))*VLOOKUP($A54,FY16ProjMjrsActDegs!$A$3:$S$23,MATCH(R$28,FY16ProjMjrsActDegs!$A$2:$S$2,0),FALSE)</f>
        <v>0</v>
      </c>
      <c r="S54" s="312">
        <f>+GPpcntMjr*(VLOOKUP($A54,FY17Rev0!$A$4:$F$24,6,FALSE))*VLOOKUP($A54,FY16ProjMjrsActDegs!$A$3:$S$23,MATCH(S$28,FY16ProjMjrsActDegs!$A$2:$S$2,0),FALSE)</f>
        <v>902339.77123263257</v>
      </c>
      <c r="T54" s="312">
        <f t="shared" si="6"/>
        <v>11246571.884068012</v>
      </c>
    </row>
    <row r="55" spans="1:20" ht="24.75" x14ac:dyDescent="0.25">
      <c r="A55" s="325" t="s">
        <v>10</v>
      </c>
      <c r="B55" s="344" t="s">
        <v>11</v>
      </c>
      <c r="C55" s="345">
        <f>+GPpcntMjr*(VLOOKUP($A55,FY17Rev0!$A$4:$F$24,6,FALSE))*VLOOKUP($A55,FY16ProjMjrsActDegs!$A$3:$S$23,MATCH(C$28,FY16ProjMjrsActDegs!$A$2:$S$2,0),FALSE)</f>
        <v>0</v>
      </c>
      <c r="D55" s="345">
        <f>+GPpcntMjr*(VLOOKUP($A55,FY17Rev0!$A$4:$F$24,6,FALSE))*VLOOKUP($A55,FY16ProjMjrsActDegs!$A$3:$S$23,MATCH(D$28,FY16ProjMjrsActDegs!$A$2:$S$2,0),FALSE)</f>
        <v>0</v>
      </c>
      <c r="E55" s="345">
        <f>+GPpcntMjr*(VLOOKUP($A55,FY17Rev0!$A$4:$F$24,6,FALSE))*VLOOKUP($A55,FY16ProjMjrsActDegs!$A$3:$S$23,MATCH(E$28,FY16ProjMjrsActDegs!$A$2:$S$2,0),FALSE)</f>
        <v>0</v>
      </c>
      <c r="F55" s="345">
        <f>+GPpcntMjr*(VLOOKUP($A55,FY17Rev0!$A$4:$F$24,6,FALSE))*VLOOKUP($A55,FY16ProjMjrsActDegs!$A$3:$S$23,MATCH(F$28,FY16ProjMjrsActDegs!$A$2:$S$2,0),FALSE)</f>
        <v>0</v>
      </c>
      <c r="G55" s="345">
        <f>+GPpcntMjr*(VLOOKUP($A55,FY17Rev0!$A$4:$F$24,6,FALSE))*VLOOKUP($A55,FY16ProjMjrsActDegs!$A$3:$S$23,MATCH(G$28,FY16ProjMjrsActDegs!$A$2:$S$2,0),FALSE)</f>
        <v>0</v>
      </c>
      <c r="H55" s="345">
        <f>+GPpcntMjr*(VLOOKUP($A55,FY17Rev0!$A$4:$F$24,6,FALSE))*VLOOKUP($A55,FY16ProjMjrsActDegs!$A$3:$S$23,MATCH(H$28,FY16ProjMjrsActDegs!$A$2:$S$2,0),FALSE)</f>
        <v>0</v>
      </c>
      <c r="I55" s="345">
        <f>+GPpcntMjr*(VLOOKUP($A55,FY17Rev0!$A$4:$F$24,6,FALSE))*VLOOKUP($A55,FY16ProjMjrsActDegs!$A$3:$S$23,MATCH(I$28,FY16ProjMjrsActDegs!$A$2:$S$2,0),FALSE)</f>
        <v>0</v>
      </c>
      <c r="J55" s="345">
        <f>+GPpcntMjr*(VLOOKUP($A55,FY17Rev0!$A$4:$F$24,6,FALSE))*VLOOKUP($A55,FY16ProjMjrsActDegs!$A$3:$S$23,MATCH(J$28,FY16ProjMjrsActDegs!$A$2:$S$2,0),FALSE)</f>
        <v>0</v>
      </c>
      <c r="K55" s="345">
        <f>+GPpcntMjr*(VLOOKUP($A55,FY17Rev0!$A$4:$F$24,6,FALSE))*VLOOKUP($A55,FY16ProjMjrsActDegs!$A$3:$S$23,MATCH(K$28,FY16ProjMjrsActDegs!$A$2:$S$2,0),FALSE)</f>
        <v>0</v>
      </c>
      <c r="L55" s="345">
        <f>+GPpcntMjr*(VLOOKUP($A55,FY17Rev0!$A$4:$F$24,6,FALSE))*VLOOKUP($A55,FY16ProjMjrsActDegs!$A$3:$S$23,MATCH(L$28,FY16ProjMjrsActDegs!$A$2:$S$2,0),FALSE)</f>
        <v>240427.56745193026</v>
      </c>
      <c r="M55" s="345">
        <f>+GPpcntMjr*(VLOOKUP($A55,FY17Rev0!$A$4:$F$24,6,FALSE))*VLOOKUP($A55,FY16ProjMjrsActDegs!$A$3:$S$23,MATCH(M$28,FY16ProjMjrsActDegs!$A$2:$S$2,0),FALSE)</f>
        <v>0</v>
      </c>
      <c r="N55" s="345">
        <f>+GPpcntMjr*(VLOOKUP($A55,FY17Rev0!$A$4:$F$24,6,FALSE))*VLOOKUP($A55,FY16ProjMjrsActDegs!$A$3:$S$23,MATCH(N$28,FY16ProjMjrsActDegs!$A$2:$S$2,0),FALSE)</f>
        <v>731623.67299888469</v>
      </c>
      <c r="O55" s="345">
        <f>+GPpcntMjr*(VLOOKUP($A55,FY17Rev0!$A$4:$F$24,6,FALSE))*VLOOKUP($A55,FY16ProjMjrsActDegs!$A$3:$S$23,MATCH(O$28,FY16ProjMjrsActDegs!$A$2:$S$2,0),FALSE)</f>
        <v>0</v>
      </c>
      <c r="P55" s="345">
        <f>+GPpcntMjr*(VLOOKUP($A55,FY17Rev0!$A$4:$F$24,6,FALSE))*VLOOKUP($A55,FY16ProjMjrsActDegs!$A$3:$S$23,MATCH(P$28,FY16ProjMjrsActDegs!$A$2:$S$2,0),FALSE)</f>
        <v>0</v>
      </c>
      <c r="Q55" s="345">
        <f>+GPpcntMjr*(VLOOKUP($A55,FY17Rev0!$A$4:$F$24,6,FALSE))*VLOOKUP($A55,FY16ProjMjrsActDegs!$A$3:$S$23,MATCH(Q$28,FY16ProjMjrsActDegs!$A$2:$S$2,0),FALSE)</f>
        <v>0</v>
      </c>
      <c r="R55" s="345">
        <f>+GPpcntMjr*(VLOOKUP($A55,FY17Rev0!$A$4:$F$24,6,FALSE))*VLOOKUP($A55,FY16ProjMjrsActDegs!$A$3:$S$23,MATCH(R$28,FY16ProjMjrsActDegs!$A$2:$S$2,0),FALSE)</f>
        <v>0</v>
      </c>
      <c r="S55" s="345">
        <f>+GPpcntMjr*(VLOOKUP($A55,FY17Rev0!$A$4:$F$24,6,FALSE))*VLOOKUP($A55,FY16ProjMjrsActDegs!$A$3:$S$23,MATCH(S$28,FY16ProjMjrsActDegs!$A$2:$S$2,0),FALSE)</f>
        <v>0</v>
      </c>
      <c r="T55" s="345">
        <f t="shared" si="6"/>
        <v>972051.24045081495</v>
      </c>
    </row>
    <row r="56" spans="1:20" s="209" customFormat="1" ht="24.75" x14ac:dyDescent="0.25">
      <c r="A56" s="325" t="s">
        <v>12</v>
      </c>
      <c r="B56" s="326" t="s">
        <v>14</v>
      </c>
      <c r="C56" s="312">
        <f>+GPpcntMjr*(VLOOKUP($A56,FY17Rev0!$A$4:$F$24,6,FALSE))*VLOOKUP($A56,FY16ProjMjrsActDegs!$A$3:$S$23,MATCH(C$28,FY16ProjMjrsActDegs!$A$2:$S$2,0),FALSE)</f>
        <v>2116.0386213932129</v>
      </c>
      <c r="D56" s="312">
        <f>+GPpcntMjr*(VLOOKUP($A56,FY17Rev0!$A$4:$F$24,6,FALSE))*VLOOKUP($A56,FY16ProjMjrsActDegs!$A$3:$S$23,MATCH(D$28,FY16ProjMjrsActDegs!$A$2:$S$2,0),FALSE)</f>
        <v>55017.004156223527</v>
      </c>
      <c r="E56" s="312">
        <f>+GPpcntMjr*(VLOOKUP($A56,FY17Rev0!$A$4:$F$24,6,FALSE))*VLOOKUP($A56,FY16ProjMjrsActDegs!$A$3:$S$23,MATCH(E$28,FY16ProjMjrsActDegs!$A$2:$S$2,0),FALSE)</f>
        <v>14812.270349752489</v>
      </c>
      <c r="F56" s="312">
        <f>+GPpcntMjr*(VLOOKUP($A56,FY17Rev0!$A$4:$F$24,6,FALSE))*VLOOKUP($A56,FY16ProjMjrsActDegs!$A$3:$S$23,MATCH(F$28,FY16ProjMjrsActDegs!$A$2:$S$2,0),FALSE)</f>
        <v>12696.231728359277</v>
      </c>
      <c r="G56" s="312">
        <f>+GPpcntMjr*(VLOOKUP($A56,FY17Rev0!$A$4:$F$24,6,FALSE))*VLOOKUP($A56,FY16ProjMjrsActDegs!$A$3:$S$23,MATCH(G$28,FY16ProjMjrsActDegs!$A$2:$S$2,0),FALSE)</f>
        <v>6326955.4779657042</v>
      </c>
      <c r="H56" s="312">
        <f>+GPpcntMjr*(VLOOKUP($A56,FY17Rev0!$A$4:$F$24,6,FALSE))*VLOOKUP($A56,FY16ProjMjrsActDegs!$A$3:$S$23,MATCH(H$28,FY16ProjMjrsActDegs!$A$2:$S$2,0),FALSE)</f>
        <v>4232.0772427864258</v>
      </c>
      <c r="I56" s="312">
        <f>+GPpcntMjr*(VLOOKUP($A56,FY17Rev0!$A$4:$F$24,6,FALSE))*VLOOKUP($A56,FY16ProjMjrsActDegs!$A$3:$S$23,MATCH(I$28,FY16ProjMjrsActDegs!$A$2:$S$2,0),FALSE)</f>
        <v>0</v>
      </c>
      <c r="J56" s="312">
        <f>+GPpcntMjr*(VLOOKUP($A56,FY17Rev0!$A$4:$F$24,6,FALSE))*VLOOKUP($A56,FY16ProjMjrsActDegs!$A$3:$S$23,MATCH(J$28,FY16ProjMjrsActDegs!$A$2:$S$2,0),FALSE)</f>
        <v>19044.347592538914</v>
      </c>
      <c r="K56" s="312">
        <f>+GPpcntMjr*(VLOOKUP($A56,FY17Rev0!$A$4:$F$24,6,FALSE))*VLOOKUP($A56,FY16ProjMjrsActDegs!$A$3:$S$23,MATCH(K$28,FY16ProjMjrsActDegs!$A$2:$S$2,0),FALSE)</f>
        <v>0</v>
      </c>
      <c r="L56" s="312">
        <f>+GPpcntMjr*(VLOOKUP($A56,FY17Rev0!$A$4:$F$24,6,FALSE))*VLOOKUP($A56,FY16ProjMjrsActDegs!$A$3:$S$23,MATCH(L$28,FY16ProjMjrsActDegs!$A$2:$S$2,0),FALSE)</f>
        <v>0</v>
      </c>
      <c r="M56" s="312">
        <f>+GPpcntMjr*(VLOOKUP($A56,FY17Rev0!$A$4:$F$24,6,FALSE))*VLOOKUP($A56,FY16ProjMjrsActDegs!$A$3:$S$23,MATCH(M$28,FY16ProjMjrsActDegs!$A$2:$S$2,0),FALSE)</f>
        <v>0</v>
      </c>
      <c r="N56" s="312">
        <f>+GPpcntMjr*(VLOOKUP($A56,FY17Rev0!$A$4:$F$24,6,FALSE))*VLOOKUP($A56,FY16ProjMjrsActDegs!$A$3:$S$23,MATCH(N$28,FY16ProjMjrsActDegs!$A$2:$S$2,0),FALSE)</f>
        <v>97337.776584087784</v>
      </c>
      <c r="O56" s="312">
        <f>+GPpcntMjr*(VLOOKUP($A56,FY17Rev0!$A$4:$F$24,6,FALSE))*VLOOKUP($A56,FY16ProjMjrsActDegs!$A$3:$S$23,MATCH(O$28,FY16ProjMjrsActDegs!$A$2:$S$2,0),FALSE)</f>
        <v>412627.53117167647</v>
      </c>
      <c r="P56" s="312">
        <f>+GPpcntMjr*(VLOOKUP($A56,FY17Rev0!$A$4:$F$24,6,FALSE))*VLOOKUP($A56,FY16ProjMjrsActDegs!$A$3:$S$23,MATCH(P$28,FY16ProjMjrsActDegs!$A$2:$S$2,0),FALSE)</f>
        <v>0</v>
      </c>
      <c r="Q56" s="312">
        <f>+GPpcntMjr*(VLOOKUP($A56,FY17Rev0!$A$4:$F$24,6,FALSE))*VLOOKUP($A56,FY16ProjMjrsActDegs!$A$3:$S$23,MATCH(Q$28,FY16ProjMjrsActDegs!$A$2:$S$2,0),FALSE)</f>
        <v>84641.544855728513</v>
      </c>
      <c r="R56" s="312">
        <f>+GPpcntMjr*(VLOOKUP($A56,FY17Rev0!$A$4:$F$24,6,FALSE))*VLOOKUP($A56,FY16ProjMjrsActDegs!$A$3:$S$23,MATCH(R$28,FY16ProjMjrsActDegs!$A$2:$S$2,0),FALSE)</f>
        <v>0</v>
      </c>
      <c r="S56" s="312">
        <f>+GPpcntMjr*(VLOOKUP($A56,FY17Rev0!$A$4:$F$24,6,FALSE))*VLOOKUP($A56,FY16ProjMjrsActDegs!$A$3:$S$23,MATCH(S$28,FY16ProjMjrsActDegs!$A$2:$S$2,0),FALSE)</f>
        <v>61365.120020403163</v>
      </c>
      <c r="T56" s="312">
        <f t="shared" si="6"/>
        <v>7090845.420288655</v>
      </c>
    </row>
    <row r="57" spans="1:20" ht="24.75" x14ac:dyDescent="0.25">
      <c r="A57" s="325" t="s">
        <v>15</v>
      </c>
      <c r="B57" s="344" t="s">
        <v>17</v>
      </c>
      <c r="C57" s="345">
        <f>+GPpcntMjr*(VLOOKUP($A57,FY17Rev0!$A$4:$F$24,6,FALSE))*VLOOKUP($A57,FY16ProjMjrsActDegs!$A$3:$S$23,MATCH(C$28,FY16ProjMjrsActDegs!$A$2:$S$2,0),FALSE)</f>
        <v>0</v>
      </c>
      <c r="D57" s="345">
        <f>+GPpcntMjr*(VLOOKUP($A57,FY17Rev0!$A$4:$F$24,6,FALSE))*VLOOKUP($A57,FY16ProjMjrsActDegs!$A$3:$S$23,MATCH(D$28,FY16ProjMjrsActDegs!$A$2:$S$2,0),FALSE)</f>
        <v>49496.312637871313</v>
      </c>
      <c r="E57" s="345">
        <f>+GPpcntMjr*(VLOOKUP($A57,FY17Rev0!$A$4:$F$24,6,FALSE))*VLOOKUP($A57,FY16ProjMjrsActDegs!$A$3:$S$23,MATCH(E$28,FY16ProjMjrsActDegs!$A$2:$S$2,0),FALSE)</f>
        <v>0</v>
      </c>
      <c r="F57" s="345">
        <f>+GPpcntMjr*(VLOOKUP($A57,FY17Rev0!$A$4:$F$24,6,FALSE))*VLOOKUP($A57,FY16ProjMjrsActDegs!$A$3:$S$23,MATCH(F$28,FY16ProjMjrsActDegs!$A$2:$S$2,0),FALSE)</f>
        <v>0</v>
      </c>
      <c r="G57" s="345">
        <f>+GPpcntMjr*(VLOOKUP($A57,FY17Rev0!$A$4:$F$24,6,FALSE))*VLOOKUP($A57,FY16ProjMjrsActDegs!$A$3:$S$23,MATCH(G$28,FY16ProjMjrsActDegs!$A$2:$S$2,0),FALSE)</f>
        <v>0</v>
      </c>
      <c r="H57" s="345">
        <f>+GPpcntMjr*(VLOOKUP($A57,FY17Rev0!$A$4:$F$24,6,FALSE))*VLOOKUP($A57,FY16ProjMjrsActDegs!$A$3:$S$23,MATCH(H$28,FY16ProjMjrsActDegs!$A$2:$S$2,0),FALSE)</f>
        <v>2744075.5726435855</v>
      </c>
      <c r="I57" s="345">
        <f>+GPpcntMjr*(VLOOKUP($A57,FY17Rev0!$A$4:$F$24,6,FALSE))*VLOOKUP($A57,FY16ProjMjrsActDegs!$A$3:$S$23,MATCH(I$28,FY16ProjMjrsActDegs!$A$2:$S$2,0),FALSE)</f>
        <v>0</v>
      </c>
      <c r="J57" s="345">
        <f>+GPpcntMjr*(VLOOKUP($A57,FY17Rev0!$A$4:$F$24,6,FALSE))*VLOOKUP($A57,FY16ProjMjrsActDegs!$A$3:$S$23,MATCH(J$28,FY16ProjMjrsActDegs!$A$2:$S$2,0),FALSE)</f>
        <v>0</v>
      </c>
      <c r="K57" s="345">
        <f>+GPpcntMjr*(VLOOKUP($A57,FY17Rev0!$A$4:$F$24,6,FALSE))*VLOOKUP($A57,FY16ProjMjrsActDegs!$A$3:$S$23,MATCH(K$28,FY16ProjMjrsActDegs!$A$2:$S$2,0),FALSE)</f>
        <v>0</v>
      </c>
      <c r="L57" s="345">
        <f>+GPpcntMjr*(VLOOKUP($A57,FY17Rev0!$A$4:$F$24,6,FALSE))*VLOOKUP($A57,FY16ProjMjrsActDegs!$A$3:$S$23,MATCH(L$28,FY16ProjMjrsActDegs!$A$2:$S$2,0),FALSE)</f>
        <v>0</v>
      </c>
      <c r="M57" s="345">
        <f>+GPpcntMjr*(VLOOKUP($A57,FY17Rev0!$A$4:$F$24,6,FALSE))*VLOOKUP($A57,FY16ProjMjrsActDegs!$A$3:$S$23,MATCH(M$28,FY16ProjMjrsActDegs!$A$2:$S$2,0),FALSE)</f>
        <v>0</v>
      </c>
      <c r="N57" s="345">
        <f>+GPpcntMjr*(VLOOKUP($A57,FY17Rev0!$A$4:$F$24,6,FALSE))*VLOOKUP($A57,FY16ProjMjrsActDegs!$A$3:$S$23,MATCH(N$28,FY16ProjMjrsActDegs!$A$2:$S$2,0),FALSE)</f>
        <v>0</v>
      </c>
      <c r="O57" s="345">
        <f>+GPpcntMjr*(VLOOKUP($A57,FY17Rev0!$A$4:$F$24,6,FALSE))*VLOOKUP($A57,FY16ProjMjrsActDegs!$A$3:$S$23,MATCH(O$28,FY16ProjMjrsActDegs!$A$2:$S$2,0),FALSE)</f>
        <v>0</v>
      </c>
      <c r="P57" s="345">
        <f>+GPpcntMjr*(VLOOKUP($A57,FY17Rev0!$A$4:$F$24,6,FALSE))*VLOOKUP($A57,FY16ProjMjrsActDegs!$A$3:$S$23,MATCH(P$28,FY16ProjMjrsActDegs!$A$2:$S$2,0),FALSE)</f>
        <v>0</v>
      </c>
      <c r="Q57" s="345">
        <f>+GPpcntMjr*(VLOOKUP($A57,FY17Rev0!$A$4:$F$24,6,FALSE))*VLOOKUP($A57,FY16ProjMjrsActDegs!$A$3:$S$23,MATCH(Q$28,FY16ProjMjrsActDegs!$A$2:$S$2,0),FALSE)</f>
        <v>0</v>
      </c>
      <c r="R57" s="345">
        <f>+GPpcntMjr*(VLOOKUP($A57,FY17Rev0!$A$4:$F$24,6,FALSE))*VLOOKUP($A57,FY16ProjMjrsActDegs!$A$3:$S$23,MATCH(R$28,FY16ProjMjrsActDegs!$A$2:$S$2,0),FALSE)</f>
        <v>0</v>
      </c>
      <c r="S57" s="345">
        <f>+GPpcntMjr*(VLOOKUP($A57,FY17Rev0!$A$4:$F$24,6,FALSE))*VLOOKUP($A57,FY16ProjMjrsActDegs!$A$3:$S$23,MATCH(S$28,FY16ProjMjrsActDegs!$A$2:$S$2,0),FALSE)</f>
        <v>0</v>
      </c>
      <c r="T57" s="345">
        <f t="shared" si="6"/>
        <v>2793571.8852814566</v>
      </c>
    </row>
    <row r="58" spans="1:20" s="209" customFormat="1" ht="24.75" x14ac:dyDescent="0.25">
      <c r="A58" s="325" t="s">
        <v>18</v>
      </c>
      <c r="B58" s="326" t="s">
        <v>19</v>
      </c>
      <c r="C58" s="312">
        <f>+GPpcntMjr*(VLOOKUP($A58,FY17Rev0!$A$4:$F$24,6,FALSE))*VLOOKUP($A58,FY16ProjMjrsActDegs!$A$3:$S$23,MATCH(C$28,FY16ProjMjrsActDegs!$A$2:$S$2,0),FALSE)</f>
        <v>0</v>
      </c>
      <c r="D58" s="312">
        <f>+GPpcntMjr*(VLOOKUP($A58,FY17Rev0!$A$4:$F$24,6,FALSE))*VLOOKUP($A58,FY16ProjMjrsActDegs!$A$3:$S$23,MATCH(D$28,FY16ProjMjrsActDegs!$A$2:$S$2,0),FALSE)</f>
        <v>6127.4894207193756</v>
      </c>
      <c r="E58" s="312">
        <f>+GPpcntMjr*(VLOOKUP($A58,FY17Rev0!$A$4:$F$24,6,FALSE))*VLOOKUP($A58,FY16ProjMjrsActDegs!$A$3:$S$23,MATCH(E$28,FY16ProjMjrsActDegs!$A$2:$S$2,0),FALSE)</f>
        <v>0</v>
      </c>
      <c r="F58" s="312">
        <f>+GPpcntMjr*(VLOOKUP($A58,FY17Rev0!$A$4:$F$24,6,FALSE))*VLOOKUP($A58,FY16ProjMjrsActDegs!$A$3:$S$23,MATCH(F$28,FY16ProjMjrsActDegs!$A$2:$S$2,0),FALSE)</f>
        <v>3539646.3887022263</v>
      </c>
      <c r="G58" s="312">
        <f>+GPpcntMjr*(VLOOKUP($A58,FY17Rev0!$A$4:$F$24,6,FALSE))*VLOOKUP($A58,FY16ProjMjrsActDegs!$A$3:$S$23,MATCH(G$28,FY16ProjMjrsActDegs!$A$2:$S$2,0),FALSE)</f>
        <v>0</v>
      </c>
      <c r="H58" s="312">
        <f>+GPpcntMjr*(VLOOKUP($A58,FY17Rev0!$A$4:$F$24,6,FALSE))*VLOOKUP($A58,FY16ProjMjrsActDegs!$A$3:$S$23,MATCH(H$28,FY16ProjMjrsActDegs!$A$2:$S$2,0),FALSE)</f>
        <v>0</v>
      </c>
      <c r="I58" s="312">
        <f>+GPpcntMjr*(VLOOKUP($A58,FY17Rev0!$A$4:$F$24,6,FALSE))*VLOOKUP($A58,FY16ProjMjrsActDegs!$A$3:$S$23,MATCH(I$28,FY16ProjMjrsActDegs!$A$2:$S$2,0),FALSE)</f>
        <v>0</v>
      </c>
      <c r="J58" s="312">
        <f>+GPpcntMjr*(VLOOKUP($A58,FY17Rev0!$A$4:$F$24,6,FALSE))*VLOOKUP($A58,FY16ProjMjrsActDegs!$A$3:$S$23,MATCH(J$28,FY16ProjMjrsActDegs!$A$2:$S$2,0),FALSE)</f>
        <v>0</v>
      </c>
      <c r="K58" s="312">
        <f>+GPpcntMjr*(VLOOKUP($A58,FY17Rev0!$A$4:$F$24,6,FALSE))*VLOOKUP($A58,FY16ProjMjrsActDegs!$A$3:$S$23,MATCH(K$28,FY16ProjMjrsActDegs!$A$2:$S$2,0),FALSE)</f>
        <v>0</v>
      </c>
      <c r="L58" s="312">
        <f>+GPpcntMjr*(VLOOKUP($A58,FY17Rev0!$A$4:$F$24,6,FALSE))*VLOOKUP($A58,FY16ProjMjrsActDegs!$A$3:$S$23,MATCH(L$28,FY16ProjMjrsActDegs!$A$2:$S$2,0),FALSE)</f>
        <v>0</v>
      </c>
      <c r="M58" s="312">
        <f>+GPpcntMjr*(VLOOKUP($A58,FY17Rev0!$A$4:$F$24,6,FALSE))*VLOOKUP($A58,FY16ProjMjrsActDegs!$A$3:$S$23,MATCH(M$28,FY16ProjMjrsActDegs!$A$2:$S$2,0),FALSE)</f>
        <v>0</v>
      </c>
      <c r="N58" s="312">
        <f>+GPpcntMjr*(VLOOKUP($A58,FY17Rev0!$A$4:$F$24,6,FALSE))*VLOOKUP($A58,FY16ProjMjrsActDegs!$A$3:$S$23,MATCH(N$28,FY16ProjMjrsActDegs!$A$2:$S$2,0),FALSE)</f>
        <v>0</v>
      </c>
      <c r="O58" s="312">
        <f>+GPpcntMjr*(VLOOKUP($A58,FY17Rev0!$A$4:$F$24,6,FALSE))*VLOOKUP($A58,FY16ProjMjrsActDegs!$A$3:$S$23,MATCH(O$28,FY16ProjMjrsActDegs!$A$2:$S$2,0),FALSE)</f>
        <v>0</v>
      </c>
      <c r="P58" s="312">
        <f>+GPpcntMjr*(VLOOKUP($A58,FY17Rev0!$A$4:$F$24,6,FALSE))*VLOOKUP($A58,FY16ProjMjrsActDegs!$A$3:$S$23,MATCH(P$28,FY16ProjMjrsActDegs!$A$2:$S$2,0),FALSE)</f>
        <v>0</v>
      </c>
      <c r="Q58" s="312">
        <f>+GPpcntMjr*(VLOOKUP($A58,FY17Rev0!$A$4:$F$24,6,FALSE))*VLOOKUP($A58,FY16ProjMjrsActDegs!$A$3:$S$23,MATCH(Q$28,FY16ProjMjrsActDegs!$A$2:$S$2,0),FALSE)</f>
        <v>0</v>
      </c>
      <c r="R58" s="312">
        <f>+GPpcntMjr*(VLOOKUP($A58,FY17Rev0!$A$4:$F$24,6,FALSE))*VLOOKUP($A58,FY16ProjMjrsActDegs!$A$3:$S$23,MATCH(R$28,FY16ProjMjrsActDegs!$A$2:$S$2,0),FALSE)</f>
        <v>0</v>
      </c>
      <c r="S58" s="312">
        <f>+GPpcntMjr*(VLOOKUP($A58,FY17Rev0!$A$4:$F$24,6,FALSE))*VLOOKUP($A58,FY16ProjMjrsActDegs!$A$3:$S$23,MATCH(S$28,FY16ProjMjrsActDegs!$A$2:$S$2,0),FALSE)</f>
        <v>0</v>
      </c>
      <c r="T58" s="312">
        <f t="shared" si="6"/>
        <v>3545773.8781229458</v>
      </c>
    </row>
    <row r="59" spans="1:20" s="209" customFormat="1" x14ac:dyDescent="0.25">
      <c r="A59" s="325"/>
      <c r="B59" s="326"/>
      <c r="C59" s="312">
        <v>0</v>
      </c>
      <c r="D59" s="312">
        <v>0</v>
      </c>
      <c r="E59" s="312">
        <v>0</v>
      </c>
      <c r="F59" s="312">
        <v>0</v>
      </c>
      <c r="G59" s="312">
        <v>0</v>
      </c>
      <c r="H59" s="312">
        <v>0</v>
      </c>
      <c r="I59" s="312">
        <v>0</v>
      </c>
      <c r="J59" s="312">
        <v>0</v>
      </c>
      <c r="K59" s="312">
        <v>0</v>
      </c>
      <c r="L59" s="312">
        <v>0</v>
      </c>
      <c r="M59" s="312">
        <v>0</v>
      </c>
      <c r="N59" s="312">
        <v>0</v>
      </c>
      <c r="O59" s="312">
        <v>0</v>
      </c>
      <c r="P59" s="312">
        <v>0</v>
      </c>
      <c r="Q59" s="312">
        <v>0</v>
      </c>
      <c r="R59" s="312">
        <v>0</v>
      </c>
      <c r="S59" s="312">
        <v>0</v>
      </c>
      <c r="T59" s="312"/>
    </row>
    <row r="60" spans="1:20" s="209" customFormat="1" ht="24.75" x14ac:dyDescent="0.25">
      <c r="A60" s="325" t="s">
        <v>21</v>
      </c>
      <c r="B60" s="326" t="s">
        <v>22</v>
      </c>
      <c r="C60" s="312">
        <f>+GPpcntMjr*(VLOOKUP($A60,FY17Rev0!$A$4:$F$24,6,FALSE))*VLOOKUP($A60,FY16ProjMjrsActDegs!$A$3:$S$23,MATCH(C$28,FY16ProjMjrsActDegs!$A$2:$S$2,0),FALSE)</f>
        <v>0</v>
      </c>
      <c r="D60" s="312">
        <f>+GPpcntMjr*(VLOOKUP($A60,FY17Rev0!$A$4:$F$24,6,FALSE))*VLOOKUP($A60,FY16ProjMjrsActDegs!$A$3:$S$23,MATCH(D$28,FY16ProjMjrsActDegs!$A$2:$S$2,0),FALSE)</f>
        <v>0</v>
      </c>
      <c r="E60" s="312">
        <f>+GPpcntMjr*(VLOOKUP($A60,FY17Rev0!$A$4:$F$24,6,FALSE))*VLOOKUP($A60,FY16ProjMjrsActDegs!$A$3:$S$23,MATCH(E$28,FY16ProjMjrsActDegs!$A$2:$S$2,0),FALSE)</f>
        <v>0</v>
      </c>
      <c r="F60" s="312">
        <f>+GPpcntMjr*(VLOOKUP($A60,FY17Rev0!$A$4:$F$24,6,FALSE))*VLOOKUP($A60,FY16ProjMjrsActDegs!$A$3:$S$23,MATCH(F$28,FY16ProjMjrsActDegs!$A$2:$S$2,0),FALSE)</f>
        <v>9315.0459275746853</v>
      </c>
      <c r="G60" s="312">
        <f>+GPpcntMjr*(VLOOKUP($A60,FY17Rev0!$A$4:$F$24,6,FALSE))*VLOOKUP($A60,FY16ProjMjrsActDegs!$A$3:$S$23,MATCH(G$28,FY16ProjMjrsActDegs!$A$2:$S$2,0),FALSE)</f>
        <v>0</v>
      </c>
      <c r="H60" s="312">
        <f>+GPpcntMjr*(VLOOKUP($A60,FY17Rev0!$A$4:$F$24,6,FALSE))*VLOOKUP($A60,FY16ProjMjrsActDegs!$A$3:$S$23,MATCH(H$28,FY16ProjMjrsActDegs!$A$2:$S$2,0),FALSE)</f>
        <v>0</v>
      </c>
      <c r="I60" s="312">
        <f>+GPpcntMjr*(VLOOKUP($A60,FY17Rev0!$A$4:$F$24,6,FALSE))*VLOOKUP($A60,FY16ProjMjrsActDegs!$A$3:$S$23,MATCH(I$28,FY16ProjMjrsActDegs!$A$2:$S$2,0),FALSE)</f>
        <v>0</v>
      </c>
      <c r="J60" s="312">
        <f>+GPpcntMjr*(VLOOKUP($A60,FY17Rev0!$A$4:$F$24,6,FALSE))*VLOOKUP($A60,FY16ProjMjrsActDegs!$A$3:$S$23,MATCH(J$28,FY16ProjMjrsActDegs!$A$2:$S$2,0),FALSE)</f>
        <v>0</v>
      </c>
      <c r="K60" s="312">
        <f>+GPpcntMjr*(VLOOKUP($A60,FY17Rev0!$A$4:$F$24,6,FALSE))*VLOOKUP($A60,FY16ProjMjrsActDegs!$A$3:$S$23,MATCH(K$28,FY16ProjMjrsActDegs!$A$2:$S$2,0),FALSE)</f>
        <v>0</v>
      </c>
      <c r="L60" s="312">
        <f>+GPpcntMjr*(VLOOKUP($A60,FY17Rev0!$A$4:$F$24,6,FALSE))*VLOOKUP($A60,FY16ProjMjrsActDegs!$A$3:$S$23,MATCH(L$28,FY16ProjMjrsActDegs!$A$2:$S$2,0),FALSE)</f>
        <v>2425016.9564786092</v>
      </c>
      <c r="M60" s="312">
        <f>+GPpcntMjr*(VLOOKUP($A60,FY17Rev0!$A$4:$F$24,6,FALSE))*VLOOKUP($A60,FY16ProjMjrsActDegs!$A$3:$S$23,MATCH(M$28,FY16ProjMjrsActDegs!$A$2:$S$2,0),FALSE)</f>
        <v>0</v>
      </c>
      <c r="N60" s="312">
        <f>+GPpcntMjr*(VLOOKUP($A60,FY17Rev0!$A$4:$F$24,6,FALSE))*VLOOKUP($A60,FY16ProjMjrsActDegs!$A$3:$S$23,MATCH(N$28,FY16ProjMjrsActDegs!$A$2:$S$2,0),FALSE)</f>
        <v>12420.061236766245</v>
      </c>
      <c r="O60" s="312">
        <f>+GPpcntMjr*(VLOOKUP($A60,FY17Rev0!$A$4:$F$24,6,FALSE))*VLOOKUP($A60,FY16ProjMjrsActDegs!$A$3:$S$23,MATCH(O$28,FY16ProjMjrsActDegs!$A$2:$S$2,0),FALSE)</f>
        <v>0</v>
      </c>
      <c r="P60" s="312">
        <f>+GPpcntMjr*(VLOOKUP($A60,FY17Rev0!$A$4:$F$24,6,FALSE))*VLOOKUP($A60,FY16ProjMjrsActDegs!$A$3:$S$23,MATCH(P$28,FY16ProjMjrsActDegs!$A$2:$S$2,0),FALSE)</f>
        <v>0</v>
      </c>
      <c r="Q60" s="312">
        <f>+GPpcntMjr*(VLOOKUP($A60,FY17Rev0!$A$4:$F$24,6,FALSE))*VLOOKUP($A60,FY16ProjMjrsActDegs!$A$3:$S$23,MATCH(Q$28,FY16ProjMjrsActDegs!$A$2:$S$2,0),FALSE)</f>
        <v>77625.382729789038</v>
      </c>
      <c r="R60" s="312">
        <f>+GPpcntMjr*(VLOOKUP($A60,FY17Rev0!$A$4:$F$24,6,FALSE))*VLOOKUP($A60,FY16ProjMjrsActDegs!$A$3:$S$23,MATCH(R$28,FY16ProjMjrsActDegs!$A$2:$S$2,0),FALSE)</f>
        <v>0</v>
      </c>
      <c r="S60" s="312">
        <f>+GPpcntMjr*(VLOOKUP($A60,FY17Rev0!$A$4:$F$24,6,FALSE))*VLOOKUP($A60,FY16ProjMjrsActDegs!$A$3:$S$23,MATCH(S$28,FY16ProjMjrsActDegs!$A$2:$S$2,0),FALSE)</f>
        <v>18630.091855149371</v>
      </c>
      <c r="T60" s="312">
        <f t="shared" si="6"/>
        <v>2543007.5382278888</v>
      </c>
    </row>
    <row r="61" spans="1:20" ht="24.75" x14ac:dyDescent="0.25">
      <c r="A61" s="325" t="s">
        <v>23</v>
      </c>
      <c r="B61" s="344" t="s">
        <v>25</v>
      </c>
      <c r="C61" s="345">
        <f>+GPpcntMjr*(VLOOKUP($A61,FY17Rev0!$A$4:$F$24,6,FALSE))*VLOOKUP($A61,FY16ProjMjrsActDegs!$A$3:$S$23,MATCH(C$28,FY16ProjMjrsActDegs!$A$2:$S$2,0),FALSE)</f>
        <v>0</v>
      </c>
      <c r="D61" s="345">
        <f>+GPpcntMjr*(VLOOKUP($A61,FY17Rev0!$A$4:$F$24,6,FALSE))*VLOOKUP($A61,FY16ProjMjrsActDegs!$A$3:$S$23,MATCH(D$28,FY16ProjMjrsActDegs!$A$2:$S$2,0),FALSE)</f>
        <v>0</v>
      </c>
      <c r="E61" s="345">
        <f>+GPpcntMjr*(VLOOKUP($A61,FY17Rev0!$A$4:$F$24,6,FALSE))*VLOOKUP($A61,FY16ProjMjrsActDegs!$A$3:$S$23,MATCH(E$28,FY16ProjMjrsActDegs!$A$2:$S$2,0),FALSE)</f>
        <v>0</v>
      </c>
      <c r="F61" s="345">
        <f>+GPpcntMjr*(VLOOKUP($A61,FY17Rev0!$A$4:$F$24,6,FALSE))*VLOOKUP($A61,FY16ProjMjrsActDegs!$A$3:$S$23,MATCH(F$28,FY16ProjMjrsActDegs!$A$2:$S$2,0),FALSE)</f>
        <v>0</v>
      </c>
      <c r="G61" s="345">
        <f>+GPpcntMjr*(VLOOKUP($A61,FY17Rev0!$A$4:$F$24,6,FALSE))*VLOOKUP($A61,FY16ProjMjrsActDegs!$A$3:$S$23,MATCH(G$28,FY16ProjMjrsActDegs!$A$2:$S$2,0),FALSE)</f>
        <v>0</v>
      </c>
      <c r="H61" s="345">
        <f>+GPpcntMjr*(VLOOKUP($A61,FY17Rev0!$A$4:$F$24,6,FALSE))*VLOOKUP($A61,FY16ProjMjrsActDegs!$A$3:$S$23,MATCH(H$28,FY16ProjMjrsActDegs!$A$2:$S$2,0),FALSE)</f>
        <v>0</v>
      </c>
      <c r="I61" s="345">
        <f>+GPpcntMjr*(VLOOKUP($A61,FY17Rev0!$A$4:$F$24,6,FALSE))*VLOOKUP($A61,FY16ProjMjrsActDegs!$A$3:$S$23,MATCH(I$28,FY16ProjMjrsActDegs!$A$2:$S$2,0),FALSE)</f>
        <v>0</v>
      </c>
      <c r="J61" s="345">
        <f>+GPpcntMjr*(VLOOKUP($A61,FY17Rev0!$A$4:$F$24,6,FALSE))*VLOOKUP($A61,FY16ProjMjrsActDegs!$A$3:$S$23,MATCH(J$28,FY16ProjMjrsActDegs!$A$2:$S$2,0),FALSE)</f>
        <v>0</v>
      </c>
      <c r="K61" s="345">
        <f>+GPpcntMjr*(VLOOKUP($A61,FY17Rev0!$A$4:$F$24,6,FALSE))*VLOOKUP($A61,FY16ProjMjrsActDegs!$A$3:$S$23,MATCH(K$28,FY16ProjMjrsActDegs!$A$2:$S$2,0),FALSE)</f>
        <v>0</v>
      </c>
      <c r="L61" s="345">
        <f>+GPpcntMjr*(VLOOKUP($A61,FY17Rev0!$A$4:$F$24,6,FALSE))*VLOOKUP($A61,FY16ProjMjrsActDegs!$A$3:$S$23,MATCH(L$28,FY16ProjMjrsActDegs!$A$2:$S$2,0),FALSE)</f>
        <v>0</v>
      </c>
      <c r="M61" s="345">
        <f>+GPpcntMjr*(VLOOKUP($A61,FY17Rev0!$A$4:$F$24,6,FALSE))*VLOOKUP($A61,FY16ProjMjrsActDegs!$A$3:$S$23,MATCH(M$28,FY16ProjMjrsActDegs!$A$2:$S$2,0),FALSE)</f>
        <v>0</v>
      </c>
      <c r="N61" s="345">
        <f>+GPpcntMjr*(VLOOKUP($A61,FY17Rev0!$A$4:$F$24,6,FALSE))*VLOOKUP($A61,FY16ProjMjrsActDegs!$A$3:$S$23,MATCH(N$28,FY16ProjMjrsActDegs!$A$2:$S$2,0),FALSE)</f>
        <v>19753.418104850545</v>
      </c>
      <c r="O61" s="345">
        <f>+GPpcntMjr*(VLOOKUP($A61,FY17Rev0!$A$4:$F$24,6,FALSE))*VLOOKUP($A61,FY16ProjMjrsActDegs!$A$3:$S$23,MATCH(O$28,FY16ProjMjrsActDegs!$A$2:$S$2,0),FALSE)</f>
        <v>0</v>
      </c>
      <c r="P61" s="345">
        <f>+GPpcntMjr*(VLOOKUP($A61,FY17Rev0!$A$4:$F$24,6,FALSE))*VLOOKUP($A61,FY16ProjMjrsActDegs!$A$3:$S$23,MATCH(P$28,FY16ProjMjrsActDegs!$A$2:$S$2,0),FALSE)</f>
        <v>0</v>
      </c>
      <c r="Q61" s="345">
        <f>+GPpcntMjr*(VLOOKUP($A61,FY17Rev0!$A$4:$F$24,6,FALSE))*VLOOKUP($A61,FY16ProjMjrsActDegs!$A$3:$S$23,MATCH(Q$28,FY16ProjMjrsActDegs!$A$2:$S$2,0),FALSE)</f>
        <v>1968757.3377834375</v>
      </c>
      <c r="R61" s="345">
        <f>+GPpcntMjr*(VLOOKUP($A61,FY17Rev0!$A$4:$F$24,6,FALSE))*VLOOKUP($A61,FY16ProjMjrsActDegs!$A$3:$S$23,MATCH(R$28,FY16ProjMjrsActDegs!$A$2:$S$2,0),FALSE)</f>
        <v>0</v>
      </c>
      <c r="S61" s="345">
        <f>+GPpcntMjr*(VLOOKUP($A61,FY17Rev0!$A$4:$F$24,6,FALSE))*VLOOKUP($A61,FY16ProjMjrsActDegs!$A$3:$S$23,MATCH(S$28,FY16ProjMjrsActDegs!$A$2:$S$2,0),FALSE)</f>
        <v>0</v>
      </c>
      <c r="T61" s="345">
        <f t="shared" si="6"/>
        <v>1988510.7558882879</v>
      </c>
    </row>
    <row r="62" spans="1:20" s="209" customFormat="1" ht="24.75" x14ac:dyDescent="0.25">
      <c r="A62" s="325" t="s">
        <v>26</v>
      </c>
      <c r="B62" s="326" t="s">
        <v>27</v>
      </c>
      <c r="C62" s="312">
        <f>+GPpcntMjr*(VLOOKUP($A62,FY17Rev0!$A$4:$F$24,6,FALSE))*VLOOKUP($A62,FY16ProjMjrsActDegs!$A$3:$S$23,MATCH(C$28,FY16ProjMjrsActDegs!$A$2:$S$2,0),FALSE)</f>
        <v>2534.76679492421</v>
      </c>
      <c r="D62" s="312">
        <f>+GPpcntMjr*(VLOOKUP($A62,FY17Rev0!$A$4:$F$24,6,FALSE))*VLOOKUP($A62,FY16ProjMjrsActDegs!$A$3:$S$23,MATCH(D$28,FY16ProjMjrsActDegs!$A$2:$S$2,0),FALSE)</f>
        <v>45625.802308635772</v>
      </c>
      <c r="E62" s="312">
        <f>+GPpcntMjr*(VLOOKUP($A62,FY17Rev0!$A$4:$F$24,6,FALSE))*VLOOKUP($A62,FY16ProjMjrsActDegs!$A$3:$S$23,MATCH(E$28,FY16ProjMjrsActDegs!$A$2:$S$2,0),FALSE)</f>
        <v>0</v>
      </c>
      <c r="F62" s="312">
        <f>+GPpcntMjr*(VLOOKUP($A62,FY17Rev0!$A$4:$F$24,6,FALSE))*VLOOKUP($A62,FY16ProjMjrsActDegs!$A$3:$S$23,MATCH(F$28,FY16ProjMjrsActDegs!$A$2:$S$2,0),FALSE)</f>
        <v>0</v>
      </c>
      <c r="G62" s="312">
        <f>+GPpcntMjr*(VLOOKUP($A62,FY17Rev0!$A$4:$F$24,6,FALSE))*VLOOKUP($A62,FY16ProjMjrsActDegs!$A$3:$S$23,MATCH(G$28,FY16ProjMjrsActDegs!$A$2:$S$2,0),FALSE)</f>
        <v>7604.3003847726304</v>
      </c>
      <c r="H62" s="312">
        <f>+GPpcntMjr*(VLOOKUP($A62,FY17Rev0!$A$4:$F$24,6,FALSE))*VLOOKUP($A62,FY16ProjMjrsActDegs!$A$3:$S$23,MATCH(H$28,FY16ProjMjrsActDegs!$A$2:$S$2,0),FALSE)</f>
        <v>0</v>
      </c>
      <c r="I62" s="312">
        <f>+GPpcntMjr*(VLOOKUP($A62,FY17Rev0!$A$4:$F$24,6,FALSE))*VLOOKUP($A62,FY16ProjMjrsActDegs!$A$3:$S$23,MATCH(I$28,FY16ProjMjrsActDegs!$A$2:$S$2,0),FALSE)</f>
        <v>0</v>
      </c>
      <c r="J62" s="312">
        <f>+GPpcntMjr*(VLOOKUP($A62,FY17Rev0!$A$4:$F$24,6,FALSE))*VLOOKUP($A62,FY16ProjMjrsActDegs!$A$3:$S$23,MATCH(J$28,FY16ProjMjrsActDegs!$A$2:$S$2,0),FALSE)</f>
        <v>0</v>
      </c>
      <c r="K62" s="312">
        <f>+GPpcntMjr*(VLOOKUP($A62,FY17Rev0!$A$4:$F$24,6,FALSE))*VLOOKUP($A62,FY16ProjMjrsActDegs!$A$3:$S$23,MATCH(K$28,FY16ProjMjrsActDegs!$A$2:$S$2,0),FALSE)</f>
        <v>0</v>
      </c>
      <c r="L62" s="312">
        <f>+GPpcntMjr*(VLOOKUP($A62,FY17Rev0!$A$4:$F$24,6,FALSE))*VLOOKUP($A62,FY16ProjMjrsActDegs!$A$3:$S$23,MATCH(L$28,FY16ProjMjrsActDegs!$A$2:$S$2,0),FALSE)</f>
        <v>22812.901154317893</v>
      </c>
      <c r="M62" s="312">
        <f>+GPpcntMjr*(VLOOKUP($A62,FY17Rev0!$A$4:$F$24,6,FALSE))*VLOOKUP($A62,FY16ProjMjrsActDegs!$A$3:$S$23,MATCH(M$28,FY16ProjMjrsActDegs!$A$2:$S$2,0),FALSE)</f>
        <v>2534.76679492421</v>
      </c>
      <c r="N62" s="312">
        <f>+GPpcntMjr*(VLOOKUP($A62,FY17Rev0!$A$4:$F$24,6,FALSE))*VLOOKUP($A62,FY16ProjMjrsActDegs!$A$3:$S$23,MATCH(N$28,FY16ProjMjrsActDegs!$A$2:$S$2,0),FALSE)</f>
        <v>354867.35128938942</v>
      </c>
      <c r="O62" s="312">
        <f>+GPpcntMjr*(VLOOKUP($A62,FY17Rev0!$A$4:$F$24,6,FALSE))*VLOOKUP($A62,FY16ProjMjrsActDegs!$A$3:$S$23,MATCH(O$28,FY16ProjMjrsActDegs!$A$2:$S$2,0),FALSE)</f>
        <v>2534.76679492421</v>
      </c>
      <c r="P62" s="312">
        <f>+GPpcntMjr*(VLOOKUP($A62,FY17Rev0!$A$4:$F$24,6,FALSE))*VLOOKUP($A62,FY16ProjMjrsActDegs!$A$3:$S$23,MATCH(P$28,FY16ProjMjrsActDegs!$A$2:$S$2,0),FALSE)</f>
        <v>0</v>
      </c>
      <c r="Q62" s="312">
        <f>+GPpcntMjr*(VLOOKUP($A62,FY17Rev0!$A$4:$F$24,6,FALSE))*VLOOKUP($A62,FY16ProjMjrsActDegs!$A$3:$S$23,MATCH(Q$28,FY16ProjMjrsActDegs!$A$2:$S$2,0),FALSE)</f>
        <v>1036719.6191240021</v>
      </c>
      <c r="R62" s="312">
        <f>+GPpcntMjr*(VLOOKUP($A62,FY17Rev0!$A$4:$F$24,6,FALSE))*VLOOKUP($A62,FY16ProjMjrsActDegs!$A$3:$S$23,MATCH(R$28,FY16ProjMjrsActDegs!$A$2:$S$2,0),FALSE)</f>
        <v>0</v>
      </c>
      <c r="S62" s="312">
        <f>+GPpcntMjr*(VLOOKUP($A62,FY17Rev0!$A$4:$F$24,6,FALSE))*VLOOKUP($A62,FY16ProjMjrsActDegs!$A$3:$S$23,MATCH(S$28,FY16ProjMjrsActDegs!$A$2:$S$2,0),FALSE)</f>
        <v>0</v>
      </c>
      <c r="T62" s="312">
        <f t="shared" si="6"/>
        <v>1475234.2746458903</v>
      </c>
    </row>
    <row r="63" spans="1:20" ht="24.75" x14ac:dyDescent="0.25">
      <c r="A63" s="331" t="s">
        <v>28</v>
      </c>
      <c r="B63" s="344" t="s">
        <v>30</v>
      </c>
      <c r="C63" s="345">
        <f>+GPpcntMjr*(VLOOKUP($A63,FY17Rev0!$A$4:$F$24,6,FALSE))*VLOOKUP($A63,FY16ProjMjrsActDegs!$A$3:$S$23,MATCH(C$28,FY16ProjMjrsActDegs!$A$2:$S$2,0),FALSE)</f>
        <v>3781269.8051829669</v>
      </c>
      <c r="D63" s="345">
        <f>+GPpcntMjr*(VLOOKUP($A63,FY17Rev0!$A$4:$F$24,6,FALSE))*VLOOKUP($A63,FY16ProjMjrsActDegs!$A$3:$S$23,MATCH(D$28,FY16ProjMjrsActDegs!$A$2:$S$2,0),FALSE)</f>
        <v>0</v>
      </c>
      <c r="E63" s="345">
        <f>+GPpcntMjr*(VLOOKUP($A63,FY17Rev0!$A$4:$F$24,6,FALSE))*VLOOKUP($A63,FY16ProjMjrsActDegs!$A$3:$S$23,MATCH(E$28,FY16ProjMjrsActDegs!$A$2:$S$2,0),FALSE)</f>
        <v>0</v>
      </c>
      <c r="F63" s="345">
        <f>+GPpcntMjr*(VLOOKUP($A63,FY17Rev0!$A$4:$F$24,6,FALSE))*VLOOKUP($A63,FY16ProjMjrsActDegs!$A$3:$S$23,MATCH(F$28,FY16ProjMjrsActDegs!$A$2:$S$2,0),FALSE)</f>
        <v>0</v>
      </c>
      <c r="G63" s="345">
        <f>+GPpcntMjr*(VLOOKUP($A63,FY17Rev0!$A$4:$F$24,6,FALSE))*VLOOKUP($A63,FY16ProjMjrsActDegs!$A$3:$S$23,MATCH(G$28,FY16ProjMjrsActDegs!$A$2:$S$2,0),FALSE)</f>
        <v>10641.472247231615</v>
      </c>
      <c r="H63" s="345">
        <f>+GPpcntMjr*(VLOOKUP($A63,FY17Rev0!$A$4:$F$24,6,FALSE))*VLOOKUP($A63,FY16ProjMjrsActDegs!$A$3:$S$23,MATCH(H$28,FY16ProjMjrsActDegs!$A$2:$S$2,0),FALSE)</f>
        <v>0</v>
      </c>
      <c r="I63" s="345">
        <f>+GPpcntMjr*(VLOOKUP($A63,FY17Rev0!$A$4:$F$24,6,FALSE))*VLOOKUP($A63,FY16ProjMjrsActDegs!$A$3:$S$23,MATCH(I$28,FY16ProjMjrsActDegs!$A$2:$S$2,0),FALSE)</f>
        <v>0</v>
      </c>
      <c r="J63" s="345">
        <f>+GPpcntMjr*(VLOOKUP($A63,FY17Rev0!$A$4:$F$24,6,FALSE))*VLOOKUP($A63,FY16ProjMjrsActDegs!$A$3:$S$23,MATCH(J$28,FY16ProjMjrsActDegs!$A$2:$S$2,0),FALSE)</f>
        <v>0</v>
      </c>
      <c r="K63" s="345">
        <f>+GPpcntMjr*(VLOOKUP($A63,FY17Rev0!$A$4:$F$24,6,FALSE))*VLOOKUP($A63,FY16ProjMjrsActDegs!$A$3:$S$23,MATCH(K$28,FY16ProjMjrsActDegs!$A$2:$S$2,0),FALSE)</f>
        <v>0</v>
      </c>
      <c r="L63" s="345">
        <f>+GPpcntMjr*(VLOOKUP($A63,FY17Rev0!$A$4:$F$24,6,FALSE))*VLOOKUP($A63,FY16ProjMjrsActDegs!$A$3:$S$23,MATCH(L$28,FY16ProjMjrsActDegs!$A$2:$S$2,0),FALSE)</f>
        <v>0</v>
      </c>
      <c r="M63" s="345">
        <f>+GPpcntMjr*(VLOOKUP($A63,FY17Rev0!$A$4:$F$24,6,FALSE))*VLOOKUP($A63,FY16ProjMjrsActDegs!$A$3:$S$23,MATCH(M$28,FY16ProjMjrsActDegs!$A$2:$S$2,0),FALSE)</f>
        <v>0</v>
      </c>
      <c r="N63" s="345">
        <f>+GPpcntMjr*(VLOOKUP($A63,FY17Rev0!$A$4:$F$24,6,FALSE))*VLOOKUP($A63,FY16ProjMjrsActDegs!$A$3:$S$23,MATCH(N$28,FY16ProjMjrsActDegs!$A$2:$S$2,0),FALSE)</f>
        <v>0</v>
      </c>
      <c r="O63" s="345">
        <f>+GPpcntMjr*(VLOOKUP($A63,FY17Rev0!$A$4:$F$24,6,FALSE))*VLOOKUP($A63,FY16ProjMjrsActDegs!$A$3:$S$23,MATCH(O$28,FY16ProjMjrsActDegs!$A$2:$S$2,0),FALSE)</f>
        <v>0</v>
      </c>
      <c r="P63" s="345">
        <f>+GPpcntMjr*(VLOOKUP($A63,FY17Rev0!$A$4:$F$24,6,FALSE))*VLOOKUP($A63,FY16ProjMjrsActDegs!$A$3:$S$23,MATCH(P$28,FY16ProjMjrsActDegs!$A$2:$S$2,0),FALSE)</f>
        <v>0</v>
      </c>
      <c r="Q63" s="345">
        <f>+GPpcntMjr*(VLOOKUP($A63,FY17Rev0!$A$4:$F$24,6,FALSE))*VLOOKUP($A63,FY16ProjMjrsActDegs!$A$3:$S$23,MATCH(Q$28,FY16ProjMjrsActDegs!$A$2:$S$2,0),FALSE)</f>
        <v>0</v>
      </c>
      <c r="R63" s="345">
        <f>+GPpcntMjr*(VLOOKUP($A63,FY17Rev0!$A$4:$F$24,6,FALSE))*VLOOKUP($A63,FY16ProjMjrsActDegs!$A$3:$S$23,MATCH(R$28,FY16ProjMjrsActDegs!$A$2:$S$2,0),FALSE)</f>
        <v>0</v>
      </c>
      <c r="S63" s="345">
        <f>+GPpcntMjr*(VLOOKUP($A63,FY17Rev0!$A$4:$F$24,6,FALSE))*VLOOKUP($A63,FY16ProjMjrsActDegs!$A$3:$S$23,MATCH(S$28,FY16ProjMjrsActDegs!$A$2:$S$2,0),FALSE)</f>
        <v>0</v>
      </c>
      <c r="T63" s="345">
        <f t="shared" si="6"/>
        <v>3791911.2774301986</v>
      </c>
    </row>
    <row r="64" spans="1:20" s="209" customFormat="1" ht="24.75" x14ac:dyDescent="0.25">
      <c r="A64" s="325" t="s">
        <v>31</v>
      </c>
      <c r="B64" s="326" t="s">
        <v>33</v>
      </c>
      <c r="C64" s="312">
        <f>+GPpcntMjr*(VLOOKUP($A64,FY17Rev0!$A$4:$F$24,6,FALSE))*VLOOKUP($A64,FY16ProjMjrsActDegs!$A$3:$S$23,MATCH(C$28,FY16ProjMjrsActDegs!$A$2:$S$2,0),FALSE)</f>
        <v>0</v>
      </c>
      <c r="D64" s="312">
        <f>+GPpcntMjr*(VLOOKUP($A64,FY17Rev0!$A$4:$F$24,6,FALSE))*VLOOKUP($A64,FY16ProjMjrsActDegs!$A$3:$S$23,MATCH(D$28,FY16ProjMjrsActDegs!$A$2:$S$2,0),FALSE)</f>
        <v>0</v>
      </c>
      <c r="E64" s="312">
        <f>+GPpcntMjr*(VLOOKUP($A64,FY17Rev0!$A$4:$F$24,6,FALSE))*VLOOKUP($A64,FY16ProjMjrsActDegs!$A$3:$S$23,MATCH(E$28,FY16ProjMjrsActDegs!$A$2:$S$2,0),FALSE)</f>
        <v>0</v>
      </c>
      <c r="F64" s="312">
        <f>+GPpcntMjr*(VLOOKUP($A64,FY17Rev0!$A$4:$F$24,6,FALSE))*VLOOKUP($A64,FY16ProjMjrsActDegs!$A$3:$S$23,MATCH(F$28,FY16ProjMjrsActDegs!$A$2:$S$2,0),FALSE)</f>
        <v>0</v>
      </c>
      <c r="G64" s="312">
        <f>+GPpcntMjr*(VLOOKUP($A64,FY17Rev0!$A$4:$F$24,6,FALSE))*VLOOKUP($A64,FY16ProjMjrsActDegs!$A$3:$S$23,MATCH(G$28,FY16ProjMjrsActDegs!$A$2:$S$2,0),FALSE)</f>
        <v>1392341.0645869209</v>
      </c>
      <c r="H64" s="312">
        <f>+GPpcntMjr*(VLOOKUP($A64,FY17Rev0!$A$4:$F$24,6,FALSE))*VLOOKUP($A64,FY16ProjMjrsActDegs!$A$3:$S$23,MATCH(H$28,FY16ProjMjrsActDegs!$A$2:$S$2,0),FALSE)</f>
        <v>16065.473822156779</v>
      </c>
      <c r="I64" s="312">
        <f>+GPpcntMjr*(VLOOKUP($A64,FY17Rev0!$A$4:$F$24,6,FALSE))*VLOOKUP($A64,FY16ProjMjrsActDegs!$A$3:$S$23,MATCH(I$28,FY16ProjMjrsActDegs!$A$2:$S$2,0),FALSE)</f>
        <v>0</v>
      </c>
      <c r="J64" s="312">
        <f>+GPpcntMjr*(VLOOKUP($A64,FY17Rev0!$A$4:$F$24,6,FALSE))*VLOOKUP($A64,FY16ProjMjrsActDegs!$A$3:$S$23,MATCH(J$28,FY16ProjMjrsActDegs!$A$2:$S$2,0),FALSE)</f>
        <v>0</v>
      </c>
      <c r="K64" s="312">
        <f>+GPpcntMjr*(VLOOKUP($A64,FY17Rev0!$A$4:$F$24,6,FALSE))*VLOOKUP($A64,FY16ProjMjrsActDegs!$A$3:$S$23,MATCH(K$28,FY16ProjMjrsActDegs!$A$2:$S$2,0),FALSE)</f>
        <v>0</v>
      </c>
      <c r="L64" s="312">
        <f>+GPpcntMjr*(VLOOKUP($A64,FY17Rev0!$A$4:$F$24,6,FALSE))*VLOOKUP($A64,FY16ProjMjrsActDegs!$A$3:$S$23,MATCH(L$28,FY16ProjMjrsActDegs!$A$2:$S$2,0),FALSE)</f>
        <v>0</v>
      </c>
      <c r="M64" s="312">
        <f>+GPpcntMjr*(VLOOKUP($A64,FY17Rev0!$A$4:$F$24,6,FALSE))*VLOOKUP($A64,FY16ProjMjrsActDegs!$A$3:$S$23,MATCH(M$28,FY16ProjMjrsActDegs!$A$2:$S$2,0),FALSE)</f>
        <v>0</v>
      </c>
      <c r="N64" s="312">
        <f>+GPpcntMjr*(VLOOKUP($A64,FY17Rev0!$A$4:$F$24,6,FALSE))*VLOOKUP($A64,FY16ProjMjrsActDegs!$A$3:$S$23,MATCH(N$28,FY16ProjMjrsActDegs!$A$2:$S$2,0),FALSE)</f>
        <v>0</v>
      </c>
      <c r="O64" s="312">
        <f>+GPpcntMjr*(VLOOKUP($A64,FY17Rev0!$A$4:$F$24,6,FALSE))*VLOOKUP($A64,FY16ProjMjrsActDegs!$A$3:$S$23,MATCH(O$28,FY16ProjMjrsActDegs!$A$2:$S$2,0),FALSE)</f>
        <v>0</v>
      </c>
      <c r="P64" s="312">
        <f>+GPpcntMjr*(VLOOKUP($A64,FY17Rev0!$A$4:$F$24,6,FALSE))*VLOOKUP($A64,FY16ProjMjrsActDegs!$A$3:$S$23,MATCH(P$28,FY16ProjMjrsActDegs!$A$2:$S$2,0),FALSE)</f>
        <v>0</v>
      </c>
      <c r="Q64" s="312">
        <f>+GPpcntMjr*(VLOOKUP($A64,FY17Rev0!$A$4:$F$24,6,FALSE))*VLOOKUP($A64,FY16ProjMjrsActDegs!$A$3:$S$23,MATCH(Q$28,FY16ProjMjrsActDegs!$A$2:$S$2,0),FALSE)</f>
        <v>0</v>
      </c>
      <c r="R64" s="312">
        <f>+GPpcntMjr*(VLOOKUP($A64,FY17Rev0!$A$4:$F$24,6,FALSE))*VLOOKUP($A64,FY16ProjMjrsActDegs!$A$3:$S$23,MATCH(R$28,FY16ProjMjrsActDegs!$A$2:$S$2,0),FALSE)</f>
        <v>0</v>
      </c>
      <c r="S64" s="312">
        <f>+GPpcntMjr*(VLOOKUP($A64,FY17Rev0!$A$4:$F$24,6,FALSE))*VLOOKUP($A64,FY16ProjMjrsActDegs!$A$3:$S$23,MATCH(S$28,FY16ProjMjrsActDegs!$A$2:$S$2,0),FALSE)</f>
        <v>0</v>
      </c>
      <c r="T64" s="312">
        <f t="shared" si="6"/>
        <v>1408406.5384090776</v>
      </c>
    </row>
    <row r="65" spans="1:20" ht="24.75" x14ac:dyDescent="0.25">
      <c r="A65" s="325" t="s">
        <v>34</v>
      </c>
      <c r="B65" s="344" t="s">
        <v>35</v>
      </c>
      <c r="C65" s="345">
        <f>+GPpcntMjr*(VLOOKUP($A65,FY17Rev0!$A$4:$F$24,6,FALSE))*VLOOKUP($A65,FY16ProjMjrsActDegs!$A$3:$S$23,MATCH(C$28,FY16ProjMjrsActDegs!$A$2:$S$2,0),FALSE)</f>
        <v>57549.501396704429</v>
      </c>
      <c r="D65" s="345">
        <f>+GPpcntMjr*(VLOOKUP($A65,FY17Rev0!$A$4:$F$24,6,FALSE))*VLOOKUP($A65,FY16ProjMjrsActDegs!$A$3:$S$23,MATCH(D$28,FY16ProjMjrsActDegs!$A$2:$S$2,0),FALSE)</f>
        <v>138795.85630969892</v>
      </c>
      <c r="E65" s="345">
        <f>+GPpcntMjr*(VLOOKUP($A65,FY17Rev0!$A$4:$F$24,6,FALSE))*VLOOKUP($A65,FY16ProjMjrsActDegs!$A$3:$S$23,MATCH(E$28,FY16ProjMjrsActDegs!$A$2:$S$2,0),FALSE)</f>
        <v>0</v>
      </c>
      <c r="F65" s="345">
        <f>+GPpcntMjr*(VLOOKUP($A65,FY17Rev0!$A$4:$F$24,6,FALSE))*VLOOKUP($A65,FY16ProjMjrsActDegs!$A$3:$S$23,MATCH(F$28,FY16ProjMjrsActDegs!$A$2:$S$2,0),FALSE)</f>
        <v>0</v>
      </c>
      <c r="G65" s="345">
        <f>+GPpcntMjr*(VLOOKUP($A65,FY17Rev0!$A$4:$F$24,6,FALSE))*VLOOKUP($A65,FY16ProjMjrsActDegs!$A$3:$S$23,MATCH(G$28,FY16ProjMjrsActDegs!$A$2:$S$2,0),FALSE)</f>
        <v>0</v>
      </c>
      <c r="H65" s="345">
        <f>+GPpcntMjr*(VLOOKUP($A65,FY17Rev0!$A$4:$F$24,6,FALSE))*VLOOKUP($A65,FY16ProjMjrsActDegs!$A$3:$S$23,MATCH(H$28,FY16ProjMjrsActDegs!$A$2:$S$2,0),FALSE)</f>
        <v>91402.149277118791</v>
      </c>
      <c r="I65" s="345">
        <f>+GPpcntMjr*(VLOOKUP($A65,FY17Rev0!$A$4:$F$24,6,FALSE))*VLOOKUP($A65,FY16ProjMjrsActDegs!$A$3:$S$23,MATCH(I$28,FY16ProjMjrsActDegs!$A$2:$S$2,0),FALSE)</f>
        <v>10155.794364124311</v>
      </c>
      <c r="J65" s="345">
        <f>+GPpcntMjr*(VLOOKUP($A65,FY17Rev0!$A$4:$F$24,6,FALSE))*VLOOKUP($A65,FY16ProjMjrsActDegs!$A$3:$S$23,MATCH(J$28,FY16ProjMjrsActDegs!$A$2:$S$2,0),FALSE)</f>
        <v>10155.794364124311</v>
      </c>
      <c r="K65" s="345">
        <f>+GPpcntMjr*(VLOOKUP($A65,FY17Rev0!$A$4:$F$24,6,FALSE))*VLOOKUP($A65,FY16ProjMjrsActDegs!$A$3:$S$23,MATCH(K$28,FY16ProjMjrsActDegs!$A$2:$S$2,0),FALSE)</f>
        <v>3378494.2584653543</v>
      </c>
      <c r="L65" s="345">
        <f>+GPpcntMjr*(VLOOKUP($A65,FY17Rev0!$A$4:$F$24,6,FALSE))*VLOOKUP($A65,FY16ProjMjrsActDegs!$A$3:$S$23,MATCH(L$28,FY16ProjMjrsActDegs!$A$2:$S$2,0),FALSE)</f>
        <v>23696.853516290055</v>
      </c>
      <c r="M65" s="345">
        <f>+GPpcntMjr*(VLOOKUP($A65,FY17Rev0!$A$4:$F$24,6,FALSE))*VLOOKUP($A65,FY16ProjMjrsActDegs!$A$3:$S$23,MATCH(M$28,FY16ProjMjrsActDegs!$A$2:$S$2,0),FALSE)</f>
        <v>0</v>
      </c>
      <c r="N65" s="345">
        <f>+GPpcntMjr*(VLOOKUP($A65,FY17Rev0!$A$4:$F$24,6,FALSE))*VLOOKUP($A65,FY16ProjMjrsActDegs!$A$3:$S$23,MATCH(N$28,FY16ProjMjrsActDegs!$A$2:$S$2,0),FALSE)</f>
        <v>0</v>
      </c>
      <c r="O65" s="345">
        <f>+GPpcntMjr*(VLOOKUP($A65,FY17Rev0!$A$4:$F$24,6,FALSE))*VLOOKUP($A65,FY16ProjMjrsActDegs!$A$3:$S$23,MATCH(O$28,FY16ProjMjrsActDegs!$A$2:$S$2,0),FALSE)</f>
        <v>0</v>
      </c>
      <c r="P65" s="345">
        <f>+GPpcntMjr*(VLOOKUP($A65,FY17Rev0!$A$4:$F$24,6,FALSE))*VLOOKUP($A65,FY16ProjMjrsActDegs!$A$3:$S$23,MATCH(P$28,FY16ProjMjrsActDegs!$A$2:$S$2,0),FALSE)</f>
        <v>0</v>
      </c>
      <c r="Q65" s="345">
        <f>+GPpcntMjr*(VLOOKUP($A65,FY17Rev0!$A$4:$F$24,6,FALSE))*VLOOKUP($A65,FY16ProjMjrsActDegs!$A$3:$S$23,MATCH(Q$28,FY16ProjMjrsActDegs!$A$2:$S$2,0),FALSE)</f>
        <v>74475.825336911614</v>
      </c>
      <c r="R65" s="345">
        <f>+GPpcntMjr*(VLOOKUP($A65,FY17Rev0!$A$4:$F$24,6,FALSE))*VLOOKUP($A65,FY16ProjMjrsActDegs!$A$3:$S$23,MATCH(R$28,FY16ProjMjrsActDegs!$A$2:$S$2,0),FALSE)</f>
        <v>0</v>
      </c>
      <c r="S65" s="345">
        <f>+GPpcntMjr*(VLOOKUP($A65,FY17Rev0!$A$4:$F$24,6,FALSE))*VLOOKUP($A65,FY16ProjMjrsActDegs!$A$3:$S$23,MATCH(S$28,FY16ProjMjrsActDegs!$A$2:$S$2,0),FALSE)</f>
        <v>0</v>
      </c>
      <c r="T65" s="345">
        <f t="shared" si="6"/>
        <v>3784726.0330303269</v>
      </c>
    </row>
    <row r="66" spans="1:20" s="209" customFormat="1" ht="24.75" x14ac:dyDescent="0.25">
      <c r="A66" s="325" t="s">
        <v>156</v>
      </c>
      <c r="B66" s="326" t="s">
        <v>36</v>
      </c>
      <c r="C66" s="312">
        <f>+GPpcntMjr*(VLOOKUP($A66,FY17Rev0!$A$4:$F$24,6,FALSE))*VLOOKUP($A66,FY16ProjMjrsActDegs!$A$3:$S$23,MATCH(C$28,FY16ProjMjrsActDegs!$A$2:$S$2,0),FALSE)</f>
        <v>0</v>
      </c>
      <c r="D66" s="312">
        <f>+GPpcntMjr*(VLOOKUP($A66,FY17Rev0!$A$4:$F$24,6,FALSE))*VLOOKUP($A66,FY16ProjMjrsActDegs!$A$3:$S$23,MATCH(D$28,FY16ProjMjrsActDegs!$A$2:$S$2,0),FALSE)</f>
        <v>25693.105397237221</v>
      </c>
      <c r="E66" s="312">
        <f>+GPpcntMjr*(VLOOKUP($A66,FY17Rev0!$A$4:$F$24,6,FALSE))*VLOOKUP($A66,FY16ProjMjrsActDegs!$A$3:$S$23,MATCH(E$28,FY16ProjMjrsActDegs!$A$2:$S$2,0),FALSE)</f>
        <v>3776886.4933938719</v>
      </c>
      <c r="F66" s="312">
        <f>+GPpcntMjr*(VLOOKUP($A66,FY17Rev0!$A$4:$F$24,6,FALSE))*VLOOKUP($A66,FY16ProjMjrsActDegs!$A$3:$S$23,MATCH(F$28,FY16ProjMjrsActDegs!$A$2:$S$2,0),FALSE)</f>
        <v>0</v>
      </c>
      <c r="G66" s="312">
        <f>+GPpcntMjr*(VLOOKUP($A66,FY17Rev0!$A$4:$F$24,6,FALSE))*VLOOKUP($A66,FY16ProjMjrsActDegs!$A$3:$S$23,MATCH(G$28,FY16ProjMjrsActDegs!$A$2:$S$2,0),FALSE)</f>
        <v>10277.242158894889</v>
      </c>
      <c r="H66" s="312">
        <f>+GPpcntMjr*(VLOOKUP($A66,FY17Rev0!$A$4:$F$24,6,FALSE))*VLOOKUP($A66,FY16ProjMjrsActDegs!$A$3:$S$23,MATCH(H$28,FY16ProjMjrsActDegs!$A$2:$S$2,0),FALSE)</f>
        <v>0</v>
      </c>
      <c r="I66" s="312">
        <f>+GPpcntMjr*(VLOOKUP($A66,FY17Rev0!$A$4:$F$24,6,FALSE))*VLOOKUP($A66,FY16ProjMjrsActDegs!$A$3:$S$23,MATCH(I$28,FY16ProjMjrsActDegs!$A$2:$S$2,0),FALSE)</f>
        <v>0</v>
      </c>
      <c r="J66" s="312">
        <f>+GPpcntMjr*(VLOOKUP($A66,FY17Rev0!$A$4:$F$24,6,FALSE))*VLOOKUP($A66,FY16ProjMjrsActDegs!$A$3:$S$23,MATCH(J$28,FY16ProjMjrsActDegs!$A$2:$S$2,0),FALSE)</f>
        <v>10277.242158894889</v>
      </c>
      <c r="K66" s="312">
        <f>+GPpcntMjr*(VLOOKUP($A66,FY17Rev0!$A$4:$F$24,6,FALSE))*VLOOKUP($A66,FY16ProjMjrsActDegs!$A$3:$S$23,MATCH(K$28,FY16ProjMjrsActDegs!$A$2:$S$2,0),FALSE)</f>
        <v>0</v>
      </c>
      <c r="L66" s="312">
        <f>+GPpcntMjr*(VLOOKUP($A66,FY17Rev0!$A$4:$F$24,6,FALSE))*VLOOKUP($A66,FY16ProjMjrsActDegs!$A$3:$S$23,MATCH(L$28,FY16ProjMjrsActDegs!$A$2:$S$2,0),FALSE)</f>
        <v>0</v>
      </c>
      <c r="M66" s="312">
        <f>+GPpcntMjr*(VLOOKUP($A66,FY17Rev0!$A$4:$F$24,6,FALSE))*VLOOKUP($A66,FY16ProjMjrsActDegs!$A$3:$S$23,MATCH(M$28,FY16ProjMjrsActDegs!$A$2:$S$2,0),FALSE)</f>
        <v>0</v>
      </c>
      <c r="N66" s="312">
        <f>+GPpcntMjr*(VLOOKUP($A66,FY17Rev0!$A$4:$F$24,6,FALSE))*VLOOKUP($A66,FY16ProjMjrsActDegs!$A$3:$S$23,MATCH(N$28,FY16ProjMjrsActDegs!$A$2:$S$2,0),FALSE)</f>
        <v>10277.242158894889</v>
      </c>
      <c r="O66" s="312">
        <f>+GPpcntMjr*(VLOOKUP($A66,FY17Rev0!$A$4:$F$24,6,FALSE))*VLOOKUP($A66,FY16ProjMjrsActDegs!$A$3:$S$23,MATCH(O$28,FY16ProjMjrsActDegs!$A$2:$S$2,0),FALSE)</f>
        <v>0</v>
      </c>
      <c r="P66" s="312">
        <f>+GPpcntMjr*(VLOOKUP($A66,FY17Rev0!$A$4:$F$24,6,FALSE))*VLOOKUP($A66,FY16ProjMjrsActDegs!$A$3:$S$23,MATCH(P$28,FY16ProjMjrsActDegs!$A$2:$S$2,0),FALSE)</f>
        <v>10277.242158894889</v>
      </c>
      <c r="Q66" s="312">
        <f>+GPpcntMjr*(VLOOKUP($A66,FY17Rev0!$A$4:$F$24,6,FALSE))*VLOOKUP($A66,FY16ProjMjrsActDegs!$A$3:$S$23,MATCH(Q$28,FY16ProjMjrsActDegs!$A$2:$S$2,0),FALSE)</f>
        <v>30831.726476684671</v>
      </c>
      <c r="R66" s="312">
        <f>+GPpcntMjr*(VLOOKUP($A66,FY17Rev0!$A$4:$F$24,6,FALSE))*VLOOKUP($A66,FY16ProjMjrsActDegs!$A$3:$S$23,MATCH(R$28,FY16ProjMjrsActDegs!$A$2:$S$2,0),FALSE)</f>
        <v>0</v>
      </c>
      <c r="S66" s="312">
        <f>+GPpcntMjr*(VLOOKUP($A66,FY17Rev0!$A$4:$F$24,6,FALSE))*VLOOKUP($A66,FY16ProjMjrsActDegs!$A$3:$S$23,MATCH(S$28,FY16ProjMjrsActDegs!$A$2:$S$2,0),FALSE)</f>
        <v>0</v>
      </c>
      <c r="T66" s="312">
        <f t="shared" si="6"/>
        <v>3874520.2939033732</v>
      </c>
    </row>
    <row r="67" spans="1:20" ht="24.75" x14ac:dyDescent="0.25">
      <c r="A67" s="325" t="s">
        <v>37</v>
      </c>
      <c r="B67" s="344" t="s">
        <v>39</v>
      </c>
      <c r="C67" s="345">
        <f>+GPpcntMjr*(VLOOKUP($A67,FY17Rev0!$A$4:$F$24,6,FALSE))*VLOOKUP($A67,FY16ProjMjrsActDegs!$A$3:$S$23,MATCH(C$28,FY16ProjMjrsActDegs!$A$2:$S$2,0),FALSE)</f>
        <v>0</v>
      </c>
      <c r="D67" s="345">
        <f>+GPpcntMjr*(VLOOKUP($A67,FY17Rev0!$A$4:$F$24,6,FALSE))*VLOOKUP($A67,FY16ProjMjrsActDegs!$A$3:$S$23,MATCH(D$28,FY16ProjMjrsActDegs!$A$2:$S$2,0),FALSE)</f>
        <v>29814.407647600849</v>
      </c>
      <c r="E67" s="345">
        <f>+GPpcntMjr*(VLOOKUP($A67,FY17Rev0!$A$4:$F$24,6,FALSE))*VLOOKUP($A67,FY16ProjMjrsActDegs!$A$3:$S$23,MATCH(E$28,FY16ProjMjrsActDegs!$A$2:$S$2,0),FALSE)</f>
        <v>19876.271765067231</v>
      </c>
      <c r="F67" s="345">
        <f>+GPpcntMjr*(VLOOKUP($A67,FY17Rev0!$A$4:$F$24,6,FALSE))*VLOOKUP($A67,FY16ProjMjrsActDegs!$A$3:$S$23,MATCH(F$28,FY16ProjMjrsActDegs!$A$2:$S$2,0),FALSE)</f>
        <v>24845.339706334042</v>
      </c>
      <c r="G67" s="345">
        <f>+GPpcntMjr*(VLOOKUP($A67,FY17Rev0!$A$4:$F$24,6,FALSE))*VLOOKUP($A67,FY16ProjMjrsActDegs!$A$3:$S$23,MATCH(G$28,FY16ProjMjrsActDegs!$A$2:$S$2,0),FALSE)</f>
        <v>14907.203823800424</v>
      </c>
      <c r="H67" s="345">
        <f>+GPpcntMjr*(VLOOKUP($A67,FY17Rev0!$A$4:$F$24,6,FALSE))*VLOOKUP($A67,FY16ProjMjrsActDegs!$A$3:$S$23,MATCH(H$28,FY16ProjMjrsActDegs!$A$2:$S$2,0),FALSE)</f>
        <v>14907.203823800424</v>
      </c>
      <c r="I67" s="345">
        <f>+GPpcntMjr*(VLOOKUP($A67,FY17Rev0!$A$4:$F$24,6,FALSE))*VLOOKUP($A67,FY16ProjMjrsActDegs!$A$3:$S$23,MATCH(I$28,FY16ProjMjrsActDegs!$A$2:$S$2,0),FALSE)</f>
        <v>14907.203823800424</v>
      </c>
      <c r="J67" s="345">
        <f>+GPpcntMjr*(VLOOKUP($A67,FY17Rev0!$A$4:$F$24,6,FALSE))*VLOOKUP($A67,FY16ProjMjrsActDegs!$A$3:$S$23,MATCH(J$28,FY16ProjMjrsActDegs!$A$2:$S$2,0),FALSE)</f>
        <v>7652364.6295508835</v>
      </c>
      <c r="K67" s="345">
        <f>+GPpcntMjr*(VLOOKUP($A67,FY17Rev0!$A$4:$F$24,6,FALSE))*VLOOKUP($A67,FY16ProjMjrsActDegs!$A$3:$S$23,MATCH(K$28,FY16ProjMjrsActDegs!$A$2:$S$2,0),FALSE)</f>
        <v>14907.203823800424</v>
      </c>
      <c r="L67" s="345">
        <f>+GPpcntMjr*(VLOOKUP($A67,FY17Rev0!$A$4:$F$24,6,FALSE))*VLOOKUP($A67,FY16ProjMjrsActDegs!$A$3:$S$23,MATCH(L$28,FY16ProjMjrsActDegs!$A$2:$S$2,0),FALSE)</f>
        <v>0</v>
      </c>
      <c r="M67" s="345">
        <f>+GPpcntMjr*(VLOOKUP($A67,FY17Rev0!$A$4:$F$24,6,FALSE))*VLOOKUP($A67,FY16ProjMjrsActDegs!$A$3:$S$23,MATCH(M$28,FY16ProjMjrsActDegs!$A$2:$S$2,0),FALSE)</f>
        <v>0</v>
      </c>
      <c r="N67" s="345">
        <f>+GPpcntMjr*(VLOOKUP($A67,FY17Rev0!$A$4:$F$24,6,FALSE))*VLOOKUP($A67,FY16ProjMjrsActDegs!$A$3:$S$23,MATCH(N$28,FY16ProjMjrsActDegs!$A$2:$S$2,0),FALSE)</f>
        <v>0</v>
      </c>
      <c r="O67" s="345">
        <f>+GPpcntMjr*(VLOOKUP($A67,FY17Rev0!$A$4:$F$24,6,FALSE))*VLOOKUP($A67,FY16ProjMjrsActDegs!$A$3:$S$23,MATCH(O$28,FY16ProjMjrsActDegs!$A$2:$S$2,0),FALSE)</f>
        <v>0</v>
      </c>
      <c r="P67" s="345">
        <f>+GPpcntMjr*(VLOOKUP($A67,FY17Rev0!$A$4:$F$24,6,FALSE))*VLOOKUP($A67,FY16ProjMjrsActDegs!$A$3:$S$23,MATCH(P$28,FY16ProjMjrsActDegs!$A$2:$S$2,0),FALSE)</f>
        <v>0</v>
      </c>
      <c r="Q67" s="345">
        <f>+GPpcntMjr*(VLOOKUP($A67,FY17Rev0!$A$4:$F$24,6,FALSE))*VLOOKUP($A67,FY16ProjMjrsActDegs!$A$3:$S$23,MATCH(Q$28,FY16ProjMjrsActDegs!$A$2:$S$2,0),FALSE)</f>
        <v>14907.203823800424</v>
      </c>
      <c r="R67" s="345">
        <f>+GPpcntMjr*(VLOOKUP($A67,FY17Rev0!$A$4:$F$24,6,FALSE))*VLOOKUP($A67,FY16ProjMjrsActDegs!$A$3:$S$23,MATCH(R$28,FY16ProjMjrsActDegs!$A$2:$S$2,0),FALSE)</f>
        <v>0</v>
      </c>
      <c r="S67" s="345">
        <f>+GPpcntMjr*(VLOOKUP($A67,FY17Rev0!$A$4:$F$24,6,FALSE))*VLOOKUP($A67,FY16ProjMjrsActDegs!$A$3:$S$23,MATCH(S$28,FY16ProjMjrsActDegs!$A$2:$S$2,0),FALSE)</f>
        <v>0</v>
      </c>
      <c r="T67" s="345">
        <f t="shared" si="6"/>
        <v>7801436.6677888874</v>
      </c>
    </row>
    <row r="68" spans="1:20" s="209" customFormat="1" ht="24.75" x14ac:dyDescent="0.25">
      <c r="A68" s="325" t="s">
        <v>40</v>
      </c>
      <c r="B68" s="326" t="s">
        <v>42</v>
      </c>
      <c r="C68" s="312">
        <f>+GPpcntMjr*(VLOOKUP($A68,FY17Rev0!$A$4:$F$24,6,FALSE))*VLOOKUP($A68,FY16ProjMjrsActDegs!$A$3:$S$23,MATCH(C$28,FY16ProjMjrsActDegs!$A$2:$S$2,0),FALSE)</f>
        <v>0</v>
      </c>
      <c r="D68" s="312">
        <f>+GPpcntMjr*(VLOOKUP($A68,FY17Rev0!$A$4:$F$24,6,FALSE))*VLOOKUP($A68,FY16ProjMjrsActDegs!$A$3:$S$23,MATCH(D$28,FY16ProjMjrsActDegs!$A$2:$S$2,0),FALSE)</f>
        <v>0</v>
      </c>
      <c r="E68" s="312">
        <f>+GPpcntMjr*(VLOOKUP($A68,FY17Rev0!$A$4:$F$24,6,FALSE))*VLOOKUP($A68,FY16ProjMjrsActDegs!$A$3:$S$23,MATCH(E$28,FY16ProjMjrsActDegs!$A$2:$S$2,0),FALSE)</f>
        <v>0</v>
      </c>
      <c r="F68" s="312">
        <f>+GPpcntMjr*(VLOOKUP($A68,FY17Rev0!$A$4:$F$24,6,FALSE))*VLOOKUP($A68,FY16ProjMjrsActDegs!$A$3:$S$23,MATCH(F$28,FY16ProjMjrsActDegs!$A$2:$S$2,0),FALSE)</f>
        <v>0</v>
      </c>
      <c r="G68" s="312">
        <f>+GPpcntMjr*(VLOOKUP($A68,FY17Rev0!$A$4:$F$24,6,FALSE))*VLOOKUP($A68,FY16ProjMjrsActDegs!$A$3:$S$23,MATCH(G$28,FY16ProjMjrsActDegs!$A$2:$S$2,0),FALSE)</f>
        <v>0</v>
      </c>
      <c r="H68" s="312">
        <f>+GPpcntMjr*(VLOOKUP($A68,FY17Rev0!$A$4:$F$24,6,FALSE))*VLOOKUP($A68,FY16ProjMjrsActDegs!$A$3:$S$23,MATCH(H$28,FY16ProjMjrsActDegs!$A$2:$S$2,0),FALSE)</f>
        <v>0</v>
      </c>
      <c r="I68" s="312">
        <f>+GPpcntMjr*(VLOOKUP($A68,FY17Rev0!$A$4:$F$24,6,FALSE))*VLOOKUP($A68,FY16ProjMjrsActDegs!$A$3:$S$23,MATCH(I$28,FY16ProjMjrsActDegs!$A$2:$S$2,0),FALSE)</f>
        <v>0</v>
      </c>
      <c r="J68" s="312">
        <f>+GPpcntMjr*(VLOOKUP($A68,FY17Rev0!$A$4:$F$24,6,FALSE))*VLOOKUP($A68,FY16ProjMjrsActDegs!$A$3:$S$23,MATCH(J$28,FY16ProjMjrsActDegs!$A$2:$S$2,0),FALSE)</f>
        <v>1086266.1894903141</v>
      </c>
      <c r="K68" s="312">
        <f>+GPpcntMjr*(VLOOKUP($A68,FY17Rev0!$A$4:$F$24,6,FALSE))*VLOOKUP($A68,FY16ProjMjrsActDegs!$A$3:$S$23,MATCH(K$28,FY16ProjMjrsActDegs!$A$2:$S$2,0),FALSE)</f>
        <v>0</v>
      </c>
      <c r="L68" s="312">
        <f>+GPpcntMjr*(VLOOKUP($A68,FY17Rev0!$A$4:$F$24,6,FALSE))*VLOOKUP($A68,FY16ProjMjrsActDegs!$A$3:$S$23,MATCH(L$28,FY16ProjMjrsActDegs!$A$2:$S$2,0),FALSE)</f>
        <v>0</v>
      </c>
      <c r="M68" s="312">
        <f>+GPpcntMjr*(VLOOKUP($A68,FY17Rev0!$A$4:$F$24,6,FALSE))*VLOOKUP($A68,FY16ProjMjrsActDegs!$A$3:$S$23,MATCH(M$28,FY16ProjMjrsActDegs!$A$2:$S$2,0),FALSE)</f>
        <v>0</v>
      </c>
      <c r="N68" s="312">
        <f>+GPpcntMjr*(VLOOKUP($A68,FY17Rev0!$A$4:$F$24,6,FALSE))*VLOOKUP($A68,FY16ProjMjrsActDegs!$A$3:$S$23,MATCH(N$28,FY16ProjMjrsActDegs!$A$2:$S$2,0),FALSE)</f>
        <v>0</v>
      </c>
      <c r="O68" s="312">
        <f>+GPpcntMjr*(VLOOKUP($A68,FY17Rev0!$A$4:$F$24,6,FALSE))*VLOOKUP($A68,FY16ProjMjrsActDegs!$A$3:$S$23,MATCH(O$28,FY16ProjMjrsActDegs!$A$2:$S$2,0),FALSE)</f>
        <v>0</v>
      </c>
      <c r="P68" s="312">
        <f>+GPpcntMjr*(VLOOKUP($A68,FY17Rev0!$A$4:$F$24,6,FALSE))*VLOOKUP($A68,FY16ProjMjrsActDegs!$A$3:$S$23,MATCH(P$28,FY16ProjMjrsActDegs!$A$2:$S$2,0),FALSE)</f>
        <v>0</v>
      </c>
      <c r="Q68" s="312">
        <f>+GPpcntMjr*(VLOOKUP($A68,FY17Rev0!$A$4:$F$24,6,FALSE))*VLOOKUP($A68,FY16ProjMjrsActDegs!$A$3:$S$23,MATCH(Q$28,FY16ProjMjrsActDegs!$A$2:$S$2,0),FALSE)</f>
        <v>0</v>
      </c>
      <c r="R68" s="312">
        <f>+GPpcntMjr*(VLOOKUP($A68,FY17Rev0!$A$4:$F$24,6,FALSE))*VLOOKUP($A68,FY16ProjMjrsActDegs!$A$3:$S$23,MATCH(R$28,FY16ProjMjrsActDegs!$A$2:$S$2,0),FALSE)</f>
        <v>0</v>
      </c>
      <c r="S68" s="312">
        <f>+GPpcntMjr*(VLOOKUP($A68,FY17Rev0!$A$4:$F$24,6,FALSE))*VLOOKUP($A68,FY16ProjMjrsActDegs!$A$3:$S$23,MATCH(S$28,FY16ProjMjrsActDegs!$A$2:$S$2,0),FALSE)</f>
        <v>0</v>
      </c>
      <c r="T68" s="312">
        <f t="shared" si="6"/>
        <v>1086266.1894903141</v>
      </c>
    </row>
    <row r="69" spans="1:20" ht="24.75" x14ac:dyDescent="0.25">
      <c r="A69" s="325" t="s">
        <v>157</v>
      </c>
      <c r="B69" s="344" t="s">
        <v>288</v>
      </c>
      <c r="C69" s="345">
        <f>+GPpcntMjr*(VLOOKUP($A69,FY17Rev0!$A$4:$F$24,6,FALSE))*VLOOKUP($A69,FY16ProjMjrsActDegs!$A$3:$S$23,MATCH(C$28,FY16ProjMjrsActDegs!$A$2:$S$2,0),FALSE)</f>
        <v>0</v>
      </c>
      <c r="D69" s="345">
        <f>+GPpcntMjr*(VLOOKUP($A69,FY17Rev0!$A$4:$F$24,6,FALSE))*VLOOKUP($A69,FY16ProjMjrsActDegs!$A$3:$S$23,MATCH(D$28,FY16ProjMjrsActDegs!$A$2:$S$2,0),FALSE)</f>
        <v>0</v>
      </c>
      <c r="E69" s="345">
        <f>+GPpcntMjr*(VLOOKUP($A69,FY17Rev0!$A$4:$F$24,6,FALSE))*VLOOKUP($A69,FY16ProjMjrsActDegs!$A$3:$S$23,MATCH(E$28,FY16ProjMjrsActDegs!$A$2:$S$2,0),FALSE)</f>
        <v>0</v>
      </c>
      <c r="F69" s="345">
        <f>+GPpcntMjr*(VLOOKUP($A69,FY17Rev0!$A$4:$F$24,6,FALSE))*VLOOKUP($A69,FY16ProjMjrsActDegs!$A$3:$S$23,MATCH(F$28,FY16ProjMjrsActDegs!$A$2:$S$2,0),FALSE)</f>
        <v>0</v>
      </c>
      <c r="G69" s="345">
        <f>+GPpcntMjr*(VLOOKUP($A69,FY17Rev0!$A$4:$F$24,6,FALSE))*VLOOKUP($A69,FY16ProjMjrsActDegs!$A$3:$S$23,MATCH(G$28,FY16ProjMjrsActDegs!$A$2:$S$2,0),FALSE)</f>
        <v>0</v>
      </c>
      <c r="H69" s="345">
        <f>+GPpcntMjr*(VLOOKUP($A69,FY17Rev0!$A$4:$F$24,6,FALSE))*VLOOKUP($A69,FY16ProjMjrsActDegs!$A$3:$S$23,MATCH(H$28,FY16ProjMjrsActDegs!$A$2:$S$2,0),FALSE)</f>
        <v>0</v>
      </c>
      <c r="I69" s="345">
        <f>+GPpcntMjr*(VLOOKUP($A69,FY17Rev0!$A$4:$F$24,6,FALSE))*VLOOKUP($A69,FY16ProjMjrsActDegs!$A$3:$S$23,MATCH(I$28,FY16ProjMjrsActDegs!$A$2:$S$2,0),FALSE)</f>
        <v>0</v>
      </c>
      <c r="J69" s="345">
        <f>+GPpcntMjr*(VLOOKUP($A69,FY17Rev0!$A$4:$F$24,6,FALSE))*VLOOKUP($A69,FY16ProjMjrsActDegs!$A$3:$S$23,MATCH(J$28,FY16ProjMjrsActDegs!$A$2:$S$2,0),FALSE)</f>
        <v>0</v>
      </c>
      <c r="K69" s="345">
        <f>+GPpcntMjr*(VLOOKUP($A69,FY17Rev0!$A$4:$F$24,6,FALSE))*VLOOKUP($A69,FY16ProjMjrsActDegs!$A$3:$S$23,MATCH(K$28,FY16ProjMjrsActDegs!$A$2:$S$2,0),FALSE)</f>
        <v>0</v>
      </c>
      <c r="L69" s="345">
        <f>+GPpcntMjr*(VLOOKUP($A69,FY17Rev0!$A$4:$F$24,6,FALSE))*VLOOKUP($A69,FY16ProjMjrsActDegs!$A$3:$S$23,MATCH(L$28,FY16ProjMjrsActDegs!$A$2:$S$2,0),FALSE)</f>
        <v>0</v>
      </c>
      <c r="M69" s="345">
        <f>+GPpcntMjr*(VLOOKUP($A69,FY17Rev0!$A$4:$F$24,6,FALSE))*VLOOKUP($A69,FY16ProjMjrsActDegs!$A$3:$S$23,MATCH(M$28,FY16ProjMjrsActDegs!$A$2:$S$2,0),FALSE)</f>
        <v>0</v>
      </c>
      <c r="N69" s="345">
        <f>+GPpcntMjr*(VLOOKUP($A69,FY17Rev0!$A$4:$F$24,6,FALSE))*VLOOKUP($A69,FY16ProjMjrsActDegs!$A$3:$S$23,MATCH(N$28,FY16ProjMjrsActDegs!$A$2:$S$2,0),FALSE)</f>
        <v>0</v>
      </c>
      <c r="O69" s="345">
        <f>+GPpcntMjr*(VLOOKUP($A69,FY17Rev0!$A$4:$F$24,6,FALSE))*VLOOKUP($A69,FY16ProjMjrsActDegs!$A$3:$S$23,MATCH(O$28,FY16ProjMjrsActDegs!$A$2:$S$2,0),FALSE)</f>
        <v>1143668.2370407986</v>
      </c>
      <c r="P69" s="345">
        <f>+GPpcntMjr*(VLOOKUP($A69,FY17Rev0!$A$4:$F$24,6,FALSE))*VLOOKUP($A69,FY16ProjMjrsActDegs!$A$3:$S$23,MATCH(P$28,FY16ProjMjrsActDegs!$A$2:$S$2,0),FALSE)</f>
        <v>0</v>
      </c>
      <c r="Q69" s="345">
        <f>+GPpcntMjr*(VLOOKUP($A69,FY17Rev0!$A$4:$F$24,6,FALSE))*VLOOKUP($A69,FY16ProjMjrsActDegs!$A$3:$S$23,MATCH(Q$28,FY16ProjMjrsActDegs!$A$2:$S$2,0),FALSE)</f>
        <v>0</v>
      </c>
      <c r="R69" s="345">
        <f>+GPpcntMjr*(VLOOKUP($A69,FY17Rev0!$A$4:$F$24,6,FALSE))*VLOOKUP($A69,FY16ProjMjrsActDegs!$A$3:$S$23,MATCH(R$28,FY16ProjMjrsActDegs!$A$2:$S$2,0),FALSE)</f>
        <v>0</v>
      </c>
      <c r="S69" s="345">
        <f>+GPpcntMjr*(VLOOKUP($A69,FY17Rev0!$A$4:$F$24,6,FALSE))*VLOOKUP($A69,FY16ProjMjrsActDegs!$A$3:$S$23,MATCH(S$28,FY16ProjMjrsActDegs!$A$2:$S$2,0),FALSE)</f>
        <v>0</v>
      </c>
      <c r="T69" s="345">
        <f t="shared" si="6"/>
        <v>1143668.2370407986</v>
      </c>
    </row>
    <row r="70" spans="1:20" s="209" customFormat="1" ht="24.75" x14ac:dyDescent="0.25">
      <c r="A70" s="325" t="s">
        <v>158</v>
      </c>
      <c r="B70" s="326" t="s">
        <v>45</v>
      </c>
      <c r="C70" s="312">
        <f>+GPpcntMjr*(VLOOKUP($A70,FY17Rev0!$A$4:$F$24,6,FALSE))*VLOOKUP($A70,FY16ProjMjrsActDegs!$A$3:$S$23,MATCH(C$28,FY16ProjMjrsActDegs!$A$2:$S$2,0),FALSE)</f>
        <v>0</v>
      </c>
      <c r="D70" s="312">
        <f>+GPpcntMjr*(VLOOKUP($A70,FY17Rev0!$A$4:$F$24,6,FALSE))*VLOOKUP($A70,FY16ProjMjrsActDegs!$A$3:$S$23,MATCH(D$28,FY16ProjMjrsActDegs!$A$2:$S$2,0),FALSE)</f>
        <v>0</v>
      </c>
      <c r="E70" s="312">
        <f>+GPpcntMjr*(VLOOKUP($A70,FY17Rev0!$A$4:$F$24,6,FALSE))*VLOOKUP($A70,FY16ProjMjrsActDegs!$A$3:$S$23,MATCH(E$28,FY16ProjMjrsActDegs!$A$2:$S$2,0),FALSE)</f>
        <v>0</v>
      </c>
      <c r="F70" s="312">
        <f>+GPpcntMjr*(VLOOKUP($A70,FY17Rev0!$A$4:$F$24,6,FALSE))*VLOOKUP($A70,FY16ProjMjrsActDegs!$A$3:$S$23,MATCH(F$28,FY16ProjMjrsActDegs!$A$2:$S$2,0),FALSE)</f>
        <v>0</v>
      </c>
      <c r="G70" s="312">
        <f>+GPpcntMjr*(VLOOKUP($A70,FY17Rev0!$A$4:$F$24,6,FALSE))*VLOOKUP($A70,FY16ProjMjrsActDegs!$A$3:$S$23,MATCH(G$28,FY16ProjMjrsActDegs!$A$2:$S$2,0),FALSE)</f>
        <v>0</v>
      </c>
      <c r="H70" s="312">
        <f>+GPpcntMjr*(VLOOKUP($A70,FY17Rev0!$A$4:$F$24,6,FALSE))*VLOOKUP($A70,FY16ProjMjrsActDegs!$A$3:$S$23,MATCH(H$28,FY16ProjMjrsActDegs!$A$2:$S$2,0),FALSE)</f>
        <v>0</v>
      </c>
      <c r="I70" s="312">
        <f>+GPpcntMjr*(VLOOKUP($A70,FY17Rev0!$A$4:$F$24,6,FALSE))*VLOOKUP($A70,FY16ProjMjrsActDegs!$A$3:$S$23,MATCH(I$28,FY16ProjMjrsActDegs!$A$2:$S$2,0),FALSE)</f>
        <v>0</v>
      </c>
      <c r="J70" s="312">
        <f>+GPpcntMjr*(VLOOKUP($A70,FY17Rev0!$A$4:$F$24,6,FALSE))*VLOOKUP($A70,FY16ProjMjrsActDegs!$A$3:$S$23,MATCH(J$28,FY16ProjMjrsActDegs!$A$2:$S$2,0),FALSE)</f>
        <v>0</v>
      </c>
      <c r="K70" s="312">
        <f>+GPpcntMjr*(VLOOKUP($A70,FY17Rev0!$A$4:$F$24,6,FALSE))*VLOOKUP($A70,FY16ProjMjrsActDegs!$A$3:$S$23,MATCH(K$28,FY16ProjMjrsActDegs!$A$2:$S$2,0),FALSE)</f>
        <v>0</v>
      </c>
      <c r="L70" s="312">
        <f>+GPpcntMjr*(VLOOKUP($A70,FY17Rev0!$A$4:$F$24,6,FALSE))*VLOOKUP($A70,FY16ProjMjrsActDegs!$A$3:$S$23,MATCH(L$28,FY16ProjMjrsActDegs!$A$2:$S$2,0),FALSE)</f>
        <v>0</v>
      </c>
      <c r="M70" s="312">
        <f>+GPpcntMjr*(VLOOKUP($A70,FY17Rev0!$A$4:$F$24,6,FALSE))*VLOOKUP($A70,FY16ProjMjrsActDegs!$A$3:$S$23,MATCH(M$28,FY16ProjMjrsActDegs!$A$2:$S$2,0),FALSE)</f>
        <v>0</v>
      </c>
      <c r="N70" s="312">
        <f>+GPpcntMjr*(VLOOKUP($A70,FY17Rev0!$A$4:$F$24,6,FALSE))*VLOOKUP($A70,FY16ProjMjrsActDegs!$A$3:$S$23,MATCH(N$28,FY16ProjMjrsActDegs!$A$2:$S$2,0),FALSE)</f>
        <v>0</v>
      </c>
      <c r="O70" s="312">
        <f>+GPpcntMjr*(VLOOKUP($A70,FY17Rev0!$A$4:$F$24,6,FALSE))*VLOOKUP($A70,FY16ProjMjrsActDegs!$A$3:$S$23,MATCH(O$28,FY16ProjMjrsActDegs!$A$2:$S$2,0),FALSE)</f>
        <v>0</v>
      </c>
      <c r="P70" s="312">
        <f>+GPpcntMjr*(VLOOKUP($A70,FY17Rev0!$A$4:$F$24,6,FALSE))*VLOOKUP($A70,FY16ProjMjrsActDegs!$A$3:$S$23,MATCH(P$28,FY16ProjMjrsActDegs!$A$2:$S$2,0),FALSE)</f>
        <v>5693598.6027246425</v>
      </c>
      <c r="Q70" s="312">
        <f>+GPpcntMjr*(VLOOKUP($A70,FY17Rev0!$A$4:$F$24,6,FALSE))*VLOOKUP($A70,FY16ProjMjrsActDegs!$A$3:$S$23,MATCH(Q$28,FY16ProjMjrsActDegs!$A$2:$S$2,0),FALSE)</f>
        <v>0</v>
      </c>
      <c r="R70" s="312">
        <f>+GPpcntMjr*(VLOOKUP($A70,FY17Rev0!$A$4:$F$24,6,FALSE))*VLOOKUP($A70,FY16ProjMjrsActDegs!$A$3:$S$23,MATCH(R$28,FY16ProjMjrsActDegs!$A$2:$S$2,0),FALSE)</f>
        <v>0</v>
      </c>
      <c r="S70" s="312">
        <f>+GPpcntMjr*(VLOOKUP($A70,FY17Rev0!$A$4:$F$24,6,FALSE))*VLOOKUP($A70,FY16ProjMjrsActDegs!$A$3:$S$23,MATCH(S$28,FY16ProjMjrsActDegs!$A$2:$S$2,0),FALSE)</f>
        <v>0</v>
      </c>
      <c r="T70" s="312">
        <f t="shared" si="6"/>
        <v>5693598.6027246425</v>
      </c>
    </row>
    <row r="71" spans="1:20" ht="24.75" x14ac:dyDescent="0.25">
      <c r="A71" s="325" t="s">
        <v>159</v>
      </c>
      <c r="B71" s="344" t="s">
        <v>46</v>
      </c>
      <c r="C71" s="345">
        <f>+GPpcntMjr*(VLOOKUP($A71,FY17Rev0!$A$4:$F$24,6,FALSE))*VLOOKUP($A71,FY16ProjMjrsActDegs!$A$3:$S$23,MATCH(C$28,FY16ProjMjrsActDegs!$A$2:$S$2,0),FALSE)</f>
        <v>0</v>
      </c>
      <c r="D71" s="345">
        <f>+GPpcntMjr*(VLOOKUP($A71,FY17Rev0!$A$4:$F$24,6,FALSE))*VLOOKUP($A71,FY16ProjMjrsActDegs!$A$3:$S$23,MATCH(D$28,FY16ProjMjrsActDegs!$A$2:$S$2,0),FALSE)</f>
        <v>0</v>
      </c>
      <c r="E71" s="345">
        <f>+GPpcntMjr*(VLOOKUP($A71,FY17Rev0!$A$4:$F$24,6,FALSE))*VLOOKUP($A71,FY16ProjMjrsActDegs!$A$3:$S$23,MATCH(E$28,FY16ProjMjrsActDegs!$A$2:$S$2,0),FALSE)</f>
        <v>0</v>
      </c>
      <c r="F71" s="345">
        <f>+GPpcntMjr*(VLOOKUP($A71,FY17Rev0!$A$4:$F$24,6,FALSE))*VLOOKUP($A71,FY16ProjMjrsActDegs!$A$3:$S$23,MATCH(F$28,FY16ProjMjrsActDegs!$A$2:$S$2,0),FALSE)</f>
        <v>0</v>
      </c>
      <c r="G71" s="345">
        <f>+GPpcntMjr*(VLOOKUP($A71,FY17Rev0!$A$4:$F$24,6,FALSE))*VLOOKUP($A71,FY16ProjMjrsActDegs!$A$3:$S$23,MATCH(G$28,FY16ProjMjrsActDegs!$A$2:$S$2,0),FALSE)</f>
        <v>31129.38861746576</v>
      </c>
      <c r="H71" s="345">
        <f>+GPpcntMjr*(VLOOKUP($A71,FY17Rev0!$A$4:$F$24,6,FALSE))*VLOOKUP($A71,FY16ProjMjrsActDegs!$A$3:$S$23,MATCH(H$28,FY16ProjMjrsActDegs!$A$2:$S$2,0),FALSE)</f>
        <v>0</v>
      </c>
      <c r="I71" s="345">
        <f>+GPpcntMjr*(VLOOKUP($A71,FY17Rev0!$A$4:$F$24,6,FALSE))*VLOOKUP($A71,FY16ProjMjrsActDegs!$A$3:$S$23,MATCH(I$28,FY16ProjMjrsActDegs!$A$2:$S$2,0),FALSE)</f>
        <v>0</v>
      </c>
      <c r="J71" s="345">
        <f>+GPpcntMjr*(VLOOKUP($A71,FY17Rev0!$A$4:$F$24,6,FALSE))*VLOOKUP($A71,FY16ProjMjrsActDegs!$A$3:$S$23,MATCH(J$28,FY16ProjMjrsActDegs!$A$2:$S$2,0),FALSE)</f>
        <v>0</v>
      </c>
      <c r="K71" s="345">
        <f>+GPpcntMjr*(VLOOKUP($A71,FY17Rev0!$A$4:$F$24,6,FALSE))*VLOOKUP($A71,FY16ProjMjrsActDegs!$A$3:$S$23,MATCH(K$28,FY16ProjMjrsActDegs!$A$2:$S$2,0),FALSE)</f>
        <v>0</v>
      </c>
      <c r="L71" s="345">
        <f>+GPpcntMjr*(VLOOKUP($A71,FY17Rev0!$A$4:$F$24,6,FALSE))*VLOOKUP($A71,FY16ProjMjrsActDegs!$A$3:$S$23,MATCH(L$28,FY16ProjMjrsActDegs!$A$2:$S$2,0),FALSE)</f>
        <v>0</v>
      </c>
      <c r="M71" s="345">
        <f>+GPpcntMjr*(VLOOKUP($A71,FY17Rev0!$A$4:$F$24,6,FALSE))*VLOOKUP($A71,FY16ProjMjrsActDegs!$A$3:$S$23,MATCH(M$28,FY16ProjMjrsActDegs!$A$2:$S$2,0),FALSE)</f>
        <v>0</v>
      </c>
      <c r="N71" s="345">
        <f>+GPpcntMjr*(VLOOKUP($A71,FY17Rev0!$A$4:$F$24,6,FALSE))*VLOOKUP($A71,FY16ProjMjrsActDegs!$A$3:$S$23,MATCH(N$28,FY16ProjMjrsActDegs!$A$2:$S$2,0),FALSE)</f>
        <v>12264979.115281509</v>
      </c>
      <c r="O71" s="345">
        <f>+GPpcntMjr*(VLOOKUP($A71,FY17Rev0!$A$4:$F$24,6,FALSE))*VLOOKUP($A71,FY16ProjMjrsActDegs!$A$3:$S$23,MATCH(O$28,FY16ProjMjrsActDegs!$A$2:$S$2,0),FALSE)</f>
        <v>0</v>
      </c>
      <c r="P71" s="345">
        <f>+GPpcntMjr*(VLOOKUP($A71,FY17Rev0!$A$4:$F$24,6,FALSE))*VLOOKUP($A71,FY16ProjMjrsActDegs!$A$3:$S$23,MATCH(P$28,FY16ProjMjrsActDegs!$A$2:$S$2,0),FALSE)</f>
        <v>0</v>
      </c>
      <c r="Q71" s="345">
        <f>+GPpcntMjr*(VLOOKUP($A71,FY17Rev0!$A$4:$F$24,6,FALSE))*VLOOKUP($A71,FY16ProjMjrsActDegs!$A$3:$S$23,MATCH(Q$28,FY16ProjMjrsActDegs!$A$2:$S$2,0),FALSE)</f>
        <v>191964.56314103885</v>
      </c>
      <c r="R71" s="345">
        <f>+GPpcntMjr*(VLOOKUP($A71,FY17Rev0!$A$4:$F$24,6,FALSE))*VLOOKUP($A71,FY16ProjMjrsActDegs!$A$3:$S$23,MATCH(R$28,FY16ProjMjrsActDegs!$A$2:$S$2,0),FALSE)</f>
        <v>0</v>
      </c>
      <c r="S71" s="345">
        <f>+GPpcntMjr*(VLOOKUP($A71,FY17Rev0!$A$4:$F$24,6,FALSE))*VLOOKUP($A71,FY16ProjMjrsActDegs!$A$3:$S$23,MATCH(S$28,FY16ProjMjrsActDegs!$A$2:$S$2,0),FALSE)</f>
        <v>83011.702979908703</v>
      </c>
      <c r="T71" s="345">
        <f t="shared" si="6"/>
        <v>12571084.770019922</v>
      </c>
    </row>
    <row r="72" spans="1:20" s="209" customFormat="1" ht="24.75" x14ac:dyDescent="0.25">
      <c r="A72" s="325" t="s">
        <v>160</v>
      </c>
      <c r="B72" s="326" t="s">
        <v>48</v>
      </c>
      <c r="C72" s="312">
        <f>+GPpcntMjr*(VLOOKUP($A72,FY17Rev0!$A$4:$F$24,6,FALSE))*VLOOKUP($A72,FY16ProjMjrsActDegs!$A$3:$S$23,MATCH(C$28,FY16ProjMjrsActDegs!$A$2:$S$2,0),FALSE)</f>
        <v>0</v>
      </c>
      <c r="D72" s="312">
        <f>+GPpcntMjr*(VLOOKUP($A72,FY17Rev0!$A$4:$F$24,6,FALSE))*VLOOKUP($A72,FY16ProjMjrsActDegs!$A$3:$S$23,MATCH(D$28,FY16ProjMjrsActDegs!$A$2:$S$2,0),FALSE)</f>
        <v>0</v>
      </c>
      <c r="E72" s="312">
        <f>+GPpcntMjr*(VLOOKUP($A72,FY17Rev0!$A$4:$F$24,6,FALSE))*VLOOKUP($A72,FY16ProjMjrsActDegs!$A$3:$S$23,MATCH(E$28,FY16ProjMjrsActDegs!$A$2:$S$2,0),FALSE)</f>
        <v>0</v>
      </c>
      <c r="F72" s="312">
        <f>+GPpcntMjr*(VLOOKUP($A72,FY17Rev0!$A$4:$F$24,6,FALSE))*VLOOKUP($A72,FY16ProjMjrsActDegs!$A$3:$S$23,MATCH(F$28,FY16ProjMjrsActDegs!$A$2:$S$2,0),FALSE)</f>
        <v>0</v>
      </c>
      <c r="G72" s="312">
        <f>+GPpcntMjr*(VLOOKUP($A72,FY17Rev0!$A$4:$F$24,6,FALSE))*VLOOKUP($A72,FY16ProjMjrsActDegs!$A$3:$S$23,MATCH(G$28,FY16ProjMjrsActDegs!$A$2:$S$2,0),FALSE)</f>
        <v>0</v>
      </c>
      <c r="H72" s="312">
        <f>+GPpcntMjr*(VLOOKUP($A72,FY17Rev0!$A$4:$F$24,6,FALSE))*VLOOKUP($A72,FY16ProjMjrsActDegs!$A$3:$S$23,MATCH(H$28,FY16ProjMjrsActDegs!$A$2:$S$2,0),FALSE)</f>
        <v>0</v>
      </c>
      <c r="I72" s="312">
        <f>+GPpcntMjr*(VLOOKUP($A72,FY17Rev0!$A$4:$F$24,6,FALSE))*VLOOKUP($A72,FY16ProjMjrsActDegs!$A$3:$S$23,MATCH(I$28,FY16ProjMjrsActDegs!$A$2:$S$2,0),FALSE)</f>
        <v>0</v>
      </c>
      <c r="J72" s="312">
        <f>+GPpcntMjr*(VLOOKUP($A72,FY17Rev0!$A$4:$F$24,6,FALSE))*VLOOKUP($A72,FY16ProjMjrsActDegs!$A$3:$S$23,MATCH(J$28,FY16ProjMjrsActDegs!$A$2:$S$2,0),FALSE)</f>
        <v>0</v>
      </c>
      <c r="K72" s="312">
        <f>+GPpcntMjr*(VLOOKUP($A72,FY17Rev0!$A$4:$F$24,6,FALSE))*VLOOKUP($A72,FY16ProjMjrsActDegs!$A$3:$S$23,MATCH(K$28,FY16ProjMjrsActDegs!$A$2:$S$2,0),FALSE)</f>
        <v>0</v>
      </c>
      <c r="L72" s="312">
        <f>+GPpcntMjr*(VLOOKUP($A72,FY17Rev0!$A$4:$F$24,6,FALSE))*VLOOKUP($A72,FY16ProjMjrsActDegs!$A$3:$S$23,MATCH(L$28,FY16ProjMjrsActDegs!$A$2:$S$2,0),FALSE)</f>
        <v>0</v>
      </c>
      <c r="M72" s="312">
        <f>+GPpcntMjr*(VLOOKUP($A72,FY17Rev0!$A$4:$F$24,6,FALSE))*VLOOKUP($A72,FY16ProjMjrsActDegs!$A$3:$S$23,MATCH(M$28,FY16ProjMjrsActDegs!$A$2:$S$2,0),FALSE)</f>
        <v>5107190.9445202388</v>
      </c>
      <c r="N72" s="312">
        <f>+GPpcntMjr*(VLOOKUP($A72,FY17Rev0!$A$4:$F$24,6,FALSE))*VLOOKUP($A72,FY16ProjMjrsActDegs!$A$3:$S$23,MATCH(N$28,FY16ProjMjrsActDegs!$A$2:$S$2,0),FALSE)</f>
        <v>0</v>
      </c>
      <c r="O72" s="312">
        <f>+GPpcntMjr*(VLOOKUP($A72,FY17Rev0!$A$4:$F$24,6,FALSE))*VLOOKUP($A72,FY16ProjMjrsActDegs!$A$3:$S$23,MATCH(O$28,FY16ProjMjrsActDegs!$A$2:$S$2,0),FALSE)</f>
        <v>0</v>
      </c>
      <c r="P72" s="312">
        <f>+GPpcntMjr*(VLOOKUP($A72,FY17Rev0!$A$4:$F$24,6,FALSE))*VLOOKUP($A72,FY16ProjMjrsActDegs!$A$3:$S$23,MATCH(P$28,FY16ProjMjrsActDegs!$A$2:$S$2,0),FALSE)</f>
        <v>0</v>
      </c>
      <c r="Q72" s="312">
        <f>+GPpcntMjr*(VLOOKUP($A72,FY17Rev0!$A$4:$F$24,6,FALSE))*VLOOKUP($A72,FY16ProjMjrsActDegs!$A$3:$S$23,MATCH(Q$28,FY16ProjMjrsActDegs!$A$2:$S$2,0),FALSE)</f>
        <v>0</v>
      </c>
      <c r="R72" s="312">
        <f>+GPpcntMjr*(VLOOKUP($A72,FY17Rev0!$A$4:$F$24,6,FALSE))*VLOOKUP($A72,FY16ProjMjrsActDegs!$A$3:$S$23,MATCH(R$28,FY16ProjMjrsActDegs!$A$2:$S$2,0),FALSE)</f>
        <v>0</v>
      </c>
      <c r="S72" s="312">
        <f>+GPpcntMjr*(VLOOKUP($A72,FY17Rev0!$A$4:$F$24,6,FALSE))*VLOOKUP($A72,FY16ProjMjrsActDegs!$A$3:$S$23,MATCH(S$28,FY16ProjMjrsActDegs!$A$2:$S$2,0),FALSE)</f>
        <v>0</v>
      </c>
      <c r="T72" s="312">
        <f t="shared" si="6"/>
        <v>5107190.9445202388</v>
      </c>
    </row>
    <row r="73" spans="1:20" ht="24.75" x14ac:dyDescent="0.25">
      <c r="A73" s="346" t="s">
        <v>161</v>
      </c>
      <c r="B73" s="347" t="s">
        <v>289</v>
      </c>
      <c r="C73" s="345">
        <f>+GPpcntMjr*(VLOOKUP($A73,FY17Rev0!$A$4:$F$24,6,FALSE))*VLOOKUP($A73,FY16ProjMjrsActDegs!$A$3:$S$23,MATCH(C$28,FY16ProjMjrsActDegs!$A$2:$S$2,0),FALSE)</f>
        <v>0</v>
      </c>
      <c r="D73" s="345">
        <f>+GPpcntMjr*(VLOOKUP($A73,FY17Rev0!$A$4:$F$24,6,FALSE))*VLOOKUP($A73,FY16ProjMjrsActDegs!$A$3:$S$23,MATCH(D$28,FY16ProjMjrsActDegs!$A$2:$S$2,0),FALSE)</f>
        <v>0</v>
      </c>
      <c r="E73" s="345">
        <f>+GPpcntMjr*(VLOOKUP($A73,FY17Rev0!$A$4:$F$24,6,FALSE))*VLOOKUP($A73,FY16ProjMjrsActDegs!$A$3:$S$23,MATCH(E$28,FY16ProjMjrsActDegs!$A$2:$S$2,0),FALSE)</f>
        <v>0</v>
      </c>
      <c r="F73" s="345">
        <f>+GPpcntMjr*(VLOOKUP($A73,FY17Rev0!$A$4:$F$24,6,FALSE))*VLOOKUP($A73,FY16ProjMjrsActDegs!$A$3:$S$23,MATCH(F$28,FY16ProjMjrsActDegs!$A$2:$S$2,0),FALSE)</f>
        <v>0</v>
      </c>
      <c r="G73" s="345">
        <f>+GPpcntMjr*(VLOOKUP($A73,FY17Rev0!$A$4:$F$24,6,FALSE))*VLOOKUP($A73,FY16ProjMjrsActDegs!$A$3:$S$23,MATCH(G$28,FY16ProjMjrsActDegs!$A$2:$S$2,0),FALSE)</f>
        <v>0</v>
      </c>
      <c r="H73" s="345">
        <f>+GPpcntMjr*(VLOOKUP($A73,FY17Rev0!$A$4:$F$24,6,FALSE))*VLOOKUP($A73,FY16ProjMjrsActDegs!$A$3:$S$23,MATCH(H$28,FY16ProjMjrsActDegs!$A$2:$S$2,0),FALSE)</f>
        <v>0</v>
      </c>
      <c r="I73" s="345">
        <f>+GPpcntMjr*(VLOOKUP($A73,FY17Rev0!$A$4:$F$24,6,FALSE))*VLOOKUP($A73,FY16ProjMjrsActDegs!$A$3:$S$23,MATCH(I$28,FY16ProjMjrsActDegs!$A$2:$S$2,0),FALSE)</f>
        <v>0</v>
      </c>
      <c r="J73" s="345">
        <f>+GPpcntMjr*(VLOOKUP($A73,FY17Rev0!$A$4:$F$24,6,FALSE))*VLOOKUP($A73,FY16ProjMjrsActDegs!$A$3:$S$23,MATCH(J$28,FY16ProjMjrsActDegs!$A$2:$S$2,0),FALSE)</f>
        <v>0</v>
      </c>
      <c r="K73" s="345">
        <f>+GPpcntMjr*(VLOOKUP($A73,FY17Rev0!$A$4:$F$24,6,FALSE))*VLOOKUP($A73,FY16ProjMjrsActDegs!$A$3:$S$23,MATCH(K$28,FY16ProjMjrsActDegs!$A$2:$S$2,0),FALSE)</f>
        <v>0</v>
      </c>
      <c r="L73" s="345">
        <f>+GPpcntMjr*(VLOOKUP($A73,FY17Rev0!$A$4:$F$24,6,FALSE))*VLOOKUP($A73,FY16ProjMjrsActDegs!$A$3:$S$23,MATCH(L$28,FY16ProjMjrsActDegs!$A$2:$S$2,0),FALSE)</f>
        <v>0</v>
      </c>
      <c r="M73" s="345">
        <f>+GPpcntMjr*(VLOOKUP($A73,FY17Rev0!$A$4:$F$24,6,FALSE))*VLOOKUP($A73,FY16ProjMjrsActDegs!$A$3:$S$23,MATCH(M$28,FY16ProjMjrsActDegs!$A$2:$S$2,0),FALSE)</f>
        <v>733277.50868188357</v>
      </c>
      <c r="N73" s="345">
        <f>+GPpcntMjr*(VLOOKUP($A73,FY17Rev0!$A$4:$F$24,6,FALSE))*VLOOKUP($A73,FY16ProjMjrsActDegs!$A$3:$S$23,MATCH(N$28,FY16ProjMjrsActDegs!$A$2:$S$2,0),FALSE)</f>
        <v>0</v>
      </c>
      <c r="O73" s="345">
        <f>+GPpcntMjr*(VLOOKUP($A73,FY17Rev0!$A$4:$F$24,6,FALSE))*VLOOKUP($A73,FY16ProjMjrsActDegs!$A$3:$S$23,MATCH(O$28,FY16ProjMjrsActDegs!$A$2:$S$2,0),FALSE)</f>
        <v>0</v>
      </c>
      <c r="P73" s="345">
        <f>+GPpcntMjr*(VLOOKUP($A73,FY17Rev0!$A$4:$F$24,6,FALSE))*VLOOKUP($A73,FY16ProjMjrsActDegs!$A$3:$S$23,MATCH(P$28,FY16ProjMjrsActDegs!$A$2:$S$2,0),FALSE)</f>
        <v>0</v>
      </c>
      <c r="Q73" s="345">
        <f>+GPpcntMjr*(VLOOKUP($A73,FY17Rev0!$A$4:$F$24,6,FALSE))*VLOOKUP($A73,FY16ProjMjrsActDegs!$A$3:$S$23,MATCH(Q$28,FY16ProjMjrsActDegs!$A$2:$S$2,0),FALSE)</f>
        <v>0</v>
      </c>
      <c r="R73" s="345">
        <f>+GPpcntMjr*(VLOOKUP($A73,FY17Rev0!$A$4:$F$24,6,FALSE))*VLOOKUP($A73,FY16ProjMjrsActDegs!$A$3:$S$23,MATCH(R$28,FY16ProjMjrsActDegs!$A$2:$S$2,0),FALSE)</f>
        <v>0</v>
      </c>
      <c r="S73" s="345">
        <f>+GPpcntMjr*(VLOOKUP($A73,FY17Rev0!$A$4:$F$24,6,FALSE))*VLOOKUP($A73,FY16ProjMjrsActDegs!$A$3:$S$23,MATCH(S$28,FY16ProjMjrsActDegs!$A$2:$S$2,0),FALSE)</f>
        <v>0</v>
      </c>
      <c r="T73" s="345">
        <f t="shared" si="6"/>
        <v>733277.50868188357</v>
      </c>
    </row>
    <row r="74" spans="1:20" x14ac:dyDescent="0.25">
      <c r="B74" s="348" t="s">
        <v>141</v>
      </c>
      <c r="C74" s="349">
        <f t="shared" ref="C74:S74" si="7">SUM(C53:C73)</f>
        <v>5794695.0883587496</v>
      </c>
      <c r="D74" s="349">
        <f t="shared" si="7"/>
        <v>79008562.513691843</v>
      </c>
      <c r="E74" s="349">
        <f t="shared" si="7"/>
        <v>16428249.406226108</v>
      </c>
      <c r="F74" s="349">
        <f t="shared" si="7"/>
        <v>5620992.1415731944</v>
      </c>
      <c r="G74" s="349">
        <f t="shared" si="7"/>
        <v>21065185.046904046</v>
      </c>
      <c r="H74" s="349">
        <f t="shared" si="7"/>
        <v>6627350.5166338757</v>
      </c>
      <c r="I74" s="349">
        <f t="shared" si="7"/>
        <v>1865780.397525494</v>
      </c>
      <c r="J74" s="349">
        <f t="shared" si="7"/>
        <v>8781878.4250421282</v>
      </c>
      <c r="K74" s="349">
        <f t="shared" si="7"/>
        <v>3458751.9749689554</v>
      </c>
      <c r="L74" s="349">
        <f t="shared" si="7"/>
        <v>3242319.1938527641</v>
      </c>
      <c r="M74" s="349">
        <f t="shared" si="7"/>
        <v>5843003.2199970465</v>
      </c>
      <c r="N74" s="349">
        <f t="shared" si="7"/>
        <v>18379100.584115371</v>
      </c>
      <c r="O74" s="349">
        <f t="shared" si="7"/>
        <v>3386767.218714213</v>
      </c>
      <c r="P74" s="349">
        <f t="shared" si="7"/>
        <v>5965277.8956027403</v>
      </c>
      <c r="Q74" s="349">
        <f t="shared" si="7"/>
        <v>5744374.131042311</v>
      </c>
      <c r="R74" s="349">
        <f t="shared" si="7"/>
        <v>158732.45238694764</v>
      </c>
      <c r="S74" s="349">
        <f t="shared" si="7"/>
        <v>1065346.6860880938</v>
      </c>
      <c r="T74" s="349">
        <f t="shared" si="6"/>
        <v>192436366.89272383</v>
      </c>
    </row>
  </sheetData>
  <mergeCells count="5">
    <mergeCell ref="B1:T1"/>
    <mergeCell ref="A2:A3"/>
    <mergeCell ref="B4:T4"/>
    <mergeCell ref="B27:T27"/>
    <mergeCell ref="B51:T5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workbookViewId="0">
      <selection activeCell="L4" sqref="L4"/>
    </sheetView>
  </sheetViews>
  <sheetFormatPr defaultColWidth="8.85546875" defaultRowHeight="15" outlineLevelCol="1" x14ac:dyDescent="0.25"/>
  <cols>
    <col min="1" max="1" width="32.7109375" customWidth="1"/>
    <col min="2" max="2" width="12.28515625" hidden="1" customWidth="1"/>
    <col min="3" max="3" width="19.42578125" hidden="1" customWidth="1"/>
    <col min="4" max="4" width="12.85546875" hidden="1" customWidth="1"/>
    <col min="5" max="5" width="2.85546875" hidden="1" customWidth="1"/>
    <col min="6" max="6" width="18.42578125" hidden="1" customWidth="1"/>
    <col min="7" max="7" width="14.42578125" hidden="1" customWidth="1" outlineLevel="1"/>
    <col min="8" max="8" width="11.42578125" hidden="1" customWidth="1" outlineLevel="1"/>
    <col min="9" max="9" width="16.42578125" customWidth="1" collapsed="1"/>
    <col min="10" max="10" width="4.85546875" customWidth="1"/>
    <col min="11" max="11" width="17.140625" customWidth="1"/>
    <col min="12" max="12" width="21" customWidth="1"/>
    <col min="13" max="13" width="4.140625" customWidth="1"/>
    <col min="14" max="14" width="19.140625" customWidth="1"/>
  </cols>
  <sheetData>
    <row r="1" spans="1:18" ht="30.75" thickBot="1" x14ac:dyDescent="0.3">
      <c r="A1" s="350" t="s">
        <v>301</v>
      </c>
      <c r="B1" s="351"/>
      <c r="C1" s="315"/>
      <c r="D1" s="351"/>
      <c r="E1" s="351"/>
      <c r="F1" s="351"/>
      <c r="G1" s="351"/>
      <c r="H1" s="351"/>
      <c r="I1" s="352">
        <v>0.7</v>
      </c>
      <c r="J1" s="209"/>
      <c r="K1" s="209"/>
    </row>
    <row r="2" spans="1:18" x14ac:dyDescent="0.25">
      <c r="A2" s="353"/>
      <c r="B2" s="351"/>
      <c r="C2" s="315"/>
      <c r="D2" s="351"/>
      <c r="E2" s="351"/>
      <c r="F2" s="351"/>
      <c r="G2" s="351"/>
      <c r="H2" s="351"/>
      <c r="I2" s="354"/>
      <c r="J2" s="209"/>
      <c r="K2" s="209"/>
    </row>
    <row r="3" spans="1:18" ht="15.75" thickBot="1" x14ac:dyDescent="0.3">
      <c r="I3" s="209" t="s">
        <v>302</v>
      </c>
      <c r="J3" s="209"/>
      <c r="K3" s="209" t="s">
        <v>303</v>
      </c>
    </row>
    <row r="4" spans="1:18" ht="30.75" thickBot="1" x14ac:dyDescent="0.3">
      <c r="A4" s="355" t="s">
        <v>304</v>
      </c>
      <c r="I4" s="356">
        <v>0.6</v>
      </c>
      <c r="J4" s="357"/>
      <c r="K4" s="356">
        <v>0.2</v>
      </c>
    </row>
    <row r="5" spans="1:18" ht="16.5" thickBot="1" x14ac:dyDescent="0.3">
      <c r="A5" s="209"/>
      <c r="I5" s="357"/>
      <c r="J5" s="357"/>
      <c r="K5" s="357"/>
    </row>
    <row r="6" spans="1:18" ht="45.75" thickBot="1" x14ac:dyDescent="0.3">
      <c r="A6" s="355" t="s">
        <v>305</v>
      </c>
      <c r="I6" s="356">
        <v>0</v>
      </c>
      <c r="J6" s="358"/>
      <c r="K6" s="356">
        <v>0.8</v>
      </c>
    </row>
    <row r="7" spans="1:18" ht="16.5" thickBot="1" x14ac:dyDescent="0.3">
      <c r="A7" s="209"/>
      <c r="I7" s="357"/>
      <c r="J7" s="357"/>
      <c r="K7" s="357"/>
    </row>
    <row r="8" spans="1:18" ht="45.75" thickBot="1" x14ac:dyDescent="0.3">
      <c r="A8" s="355" t="s">
        <v>306</v>
      </c>
      <c r="I8" s="356">
        <v>0.4</v>
      </c>
      <c r="J8" s="358"/>
      <c r="K8" s="356">
        <v>0</v>
      </c>
      <c r="R8" s="35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opLeftCell="B1" workbookViewId="0">
      <selection activeCell="F3" sqref="F3"/>
    </sheetView>
  </sheetViews>
  <sheetFormatPr defaultColWidth="8.85546875" defaultRowHeight="18" customHeight="1" x14ac:dyDescent="0.25"/>
  <cols>
    <col min="1" max="1" width="8.85546875" style="137"/>
    <col min="2" max="2" width="40.140625" style="137" customWidth="1"/>
    <col min="3" max="3" width="14.42578125" style="137" bestFit="1" customWidth="1"/>
    <col min="4" max="4" width="40.140625" style="137" customWidth="1"/>
    <col min="5" max="5" width="14.7109375" style="147" bestFit="1" customWidth="1"/>
    <col min="6" max="6" width="15.28515625" style="146" bestFit="1" customWidth="1"/>
    <col min="7" max="7" width="14.28515625" style="137" bestFit="1" customWidth="1"/>
    <col min="8" max="8" width="12.42578125" style="146" bestFit="1" customWidth="1"/>
    <col min="9" max="9" width="14.28515625" style="137" bestFit="1" customWidth="1"/>
    <col min="10" max="10" width="13" bestFit="1" customWidth="1"/>
    <col min="11" max="16384" width="8.85546875" style="137"/>
  </cols>
  <sheetData>
    <row r="1" spans="1:10" ht="35.25" customHeight="1" x14ac:dyDescent="0.25">
      <c r="A1" s="133"/>
      <c r="B1" s="133"/>
      <c r="C1" s="133"/>
      <c r="D1" s="133"/>
      <c r="E1" s="134" t="s">
        <v>172</v>
      </c>
      <c r="F1" s="135" t="s">
        <v>173</v>
      </c>
      <c r="G1" s="136" t="s">
        <v>173</v>
      </c>
      <c r="H1" s="135" t="s">
        <v>173</v>
      </c>
      <c r="I1" s="501" t="s">
        <v>174</v>
      </c>
    </row>
    <row r="2" spans="1:10" s="142" customFormat="1" ht="27" customHeight="1" x14ac:dyDescent="0.25">
      <c r="A2" s="138" t="s">
        <v>175</v>
      </c>
      <c r="B2" s="138" t="s">
        <v>176</v>
      </c>
      <c r="C2" s="138" t="s">
        <v>177</v>
      </c>
      <c r="D2" s="138" t="s">
        <v>178</v>
      </c>
      <c r="E2" s="139" t="s">
        <v>179</v>
      </c>
      <c r="F2" s="140" t="s">
        <v>179</v>
      </c>
      <c r="G2" s="141" t="s">
        <v>180</v>
      </c>
      <c r="H2" s="140" t="s">
        <v>181</v>
      </c>
      <c r="I2" s="501"/>
      <c r="J2"/>
    </row>
    <row r="3" spans="1:10" ht="18" customHeight="1" x14ac:dyDescent="0.25">
      <c r="A3" s="143" t="s">
        <v>3</v>
      </c>
      <c r="B3" s="143" t="s">
        <v>182</v>
      </c>
      <c r="C3" s="143" t="s">
        <v>183</v>
      </c>
      <c r="D3" s="143" t="s">
        <v>184</v>
      </c>
      <c r="E3" s="144">
        <v>6007376</v>
      </c>
      <c r="F3" s="145">
        <f>E3*(1+VLOOKUP($B3,SalaryvRevenue!$B$29:$F$33,5,FALSE))</f>
        <v>6247671.04</v>
      </c>
      <c r="G3" s="145">
        <f t="shared" ref="G3:G66" si="0">+F3-E3</f>
        <v>240295.04000000004</v>
      </c>
      <c r="H3" s="145">
        <f>G3*VLOOKUP($B3,LoadRates!$C$2:$E$6,3,FALSE)</f>
        <v>58391.694720000007</v>
      </c>
      <c r="I3" s="145">
        <f t="shared" ref="I3:I66" si="1">+G3+H3</f>
        <v>298686.73472000007</v>
      </c>
    </row>
    <row r="4" spans="1:10" ht="18" customHeight="1" x14ac:dyDescent="0.25">
      <c r="A4" s="143" t="s">
        <v>3</v>
      </c>
      <c r="B4" s="143" t="s">
        <v>182</v>
      </c>
      <c r="C4" s="143" t="s">
        <v>185</v>
      </c>
      <c r="D4" s="143" t="s">
        <v>186</v>
      </c>
      <c r="E4" s="144">
        <v>87359050</v>
      </c>
      <c r="F4" s="145">
        <f>E4*(1+VLOOKUP($B4,SalaryvRevenue!$B$29:$F$33,5,FALSE))</f>
        <v>90853412</v>
      </c>
      <c r="G4" s="145">
        <f t="shared" si="0"/>
        <v>3494362</v>
      </c>
      <c r="H4" s="145">
        <f>G4*VLOOKUP($B4,LoadRates!$C$2:$E$6,3,FALSE)</f>
        <v>849129.96600000001</v>
      </c>
      <c r="I4" s="145">
        <f t="shared" si="1"/>
        <v>4343491.966</v>
      </c>
    </row>
    <row r="5" spans="1:10" ht="18" customHeight="1" x14ac:dyDescent="0.25">
      <c r="A5" s="143" t="s">
        <v>3</v>
      </c>
      <c r="B5" s="143" t="s">
        <v>182</v>
      </c>
      <c r="C5" s="143" t="s">
        <v>187</v>
      </c>
      <c r="D5" s="143" t="s">
        <v>188</v>
      </c>
      <c r="E5" s="144">
        <v>0</v>
      </c>
      <c r="F5" s="145">
        <f>E5*(1+VLOOKUP($B5,SalaryvRevenue!$B$29:$F$33,5,FALSE))</f>
        <v>0</v>
      </c>
      <c r="G5" s="145">
        <f t="shared" si="0"/>
        <v>0</v>
      </c>
      <c r="H5" s="145">
        <f>G5*VLOOKUP($B5,LoadRates!$C$2:$E$6,3,FALSE)</f>
        <v>0</v>
      </c>
      <c r="I5" s="145">
        <f t="shared" si="1"/>
        <v>0</v>
      </c>
    </row>
    <row r="6" spans="1:10" ht="18" customHeight="1" x14ac:dyDescent="0.25">
      <c r="A6" s="143" t="s">
        <v>3</v>
      </c>
      <c r="B6" s="143" t="s">
        <v>182</v>
      </c>
      <c r="C6" s="143" t="s">
        <v>189</v>
      </c>
      <c r="D6" s="143" t="s">
        <v>190</v>
      </c>
      <c r="E6" s="144">
        <v>17662849</v>
      </c>
      <c r="F6" s="145">
        <f>E6*(1+VLOOKUP($B6,SalaryvRevenue!$B$29:$F$33,5,FALSE))</f>
        <v>18369362.960000001</v>
      </c>
      <c r="G6" s="145">
        <f t="shared" si="0"/>
        <v>706513.96000000089</v>
      </c>
      <c r="H6" s="145">
        <f>G6*VLOOKUP($B6,LoadRates!$C$2:$E$6,3,FALSE)</f>
        <v>171682.8922800002</v>
      </c>
      <c r="I6" s="145">
        <f t="shared" si="1"/>
        <v>878196.85228000116</v>
      </c>
    </row>
    <row r="7" spans="1:10" ht="18" customHeight="1" x14ac:dyDescent="0.25">
      <c r="A7" s="143" t="s">
        <v>3</v>
      </c>
      <c r="B7" s="143" t="s">
        <v>182</v>
      </c>
      <c r="C7" s="143" t="s">
        <v>191</v>
      </c>
      <c r="D7" s="143" t="s">
        <v>192</v>
      </c>
      <c r="E7" s="144">
        <v>7276224</v>
      </c>
      <c r="F7" s="145">
        <f>E7*(1+VLOOKUP($B7,SalaryvRevenue!$B$29:$F$33,5,FALSE))</f>
        <v>7567272.96</v>
      </c>
      <c r="G7" s="145">
        <f t="shared" si="0"/>
        <v>291048.95999999996</v>
      </c>
      <c r="H7" s="145">
        <f>G7*VLOOKUP($B7,LoadRates!$C$2:$E$6,3,FALSE)</f>
        <v>70724.89727999999</v>
      </c>
      <c r="I7" s="145">
        <f t="shared" si="1"/>
        <v>361773.85727999994</v>
      </c>
    </row>
    <row r="8" spans="1:10" ht="18" customHeight="1" x14ac:dyDescent="0.25">
      <c r="A8" s="143" t="s">
        <v>3</v>
      </c>
      <c r="B8" s="143" t="s">
        <v>182</v>
      </c>
      <c r="C8" s="143" t="s">
        <v>193</v>
      </c>
      <c r="D8" s="143" t="s">
        <v>194</v>
      </c>
      <c r="E8" s="144">
        <v>31861150</v>
      </c>
      <c r="F8" s="145">
        <f>E8*(1+VLOOKUP($B8,SalaryvRevenue!$B$29:$F$33,5,FALSE))</f>
        <v>33135596</v>
      </c>
      <c r="G8" s="145">
        <f t="shared" si="0"/>
        <v>1274446</v>
      </c>
      <c r="H8" s="145">
        <f>G8*VLOOKUP($B8,LoadRates!$C$2:$E$6,3,FALSE)</f>
        <v>309690.37799999997</v>
      </c>
      <c r="I8" s="145">
        <f t="shared" si="1"/>
        <v>1584136.378</v>
      </c>
    </row>
    <row r="9" spans="1:10" ht="18" customHeight="1" x14ac:dyDescent="0.25">
      <c r="A9" s="143" t="s">
        <v>3</v>
      </c>
      <c r="B9" s="143" t="s">
        <v>182</v>
      </c>
      <c r="C9" s="143" t="s">
        <v>195</v>
      </c>
      <c r="D9" s="143" t="s">
        <v>196</v>
      </c>
      <c r="E9" s="144">
        <v>15834708</v>
      </c>
      <c r="F9" s="145">
        <f>E9*(1+VLOOKUP($B9,SalaryvRevenue!$B$29:$F$33,5,FALSE))</f>
        <v>16468096.32</v>
      </c>
      <c r="G9" s="145">
        <f t="shared" si="0"/>
        <v>633388.3200000003</v>
      </c>
      <c r="H9" s="145">
        <f>G9*VLOOKUP($B9,LoadRates!$C$2:$E$6,3,FALSE)</f>
        <v>153913.36176000006</v>
      </c>
      <c r="I9" s="145">
        <f t="shared" si="1"/>
        <v>787301.6817600003</v>
      </c>
    </row>
    <row r="10" spans="1:10" ht="18" customHeight="1" x14ac:dyDescent="0.25">
      <c r="A10" s="143" t="s">
        <v>3</v>
      </c>
      <c r="B10" s="143" t="s">
        <v>182</v>
      </c>
      <c r="C10" s="143" t="s">
        <v>197</v>
      </c>
      <c r="D10" s="143" t="s">
        <v>198</v>
      </c>
      <c r="E10" s="144">
        <v>2080386</v>
      </c>
      <c r="F10" s="145">
        <f>E10*(1+VLOOKUP($B10,SalaryvRevenue!$B$29:$F$33,5,FALSE))</f>
        <v>2163601.44</v>
      </c>
      <c r="G10" s="145">
        <f t="shared" si="0"/>
        <v>83215.439999999944</v>
      </c>
      <c r="H10" s="145">
        <f>G10*VLOOKUP($B10,LoadRates!$C$2:$E$6,3,FALSE)</f>
        <v>20221.351919999986</v>
      </c>
      <c r="I10" s="145">
        <f t="shared" si="1"/>
        <v>103436.79191999993</v>
      </c>
    </row>
    <row r="11" spans="1:10" ht="18" customHeight="1" x14ac:dyDescent="0.25">
      <c r="A11" s="143" t="s">
        <v>3</v>
      </c>
      <c r="B11" s="143" t="s">
        <v>182</v>
      </c>
      <c r="C11" s="143" t="s">
        <v>199</v>
      </c>
      <c r="D11" s="143" t="s">
        <v>200</v>
      </c>
      <c r="E11" s="144">
        <v>7671072</v>
      </c>
      <c r="F11" s="145">
        <f>E11*(1+VLOOKUP($B11,SalaryvRevenue!$B$29:$F$33,5,FALSE))</f>
        <v>7977914.8799999999</v>
      </c>
      <c r="G11" s="145">
        <f t="shared" si="0"/>
        <v>306842.87999999989</v>
      </c>
      <c r="H11" s="145">
        <f>G11*VLOOKUP($B11,LoadRates!$C$2:$E$6,3,FALSE)</f>
        <v>74562.819839999967</v>
      </c>
      <c r="I11" s="145">
        <f t="shared" si="1"/>
        <v>381405.69983999984</v>
      </c>
    </row>
    <row r="12" spans="1:10" ht="18" customHeight="1" x14ac:dyDescent="0.25">
      <c r="A12" s="143" t="s">
        <v>3</v>
      </c>
      <c r="B12" s="143" t="s">
        <v>182</v>
      </c>
      <c r="C12" s="143" t="s">
        <v>201</v>
      </c>
      <c r="D12" s="143" t="s">
        <v>202</v>
      </c>
      <c r="E12" s="144">
        <v>3284936</v>
      </c>
      <c r="F12" s="145">
        <f>E12*(1+VLOOKUP($B12,SalaryvRevenue!$B$29:$F$33,5,FALSE))</f>
        <v>3416333.44</v>
      </c>
      <c r="G12" s="145">
        <f t="shared" si="0"/>
        <v>131397.43999999994</v>
      </c>
      <c r="H12" s="145">
        <f>G12*VLOOKUP($B12,LoadRates!$C$2:$E$6,3,FALSE)</f>
        <v>31929.577919999985</v>
      </c>
      <c r="I12" s="145">
        <f t="shared" si="1"/>
        <v>163327.01791999993</v>
      </c>
    </row>
    <row r="13" spans="1:10" ht="18" customHeight="1" x14ac:dyDescent="0.25">
      <c r="A13" s="143" t="s">
        <v>3</v>
      </c>
      <c r="B13" s="143" t="s">
        <v>182</v>
      </c>
      <c r="C13" s="143" t="s">
        <v>203</v>
      </c>
      <c r="D13" s="143" t="s">
        <v>204</v>
      </c>
      <c r="E13" s="144">
        <v>3885244</v>
      </c>
      <c r="F13" s="145">
        <f>E13*(1+VLOOKUP($B13,SalaryvRevenue!$B$29:$F$33,5,FALSE))</f>
        <v>4040653.7600000002</v>
      </c>
      <c r="G13" s="145">
        <f t="shared" si="0"/>
        <v>155409.76000000024</v>
      </c>
      <c r="H13" s="145">
        <f>G13*VLOOKUP($B13,LoadRates!$C$2:$E$6,3,FALSE)</f>
        <v>37764.571680000059</v>
      </c>
      <c r="I13" s="145">
        <f t="shared" si="1"/>
        <v>193174.33168000029</v>
      </c>
    </row>
    <row r="14" spans="1:10" ht="18" customHeight="1" x14ac:dyDescent="0.25">
      <c r="A14" s="143" t="s">
        <v>3</v>
      </c>
      <c r="B14" s="143" t="s">
        <v>182</v>
      </c>
      <c r="C14" s="143" t="s">
        <v>205</v>
      </c>
      <c r="D14" s="143" t="s">
        <v>206</v>
      </c>
      <c r="E14" s="144">
        <v>8088880</v>
      </c>
      <c r="F14" s="145">
        <f>E14*(1+VLOOKUP($B14,SalaryvRevenue!$B$29:$F$33,5,FALSE))</f>
        <v>8412435.2000000011</v>
      </c>
      <c r="G14" s="145">
        <f t="shared" si="0"/>
        <v>323555.20000000112</v>
      </c>
      <c r="H14" s="145">
        <f>G14*VLOOKUP($B14,LoadRates!$C$2:$E$6,3,FALSE)</f>
        <v>78623.913600000276</v>
      </c>
      <c r="I14" s="145">
        <f t="shared" si="1"/>
        <v>402179.11360000138</v>
      </c>
    </row>
    <row r="15" spans="1:10" ht="18" customHeight="1" x14ac:dyDescent="0.25">
      <c r="A15" s="143" t="s">
        <v>3</v>
      </c>
      <c r="B15" s="143" t="s">
        <v>182</v>
      </c>
      <c r="C15" s="143" t="s">
        <v>207</v>
      </c>
      <c r="D15" s="143" t="s">
        <v>208</v>
      </c>
      <c r="E15" s="144">
        <v>39588023</v>
      </c>
      <c r="F15" s="145">
        <f>E15*(1+VLOOKUP($B15,SalaryvRevenue!$B$29:$F$33,5,FALSE))</f>
        <v>41171543.920000002</v>
      </c>
      <c r="G15" s="145">
        <f t="shared" si="0"/>
        <v>1583520.9200000018</v>
      </c>
      <c r="H15" s="145">
        <f>G15*VLOOKUP($B15,LoadRates!$C$2:$E$6,3,FALSE)</f>
        <v>384795.58356000041</v>
      </c>
      <c r="I15" s="145">
        <f t="shared" si="1"/>
        <v>1968316.5035600022</v>
      </c>
    </row>
    <row r="16" spans="1:10" ht="18" customHeight="1" x14ac:dyDescent="0.25">
      <c r="A16" s="143" t="s">
        <v>3</v>
      </c>
      <c r="B16" s="143" t="s">
        <v>182</v>
      </c>
      <c r="C16" s="143" t="s">
        <v>209</v>
      </c>
      <c r="D16" s="143" t="s">
        <v>210</v>
      </c>
      <c r="E16" s="144">
        <v>5589349</v>
      </c>
      <c r="F16" s="145">
        <f>E16*(1+VLOOKUP($B16,SalaryvRevenue!$B$29:$F$33,5,FALSE))</f>
        <v>5812922.96</v>
      </c>
      <c r="G16" s="145">
        <f t="shared" si="0"/>
        <v>223573.95999999996</v>
      </c>
      <c r="H16" s="145">
        <f>G16*VLOOKUP($B16,LoadRates!$C$2:$E$6,3,FALSE)</f>
        <v>54328.472279999987</v>
      </c>
      <c r="I16" s="145">
        <f t="shared" si="1"/>
        <v>277902.43227999995</v>
      </c>
    </row>
    <row r="17" spans="1:9" ht="18" customHeight="1" x14ac:dyDescent="0.25">
      <c r="A17" s="143" t="s">
        <v>3</v>
      </c>
      <c r="B17" s="143" t="s">
        <v>182</v>
      </c>
      <c r="C17" s="143" t="s">
        <v>211</v>
      </c>
      <c r="D17" s="143" t="s">
        <v>212</v>
      </c>
      <c r="E17" s="144">
        <v>5298693</v>
      </c>
      <c r="F17" s="145">
        <f>E17*(1+VLOOKUP($B17,SalaryvRevenue!$B$29:$F$33,5,FALSE))</f>
        <v>5510640.7199999997</v>
      </c>
      <c r="G17" s="145">
        <f t="shared" si="0"/>
        <v>211947.71999999974</v>
      </c>
      <c r="H17" s="145">
        <f>G17*VLOOKUP($B17,LoadRates!$C$2:$E$6,3,FALSE)</f>
        <v>51503.295959999938</v>
      </c>
      <c r="I17" s="145">
        <f t="shared" si="1"/>
        <v>263451.0159599997</v>
      </c>
    </row>
    <row r="18" spans="1:9" ht="18" customHeight="1" x14ac:dyDescent="0.25">
      <c r="A18" s="143" t="s">
        <v>3</v>
      </c>
      <c r="B18" s="143" t="s">
        <v>182</v>
      </c>
      <c r="C18" s="143" t="s">
        <v>213</v>
      </c>
      <c r="D18" s="143" t="s">
        <v>214</v>
      </c>
      <c r="E18" s="144">
        <v>5704197</v>
      </c>
      <c r="F18" s="145">
        <f>E18*(1+VLOOKUP($B18,SalaryvRevenue!$B$29:$F$33,5,FALSE))</f>
        <v>5932364.8799999999</v>
      </c>
      <c r="G18" s="145">
        <f t="shared" si="0"/>
        <v>228167.87999999989</v>
      </c>
      <c r="H18" s="145">
        <f>G18*VLOOKUP($B18,LoadRates!$C$2:$E$6,3,FALSE)</f>
        <v>55444.794839999973</v>
      </c>
      <c r="I18" s="145">
        <f t="shared" si="1"/>
        <v>283612.67483999988</v>
      </c>
    </row>
    <row r="19" spans="1:9" ht="18" customHeight="1" x14ac:dyDescent="0.25">
      <c r="A19" s="143" t="s">
        <v>3</v>
      </c>
      <c r="B19" s="143" t="s">
        <v>182</v>
      </c>
      <c r="C19" s="143" t="s">
        <v>215</v>
      </c>
      <c r="D19" s="143" t="s">
        <v>216</v>
      </c>
      <c r="E19" s="144">
        <v>3652388</v>
      </c>
      <c r="F19" s="145">
        <f>E19*(1+VLOOKUP($B19,SalaryvRevenue!$B$29:$F$33,5,FALSE))</f>
        <v>3798483.52</v>
      </c>
      <c r="G19" s="145">
        <f t="shared" si="0"/>
        <v>146095.52000000002</v>
      </c>
      <c r="H19" s="145">
        <f>G19*VLOOKUP($B19,LoadRates!$C$2:$E$6,3,FALSE)</f>
        <v>35501.211360000001</v>
      </c>
      <c r="I19" s="145">
        <f t="shared" si="1"/>
        <v>181596.73136000003</v>
      </c>
    </row>
    <row r="20" spans="1:9" ht="18" customHeight="1" x14ac:dyDescent="0.25">
      <c r="A20" s="143" t="s">
        <v>3</v>
      </c>
      <c r="B20" s="143" t="s">
        <v>182</v>
      </c>
      <c r="C20" s="143" t="s">
        <v>217</v>
      </c>
      <c r="D20" s="143" t="s">
        <v>218</v>
      </c>
      <c r="E20" s="144">
        <v>4284492</v>
      </c>
      <c r="F20" s="145">
        <f>E20*(1+VLOOKUP($B20,SalaryvRevenue!$B$29:$F$33,5,FALSE))</f>
        <v>4455871.68</v>
      </c>
      <c r="G20" s="145">
        <f t="shared" si="0"/>
        <v>171379.6799999997</v>
      </c>
      <c r="H20" s="145">
        <f>G20*VLOOKUP($B20,LoadRates!$C$2:$E$6,3,FALSE)</f>
        <v>41645.262239999924</v>
      </c>
      <c r="I20" s="145">
        <f t="shared" si="1"/>
        <v>213024.94223999963</v>
      </c>
    </row>
    <row r="21" spans="1:9" ht="18" customHeight="1" x14ac:dyDescent="0.25">
      <c r="A21" s="143" t="s">
        <v>3</v>
      </c>
      <c r="B21" s="143" t="s">
        <v>182</v>
      </c>
      <c r="C21" s="143" t="s">
        <v>219</v>
      </c>
      <c r="D21" s="143" t="s">
        <v>220</v>
      </c>
      <c r="E21" s="144">
        <v>22040020</v>
      </c>
      <c r="F21" s="145">
        <f>E21*(1+VLOOKUP($B21,SalaryvRevenue!$B$29:$F$33,5,FALSE))</f>
        <v>22921620.800000001</v>
      </c>
      <c r="G21" s="145">
        <f t="shared" si="0"/>
        <v>881600.80000000075</v>
      </c>
      <c r="H21" s="145">
        <f>G21*VLOOKUP($B21,LoadRates!$C$2:$E$6,3,FALSE)</f>
        <v>214228.99440000017</v>
      </c>
      <c r="I21" s="145">
        <f t="shared" si="1"/>
        <v>1095829.7944000009</v>
      </c>
    </row>
    <row r="22" spans="1:9" ht="18" customHeight="1" x14ac:dyDescent="0.25">
      <c r="A22" s="143" t="s">
        <v>3</v>
      </c>
      <c r="B22" s="143" t="s">
        <v>182</v>
      </c>
      <c r="C22" s="143" t="s">
        <v>221</v>
      </c>
      <c r="D22" s="143" t="s">
        <v>222</v>
      </c>
      <c r="E22" s="144">
        <v>16791464</v>
      </c>
      <c r="F22" s="145">
        <f>E22*(1+VLOOKUP($B22,SalaryvRevenue!$B$29:$F$33,5,FALSE))</f>
        <v>17463122.560000002</v>
      </c>
      <c r="G22" s="145">
        <f t="shared" si="0"/>
        <v>671658.56000000238</v>
      </c>
      <c r="H22" s="145">
        <f>G22*VLOOKUP($B22,LoadRates!$C$2:$E$6,3,FALSE)</f>
        <v>163213.03008000058</v>
      </c>
      <c r="I22" s="145">
        <f t="shared" si="1"/>
        <v>834871.59008000302</v>
      </c>
    </row>
    <row r="23" spans="1:9" ht="18" customHeight="1" x14ac:dyDescent="0.25">
      <c r="A23" s="143" t="s">
        <v>5</v>
      </c>
      <c r="B23" s="143" t="s">
        <v>223</v>
      </c>
      <c r="C23" s="143" t="s">
        <v>183</v>
      </c>
      <c r="D23" s="143" t="s">
        <v>184</v>
      </c>
      <c r="E23" s="144">
        <v>0</v>
      </c>
      <c r="F23" s="145">
        <f>E23*(1+VLOOKUP($B23,SalaryvRevenue!$B$29:$F$33,5,FALSE))</f>
        <v>0</v>
      </c>
      <c r="G23" s="145">
        <f t="shared" si="0"/>
        <v>0</v>
      </c>
      <c r="H23" s="145">
        <f>G23*VLOOKUP($B23,LoadRates!$C$2:$E$6,3,FALSE)</f>
        <v>0</v>
      </c>
      <c r="I23" s="145">
        <f t="shared" si="1"/>
        <v>0</v>
      </c>
    </row>
    <row r="24" spans="1:9" ht="18" customHeight="1" x14ac:dyDescent="0.25">
      <c r="A24" s="143" t="s">
        <v>5</v>
      </c>
      <c r="B24" s="143" t="s">
        <v>223</v>
      </c>
      <c r="C24" s="143" t="s">
        <v>185</v>
      </c>
      <c r="D24" s="143" t="s">
        <v>186</v>
      </c>
      <c r="E24" s="144">
        <v>192509</v>
      </c>
      <c r="F24" s="145">
        <f>E24*(1+VLOOKUP($B24,SalaryvRevenue!$B$29:$F$33,5,FALSE))</f>
        <v>200209.36000000002</v>
      </c>
      <c r="G24" s="145">
        <f t="shared" si="0"/>
        <v>7700.3600000000151</v>
      </c>
      <c r="H24" s="145">
        <f>G24*VLOOKUP($B24,LoadRates!$C$2:$E$6,3,FALSE)</f>
        <v>2364.0105200000048</v>
      </c>
      <c r="I24" s="145">
        <f t="shared" si="1"/>
        <v>10064.37052000002</v>
      </c>
    </row>
    <row r="25" spans="1:9" ht="18" customHeight="1" x14ac:dyDescent="0.25">
      <c r="A25" s="143" t="s">
        <v>5</v>
      </c>
      <c r="B25" s="143" t="s">
        <v>223</v>
      </c>
      <c r="C25" s="143" t="s">
        <v>187</v>
      </c>
      <c r="D25" s="143" t="s">
        <v>188</v>
      </c>
      <c r="E25" s="144">
        <v>0</v>
      </c>
      <c r="F25" s="145">
        <f>E25*(1+VLOOKUP($B25,SalaryvRevenue!$B$29:$F$33,5,FALSE))</f>
        <v>0</v>
      </c>
      <c r="G25" s="145">
        <f t="shared" si="0"/>
        <v>0</v>
      </c>
      <c r="H25" s="145">
        <f>G25*VLOOKUP($B25,LoadRates!$C$2:$E$6,3,FALSE)</f>
        <v>0</v>
      </c>
      <c r="I25" s="145">
        <f t="shared" si="1"/>
        <v>0</v>
      </c>
    </row>
    <row r="26" spans="1:9" ht="18" customHeight="1" x14ac:dyDescent="0.25">
      <c r="A26" s="143" t="s">
        <v>5</v>
      </c>
      <c r="B26" s="143" t="s">
        <v>223</v>
      </c>
      <c r="C26" s="143" t="s">
        <v>189</v>
      </c>
      <c r="D26" s="143" t="s">
        <v>190</v>
      </c>
      <c r="E26" s="144">
        <v>0</v>
      </c>
      <c r="F26" s="145">
        <f>E26*(1+VLOOKUP($B26,SalaryvRevenue!$B$29:$F$33,5,FALSE))</f>
        <v>0</v>
      </c>
      <c r="G26" s="145">
        <f t="shared" si="0"/>
        <v>0</v>
      </c>
      <c r="H26" s="145">
        <f>G26*VLOOKUP($B26,LoadRates!$C$2:$E$6,3,FALSE)</f>
        <v>0</v>
      </c>
      <c r="I26" s="145">
        <f t="shared" si="1"/>
        <v>0</v>
      </c>
    </row>
    <row r="27" spans="1:9" ht="18" customHeight="1" x14ac:dyDescent="0.25">
      <c r="A27" s="143" t="s">
        <v>5</v>
      </c>
      <c r="B27" s="143" t="s">
        <v>223</v>
      </c>
      <c r="C27" s="143" t="s">
        <v>191</v>
      </c>
      <c r="D27" s="143" t="s">
        <v>192</v>
      </c>
      <c r="E27" s="144">
        <v>193637</v>
      </c>
      <c r="F27" s="145">
        <f>E27*(1+VLOOKUP($B27,SalaryvRevenue!$B$29:$F$33,5,FALSE))</f>
        <v>201382.48</v>
      </c>
      <c r="G27" s="145">
        <f t="shared" si="0"/>
        <v>7745.4800000000105</v>
      </c>
      <c r="H27" s="145">
        <f>G27*VLOOKUP($B27,LoadRates!$C$2:$E$6,3,FALSE)</f>
        <v>2377.8623600000033</v>
      </c>
      <c r="I27" s="145">
        <f t="shared" si="1"/>
        <v>10123.342360000013</v>
      </c>
    </row>
    <row r="28" spans="1:9" ht="18" customHeight="1" x14ac:dyDescent="0.25">
      <c r="A28" s="143" t="s">
        <v>5</v>
      </c>
      <c r="B28" s="143" t="s">
        <v>223</v>
      </c>
      <c r="C28" s="143" t="s">
        <v>193</v>
      </c>
      <c r="D28" s="143" t="s">
        <v>194</v>
      </c>
      <c r="E28" s="144">
        <v>0</v>
      </c>
      <c r="F28" s="145">
        <f>E28*(1+VLOOKUP($B28,SalaryvRevenue!$B$29:$F$33,5,FALSE))</f>
        <v>0</v>
      </c>
      <c r="G28" s="145">
        <f t="shared" si="0"/>
        <v>0</v>
      </c>
      <c r="H28" s="145">
        <f>G28*VLOOKUP($B28,LoadRates!$C$2:$E$6,3,FALSE)</f>
        <v>0</v>
      </c>
      <c r="I28" s="145">
        <f t="shared" si="1"/>
        <v>0</v>
      </c>
    </row>
    <row r="29" spans="1:9" ht="18" customHeight="1" x14ac:dyDescent="0.25">
      <c r="A29" s="143" t="s">
        <v>5</v>
      </c>
      <c r="B29" s="143" t="s">
        <v>223</v>
      </c>
      <c r="C29" s="143" t="s">
        <v>195</v>
      </c>
      <c r="D29" s="143" t="s">
        <v>196</v>
      </c>
      <c r="E29" s="144">
        <v>300717</v>
      </c>
      <c r="F29" s="145">
        <f>E29*(1+VLOOKUP($B29,SalaryvRevenue!$B$29:$F$33,5,FALSE))</f>
        <v>312745.68</v>
      </c>
      <c r="G29" s="145">
        <f t="shared" si="0"/>
        <v>12028.679999999993</v>
      </c>
      <c r="H29" s="145">
        <f>G29*VLOOKUP($B29,LoadRates!$C$2:$E$6,3,FALSE)</f>
        <v>3692.8047599999977</v>
      </c>
      <c r="I29" s="145">
        <f t="shared" si="1"/>
        <v>15721.48475999999</v>
      </c>
    </row>
    <row r="30" spans="1:9" ht="18" customHeight="1" x14ac:dyDescent="0.25">
      <c r="A30" s="143" t="s">
        <v>5</v>
      </c>
      <c r="B30" s="143" t="s">
        <v>223</v>
      </c>
      <c r="C30" s="143" t="s">
        <v>197</v>
      </c>
      <c r="D30" s="143" t="s">
        <v>198</v>
      </c>
      <c r="E30" s="144">
        <v>0</v>
      </c>
      <c r="F30" s="145">
        <f>E30*(1+VLOOKUP($B30,SalaryvRevenue!$B$29:$F$33,5,FALSE))</f>
        <v>0</v>
      </c>
      <c r="G30" s="145">
        <f t="shared" si="0"/>
        <v>0</v>
      </c>
      <c r="H30" s="145">
        <f>G30*VLOOKUP($B30,LoadRates!$C$2:$E$6,3,FALSE)</f>
        <v>0</v>
      </c>
      <c r="I30" s="145">
        <f t="shared" si="1"/>
        <v>0</v>
      </c>
    </row>
    <row r="31" spans="1:9" ht="18" customHeight="1" x14ac:dyDescent="0.25">
      <c r="A31" s="143" t="s">
        <v>5</v>
      </c>
      <c r="B31" s="143" t="s">
        <v>223</v>
      </c>
      <c r="C31" s="143" t="s">
        <v>199</v>
      </c>
      <c r="D31" s="143" t="s">
        <v>200</v>
      </c>
      <c r="E31" s="144">
        <v>0</v>
      </c>
      <c r="F31" s="145">
        <f>E31*(1+VLOOKUP($B31,SalaryvRevenue!$B$29:$F$33,5,FALSE))</f>
        <v>0</v>
      </c>
      <c r="G31" s="145">
        <f t="shared" si="0"/>
        <v>0</v>
      </c>
      <c r="H31" s="145">
        <f>G31*VLOOKUP($B31,LoadRates!$C$2:$E$6,3,FALSE)</f>
        <v>0</v>
      </c>
      <c r="I31" s="145">
        <f t="shared" si="1"/>
        <v>0</v>
      </c>
    </row>
    <row r="32" spans="1:9" ht="18" customHeight="1" x14ac:dyDescent="0.25">
      <c r="A32" s="143" t="s">
        <v>5</v>
      </c>
      <c r="B32" s="143" t="s">
        <v>223</v>
      </c>
      <c r="C32" s="143" t="s">
        <v>201</v>
      </c>
      <c r="D32" s="143" t="s">
        <v>202</v>
      </c>
      <c r="E32" s="144">
        <v>0</v>
      </c>
      <c r="F32" s="145">
        <f>E32*(1+VLOOKUP($B32,SalaryvRevenue!$B$29:$F$33,5,FALSE))</f>
        <v>0</v>
      </c>
      <c r="G32" s="145">
        <f t="shared" si="0"/>
        <v>0</v>
      </c>
      <c r="H32" s="145">
        <f>G32*VLOOKUP($B32,LoadRates!$C$2:$E$6,3,FALSE)</f>
        <v>0</v>
      </c>
      <c r="I32" s="145">
        <f t="shared" si="1"/>
        <v>0</v>
      </c>
    </row>
    <row r="33" spans="1:9" ht="18" customHeight="1" x14ac:dyDescent="0.25">
      <c r="A33" s="143" t="s">
        <v>5</v>
      </c>
      <c r="B33" s="143" t="s">
        <v>223</v>
      </c>
      <c r="C33" s="143" t="s">
        <v>203</v>
      </c>
      <c r="D33" s="143" t="s">
        <v>204</v>
      </c>
      <c r="E33" s="144">
        <v>0</v>
      </c>
      <c r="F33" s="145">
        <f>E33*(1+VLOOKUP($B33,SalaryvRevenue!$B$29:$F$33,5,FALSE))</f>
        <v>0</v>
      </c>
      <c r="G33" s="145">
        <f t="shared" si="0"/>
        <v>0</v>
      </c>
      <c r="H33" s="145">
        <f>G33*VLOOKUP($B33,LoadRates!$C$2:$E$6,3,FALSE)</f>
        <v>0</v>
      </c>
      <c r="I33" s="145">
        <f t="shared" si="1"/>
        <v>0</v>
      </c>
    </row>
    <row r="34" spans="1:9" ht="18" customHeight="1" x14ac:dyDescent="0.25">
      <c r="A34" s="143" t="s">
        <v>5</v>
      </c>
      <c r="B34" s="143" t="s">
        <v>223</v>
      </c>
      <c r="C34" s="143" t="s">
        <v>205</v>
      </c>
      <c r="D34" s="143" t="s">
        <v>206</v>
      </c>
      <c r="E34" s="144">
        <v>0</v>
      </c>
      <c r="F34" s="145">
        <f>E34*(1+VLOOKUP($B34,SalaryvRevenue!$B$29:$F$33,5,FALSE))</f>
        <v>0</v>
      </c>
      <c r="G34" s="145">
        <f t="shared" si="0"/>
        <v>0</v>
      </c>
      <c r="H34" s="145">
        <f>G34*VLOOKUP($B34,LoadRates!$C$2:$E$6,3,FALSE)</f>
        <v>0</v>
      </c>
      <c r="I34" s="145">
        <f t="shared" si="1"/>
        <v>0</v>
      </c>
    </row>
    <row r="35" spans="1:9" ht="18" customHeight="1" x14ac:dyDescent="0.25">
      <c r="A35" s="143" t="s">
        <v>5</v>
      </c>
      <c r="B35" s="143" t="s">
        <v>223</v>
      </c>
      <c r="C35" s="143" t="s">
        <v>207</v>
      </c>
      <c r="D35" s="143" t="s">
        <v>208</v>
      </c>
      <c r="E35" s="144">
        <v>4440032</v>
      </c>
      <c r="F35" s="145">
        <f>E35*(1+VLOOKUP($B35,SalaryvRevenue!$B$29:$F$33,5,FALSE))</f>
        <v>4617633.28</v>
      </c>
      <c r="G35" s="145">
        <f t="shared" si="0"/>
        <v>177601.28000000026</v>
      </c>
      <c r="H35" s="145">
        <f>G35*VLOOKUP($B35,LoadRates!$C$2:$E$6,3,FALSE)</f>
        <v>54523.592960000082</v>
      </c>
      <c r="I35" s="145">
        <f t="shared" si="1"/>
        <v>232124.87296000036</v>
      </c>
    </row>
    <row r="36" spans="1:9" ht="18" customHeight="1" x14ac:dyDescent="0.25">
      <c r="A36" s="143" t="s">
        <v>5</v>
      </c>
      <c r="B36" s="143" t="s">
        <v>223</v>
      </c>
      <c r="C36" s="143" t="s">
        <v>209</v>
      </c>
      <c r="D36" s="143" t="s">
        <v>210</v>
      </c>
      <c r="E36" s="144">
        <v>0</v>
      </c>
      <c r="F36" s="145">
        <f>E36*(1+VLOOKUP($B36,SalaryvRevenue!$B$29:$F$33,5,FALSE))</f>
        <v>0</v>
      </c>
      <c r="G36" s="145">
        <f t="shared" si="0"/>
        <v>0</v>
      </c>
      <c r="H36" s="145">
        <f>G36*VLOOKUP($B36,LoadRates!$C$2:$E$6,3,FALSE)</f>
        <v>0</v>
      </c>
      <c r="I36" s="145">
        <f t="shared" si="1"/>
        <v>0</v>
      </c>
    </row>
    <row r="37" spans="1:9" ht="18" customHeight="1" x14ac:dyDescent="0.25">
      <c r="A37" s="143" t="s">
        <v>5</v>
      </c>
      <c r="B37" s="143" t="s">
        <v>223</v>
      </c>
      <c r="C37" s="143" t="s">
        <v>211</v>
      </c>
      <c r="D37" s="143" t="s">
        <v>212</v>
      </c>
      <c r="E37" s="144">
        <v>0</v>
      </c>
      <c r="F37" s="145">
        <f>E37*(1+VLOOKUP($B37,SalaryvRevenue!$B$29:$F$33,5,FALSE))</f>
        <v>0</v>
      </c>
      <c r="G37" s="145">
        <f t="shared" si="0"/>
        <v>0</v>
      </c>
      <c r="H37" s="145">
        <f>G37*VLOOKUP($B37,LoadRates!$C$2:$E$6,3,FALSE)</f>
        <v>0</v>
      </c>
      <c r="I37" s="145">
        <f t="shared" si="1"/>
        <v>0</v>
      </c>
    </row>
    <row r="38" spans="1:9" ht="18" customHeight="1" x14ac:dyDescent="0.25">
      <c r="A38" s="143" t="s">
        <v>5</v>
      </c>
      <c r="B38" s="143" t="s">
        <v>223</v>
      </c>
      <c r="C38" s="143" t="s">
        <v>213</v>
      </c>
      <c r="D38" s="143" t="s">
        <v>214</v>
      </c>
      <c r="E38" s="144">
        <v>0</v>
      </c>
      <c r="F38" s="145">
        <f>E38*(1+VLOOKUP($B38,SalaryvRevenue!$B$29:$F$33,5,FALSE))</f>
        <v>0</v>
      </c>
      <c r="G38" s="145">
        <f t="shared" si="0"/>
        <v>0</v>
      </c>
      <c r="H38" s="145">
        <f>G38*VLOOKUP($B38,LoadRates!$C$2:$E$6,3,FALSE)</f>
        <v>0</v>
      </c>
      <c r="I38" s="145">
        <f t="shared" si="1"/>
        <v>0</v>
      </c>
    </row>
    <row r="39" spans="1:9" ht="18" customHeight="1" x14ac:dyDescent="0.25">
      <c r="A39" s="143" t="s">
        <v>5</v>
      </c>
      <c r="B39" s="143" t="s">
        <v>223</v>
      </c>
      <c r="C39" s="143" t="s">
        <v>215</v>
      </c>
      <c r="D39" s="143" t="s">
        <v>216</v>
      </c>
      <c r="E39" s="144">
        <v>251772</v>
      </c>
      <c r="F39" s="145">
        <f>E39*(1+VLOOKUP($B39,SalaryvRevenue!$B$29:$F$33,5,FALSE))</f>
        <v>261842.88</v>
      </c>
      <c r="G39" s="145">
        <f t="shared" si="0"/>
        <v>10070.880000000005</v>
      </c>
      <c r="H39" s="145">
        <f>G39*VLOOKUP($B39,LoadRates!$C$2:$E$6,3,FALSE)</f>
        <v>3091.7601600000012</v>
      </c>
      <c r="I39" s="145">
        <f t="shared" si="1"/>
        <v>13162.640160000006</v>
      </c>
    </row>
    <row r="40" spans="1:9" ht="18" customHeight="1" x14ac:dyDescent="0.25">
      <c r="A40" s="143" t="s">
        <v>5</v>
      </c>
      <c r="B40" s="143" t="s">
        <v>223</v>
      </c>
      <c r="C40" s="143" t="s">
        <v>217</v>
      </c>
      <c r="D40" s="143" t="s">
        <v>218</v>
      </c>
      <c r="E40" s="144">
        <v>0</v>
      </c>
      <c r="F40" s="145">
        <f>E40*(1+VLOOKUP($B40,SalaryvRevenue!$B$29:$F$33,5,FALSE))</f>
        <v>0</v>
      </c>
      <c r="G40" s="145">
        <f t="shared" si="0"/>
        <v>0</v>
      </c>
      <c r="H40" s="145">
        <f>G40*VLOOKUP($B40,LoadRates!$C$2:$E$6,3,FALSE)</f>
        <v>0</v>
      </c>
      <c r="I40" s="145">
        <f t="shared" si="1"/>
        <v>0</v>
      </c>
    </row>
    <row r="41" spans="1:9" ht="18" customHeight="1" x14ac:dyDescent="0.25">
      <c r="A41" s="143" t="s">
        <v>5</v>
      </c>
      <c r="B41" s="143" t="s">
        <v>223</v>
      </c>
      <c r="C41" s="143" t="s">
        <v>219</v>
      </c>
      <c r="D41" s="143" t="s">
        <v>220</v>
      </c>
      <c r="E41" s="144">
        <v>42000</v>
      </c>
      <c r="F41" s="145">
        <f>E41*(1+VLOOKUP($B41,SalaryvRevenue!$B$29:$F$33,5,FALSE))</f>
        <v>43680</v>
      </c>
      <c r="G41" s="145">
        <f t="shared" si="0"/>
        <v>1680</v>
      </c>
      <c r="H41" s="145">
        <f>G41*VLOOKUP($B41,LoadRates!$C$2:$E$6,3,FALSE)</f>
        <v>515.76</v>
      </c>
      <c r="I41" s="145">
        <f t="shared" si="1"/>
        <v>2195.7600000000002</v>
      </c>
    </row>
    <row r="42" spans="1:9" ht="18" customHeight="1" x14ac:dyDescent="0.25">
      <c r="A42" s="143" t="s">
        <v>5</v>
      </c>
      <c r="B42" s="143" t="s">
        <v>223</v>
      </c>
      <c r="C42" s="143" t="s">
        <v>221</v>
      </c>
      <c r="D42" s="143" t="s">
        <v>222</v>
      </c>
      <c r="E42" s="144">
        <v>4072785</v>
      </c>
      <c r="F42" s="145">
        <f>E42*(1+VLOOKUP($B42,SalaryvRevenue!$B$29:$F$33,5,FALSE))</f>
        <v>4235696.4000000004</v>
      </c>
      <c r="G42" s="145">
        <f t="shared" si="0"/>
        <v>162911.40000000037</v>
      </c>
      <c r="H42" s="145">
        <f>G42*VLOOKUP($B42,LoadRates!$C$2:$E$6,3,FALSE)</f>
        <v>50013.799800000117</v>
      </c>
      <c r="I42" s="145">
        <f t="shared" si="1"/>
        <v>212925.1998000005</v>
      </c>
    </row>
    <row r="43" spans="1:9" ht="18" customHeight="1" x14ac:dyDescent="0.25">
      <c r="A43" s="143" t="s">
        <v>224</v>
      </c>
      <c r="B43" s="143" t="s">
        <v>225</v>
      </c>
      <c r="C43" s="143" t="s">
        <v>183</v>
      </c>
      <c r="D43" s="143" t="s">
        <v>184</v>
      </c>
      <c r="E43" s="144">
        <v>1460861</v>
      </c>
      <c r="F43" s="145">
        <f>E43*(1+VLOOKUP($B43,SalaryvRevenue!$B$29:$F$33,5,FALSE))</f>
        <v>1519295.44</v>
      </c>
      <c r="G43" s="145">
        <f t="shared" si="0"/>
        <v>58434.439999999944</v>
      </c>
      <c r="H43" s="145">
        <f>G43*VLOOKUP($B43,LoadRates!$C$2:$E$6,3,FALSE)</f>
        <v>17822.504199999981</v>
      </c>
      <c r="I43" s="145">
        <f t="shared" si="1"/>
        <v>76256.944199999925</v>
      </c>
    </row>
    <row r="44" spans="1:9" ht="18" customHeight="1" x14ac:dyDescent="0.25">
      <c r="A44" s="143" t="s">
        <v>224</v>
      </c>
      <c r="B44" s="143" t="s">
        <v>225</v>
      </c>
      <c r="C44" s="143" t="s">
        <v>185</v>
      </c>
      <c r="D44" s="143" t="s">
        <v>186</v>
      </c>
      <c r="E44" s="144">
        <v>17188314</v>
      </c>
      <c r="F44" s="145">
        <f>E44*(1+VLOOKUP($B44,SalaryvRevenue!$B$29:$F$33,5,FALSE))</f>
        <v>17875846.560000002</v>
      </c>
      <c r="G44" s="145">
        <f t="shared" si="0"/>
        <v>687532.56000000238</v>
      </c>
      <c r="H44" s="145">
        <f>G44*VLOOKUP($B44,LoadRates!$C$2:$E$6,3,FALSE)</f>
        <v>209697.43080000073</v>
      </c>
      <c r="I44" s="145">
        <f t="shared" si="1"/>
        <v>897229.99080000306</v>
      </c>
    </row>
    <row r="45" spans="1:9" ht="18" customHeight="1" x14ac:dyDescent="0.25">
      <c r="A45" s="143" t="s">
        <v>224</v>
      </c>
      <c r="B45" s="143" t="s">
        <v>225</v>
      </c>
      <c r="C45" s="143" t="s">
        <v>187</v>
      </c>
      <c r="D45" s="143" t="s">
        <v>188</v>
      </c>
      <c r="E45" s="144">
        <v>0</v>
      </c>
      <c r="F45" s="145">
        <f>E45*(1+VLOOKUP($B45,SalaryvRevenue!$B$29:$F$33,5,FALSE))</f>
        <v>0</v>
      </c>
      <c r="G45" s="145">
        <f t="shared" si="0"/>
        <v>0</v>
      </c>
      <c r="H45" s="145">
        <f>G45*VLOOKUP($B45,LoadRates!$C$2:$E$6,3,FALSE)</f>
        <v>0</v>
      </c>
      <c r="I45" s="145">
        <f t="shared" si="1"/>
        <v>0</v>
      </c>
    </row>
    <row r="46" spans="1:9" ht="18" customHeight="1" x14ac:dyDescent="0.25">
      <c r="A46" s="143" t="s">
        <v>224</v>
      </c>
      <c r="B46" s="143" t="s">
        <v>225</v>
      </c>
      <c r="C46" s="143" t="s">
        <v>189</v>
      </c>
      <c r="D46" s="143" t="s">
        <v>190</v>
      </c>
      <c r="E46" s="144">
        <v>3178789</v>
      </c>
      <c r="F46" s="145">
        <f>E46*(1+VLOOKUP($B46,SalaryvRevenue!$B$29:$F$33,5,FALSE))</f>
        <v>3305940.56</v>
      </c>
      <c r="G46" s="145">
        <f t="shared" si="0"/>
        <v>127151.56000000006</v>
      </c>
      <c r="H46" s="145">
        <f>G46*VLOOKUP($B46,LoadRates!$C$2:$E$6,3,FALSE)</f>
        <v>38781.225800000015</v>
      </c>
      <c r="I46" s="145">
        <f t="shared" si="1"/>
        <v>165932.78580000007</v>
      </c>
    </row>
    <row r="47" spans="1:9" ht="18" customHeight="1" x14ac:dyDescent="0.25">
      <c r="A47" s="143" t="s">
        <v>224</v>
      </c>
      <c r="B47" s="143" t="s">
        <v>225</v>
      </c>
      <c r="C47" s="143" t="s">
        <v>191</v>
      </c>
      <c r="D47" s="143" t="s">
        <v>192</v>
      </c>
      <c r="E47" s="144">
        <v>1345052</v>
      </c>
      <c r="F47" s="145">
        <f>E47*(1+VLOOKUP($B47,SalaryvRevenue!$B$29:$F$33,5,FALSE))</f>
        <v>1398854.08</v>
      </c>
      <c r="G47" s="145">
        <f t="shared" si="0"/>
        <v>53802.080000000075</v>
      </c>
      <c r="H47" s="145">
        <f>G47*VLOOKUP($B47,LoadRates!$C$2:$E$6,3,FALSE)</f>
        <v>16409.634400000021</v>
      </c>
      <c r="I47" s="145">
        <f t="shared" si="1"/>
        <v>70211.714400000099</v>
      </c>
    </row>
    <row r="48" spans="1:9" ht="18" customHeight="1" x14ac:dyDescent="0.25">
      <c r="A48" s="143" t="s">
        <v>224</v>
      </c>
      <c r="B48" s="143" t="s">
        <v>225</v>
      </c>
      <c r="C48" s="143" t="s">
        <v>193</v>
      </c>
      <c r="D48" s="143" t="s">
        <v>194</v>
      </c>
      <c r="E48" s="144">
        <v>7035525</v>
      </c>
      <c r="F48" s="145">
        <f>E48*(1+VLOOKUP($B48,SalaryvRevenue!$B$29:$F$33,5,FALSE))</f>
        <v>7316946</v>
      </c>
      <c r="G48" s="145">
        <f t="shared" si="0"/>
        <v>281421</v>
      </c>
      <c r="H48" s="145">
        <f>G48*VLOOKUP($B48,LoadRates!$C$2:$E$6,3,FALSE)</f>
        <v>85833.404999999999</v>
      </c>
      <c r="I48" s="145">
        <f t="shared" si="1"/>
        <v>367254.40500000003</v>
      </c>
    </row>
    <row r="49" spans="1:9" ht="18" customHeight="1" x14ac:dyDescent="0.25">
      <c r="A49" s="143" t="s">
        <v>224</v>
      </c>
      <c r="B49" s="143" t="s">
        <v>225</v>
      </c>
      <c r="C49" s="143" t="s">
        <v>195</v>
      </c>
      <c r="D49" s="143" t="s">
        <v>196</v>
      </c>
      <c r="E49" s="144">
        <v>5263149</v>
      </c>
      <c r="F49" s="145">
        <f>E49*(1+VLOOKUP($B49,SalaryvRevenue!$B$29:$F$33,5,FALSE))</f>
        <v>5473674.96</v>
      </c>
      <c r="G49" s="145">
        <f t="shared" si="0"/>
        <v>210525.95999999996</v>
      </c>
      <c r="H49" s="145">
        <f>G49*VLOOKUP($B49,LoadRates!$C$2:$E$6,3,FALSE)</f>
        <v>64210.417799999988</v>
      </c>
      <c r="I49" s="145">
        <f t="shared" si="1"/>
        <v>274736.37779999996</v>
      </c>
    </row>
    <row r="50" spans="1:9" ht="18" customHeight="1" x14ac:dyDescent="0.25">
      <c r="A50" s="143" t="s">
        <v>224</v>
      </c>
      <c r="B50" s="143" t="s">
        <v>225</v>
      </c>
      <c r="C50" s="143" t="s">
        <v>197</v>
      </c>
      <c r="D50" s="143" t="s">
        <v>198</v>
      </c>
      <c r="E50" s="144">
        <v>422592</v>
      </c>
      <c r="F50" s="145">
        <f>E50*(1+VLOOKUP($B50,SalaryvRevenue!$B$29:$F$33,5,FALSE))</f>
        <v>439495.67999999999</v>
      </c>
      <c r="G50" s="145">
        <f t="shared" si="0"/>
        <v>16903.679999999993</v>
      </c>
      <c r="H50" s="145">
        <f>G50*VLOOKUP($B50,LoadRates!$C$2:$E$6,3,FALSE)</f>
        <v>5155.6223999999975</v>
      </c>
      <c r="I50" s="145">
        <f t="shared" si="1"/>
        <v>22059.30239999999</v>
      </c>
    </row>
    <row r="51" spans="1:9" ht="18" customHeight="1" x14ac:dyDescent="0.25">
      <c r="A51" s="143" t="s">
        <v>224</v>
      </c>
      <c r="B51" s="143" t="s">
        <v>225</v>
      </c>
      <c r="C51" s="143" t="s">
        <v>199</v>
      </c>
      <c r="D51" s="143" t="s">
        <v>200</v>
      </c>
      <c r="E51" s="144">
        <v>2310912</v>
      </c>
      <c r="F51" s="145">
        <f>E51*(1+VLOOKUP($B51,SalaryvRevenue!$B$29:$F$33,5,FALSE))</f>
        <v>2403348.48</v>
      </c>
      <c r="G51" s="145">
        <f t="shared" si="0"/>
        <v>92436.479999999981</v>
      </c>
      <c r="H51" s="145">
        <f>G51*VLOOKUP($B51,LoadRates!$C$2:$E$6,3,FALSE)</f>
        <v>28193.126399999994</v>
      </c>
      <c r="I51" s="145">
        <f t="shared" si="1"/>
        <v>120629.60639999998</v>
      </c>
    </row>
    <row r="52" spans="1:9" ht="18" customHeight="1" x14ac:dyDescent="0.25">
      <c r="A52" s="143" t="s">
        <v>224</v>
      </c>
      <c r="B52" s="143" t="s">
        <v>225</v>
      </c>
      <c r="C52" s="143" t="s">
        <v>201</v>
      </c>
      <c r="D52" s="143" t="s">
        <v>202</v>
      </c>
      <c r="E52" s="144">
        <v>541356</v>
      </c>
      <c r="F52" s="145">
        <f>E52*(1+VLOOKUP($B52,SalaryvRevenue!$B$29:$F$33,5,FALSE))</f>
        <v>563010.24</v>
      </c>
      <c r="G52" s="145">
        <f t="shared" si="0"/>
        <v>21654.239999999991</v>
      </c>
      <c r="H52" s="145">
        <f>G52*VLOOKUP($B52,LoadRates!$C$2:$E$6,3,FALSE)</f>
        <v>6604.5431999999973</v>
      </c>
      <c r="I52" s="145">
        <f t="shared" si="1"/>
        <v>28258.783199999987</v>
      </c>
    </row>
    <row r="53" spans="1:9" ht="18" customHeight="1" x14ac:dyDescent="0.25">
      <c r="A53" s="143" t="s">
        <v>224</v>
      </c>
      <c r="B53" s="143" t="s">
        <v>225</v>
      </c>
      <c r="C53" s="143" t="s">
        <v>203</v>
      </c>
      <c r="D53" s="143" t="s">
        <v>204</v>
      </c>
      <c r="E53" s="144">
        <v>621672</v>
      </c>
      <c r="F53" s="145">
        <f>E53*(1+VLOOKUP($B53,SalaryvRevenue!$B$29:$F$33,5,FALSE))</f>
        <v>646538.88</v>
      </c>
      <c r="G53" s="145">
        <f t="shared" si="0"/>
        <v>24866.880000000005</v>
      </c>
      <c r="H53" s="145">
        <f>G53*VLOOKUP($B53,LoadRates!$C$2:$E$6,3,FALSE)</f>
        <v>7584.3984000000009</v>
      </c>
      <c r="I53" s="145">
        <f t="shared" si="1"/>
        <v>32451.278400000007</v>
      </c>
    </row>
    <row r="54" spans="1:9" ht="18" customHeight="1" x14ac:dyDescent="0.25">
      <c r="A54" s="143" t="s">
        <v>224</v>
      </c>
      <c r="B54" s="143" t="s">
        <v>225</v>
      </c>
      <c r="C54" s="143" t="s">
        <v>205</v>
      </c>
      <c r="D54" s="143" t="s">
        <v>206</v>
      </c>
      <c r="E54" s="144">
        <v>2349000</v>
      </c>
      <c r="F54" s="145">
        <f>E54*(1+VLOOKUP($B54,SalaryvRevenue!$B$29:$F$33,5,FALSE))</f>
        <v>2442960</v>
      </c>
      <c r="G54" s="145">
        <f t="shared" si="0"/>
        <v>93960</v>
      </c>
      <c r="H54" s="145">
        <f>G54*VLOOKUP($B54,LoadRates!$C$2:$E$6,3,FALSE)</f>
        <v>28657.8</v>
      </c>
      <c r="I54" s="145">
        <f t="shared" si="1"/>
        <v>122617.8</v>
      </c>
    </row>
    <row r="55" spans="1:9" ht="18" customHeight="1" x14ac:dyDescent="0.25">
      <c r="A55" s="143" t="s">
        <v>224</v>
      </c>
      <c r="B55" s="143" t="s">
        <v>225</v>
      </c>
      <c r="C55" s="143" t="s">
        <v>207</v>
      </c>
      <c r="D55" s="143" t="s">
        <v>208</v>
      </c>
      <c r="E55" s="144">
        <v>1304244</v>
      </c>
      <c r="F55" s="145">
        <f>E55*(1+VLOOKUP($B55,SalaryvRevenue!$B$29:$F$33,5,FALSE))</f>
        <v>1356413.76</v>
      </c>
      <c r="G55" s="145">
        <f t="shared" si="0"/>
        <v>52169.760000000009</v>
      </c>
      <c r="H55" s="145">
        <f>G55*VLOOKUP($B55,LoadRates!$C$2:$E$6,3,FALSE)</f>
        <v>15911.776800000003</v>
      </c>
      <c r="I55" s="145">
        <f t="shared" si="1"/>
        <v>68081.536800000016</v>
      </c>
    </row>
    <row r="56" spans="1:9" ht="18" customHeight="1" x14ac:dyDescent="0.25">
      <c r="A56" s="143" t="s">
        <v>224</v>
      </c>
      <c r="B56" s="143" t="s">
        <v>225</v>
      </c>
      <c r="C56" s="143" t="s">
        <v>209</v>
      </c>
      <c r="D56" s="143" t="s">
        <v>210</v>
      </c>
      <c r="E56" s="144">
        <v>2591688</v>
      </c>
      <c r="F56" s="145">
        <f>E56*(1+VLOOKUP($B56,SalaryvRevenue!$B$29:$F$33,5,FALSE))</f>
        <v>2695355.52</v>
      </c>
      <c r="G56" s="145">
        <f t="shared" si="0"/>
        <v>103667.52000000002</v>
      </c>
      <c r="H56" s="145">
        <f>G56*VLOOKUP($B56,LoadRates!$C$2:$E$6,3,FALSE)</f>
        <v>31618.593600000004</v>
      </c>
      <c r="I56" s="145">
        <f t="shared" si="1"/>
        <v>135286.11360000001</v>
      </c>
    </row>
    <row r="57" spans="1:9" ht="18" customHeight="1" x14ac:dyDescent="0.25">
      <c r="A57" s="143" t="s">
        <v>224</v>
      </c>
      <c r="B57" s="143" t="s">
        <v>225</v>
      </c>
      <c r="C57" s="143" t="s">
        <v>211</v>
      </c>
      <c r="D57" s="143" t="s">
        <v>212</v>
      </c>
      <c r="E57" s="144">
        <v>1344432</v>
      </c>
      <c r="F57" s="145">
        <f>E57*(1+VLOOKUP($B57,SalaryvRevenue!$B$29:$F$33,5,FALSE))</f>
        <v>1398209.28</v>
      </c>
      <c r="G57" s="145">
        <f t="shared" si="0"/>
        <v>53777.280000000028</v>
      </c>
      <c r="H57" s="145">
        <f>G57*VLOOKUP($B57,LoadRates!$C$2:$E$6,3,FALSE)</f>
        <v>16402.070400000008</v>
      </c>
      <c r="I57" s="145">
        <f t="shared" si="1"/>
        <v>70179.350400000039</v>
      </c>
    </row>
    <row r="58" spans="1:9" ht="18" customHeight="1" x14ac:dyDescent="0.25">
      <c r="A58" s="143" t="s">
        <v>224</v>
      </c>
      <c r="B58" s="143" t="s">
        <v>225</v>
      </c>
      <c r="C58" s="143" t="s">
        <v>213</v>
      </c>
      <c r="D58" s="143" t="s">
        <v>214</v>
      </c>
      <c r="E58" s="144">
        <v>0</v>
      </c>
      <c r="F58" s="145">
        <f>E58*(1+VLOOKUP($B58,SalaryvRevenue!$B$29:$F$33,5,FALSE))</f>
        <v>0</v>
      </c>
      <c r="G58" s="145">
        <f t="shared" si="0"/>
        <v>0</v>
      </c>
      <c r="H58" s="145">
        <f>G58*VLOOKUP($B58,LoadRates!$C$2:$E$6,3,FALSE)</f>
        <v>0</v>
      </c>
      <c r="I58" s="145">
        <f t="shared" si="1"/>
        <v>0</v>
      </c>
    </row>
    <row r="59" spans="1:9" ht="18" customHeight="1" x14ac:dyDescent="0.25">
      <c r="A59" s="143" t="s">
        <v>224</v>
      </c>
      <c r="B59" s="143" t="s">
        <v>225</v>
      </c>
      <c r="C59" s="143" t="s">
        <v>215</v>
      </c>
      <c r="D59" s="143" t="s">
        <v>216</v>
      </c>
      <c r="E59" s="144">
        <v>70853852</v>
      </c>
      <c r="F59" s="145">
        <f>E59*(1+VLOOKUP($B59,SalaryvRevenue!$B$29:$F$33,5,FALSE))</f>
        <v>73688006.079999998</v>
      </c>
      <c r="G59" s="145">
        <f t="shared" si="0"/>
        <v>2834154.0799999982</v>
      </c>
      <c r="H59" s="145">
        <f>G59*VLOOKUP($B59,LoadRates!$C$2:$E$6,3,FALSE)</f>
        <v>864416.99439999938</v>
      </c>
      <c r="I59" s="145">
        <f t="shared" si="1"/>
        <v>3698571.0743999975</v>
      </c>
    </row>
    <row r="60" spans="1:9" ht="18" customHeight="1" x14ac:dyDescent="0.25">
      <c r="A60" s="143" t="s">
        <v>224</v>
      </c>
      <c r="B60" s="143" t="s">
        <v>225</v>
      </c>
      <c r="C60" s="143" t="s">
        <v>217</v>
      </c>
      <c r="D60" s="143" t="s">
        <v>218</v>
      </c>
      <c r="E60" s="144">
        <v>0</v>
      </c>
      <c r="F60" s="145">
        <f>E60*(1+VLOOKUP($B60,SalaryvRevenue!$B$29:$F$33,5,FALSE))</f>
        <v>0</v>
      </c>
      <c r="G60" s="145">
        <f t="shared" si="0"/>
        <v>0</v>
      </c>
      <c r="H60" s="145">
        <f>G60*VLOOKUP($B60,LoadRates!$C$2:$E$6,3,FALSE)</f>
        <v>0</v>
      </c>
      <c r="I60" s="145">
        <f t="shared" si="1"/>
        <v>0</v>
      </c>
    </row>
    <row r="61" spans="1:9" ht="18" customHeight="1" x14ac:dyDescent="0.25">
      <c r="A61" s="143" t="s">
        <v>224</v>
      </c>
      <c r="B61" s="143" t="s">
        <v>225</v>
      </c>
      <c r="C61" s="143" t="s">
        <v>219</v>
      </c>
      <c r="D61" s="143" t="s">
        <v>220</v>
      </c>
      <c r="E61" s="144">
        <v>10856604</v>
      </c>
      <c r="F61" s="145">
        <f>E61*(1+VLOOKUP($B61,SalaryvRevenue!$B$29:$F$33,5,FALSE))</f>
        <v>11290868.16</v>
      </c>
      <c r="G61" s="145">
        <f t="shared" si="0"/>
        <v>434264.16000000015</v>
      </c>
      <c r="H61" s="145">
        <f>G61*VLOOKUP($B61,LoadRates!$C$2:$E$6,3,FALSE)</f>
        <v>132450.56880000004</v>
      </c>
      <c r="I61" s="145">
        <f t="shared" si="1"/>
        <v>566714.72880000016</v>
      </c>
    </row>
    <row r="62" spans="1:9" ht="18" customHeight="1" x14ac:dyDescent="0.25">
      <c r="A62" s="143" t="s">
        <v>224</v>
      </c>
      <c r="B62" s="143" t="s">
        <v>225</v>
      </c>
      <c r="C62" s="143" t="s">
        <v>221</v>
      </c>
      <c r="D62" s="143" t="s">
        <v>222</v>
      </c>
      <c r="E62" s="144">
        <v>10372238</v>
      </c>
      <c r="F62" s="145">
        <f>E62*(1+VLOOKUP($B62,SalaryvRevenue!$B$29:$F$33,5,FALSE))</f>
        <v>10787127.52</v>
      </c>
      <c r="G62" s="145">
        <f t="shared" si="0"/>
        <v>414889.51999999955</v>
      </c>
      <c r="H62" s="145">
        <f>G62*VLOOKUP($B62,LoadRates!$C$2:$E$6,3,FALSE)</f>
        <v>126541.30359999985</v>
      </c>
      <c r="I62" s="145">
        <f t="shared" si="1"/>
        <v>541430.82359999942</v>
      </c>
    </row>
    <row r="63" spans="1:9" ht="18" customHeight="1" x14ac:dyDescent="0.25">
      <c r="A63" s="143" t="s">
        <v>226</v>
      </c>
      <c r="B63" s="143" t="s">
        <v>227</v>
      </c>
      <c r="C63" s="143" t="s">
        <v>183</v>
      </c>
      <c r="D63" s="143" t="s">
        <v>184</v>
      </c>
      <c r="E63" s="144">
        <v>73296</v>
      </c>
      <c r="F63" s="145">
        <f>E63*(1+VLOOKUP($B63,SalaryvRevenue!$B$29:$F$33,5,FALSE))</f>
        <v>74761.919999999998</v>
      </c>
      <c r="G63" s="145">
        <f t="shared" si="0"/>
        <v>1465.9199999999983</v>
      </c>
      <c r="H63" s="145">
        <f>G63*VLOOKUP($B63,LoadRates!$C$2:$E$6,3,FALSE)</f>
        <v>577.57247999999936</v>
      </c>
      <c r="I63" s="145">
        <f t="shared" si="1"/>
        <v>2043.4924799999976</v>
      </c>
    </row>
    <row r="64" spans="1:9" ht="18" customHeight="1" x14ac:dyDescent="0.25">
      <c r="A64" s="143" t="s">
        <v>226</v>
      </c>
      <c r="B64" s="143" t="s">
        <v>227</v>
      </c>
      <c r="C64" s="143" t="s">
        <v>185</v>
      </c>
      <c r="D64" s="143" t="s">
        <v>186</v>
      </c>
      <c r="E64" s="144">
        <v>5897079</v>
      </c>
      <c r="F64" s="145">
        <f>E64*(1+VLOOKUP($B64,SalaryvRevenue!$B$29:$F$33,5,FALSE))</f>
        <v>6015020.5800000001</v>
      </c>
      <c r="G64" s="145">
        <f t="shared" si="0"/>
        <v>117941.58000000007</v>
      </c>
      <c r="H64" s="145">
        <f>G64*VLOOKUP($B64,LoadRates!$C$2:$E$6,3,FALSE)</f>
        <v>46468.982520000034</v>
      </c>
      <c r="I64" s="145">
        <f t="shared" si="1"/>
        <v>164410.56252000009</v>
      </c>
    </row>
    <row r="65" spans="1:9" ht="18" customHeight="1" x14ac:dyDescent="0.25">
      <c r="A65" s="143" t="s">
        <v>226</v>
      </c>
      <c r="B65" s="143" t="s">
        <v>227</v>
      </c>
      <c r="C65" s="143" t="s">
        <v>187</v>
      </c>
      <c r="D65" s="143" t="s">
        <v>188</v>
      </c>
      <c r="E65" s="144">
        <v>0</v>
      </c>
      <c r="F65" s="145">
        <f>E65*(1+VLOOKUP($B65,SalaryvRevenue!$B$29:$F$33,5,FALSE))</f>
        <v>0</v>
      </c>
      <c r="G65" s="145">
        <f t="shared" si="0"/>
        <v>0</v>
      </c>
      <c r="H65" s="145">
        <f>G65*VLOOKUP($B65,LoadRates!$C$2:$E$6,3,FALSE)</f>
        <v>0</v>
      </c>
      <c r="I65" s="145">
        <f t="shared" si="1"/>
        <v>0</v>
      </c>
    </row>
    <row r="66" spans="1:9" ht="18" customHeight="1" x14ac:dyDescent="0.25">
      <c r="A66" s="143" t="s">
        <v>226</v>
      </c>
      <c r="B66" s="143" t="s">
        <v>227</v>
      </c>
      <c r="C66" s="143" t="s">
        <v>189</v>
      </c>
      <c r="D66" s="143" t="s">
        <v>190</v>
      </c>
      <c r="E66" s="144">
        <v>625944</v>
      </c>
      <c r="F66" s="145">
        <f>E66*(1+VLOOKUP($B66,SalaryvRevenue!$B$29:$F$33,5,FALSE))</f>
        <v>638462.88</v>
      </c>
      <c r="G66" s="145">
        <f t="shared" si="0"/>
        <v>12518.880000000005</v>
      </c>
      <c r="H66" s="145">
        <f>G66*VLOOKUP($B66,LoadRates!$C$2:$E$6,3,FALSE)</f>
        <v>4932.4387200000019</v>
      </c>
      <c r="I66" s="145">
        <f t="shared" si="1"/>
        <v>17451.318720000007</v>
      </c>
    </row>
    <row r="67" spans="1:9" ht="18" customHeight="1" x14ac:dyDescent="0.25">
      <c r="A67" s="143" t="s">
        <v>226</v>
      </c>
      <c r="B67" s="143" t="s">
        <v>227</v>
      </c>
      <c r="C67" s="143" t="s">
        <v>191</v>
      </c>
      <c r="D67" s="143" t="s">
        <v>192</v>
      </c>
      <c r="E67" s="144">
        <v>648504</v>
      </c>
      <c r="F67" s="145">
        <f>E67*(1+VLOOKUP($B67,SalaryvRevenue!$B$29:$F$33,5,FALSE))</f>
        <v>661474.07999999996</v>
      </c>
      <c r="G67" s="145">
        <f t="shared" ref="G67:G102" si="2">+F67-E67</f>
        <v>12970.079999999958</v>
      </c>
      <c r="H67" s="145">
        <f>G67*VLOOKUP($B67,LoadRates!$C$2:$E$6,3,FALSE)</f>
        <v>5110.2115199999835</v>
      </c>
      <c r="I67" s="145">
        <f t="shared" ref="I67:I102" si="3">+G67+H67</f>
        <v>18080.291519999941</v>
      </c>
    </row>
    <row r="68" spans="1:9" ht="18" customHeight="1" x14ac:dyDescent="0.25">
      <c r="A68" s="143" t="s">
        <v>226</v>
      </c>
      <c r="B68" s="143" t="s">
        <v>227</v>
      </c>
      <c r="C68" s="143" t="s">
        <v>193</v>
      </c>
      <c r="D68" s="143" t="s">
        <v>194</v>
      </c>
      <c r="E68" s="144">
        <v>450108</v>
      </c>
      <c r="F68" s="145">
        <f>E68*(1+VLOOKUP($B68,SalaryvRevenue!$B$29:$F$33,5,FALSE))</f>
        <v>459110.16000000003</v>
      </c>
      <c r="G68" s="145">
        <f t="shared" si="2"/>
        <v>9002.1600000000326</v>
      </c>
      <c r="H68" s="145">
        <f>G68*VLOOKUP($B68,LoadRates!$C$2:$E$6,3,FALSE)</f>
        <v>3546.8510400000132</v>
      </c>
      <c r="I68" s="145">
        <f t="shared" si="3"/>
        <v>12549.011040000045</v>
      </c>
    </row>
    <row r="69" spans="1:9" ht="18" customHeight="1" x14ac:dyDescent="0.25">
      <c r="A69" s="143" t="s">
        <v>226</v>
      </c>
      <c r="B69" s="143" t="s">
        <v>227</v>
      </c>
      <c r="C69" s="143" t="s">
        <v>195</v>
      </c>
      <c r="D69" s="143" t="s">
        <v>196</v>
      </c>
      <c r="E69" s="144">
        <v>1038063</v>
      </c>
      <c r="F69" s="145">
        <f>E69*(1+VLOOKUP($B69,SalaryvRevenue!$B$29:$F$33,5,FALSE))</f>
        <v>1058824.26</v>
      </c>
      <c r="G69" s="145">
        <f t="shared" si="2"/>
        <v>20761.260000000009</v>
      </c>
      <c r="H69" s="145">
        <f>G69*VLOOKUP($B69,LoadRates!$C$2:$E$6,3,FALSE)</f>
        <v>8179.936440000004</v>
      </c>
      <c r="I69" s="145">
        <f t="shared" si="3"/>
        <v>28941.196440000014</v>
      </c>
    </row>
    <row r="70" spans="1:9" ht="18" customHeight="1" x14ac:dyDescent="0.25">
      <c r="A70" s="143" t="s">
        <v>226</v>
      </c>
      <c r="B70" s="143" t="s">
        <v>227</v>
      </c>
      <c r="C70" s="143" t="s">
        <v>197</v>
      </c>
      <c r="D70" s="143" t="s">
        <v>198</v>
      </c>
      <c r="E70" s="144">
        <v>107736</v>
      </c>
      <c r="F70" s="145">
        <f>E70*(1+VLOOKUP($B70,SalaryvRevenue!$B$29:$F$33,5,FALSE))</f>
        <v>109890.72</v>
      </c>
      <c r="G70" s="145">
        <f t="shared" si="2"/>
        <v>2154.7200000000012</v>
      </c>
      <c r="H70" s="145">
        <f>G70*VLOOKUP($B70,LoadRates!$C$2:$E$6,3,FALSE)</f>
        <v>848.9596800000005</v>
      </c>
      <c r="I70" s="145">
        <f t="shared" si="3"/>
        <v>3003.6796800000016</v>
      </c>
    </row>
    <row r="71" spans="1:9" ht="18" customHeight="1" x14ac:dyDescent="0.25">
      <c r="A71" s="143" t="s">
        <v>226</v>
      </c>
      <c r="B71" s="143" t="s">
        <v>227</v>
      </c>
      <c r="C71" s="143" t="s">
        <v>199</v>
      </c>
      <c r="D71" s="143" t="s">
        <v>200</v>
      </c>
      <c r="E71" s="144">
        <v>1171380</v>
      </c>
      <c r="F71" s="145">
        <f>E71*(1+VLOOKUP($B71,SalaryvRevenue!$B$29:$F$33,5,FALSE))</f>
        <v>1194807.6000000001</v>
      </c>
      <c r="G71" s="145">
        <f t="shared" si="2"/>
        <v>23427.600000000093</v>
      </c>
      <c r="H71" s="145">
        <f>G71*VLOOKUP($B71,LoadRates!$C$2:$E$6,3,FALSE)</f>
        <v>9230.4744000000373</v>
      </c>
      <c r="I71" s="145">
        <f t="shared" si="3"/>
        <v>32658.074400000129</v>
      </c>
    </row>
    <row r="72" spans="1:9" ht="18" customHeight="1" x14ac:dyDescent="0.25">
      <c r="A72" s="143" t="s">
        <v>226</v>
      </c>
      <c r="B72" s="143" t="s">
        <v>227</v>
      </c>
      <c r="C72" s="143" t="s">
        <v>201</v>
      </c>
      <c r="D72" s="143" t="s">
        <v>202</v>
      </c>
      <c r="E72" s="144">
        <v>0</v>
      </c>
      <c r="F72" s="145">
        <f>E72*(1+VLOOKUP($B72,SalaryvRevenue!$B$29:$F$33,5,FALSE))</f>
        <v>0</v>
      </c>
      <c r="G72" s="145">
        <f t="shared" si="2"/>
        <v>0</v>
      </c>
      <c r="H72" s="145">
        <f>G72*VLOOKUP($B72,LoadRates!$C$2:$E$6,3,FALSE)</f>
        <v>0</v>
      </c>
      <c r="I72" s="145">
        <f t="shared" si="3"/>
        <v>0</v>
      </c>
    </row>
    <row r="73" spans="1:9" ht="18" customHeight="1" x14ac:dyDescent="0.25">
      <c r="A73" s="143" t="s">
        <v>226</v>
      </c>
      <c r="B73" s="143" t="s">
        <v>227</v>
      </c>
      <c r="C73" s="143" t="s">
        <v>203</v>
      </c>
      <c r="D73" s="143" t="s">
        <v>204</v>
      </c>
      <c r="E73" s="144">
        <v>105144</v>
      </c>
      <c r="F73" s="145">
        <f>E73*(1+VLOOKUP($B73,SalaryvRevenue!$B$29:$F$33,5,FALSE))</f>
        <v>107246.88</v>
      </c>
      <c r="G73" s="145">
        <f t="shared" si="2"/>
        <v>2102.8800000000047</v>
      </c>
      <c r="H73" s="145">
        <f>G73*VLOOKUP($B73,LoadRates!$C$2:$E$6,3,FALSE)</f>
        <v>828.53472000000193</v>
      </c>
      <c r="I73" s="145">
        <f t="shared" si="3"/>
        <v>2931.4147200000066</v>
      </c>
    </row>
    <row r="74" spans="1:9" ht="18" customHeight="1" x14ac:dyDescent="0.25">
      <c r="A74" s="143" t="s">
        <v>226</v>
      </c>
      <c r="B74" s="143" t="s">
        <v>227</v>
      </c>
      <c r="C74" s="143" t="s">
        <v>205</v>
      </c>
      <c r="D74" s="143" t="s">
        <v>206</v>
      </c>
      <c r="E74" s="144">
        <v>558485</v>
      </c>
      <c r="F74" s="145">
        <f>E74*(1+VLOOKUP($B74,SalaryvRevenue!$B$29:$F$33,5,FALSE))</f>
        <v>569654.69999999995</v>
      </c>
      <c r="G74" s="145">
        <f t="shared" si="2"/>
        <v>11169.699999999953</v>
      </c>
      <c r="H74" s="145">
        <f>G74*VLOOKUP($B74,LoadRates!$C$2:$E$6,3,FALSE)</f>
        <v>4400.8617999999815</v>
      </c>
      <c r="I74" s="145">
        <f t="shared" si="3"/>
        <v>15570.561799999934</v>
      </c>
    </row>
    <row r="75" spans="1:9" ht="18" customHeight="1" x14ac:dyDescent="0.25">
      <c r="A75" s="143" t="s">
        <v>226</v>
      </c>
      <c r="B75" s="143" t="s">
        <v>227</v>
      </c>
      <c r="C75" s="143" t="s">
        <v>207</v>
      </c>
      <c r="D75" s="143" t="s">
        <v>208</v>
      </c>
      <c r="E75" s="144">
        <v>15228</v>
      </c>
      <c r="F75" s="145">
        <f>E75*(1+VLOOKUP($B75,SalaryvRevenue!$B$29:$F$33,5,FALSE))</f>
        <v>15532.56</v>
      </c>
      <c r="G75" s="145">
        <f t="shared" si="2"/>
        <v>304.55999999999949</v>
      </c>
      <c r="H75" s="145">
        <f>G75*VLOOKUP($B75,LoadRates!$C$2:$E$6,3,FALSE)</f>
        <v>119.9966399999998</v>
      </c>
      <c r="I75" s="145">
        <f t="shared" si="3"/>
        <v>424.55663999999928</v>
      </c>
    </row>
    <row r="76" spans="1:9" ht="18" customHeight="1" x14ac:dyDescent="0.25">
      <c r="A76" s="143" t="s">
        <v>226</v>
      </c>
      <c r="B76" s="143" t="s">
        <v>227</v>
      </c>
      <c r="C76" s="143" t="s">
        <v>209</v>
      </c>
      <c r="D76" s="143" t="s">
        <v>210</v>
      </c>
      <c r="E76" s="144">
        <v>0</v>
      </c>
      <c r="F76" s="145">
        <f>E76*(1+VLOOKUP($B76,SalaryvRevenue!$B$29:$F$33,5,FALSE))</f>
        <v>0</v>
      </c>
      <c r="G76" s="145">
        <f t="shared" si="2"/>
        <v>0</v>
      </c>
      <c r="H76" s="145">
        <f>G76*VLOOKUP($B76,LoadRates!$C$2:$E$6,3,FALSE)</f>
        <v>0</v>
      </c>
      <c r="I76" s="145">
        <f t="shared" si="3"/>
        <v>0</v>
      </c>
    </row>
    <row r="77" spans="1:9" ht="18" customHeight="1" x14ac:dyDescent="0.25">
      <c r="A77" s="143" t="s">
        <v>226</v>
      </c>
      <c r="B77" s="143" t="s">
        <v>227</v>
      </c>
      <c r="C77" s="143" t="s">
        <v>211</v>
      </c>
      <c r="D77" s="143" t="s">
        <v>212</v>
      </c>
      <c r="E77" s="144">
        <v>393492</v>
      </c>
      <c r="F77" s="145">
        <f>E77*(1+VLOOKUP($B77,SalaryvRevenue!$B$29:$F$33,5,FALSE))</f>
        <v>401361.84</v>
      </c>
      <c r="G77" s="145">
        <f t="shared" si="2"/>
        <v>7869.8400000000256</v>
      </c>
      <c r="H77" s="145">
        <f>G77*VLOOKUP($B77,LoadRates!$C$2:$E$6,3,FALSE)</f>
        <v>3100.7169600000102</v>
      </c>
      <c r="I77" s="145">
        <f t="shared" si="3"/>
        <v>10970.556960000036</v>
      </c>
    </row>
    <row r="78" spans="1:9" ht="18" customHeight="1" x14ac:dyDescent="0.25">
      <c r="A78" s="143" t="s">
        <v>226</v>
      </c>
      <c r="B78" s="143" t="s">
        <v>227</v>
      </c>
      <c r="C78" s="143" t="s">
        <v>213</v>
      </c>
      <c r="D78" s="143" t="s">
        <v>214</v>
      </c>
      <c r="E78" s="144">
        <v>0</v>
      </c>
      <c r="F78" s="145">
        <f>E78*(1+VLOOKUP($B78,SalaryvRevenue!$B$29:$F$33,5,FALSE))</f>
        <v>0</v>
      </c>
      <c r="G78" s="145">
        <f t="shared" si="2"/>
        <v>0</v>
      </c>
      <c r="H78" s="145">
        <f>G78*VLOOKUP($B78,LoadRates!$C$2:$E$6,3,FALSE)</f>
        <v>0</v>
      </c>
      <c r="I78" s="145">
        <f t="shared" si="3"/>
        <v>0</v>
      </c>
    </row>
    <row r="79" spans="1:9" ht="18" customHeight="1" x14ac:dyDescent="0.25">
      <c r="A79" s="143" t="s">
        <v>226</v>
      </c>
      <c r="B79" s="143" t="s">
        <v>227</v>
      </c>
      <c r="C79" s="143" t="s">
        <v>215</v>
      </c>
      <c r="D79" s="143" t="s">
        <v>216</v>
      </c>
      <c r="E79" s="144">
        <v>28830240</v>
      </c>
      <c r="F79" s="145">
        <f>E79*(1+VLOOKUP($B79,SalaryvRevenue!$B$29:$F$33,5,FALSE))</f>
        <v>29406844.800000001</v>
      </c>
      <c r="G79" s="145">
        <f t="shared" si="2"/>
        <v>576604.80000000075</v>
      </c>
      <c r="H79" s="145">
        <f>G79*VLOOKUP($B79,LoadRates!$C$2:$E$6,3,FALSE)</f>
        <v>227182.2912000003</v>
      </c>
      <c r="I79" s="145">
        <f t="shared" si="3"/>
        <v>803787.09120000107</v>
      </c>
    </row>
    <row r="80" spans="1:9" ht="18" customHeight="1" x14ac:dyDescent="0.25">
      <c r="A80" s="143" t="s">
        <v>226</v>
      </c>
      <c r="B80" s="143" t="s">
        <v>227</v>
      </c>
      <c r="C80" s="143" t="s">
        <v>217</v>
      </c>
      <c r="D80" s="143" t="s">
        <v>218</v>
      </c>
      <c r="E80" s="144">
        <v>0</v>
      </c>
      <c r="F80" s="145">
        <f>E80*(1+VLOOKUP($B80,SalaryvRevenue!$B$29:$F$33,5,FALSE))</f>
        <v>0</v>
      </c>
      <c r="G80" s="145">
        <f t="shared" si="2"/>
        <v>0</v>
      </c>
      <c r="H80" s="145">
        <f>G80*VLOOKUP($B80,LoadRates!$C$2:$E$6,3,FALSE)</f>
        <v>0</v>
      </c>
      <c r="I80" s="145">
        <f t="shared" si="3"/>
        <v>0</v>
      </c>
    </row>
    <row r="81" spans="1:9" ht="18" customHeight="1" x14ac:dyDescent="0.25">
      <c r="A81" s="143" t="s">
        <v>226</v>
      </c>
      <c r="B81" s="143" t="s">
        <v>227</v>
      </c>
      <c r="C81" s="143" t="s">
        <v>219</v>
      </c>
      <c r="D81" s="143" t="s">
        <v>220</v>
      </c>
      <c r="E81" s="144">
        <v>5020893</v>
      </c>
      <c r="F81" s="145">
        <f>E81*(1+VLOOKUP($B81,SalaryvRevenue!$B$29:$F$33,5,FALSE))</f>
        <v>5121310.8600000003</v>
      </c>
      <c r="G81" s="145">
        <f t="shared" si="2"/>
        <v>100417.86000000034</v>
      </c>
      <c r="H81" s="145">
        <f>G81*VLOOKUP($B81,LoadRates!$C$2:$E$6,3,FALSE)</f>
        <v>39564.63684000013</v>
      </c>
      <c r="I81" s="145">
        <f t="shared" si="3"/>
        <v>139982.49684000047</v>
      </c>
    </row>
    <row r="82" spans="1:9" ht="18" customHeight="1" x14ac:dyDescent="0.25">
      <c r="A82" s="143" t="s">
        <v>226</v>
      </c>
      <c r="B82" s="143" t="s">
        <v>227</v>
      </c>
      <c r="C82" s="143" t="s">
        <v>221</v>
      </c>
      <c r="D82" s="143" t="s">
        <v>222</v>
      </c>
      <c r="E82" s="144">
        <v>5014380</v>
      </c>
      <c r="F82" s="145">
        <f>E82*(1+VLOOKUP($B82,SalaryvRevenue!$B$29:$F$33,5,FALSE))</f>
        <v>5114667.5999999996</v>
      </c>
      <c r="G82" s="145">
        <f t="shared" si="2"/>
        <v>100287.59999999963</v>
      </c>
      <c r="H82" s="145">
        <f>G82*VLOOKUP($B82,LoadRates!$C$2:$E$6,3,FALSE)</f>
        <v>39513.314399999857</v>
      </c>
      <c r="I82" s="145">
        <f t="shared" si="3"/>
        <v>139800.91439999948</v>
      </c>
    </row>
    <row r="83" spans="1:9" ht="18" customHeight="1" x14ac:dyDescent="0.25">
      <c r="A83" s="143" t="s">
        <v>228</v>
      </c>
      <c r="B83" s="143" t="s">
        <v>229</v>
      </c>
      <c r="C83" s="143" t="s">
        <v>183</v>
      </c>
      <c r="D83" s="143" t="s">
        <v>184</v>
      </c>
      <c r="E83" s="144">
        <v>104850</v>
      </c>
      <c r="F83" s="145">
        <f>E83*(1+VLOOKUP($B83,SalaryvRevenue!$B$29:$F$33,5,FALSE))</f>
        <v>111141</v>
      </c>
      <c r="G83" s="145">
        <f t="shared" si="2"/>
        <v>6291</v>
      </c>
      <c r="H83" s="145">
        <f>G83*VLOOKUP($B83,LoadRates!$C$2:$E$6,3,FALSE)</f>
        <v>1113.5069999999998</v>
      </c>
      <c r="I83" s="145">
        <f t="shared" si="3"/>
        <v>7404.5069999999996</v>
      </c>
    </row>
    <row r="84" spans="1:9" ht="18" customHeight="1" x14ac:dyDescent="0.25">
      <c r="A84" s="143" t="s">
        <v>228</v>
      </c>
      <c r="B84" s="143" t="s">
        <v>229</v>
      </c>
      <c r="C84" s="143" t="s">
        <v>185</v>
      </c>
      <c r="D84" s="143" t="s">
        <v>186</v>
      </c>
      <c r="E84" s="144">
        <v>15576930</v>
      </c>
      <c r="F84" s="145">
        <f>E84*(1+VLOOKUP($B84,SalaryvRevenue!$B$29:$F$33,5,FALSE))</f>
        <v>16511545.800000001</v>
      </c>
      <c r="G84" s="145">
        <f t="shared" si="2"/>
        <v>934615.80000000075</v>
      </c>
      <c r="H84" s="145">
        <f>G84*VLOOKUP($B84,LoadRates!$C$2:$E$6,3,FALSE)</f>
        <v>165426.99660000013</v>
      </c>
      <c r="I84" s="145">
        <f t="shared" si="3"/>
        <v>1100042.7966000009</v>
      </c>
    </row>
    <row r="85" spans="1:9" ht="18" customHeight="1" x14ac:dyDescent="0.25">
      <c r="A85" s="143" t="s">
        <v>228</v>
      </c>
      <c r="B85" s="143" t="s">
        <v>229</v>
      </c>
      <c r="C85" s="143" t="s">
        <v>187</v>
      </c>
      <c r="D85" s="143" t="s">
        <v>188</v>
      </c>
      <c r="E85" s="144">
        <v>41753</v>
      </c>
      <c r="F85" s="145">
        <f>E85*(1+VLOOKUP($B85,SalaryvRevenue!$B$29:$F$33,5,FALSE))</f>
        <v>44258.18</v>
      </c>
      <c r="G85" s="145">
        <f t="shared" si="2"/>
        <v>2505.1800000000003</v>
      </c>
      <c r="H85" s="145">
        <f>G85*VLOOKUP($B85,LoadRates!$C$2:$E$6,3,FALSE)</f>
        <v>443.41686000000004</v>
      </c>
      <c r="I85" s="145">
        <f t="shared" si="3"/>
        <v>2948.5968600000006</v>
      </c>
    </row>
    <row r="86" spans="1:9" ht="18" customHeight="1" x14ac:dyDescent="0.25">
      <c r="A86" s="143" t="s">
        <v>228</v>
      </c>
      <c r="B86" s="143" t="s">
        <v>229</v>
      </c>
      <c r="C86" s="143" t="s">
        <v>189</v>
      </c>
      <c r="D86" s="143" t="s">
        <v>190</v>
      </c>
      <c r="E86" s="144">
        <v>657153</v>
      </c>
      <c r="F86" s="145">
        <f>E86*(1+VLOOKUP($B86,SalaryvRevenue!$B$29:$F$33,5,FALSE))</f>
        <v>696582.18</v>
      </c>
      <c r="G86" s="145">
        <f t="shared" si="2"/>
        <v>39429.180000000051</v>
      </c>
      <c r="H86" s="145">
        <f>G86*VLOOKUP($B86,LoadRates!$C$2:$E$6,3,FALSE)</f>
        <v>6978.9648600000091</v>
      </c>
      <c r="I86" s="145">
        <f t="shared" si="3"/>
        <v>46408.144860000059</v>
      </c>
    </row>
    <row r="87" spans="1:9" ht="18" customHeight="1" x14ac:dyDescent="0.25">
      <c r="A87" s="143" t="s">
        <v>228</v>
      </c>
      <c r="B87" s="143" t="s">
        <v>229</v>
      </c>
      <c r="C87" s="143" t="s">
        <v>191</v>
      </c>
      <c r="D87" s="143" t="s">
        <v>192</v>
      </c>
      <c r="E87" s="144">
        <v>414076</v>
      </c>
      <c r="F87" s="145">
        <f>E87*(1+VLOOKUP($B87,SalaryvRevenue!$B$29:$F$33,5,FALSE))</f>
        <v>438920.56</v>
      </c>
      <c r="G87" s="145">
        <f t="shared" si="2"/>
        <v>24844.559999999998</v>
      </c>
      <c r="H87" s="145">
        <f>G87*VLOOKUP($B87,LoadRates!$C$2:$E$6,3,FALSE)</f>
        <v>4397.4871199999998</v>
      </c>
      <c r="I87" s="145">
        <f t="shared" si="3"/>
        <v>29242.047119999996</v>
      </c>
    </row>
    <row r="88" spans="1:9" ht="18" customHeight="1" x14ac:dyDescent="0.25">
      <c r="A88" s="143" t="s">
        <v>228</v>
      </c>
      <c r="B88" s="143" t="s">
        <v>229</v>
      </c>
      <c r="C88" s="143" t="s">
        <v>193</v>
      </c>
      <c r="D88" s="143" t="s">
        <v>194</v>
      </c>
      <c r="E88" s="144">
        <v>1827148</v>
      </c>
      <c r="F88" s="145">
        <f>E88*(1+VLOOKUP($B88,SalaryvRevenue!$B$29:$F$33,5,FALSE))</f>
        <v>1936776.8800000001</v>
      </c>
      <c r="G88" s="145">
        <f t="shared" si="2"/>
        <v>109628.88000000012</v>
      </c>
      <c r="H88" s="145">
        <f>G88*VLOOKUP($B88,LoadRates!$C$2:$E$6,3,FALSE)</f>
        <v>19404.311760000019</v>
      </c>
      <c r="I88" s="145">
        <f t="shared" si="3"/>
        <v>129033.19176000013</v>
      </c>
    </row>
    <row r="89" spans="1:9" ht="18" customHeight="1" x14ac:dyDescent="0.25">
      <c r="A89" s="143" t="s">
        <v>228</v>
      </c>
      <c r="B89" s="143" t="s">
        <v>229</v>
      </c>
      <c r="C89" s="143" t="s">
        <v>195</v>
      </c>
      <c r="D89" s="143" t="s">
        <v>196</v>
      </c>
      <c r="E89" s="144">
        <v>1222049</v>
      </c>
      <c r="F89" s="145">
        <f>E89*(1+VLOOKUP($B89,SalaryvRevenue!$B$29:$F$33,5,FALSE))</f>
        <v>1295371.9400000002</v>
      </c>
      <c r="G89" s="145">
        <f t="shared" si="2"/>
        <v>73322.940000000177</v>
      </c>
      <c r="H89" s="145">
        <f>G89*VLOOKUP($B89,LoadRates!$C$2:$E$6,3,FALSE)</f>
        <v>12978.16038000003</v>
      </c>
      <c r="I89" s="145">
        <f t="shared" si="3"/>
        <v>86301.100380000207</v>
      </c>
    </row>
    <row r="90" spans="1:9" ht="18" customHeight="1" x14ac:dyDescent="0.25">
      <c r="A90" s="143" t="s">
        <v>228</v>
      </c>
      <c r="B90" s="143" t="s">
        <v>229</v>
      </c>
      <c r="C90" s="143" t="s">
        <v>197</v>
      </c>
      <c r="D90" s="143" t="s">
        <v>198</v>
      </c>
      <c r="E90" s="144">
        <v>150905</v>
      </c>
      <c r="F90" s="145">
        <f>E90*(1+VLOOKUP($B90,SalaryvRevenue!$B$29:$F$33,5,FALSE))</f>
        <v>159959.30000000002</v>
      </c>
      <c r="G90" s="145">
        <f t="shared" si="2"/>
        <v>9054.3000000000175</v>
      </c>
      <c r="H90" s="145">
        <f>G90*VLOOKUP($B90,LoadRates!$C$2:$E$6,3,FALSE)</f>
        <v>1602.611100000003</v>
      </c>
      <c r="I90" s="145">
        <f t="shared" si="3"/>
        <v>10656.911100000021</v>
      </c>
    </row>
    <row r="91" spans="1:9" ht="18" customHeight="1" x14ac:dyDescent="0.25">
      <c r="A91" s="143" t="s">
        <v>228</v>
      </c>
      <c r="B91" s="143" t="s">
        <v>229</v>
      </c>
      <c r="C91" s="143" t="s">
        <v>199</v>
      </c>
      <c r="D91" s="143" t="s">
        <v>200</v>
      </c>
      <c r="E91" s="144">
        <v>0</v>
      </c>
      <c r="F91" s="145">
        <f>E91*(1+VLOOKUP($B91,SalaryvRevenue!$B$29:$F$33,5,FALSE))</f>
        <v>0</v>
      </c>
      <c r="G91" s="145">
        <f t="shared" si="2"/>
        <v>0</v>
      </c>
      <c r="H91" s="145">
        <f>G91*VLOOKUP($B91,LoadRates!$C$2:$E$6,3,FALSE)</f>
        <v>0</v>
      </c>
      <c r="I91" s="145">
        <f t="shared" si="3"/>
        <v>0</v>
      </c>
    </row>
    <row r="92" spans="1:9" ht="18" customHeight="1" x14ac:dyDescent="0.25">
      <c r="A92" s="143" t="s">
        <v>228</v>
      </c>
      <c r="B92" s="143" t="s">
        <v>229</v>
      </c>
      <c r="C92" s="143" t="s">
        <v>201</v>
      </c>
      <c r="D92" s="143" t="s">
        <v>202</v>
      </c>
      <c r="E92" s="144">
        <v>202230</v>
      </c>
      <c r="F92" s="145">
        <f>E92*(1+VLOOKUP($B92,SalaryvRevenue!$B$29:$F$33,5,FALSE))</f>
        <v>214363.80000000002</v>
      </c>
      <c r="G92" s="145">
        <f t="shared" si="2"/>
        <v>12133.800000000017</v>
      </c>
      <c r="H92" s="145">
        <f>G92*VLOOKUP($B92,LoadRates!$C$2:$E$6,3,FALSE)</f>
        <v>2147.6826000000028</v>
      </c>
      <c r="I92" s="145">
        <f t="shared" si="3"/>
        <v>14281.482600000021</v>
      </c>
    </row>
    <row r="93" spans="1:9" ht="18" customHeight="1" x14ac:dyDescent="0.25">
      <c r="A93" s="143" t="s">
        <v>228</v>
      </c>
      <c r="B93" s="143" t="s">
        <v>229</v>
      </c>
      <c r="C93" s="143" t="s">
        <v>203</v>
      </c>
      <c r="D93" s="143" t="s">
        <v>204</v>
      </c>
      <c r="E93" s="144">
        <v>163173</v>
      </c>
      <c r="F93" s="145">
        <f>E93*(1+VLOOKUP($B93,SalaryvRevenue!$B$29:$F$33,5,FALSE))</f>
        <v>172963.38</v>
      </c>
      <c r="G93" s="145">
        <f t="shared" si="2"/>
        <v>9790.3800000000047</v>
      </c>
      <c r="H93" s="145">
        <f>G93*VLOOKUP($B93,LoadRates!$C$2:$E$6,3,FALSE)</f>
        <v>1732.8972600000006</v>
      </c>
      <c r="I93" s="145">
        <f t="shared" si="3"/>
        <v>11523.277260000006</v>
      </c>
    </row>
    <row r="94" spans="1:9" ht="18" customHeight="1" x14ac:dyDescent="0.25">
      <c r="A94" s="143" t="s">
        <v>228</v>
      </c>
      <c r="B94" s="143" t="s">
        <v>229</v>
      </c>
      <c r="C94" s="143" t="s">
        <v>205</v>
      </c>
      <c r="D94" s="143" t="s">
        <v>206</v>
      </c>
      <c r="E94" s="144">
        <v>0</v>
      </c>
      <c r="F94" s="145">
        <f>E94*(1+VLOOKUP($B94,SalaryvRevenue!$B$29:$F$33,5,FALSE))</f>
        <v>0</v>
      </c>
      <c r="G94" s="145">
        <f t="shared" si="2"/>
        <v>0</v>
      </c>
      <c r="H94" s="145">
        <f>G94*VLOOKUP($B94,LoadRates!$C$2:$E$6,3,FALSE)</f>
        <v>0</v>
      </c>
      <c r="I94" s="145">
        <f t="shared" si="3"/>
        <v>0</v>
      </c>
    </row>
    <row r="95" spans="1:9" ht="18" customHeight="1" x14ac:dyDescent="0.25">
      <c r="A95" s="143" t="s">
        <v>228</v>
      </c>
      <c r="B95" s="143" t="s">
        <v>229</v>
      </c>
      <c r="C95" s="143" t="s">
        <v>207</v>
      </c>
      <c r="D95" s="143" t="s">
        <v>208</v>
      </c>
      <c r="E95" s="144">
        <v>90117</v>
      </c>
      <c r="F95" s="145">
        <f>E95*(1+VLOOKUP($B95,SalaryvRevenue!$B$29:$F$33,5,FALSE))</f>
        <v>95524.02</v>
      </c>
      <c r="G95" s="145">
        <f t="shared" si="2"/>
        <v>5407.0200000000041</v>
      </c>
      <c r="H95" s="145">
        <f>G95*VLOOKUP($B95,LoadRates!$C$2:$E$6,3,FALSE)</f>
        <v>957.04254000000071</v>
      </c>
      <c r="I95" s="145">
        <f t="shared" si="3"/>
        <v>6364.0625400000044</v>
      </c>
    </row>
    <row r="96" spans="1:9" ht="18" customHeight="1" x14ac:dyDescent="0.25">
      <c r="A96" s="143" t="s">
        <v>228</v>
      </c>
      <c r="B96" s="143" t="s">
        <v>229</v>
      </c>
      <c r="C96" s="143" t="s">
        <v>209</v>
      </c>
      <c r="D96" s="143" t="s">
        <v>210</v>
      </c>
      <c r="E96" s="144">
        <v>0</v>
      </c>
      <c r="F96" s="145">
        <f>E96*(1+VLOOKUP($B96,SalaryvRevenue!$B$29:$F$33,5,FALSE))</f>
        <v>0</v>
      </c>
      <c r="G96" s="145">
        <f t="shared" si="2"/>
        <v>0</v>
      </c>
      <c r="H96" s="145">
        <f>G96*VLOOKUP($B96,LoadRates!$C$2:$E$6,3,FALSE)</f>
        <v>0</v>
      </c>
      <c r="I96" s="145">
        <f t="shared" si="3"/>
        <v>0</v>
      </c>
    </row>
    <row r="97" spans="1:9" ht="18" customHeight="1" x14ac:dyDescent="0.25">
      <c r="A97" s="143" t="s">
        <v>228</v>
      </c>
      <c r="B97" s="143" t="s">
        <v>229</v>
      </c>
      <c r="C97" s="143" t="s">
        <v>211</v>
      </c>
      <c r="D97" s="143" t="s">
        <v>212</v>
      </c>
      <c r="E97" s="144">
        <v>225563</v>
      </c>
      <c r="F97" s="145">
        <f>E97*(1+VLOOKUP($B97,SalaryvRevenue!$B$29:$F$33,5,FALSE))</f>
        <v>239096.78</v>
      </c>
      <c r="G97" s="145">
        <f t="shared" si="2"/>
        <v>13533.779999999999</v>
      </c>
      <c r="H97" s="145">
        <f>G97*VLOOKUP($B97,LoadRates!$C$2:$E$6,3,FALSE)</f>
        <v>2395.4790599999997</v>
      </c>
      <c r="I97" s="145">
        <f t="shared" si="3"/>
        <v>15929.259059999998</v>
      </c>
    </row>
    <row r="98" spans="1:9" ht="18" customHeight="1" x14ac:dyDescent="0.25">
      <c r="A98" s="143" t="s">
        <v>228</v>
      </c>
      <c r="B98" s="143" t="s">
        <v>229</v>
      </c>
      <c r="C98" s="143" t="s">
        <v>213</v>
      </c>
      <c r="D98" s="143" t="s">
        <v>214</v>
      </c>
      <c r="E98" s="144">
        <v>0</v>
      </c>
      <c r="F98" s="145">
        <f>E98*(1+VLOOKUP($B98,SalaryvRevenue!$B$29:$F$33,5,FALSE))</f>
        <v>0</v>
      </c>
      <c r="G98" s="145">
        <f t="shared" si="2"/>
        <v>0</v>
      </c>
      <c r="H98" s="145">
        <f>G98*VLOOKUP($B98,LoadRates!$C$2:$E$6,3,FALSE)</f>
        <v>0</v>
      </c>
      <c r="I98" s="145">
        <f t="shared" si="3"/>
        <v>0</v>
      </c>
    </row>
    <row r="99" spans="1:9" ht="18" customHeight="1" x14ac:dyDescent="0.25">
      <c r="A99" s="143" t="s">
        <v>228</v>
      </c>
      <c r="B99" s="143" t="s">
        <v>229</v>
      </c>
      <c r="C99" s="143" t="s">
        <v>215</v>
      </c>
      <c r="D99" s="143" t="s">
        <v>216</v>
      </c>
      <c r="E99" s="144">
        <v>3255057</v>
      </c>
      <c r="F99" s="145">
        <f>E99*(1+VLOOKUP($B99,SalaryvRevenue!$B$29:$F$33,5,FALSE))</f>
        <v>3450360.4200000004</v>
      </c>
      <c r="G99" s="145">
        <f t="shared" si="2"/>
        <v>195303.42000000039</v>
      </c>
      <c r="H99" s="145">
        <f>G99*VLOOKUP($B99,LoadRates!$C$2:$E$6,3,FALSE)</f>
        <v>34568.705340000066</v>
      </c>
      <c r="I99" s="145">
        <f t="shared" si="3"/>
        <v>229872.12534000046</v>
      </c>
    </row>
    <row r="100" spans="1:9" ht="18" customHeight="1" x14ac:dyDescent="0.25">
      <c r="A100" s="143" t="s">
        <v>228</v>
      </c>
      <c r="B100" s="143" t="s">
        <v>229</v>
      </c>
      <c r="C100" s="143" t="s">
        <v>217</v>
      </c>
      <c r="D100" s="143" t="s">
        <v>218</v>
      </c>
      <c r="E100" s="144">
        <v>0</v>
      </c>
      <c r="F100" s="145">
        <f>E100*(1+VLOOKUP($B100,SalaryvRevenue!$B$29:$F$33,5,FALSE))</f>
        <v>0</v>
      </c>
      <c r="G100" s="145">
        <f t="shared" si="2"/>
        <v>0</v>
      </c>
      <c r="H100" s="145">
        <f>G100*VLOOKUP($B100,LoadRates!$C$2:$E$6,3,FALSE)</f>
        <v>0</v>
      </c>
      <c r="I100" s="145">
        <f t="shared" si="3"/>
        <v>0</v>
      </c>
    </row>
    <row r="101" spans="1:9" ht="18" customHeight="1" x14ac:dyDescent="0.25">
      <c r="A101" s="143" t="s">
        <v>228</v>
      </c>
      <c r="B101" s="143" t="s">
        <v>229</v>
      </c>
      <c r="C101" s="143" t="s">
        <v>219</v>
      </c>
      <c r="D101" s="143" t="s">
        <v>220</v>
      </c>
      <c r="E101" s="144">
        <v>165483</v>
      </c>
      <c r="F101" s="145">
        <f>E101*(1+VLOOKUP($B101,SalaryvRevenue!$B$29:$F$33,5,FALSE))</f>
        <v>175411.98</v>
      </c>
      <c r="G101" s="145">
        <f t="shared" si="2"/>
        <v>9928.9800000000105</v>
      </c>
      <c r="H101" s="145">
        <f>G101*VLOOKUP($B101,LoadRates!$C$2:$E$6,3,FALSE)</f>
        <v>1757.4294600000017</v>
      </c>
      <c r="I101" s="145">
        <f t="shared" si="3"/>
        <v>11686.409460000012</v>
      </c>
    </row>
    <row r="102" spans="1:9" ht="18" customHeight="1" x14ac:dyDescent="0.25">
      <c r="A102" s="143" t="s">
        <v>228</v>
      </c>
      <c r="B102" s="143" t="s">
        <v>229</v>
      </c>
      <c r="C102" s="143" t="s">
        <v>221</v>
      </c>
      <c r="D102" s="143" t="s">
        <v>222</v>
      </c>
      <c r="E102" s="144">
        <v>20820</v>
      </c>
      <c r="F102" s="145">
        <f>E102*(1+VLOOKUP($B102,SalaryvRevenue!$B$29:$F$33,5,FALSE))</f>
        <v>22069.200000000001</v>
      </c>
      <c r="G102" s="145">
        <f t="shared" si="2"/>
        <v>1249.2000000000007</v>
      </c>
      <c r="H102" s="145">
        <f>G102*VLOOKUP($B102,LoadRates!$C$2:$E$6,3,FALSE)</f>
        <v>221.10840000000013</v>
      </c>
      <c r="I102" s="145">
        <f t="shared" si="3"/>
        <v>1470.3084000000008</v>
      </c>
    </row>
  </sheetData>
  <mergeCells count="1">
    <mergeCell ref="I1:I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workbookViewId="0">
      <selection activeCell="J1" sqref="J1:J1048576"/>
    </sheetView>
  </sheetViews>
  <sheetFormatPr defaultColWidth="8.85546875" defaultRowHeight="15" x14ac:dyDescent="0.25"/>
  <cols>
    <col min="1" max="1" width="8.85546875" style="137"/>
    <col min="2" max="2" width="40.140625" style="137" customWidth="1"/>
    <col min="3" max="3" width="14.42578125" style="137" bestFit="1" customWidth="1"/>
    <col min="4" max="4" width="40.140625" style="137" customWidth="1"/>
    <col min="5" max="5" width="14.7109375" style="147" bestFit="1" customWidth="1"/>
    <col min="6" max="6" width="15.28515625" style="146" bestFit="1" customWidth="1"/>
    <col min="7" max="7" width="14.28515625" style="137" bestFit="1" customWidth="1"/>
    <col min="8" max="8" width="12.42578125" style="146" bestFit="1" customWidth="1"/>
    <col min="9" max="9" width="14.28515625" style="137" bestFit="1" customWidth="1"/>
    <col min="10" max="16384" width="8.85546875" style="137"/>
  </cols>
  <sheetData>
    <row r="1" spans="1:9" ht="35.25" customHeight="1" x14ac:dyDescent="0.25">
      <c r="A1" s="133"/>
      <c r="B1" s="133"/>
      <c r="C1" s="133"/>
      <c r="D1" s="133"/>
      <c r="E1" s="134" t="s">
        <v>172</v>
      </c>
      <c r="F1" s="135" t="s">
        <v>173</v>
      </c>
      <c r="G1" s="136" t="s">
        <v>173</v>
      </c>
      <c r="H1" s="135" t="s">
        <v>173</v>
      </c>
      <c r="I1" s="501" t="s">
        <v>174</v>
      </c>
    </row>
    <row r="2" spans="1:9" s="142" customFormat="1" ht="27" customHeight="1" x14ac:dyDescent="0.25">
      <c r="A2" s="148" t="s">
        <v>175</v>
      </c>
      <c r="B2" s="148" t="s">
        <v>176</v>
      </c>
      <c r="C2" s="148" t="s">
        <v>177</v>
      </c>
      <c r="D2" s="148" t="s">
        <v>178</v>
      </c>
      <c r="E2" s="148" t="s">
        <v>179</v>
      </c>
      <c r="F2" s="140" t="s">
        <v>179</v>
      </c>
      <c r="G2" s="141" t="s">
        <v>180</v>
      </c>
      <c r="H2" s="140" t="s">
        <v>181</v>
      </c>
      <c r="I2" s="501"/>
    </row>
    <row r="3" spans="1:9" ht="18" customHeight="1" x14ac:dyDescent="0.25">
      <c r="A3" s="149" t="s">
        <v>3</v>
      </c>
      <c r="B3" s="149" t="s">
        <v>182</v>
      </c>
      <c r="C3" s="149" t="s">
        <v>183</v>
      </c>
      <c r="D3" s="149" t="s">
        <v>184</v>
      </c>
      <c r="E3" s="150">
        <v>0</v>
      </c>
      <c r="F3" s="145">
        <f>E3*(1+VLOOKUP($B3,SalaryvRevenue!$B$29:$F$33,5,FALSE))</f>
        <v>0</v>
      </c>
      <c r="G3" s="145">
        <f t="shared" ref="G3:G66" si="0">+F3-E3</f>
        <v>0</v>
      </c>
      <c r="H3" s="145">
        <f>G3*VLOOKUP($B3,LoadRates!$C$2:$H$6,3,FALSE)</f>
        <v>0</v>
      </c>
      <c r="I3" s="145">
        <f t="shared" ref="I3:I66" si="1">+G3+H3</f>
        <v>0</v>
      </c>
    </row>
    <row r="4" spans="1:9" ht="18" customHeight="1" x14ac:dyDescent="0.25">
      <c r="A4" s="149" t="s">
        <v>3</v>
      </c>
      <c r="B4" s="149" t="s">
        <v>182</v>
      </c>
      <c r="C4" s="149" t="s">
        <v>185</v>
      </c>
      <c r="D4" s="149" t="s">
        <v>186</v>
      </c>
      <c r="E4" s="150">
        <v>50640</v>
      </c>
      <c r="F4" s="145">
        <f>E4*(1+VLOOKUP($B4,SalaryvRevenue!$B$29:$F$33,5,FALSE))</f>
        <v>52665.599999999999</v>
      </c>
      <c r="G4" s="145">
        <f t="shared" si="0"/>
        <v>2025.5999999999985</v>
      </c>
      <c r="H4" s="145">
        <f>G4*VLOOKUP($B4,LoadRates!$C$2:$H$6,3,FALSE)</f>
        <v>492.22079999999966</v>
      </c>
      <c r="I4" s="145">
        <f t="shared" si="1"/>
        <v>2517.8207999999981</v>
      </c>
    </row>
    <row r="5" spans="1:9" ht="18" customHeight="1" x14ac:dyDescent="0.25">
      <c r="A5" s="149" t="s">
        <v>3</v>
      </c>
      <c r="B5" s="149" t="s">
        <v>182</v>
      </c>
      <c r="C5" s="149" t="s">
        <v>187</v>
      </c>
      <c r="D5" s="149" t="s">
        <v>188</v>
      </c>
      <c r="E5" s="150">
        <v>0</v>
      </c>
      <c r="F5" s="145">
        <f>E5*(1+VLOOKUP($B5,SalaryvRevenue!$B$29:$F$33,5,FALSE))</f>
        <v>0</v>
      </c>
      <c r="G5" s="145">
        <f t="shared" si="0"/>
        <v>0</v>
      </c>
      <c r="H5" s="145">
        <f>G5*VLOOKUP($B5,LoadRates!$C$2:$H$6,3,FALSE)</f>
        <v>0</v>
      </c>
      <c r="I5" s="145">
        <f t="shared" si="1"/>
        <v>0</v>
      </c>
    </row>
    <row r="6" spans="1:9" ht="18" customHeight="1" x14ac:dyDescent="0.25">
      <c r="A6" s="149" t="s">
        <v>3</v>
      </c>
      <c r="B6" s="149" t="s">
        <v>182</v>
      </c>
      <c r="C6" s="149" t="s">
        <v>189</v>
      </c>
      <c r="D6" s="149" t="s">
        <v>190</v>
      </c>
      <c r="E6" s="150">
        <v>0</v>
      </c>
      <c r="F6" s="145">
        <f>E6*(1+VLOOKUP($B6,SalaryvRevenue!$B$29:$F$33,5,FALSE))</f>
        <v>0</v>
      </c>
      <c r="G6" s="145">
        <f t="shared" si="0"/>
        <v>0</v>
      </c>
      <c r="H6" s="145">
        <f>G6*VLOOKUP($B6,LoadRates!$C$2:$H$6,3,FALSE)</f>
        <v>0</v>
      </c>
      <c r="I6" s="145">
        <f t="shared" si="1"/>
        <v>0</v>
      </c>
    </row>
    <row r="7" spans="1:9" ht="18" customHeight="1" x14ac:dyDescent="0.25">
      <c r="A7" s="149" t="s">
        <v>3</v>
      </c>
      <c r="B7" s="149" t="s">
        <v>182</v>
      </c>
      <c r="C7" s="149" t="s">
        <v>191</v>
      </c>
      <c r="D7" s="149" t="s">
        <v>192</v>
      </c>
      <c r="E7" s="150">
        <v>16608</v>
      </c>
      <c r="F7" s="145">
        <f>E7*(1+VLOOKUP($B7,SalaryvRevenue!$B$29:$F$33,5,FALSE))</f>
        <v>17272.32</v>
      </c>
      <c r="G7" s="145">
        <f t="shared" si="0"/>
        <v>664.31999999999971</v>
      </c>
      <c r="H7" s="145">
        <f>G7*VLOOKUP($B7,LoadRates!$C$2:$H$6,3,FALSE)</f>
        <v>161.42975999999993</v>
      </c>
      <c r="I7" s="145">
        <f t="shared" si="1"/>
        <v>825.7497599999997</v>
      </c>
    </row>
    <row r="8" spans="1:9" ht="18" customHeight="1" x14ac:dyDescent="0.25">
      <c r="A8" s="149" t="s">
        <v>3</v>
      </c>
      <c r="B8" s="149" t="s">
        <v>182</v>
      </c>
      <c r="C8" s="149" t="s">
        <v>193</v>
      </c>
      <c r="D8" s="149" t="s">
        <v>194</v>
      </c>
      <c r="E8" s="150">
        <v>0</v>
      </c>
      <c r="F8" s="145">
        <f>E8*(1+VLOOKUP($B8,SalaryvRevenue!$B$29:$F$33,5,FALSE))</f>
        <v>0</v>
      </c>
      <c r="G8" s="145">
        <f t="shared" si="0"/>
        <v>0</v>
      </c>
      <c r="H8" s="145">
        <f>G8*VLOOKUP($B8,LoadRates!$C$2:$H$6,3,FALSE)</f>
        <v>0</v>
      </c>
      <c r="I8" s="145">
        <f t="shared" si="1"/>
        <v>0</v>
      </c>
    </row>
    <row r="9" spans="1:9" ht="18" customHeight="1" x14ac:dyDescent="0.25">
      <c r="A9" s="149" t="s">
        <v>3</v>
      </c>
      <c r="B9" s="149" t="s">
        <v>182</v>
      </c>
      <c r="C9" s="149" t="s">
        <v>195</v>
      </c>
      <c r="D9" s="149" t="s">
        <v>196</v>
      </c>
      <c r="E9" s="150">
        <v>332751</v>
      </c>
      <c r="F9" s="145">
        <f>E9*(1+VLOOKUP($B9,SalaryvRevenue!$B$29:$F$33,5,FALSE))</f>
        <v>346061.04000000004</v>
      </c>
      <c r="G9" s="145">
        <f t="shared" si="0"/>
        <v>13310.040000000037</v>
      </c>
      <c r="H9" s="145">
        <f>G9*VLOOKUP($B9,LoadRates!$C$2:$H$6,3,FALSE)</f>
        <v>3234.339720000009</v>
      </c>
      <c r="I9" s="145">
        <f t="shared" si="1"/>
        <v>16544.379720000048</v>
      </c>
    </row>
    <row r="10" spans="1:9" ht="18" customHeight="1" x14ac:dyDescent="0.25">
      <c r="A10" s="149" t="s">
        <v>3</v>
      </c>
      <c r="B10" s="149" t="s">
        <v>182</v>
      </c>
      <c r="C10" s="149" t="s">
        <v>197</v>
      </c>
      <c r="D10" s="149" t="s">
        <v>198</v>
      </c>
      <c r="E10" s="150">
        <v>128316</v>
      </c>
      <c r="F10" s="145">
        <f>E10*(1+VLOOKUP($B10,SalaryvRevenue!$B$29:$F$33,5,FALSE))</f>
        <v>133448.64000000001</v>
      </c>
      <c r="G10" s="145">
        <f t="shared" si="0"/>
        <v>5132.640000000014</v>
      </c>
      <c r="H10" s="145">
        <f>G10*VLOOKUP($B10,LoadRates!$C$2:$H$6,3,FALSE)</f>
        <v>1247.2315200000035</v>
      </c>
      <c r="I10" s="145">
        <f t="shared" si="1"/>
        <v>6379.871520000017</v>
      </c>
    </row>
    <row r="11" spans="1:9" ht="18" customHeight="1" x14ac:dyDescent="0.25">
      <c r="A11" s="149" t="s">
        <v>3</v>
      </c>
      <c r="B11" s="149" t="s">
        <v>182</v>
      </c>
      <c r="C11" s="149" t="s">
        <v>199</v>
      </c>
      <c r="D11" s="149" t="s">
        <v>200</v>
      </c>
      <c r="E11" s="150">
        <v>0</v>
      </c>
      <c r="F11" s="145">
        <f>E11*(1+VLOOKUP($B11,SalaryvRevenue!$B$29:$F$33,5,FALSE))</f>
        <v>0</v>
      </c>
      <c r="G11" s="145">
        <f t="shared" si="0"/>
        <v>0</v>
      </c>
      <c r="H11" s="145">
        <f>G11*VLOOKUP($B11,LoadRates!$C$2:$H$6,3,FALSE)</f>
        <v>0</v>
      </c>
      <c r="I11" s="145">
        <f t="shared" si="1"/>
        <v>0</v>
      </c>
    </row>
    <row r="12" spans="1:9" ht="18" customHeight="1" x14ac:dyDescent="0.25">
      <c r="A12" s="149" t="s">
        <v>3</v>
      </c>
      <c r="B12" s="149" t="s">
        <v>182</v>
      </c>
      <c r="C12" s="149" t="s">
        <v>201</v>
      </c>
      <c r="D12" s="149" t="s">
        <v>202</v>
      </c>
      <c r="E12" s="150">
        <v>0</v>
      </c>
      <c r="F12" s="145">
        <f>E12*(1+VLOOKUP($B12,SalaryvRevenue!$B$29:$F$33,5,FALSE))</f>
        <v>0</v>
      </c>
      <c r="G12" s="145">
        <f t="shared" si="0"/>
        <v>0</v>
      </c>
      <c r="H12" s="145">
        <f>G12*VLOOKUP($B12,LoadRates!$C$2:$H$6,3,FALSE)</f>
        <v>0</v>
      </c>
      <c r="I12" s="145">
        <f t="shared" si="1"/>
        <v>0</v>
      </c>
    </row>
    <row r="13" spans="1:9" ht="18" customHeight="1" x14ac:dyDescent="0.25">
      <c r="A13" s="149" t="s">
        <v>3</v>
      </c>
      <c r="B13" s="149" t="s">
        <v>182</v>
      </c>
      <c r="C13" s="149" t="s">
        <v>203</v>
      </c>
      <c r="D13" s="149" t="s">
        <v>204</v>
      </c>
      <c r="E13" s="150">
        <v>13220</v>
      </c>
      <c r="F13" s="145">
        <f>E13*(1+VLOOKUP($B13,SalaryvRevenue!$B$29:$F$33,5,FALSE))</f>
        <v>13748.800000000001</v>
      </c>
      <c r="G13" s="145">
        <f t="shared" si="0"/>
        <v>528.80000000000109</v>
      </c>
      <c r="H13" s="145">
        <f>G13*VLOOKUP($B13,LoadRates!$C$2:$H$6,3,FALSE)</f>
        <v>128.49840000000026</v>
      </c>
      <c r="I13" s="145">
        <f t="shared" si="1"/>
        <v>657.29840000000138</v>
      </c>
    </row>
    <row r="14" spans="1:9" ht="18" customHeight="1" x14ac:dyDescent="0.25">
      <c r="A14" s="149" t="s">
        <v>3</v>
      </c>
      <c r="B14" s="149" t="s">
        <v>182</v>
      </c>
      <c r="C14" s="149" t="s">
        <v>205</v>
      </c>
      <c r="D14" s="149" t="s">
        <v>206</v>
      </c>
      <c r="E14" s="150">
        <v>339756</v>
      </c>
      <c r="F14" s="145">
        <f>E14*(1+VLOOKUP($B14,SalaryvRevenue!$B$29:$F$33,5,FALSE))</f>
        <v>353346.24</v>
      </c>
      <c r="G14" s="145">
        <f t="shared" si="0"/>
        <v>13590.239999999991</v>
      </c>
      <c r="H14" s="145">
        <f>G14*VLOOKUP($B14,LoadRates!$C$2:$H$6,3,FALSE)</f>
        <v>3302.4283199999977</v>
      </c>
      <c r="I14" s="145">
        <f t="shared" si="1"/>
        <v>16892.66831999999</v>
      </c>
    </row>
    <row r="15" spans="1:9" ht="18" customHeight="1" x14ac:dyDescent="0.25">
      <c r="A15" s="149" t="s">
        <v>3</v>
      </c>
      <c r="B15" s="149" t="s">
        <v>182</v>
      </c>
      <c r="C15" s="149" t="s">
        <v>207</v>
      </c>
      <c r="D15" s="149" t="s">
        <v>208</v>
      </c>
      <c r="E15" s="150">
        <v>6187989</v>
      </c>
      <c r="F15" s="145">
        <f>E15*(1+VLOOKUP($B15,SalaryvRevenue!$B$29:$F$33,5,FALSE))</f>
        <v>6435508.5600000005</v>
      </c>
      <c r="G15" s="145">
        <f t="shared" si="0"/>
        <v>247519.56000000052</v>
      </c>
      <c r="H15" s="145">
        <f>G15*VLOOKUP($B15,LoadRates!$C$2:$H$6,3,FALSE)</f>
        <v>60147.253080000126</v>
      </c>
      <c r="I15" s="145">
        <f t="shared" si="1"/>
        <v>307666.81308000063</v>
      </c>
    </row>
    <row r="16" spans="1:9" ht="18" customHeight="1" x14ac:dyDescent="0.25">
      <c r="A16" s="149" t="s">
        <v>3</v>
      </c>
      <c r="B16" s="149" t="s">
        <v>182</v>
      </c>
      <c r="C16" s="149" t="s">
        <v>209</v>
      </c>
      <c r="D16" s="149" t="s">
        <v>210</v>
      </c>
      <c r="E16" s="150">
        <v>135854</v>
      </c>
      <c r="F16" s="145">
        <f>E16*(1+VLOOKUP($B16,SalaryvRevenue!$B$29:$F$33,5,FALSE))</f>
        <v>141288.16</v>
      </c>
      <c r="G16" s="145">
        <f t="shared" si="0"/>
        <v>5434.1600000000035</v>
      </c>
      <c r="H16" s="145">
        <f>G16*VLOOKUP($B16,LoadRates!$C$2:$H$6,3,FALSE)</f>
        <v>1320.5008800000007</v>
      </c>
      <c r="I16" s="145">
        <f t="shared" si="1"/>
        <v>6754.660880000004</v>
      </c>
    </row>
    <row r="17" spans="1:9" ht="18" customHeight="1" x14ac:dyDescent="0.25">
      <c r="A17" s="149" t="s">
        <v>3</v>
      </c>
      <c r="B17" s="149" t="s">
        <v>182</v>
      </c>
      <c r="C17" s="149" t="s">
        <v>211</v>
      </c>
      <c r="D17" s="149" t="s">
        <v>212</v>
      </c>
      <c r="E17" s="150">
        <v>0</v>
      </c>
      <c r="F17" s="145">
        <f>E17*(1+VLOOKUP($B17,SalaryvRevenue!$B$29:$F$33,5,FALSE))</f>
        <v>0</v>
      </c>
      <c r="G17" s="145">
        <f t="shared" si="0"/>
        <v>0</v>
      </c>
      <c r="H17" s="145">
        <f>G17*VLOOKUP($B17,LoadRates!$C$2:$H$6,3,FALSE)</f>
        <v>0</v>
      </c>
      <c r="I17" s="145">
        <f t="shared" si="1"/>
        <v>0</v>
      </c>
    </row>
    <row r="18" spans="1:9" ht="18" customHeight="1" x14ac:dyDescent="0.25">
      <c r="A18" s="149" t="s">
        <v>3</v>
      </c>
      <c r="B18" s="149" t="s">
        <v>182</v>
      </c>
      <c r="C18" s="149" t="s">
        <v>213</v>
      </c>
      <c r="D18" s="149" t="s">
        <v>214</v>
      </c>
      <c r="E18" s="150">
        <v>199392</v>
      </c>
      <c r="F18" s="145">
        <f>E18*(1+VLOOKUP($B18,SalaryvRevenue!$B$29:$F$33,5,FALSE))</f>
        <v>207367.67999999999</v>
      </c>
      <c r="G18" s="145">
        <f t="shared" si="0"/>
        <v>7975.679999999993</v>
      </c>
      <c r="H18" s="145">
        <f>G18*VLOOKUP($B18,LoadRates!$C$2:$H$6,3,FALSE)</f>
        <v>1938.0902399999982</v>
      </c>
      <c r="I18" s="145">
        <f t="shared" si="1"/>
        <v>9913.7702399999907</v>
      </c>
    </row>
    <row r="19" spans="1:9" ht="18" customHeight="1" x14ac:dyDescent="0.25">
      <c r="A19" s="149" t="s">
        <v>3</v>
      </c>
      <c r="B19" s="149" t="s">
        <v>182</v>
      </c>
      <c r="C19" s="149" t="s">
        <v>215</v>
      </c>
      <c r="D19" s="149" t="s">
        <v>216</v>
      </c>
      <c r="E19" s="150">
        <v>1311664</v>
      </c>
      <c r="F19" s="145">
        <f>E19*(1+VLOOKUP($B19,SalaryvRevenue!$B$29:$F$33,5,FALSE))</f>
        <v>1364130.56</v>
      </c>
      <c r="G19" s="145">
        <f t="shared" si="0"/>
        <v>52466.560000000056</v>
      </c>
      <c r="H19" s="145">
        <f>G19*VLOOKUP($B19,LoadRates!$C$2:$H$6,3,FALSE)</f>
        <v>12749.374080000014</v>
      </c>
      <c r="I19" s="145">
        <f t="shared" si="1"/>
        <v>65215.934080000072</v>
      </c>
    </row>
    <row r="20" spans="1:9" ht="18" customHeight="1" x14ac:dyDescent="0.25">
      <c r="A20" s="149" t="s">
        <v>3</v>
      </c>
      <c r="B20" s="149" t="s">
        <v>182</v>
      </c>
      <c r="C20" s="149" t="s">
        <v>217</v>
      </c>
      <c r="D20" s="149" t="s">
        <v>218</v>
      </c>
      <c r="E20" s="150">
        <v>97920</v>
      </c>
      <c r="F20" s="145">
        <f>E20*(1+VLOOKUP($B20,SalaryvRevenue!$B$29:$F$33,5,FALSE))</f>
        <v>101836.8</v>
      </c>
      <c r="G20" s="145">
        <f t="shared" si="0"/>
        <v>3916.8000000000029</v>
      </c>
      <c r="H20" s="145">
        <f>G20*VLOOKUP($B20,LoadRates!$C$2:$H$6,3,FALSE)</f>
        <v>951.78240000000073</v>
      </c>
      <c r="I20" s="145">
        <f t="shared" si="1"/>
        <v>4868.5824000000039</v>
      </c>
    </row>
    <row r="21" spans="1:9" ht="18" customHeight="1" x14ac:dyDescent="0.25">
      <c r="A21" s="149" t="s">
        <v>3</v>
      </c>
      <c r="B21" s="149" t="s">
        <v>182</v>
      </c>
      <c r="C21" s="149" t="s">
        <v>219</v>
      </c>
      <c r="D21" s="149" t="s">
        <v>220</v>
      </c>
      <c r="E21" s="150">
        <v>0</v>
      </c>
      <c r="F21" s="145">
        <f>E21*(1+VLOOKUP($B21,SalaryvRevenue!$B$29:$F$33,5,FALSE))</f>
        <v>0</v>
      </c>
      <c r="G21" s="145">
        <f t="shared" si="0"/>
        <v>0</v>
      </c>
      <c r="H21" s="145">
        <f>G21*VLOOKUP($B21,LoadRates!$C$2:$H$6,3,FALSE)</f>
        <v>0</v>
      </c>
      <c r="I21" s="145">
        <f t="shared" si="1"/>
        <v>0</v>
      </c>
    </row>
    <row r="22" spans="1:9" ht="18" customHeight="1" x14ac:dyDescent="0.25">
      <c r="A22" s="149" t="s">
        <v>3</v>
      </c>
      <c r="B22" s="149" t="s">
        <v>182</v>
      </c>
      <c r="C22" s="149" t="s">
        <v>221</v>
      </c>
      <c r="D22" s="149" t="s">
        <v>222</v>
      </c>
      <c r="E22" s="150">
        <v>0</v>
      </c>
      <c r="F22" s="145">
        <f>E22*(1+VLOOKUP($B22,SalaryvRevenue!$B$29:$F$33,5,FALSE))</f>
        <v>0</v>
      </c>
      <c r="G22" s="145">
        <f t="shared" si="0"/>
        <v>0</v>
      </c>
      <c r="H22" s="145">
        <f>G22*VLOOKUP($B22,LoadRates!$C$2:$H$6,3,FALSE)</f>
        <v>0</v>
      </c>
      <c r="I22" s="145">
        <f t="shared" si="1"/>
        <v>0</v>
      </c>
    </row>
    <row r="23" spans="1:9" ht="18" customHeight="1" x14ac:dyDescent="0.25">
      <c r="A23" s="149" t="s">
        <v>5</v>
      </c>
      <c r="B23" s="149" t="s">
        <v>223</v>
      </c>
      <c r="C23" s="149" t="s">
        <v>183</v>
      </c>
      <c r="D23" s="149" t="s">
        <v>184</v>
      </c>
      <c r="E23" s="150">
        <v>0</v>
      </c>
      <c r="F23" s="145">
        <f>E23*(1+VLOOKUP($B23,SalaryvRevenue!$B$29:$F$33,5,FALSE))</f>
        <v>0</v>
      </c>
      <c r="G23" s="145">
        <f t="shared" si="0"/>
        <v>0</v>
      </c>
      <c r="H23" s="145">
        <f>G23*VLOOKUP($B23,LoadRates!$C$2:$H$6,3,FALSE)</f>
        <v>0</v>
      </c>
      <c r="I23" s="145">
        <f t="shared" si="1"/>
        <v>0</v>
      </c>
    </row>
    <row r="24" spans="1:9" ht="18" customHeight="1" x14ac:dyDescent="0.25">
      <c r="A24" s="149" t="s">
        <v>5</v>
      </c>
      <c r="B24" s="149" t="s">
        <v>223</v>
      </c>
      <c r="C24" s="149" t="s">
        <v>185</v>
      </c>
      <c r="D24" s="149" t="s">
        <v>186</v>
      </c>
      <c r="E24" s="150">
        <v>0</v>
      </c>
      <c r="F24" s="145">
        <f>E24*(1+VLOOKUP($B24,SalaryvRevenue!$B$29:$F$33,5,FALSE))</f>
        <v>0</v>
      </c>
      <c r="G24" s="145">
        <f t="shared" si="0"/>
        <v>0</v>
      </c>
      <c r="H24" s="145">
        <f>G24*VLOOKUP($B24,LoadRates!$C$2:$H$6,3,FALSE)</f>
        <v>0</v>
      </c>
      <c r="I24" s="145">
        <f t="shared" si="1"/>
        <v>0</v>
      </c>
    </row>
    <row r="25" spans="1:9" ht="18" customHeight="1" x14ac:dyDescent="0.25">
      <c r="A25" s="149" t="s">
        <v>5</v>
      </c>
      <c r="B25" s="149" t="s">
        <v>223</v>
      </c>
      <c r="C25" s="149" t="s">
        <v>187</v>
      </c>
      <c r="D25" s="149" t="s">
        <v>188</v>
      </c>
      <c r="E25" s="150">
        <v>0</v>
      </c>
      <c r="F25" s="145">
        <f>E25*(1+VLOOKUP($B25,SalaryvRevenue!$B$29:$F$33,5,FALSE))</f>
        <v>0</v>
      </c>
      <c r="G25" s="145">
        <f t="shared" si="0"/>
        <v>0</v>
      </c>
      <c r="H25" s="145">
        <f>G25*VLOOKUP($B25,LoadRates!$C$2:$H$6,3,FALSE)</f>
        <v>0</v>
      </c>
      <c r="I25" s="145">
        <f t="shared" si="1"/>
        <v>0</v>
      </c>
    </row>
    <row r="26" spans="1:9" ht="18" customHeight="1" x14ac:dyDescent="0.25">
      <c r="A26" s="149" t="s">
        <v>5</v>
      </c>
      <c r="B26" s="149" t="s">
        <v>223</v>
      </c>
      <c r="C26" s="149" t="s">
        <v>189</v>
      </c>
      <c r="D26" s="149" t="s">
        <v>190</v>
      </c>
      <c r="E26" s="150">
        <v>0</v>
      </c>
      <c r="F26" s="145">
        <f>E26*(1+VLOOKUP($B26,SalaryvRevenue!$B$29:$F$33,5,FALSE))</f>
        <v>0</v>
      </c>
      <c r="G26" s="145">
        <f t="shared" si="0"/>
        <v>0</v>
      </c>
      <c r="H26" s="145">
        <f>G26*VLOOKUP($B26,LoadRates!$C$2:$H$6,3,FALSE)</f>
        <v>0</v>
      </c>
      <c r="I26" s="145">
        <f t="shared" si="1"/>
        <v>0</v>
      </c>
    </row>
    <row r="27" spans="1:9" ht="18" customHeight="1" x14ac:dyDescent="0.25">
      <c r="A27" s="149" t="s">
        <v>5</v>
      </c>
      <c r="B27" s="149" t="s">
        <v>223</v>
      </c>
      <c r="C27" s="149" t="s">
        <v>191</v>
      </c>
      <c r="D27" s="149" t="s">
        <v>192</v>
      </c>
      <c r="E27" s="150">
        <v>0</v>
      </c>
      <c r="F27" s="145">
        <f>E27*(1+VLOOKUP($B27,SalaryvRevenue!$B$29:$F$33,5,FALSE))</f>
        <v>0</v>
      </c>
      <c r="G27" s="145">
        <f t="shared" si="0"/>
        <v>0</v>
      </c>
      <c r="H27" s="145">
        <f>G27*VLOOKUP($B27,LoadRates!$C$2:$H$6,3,FALSE)</f>
        <v>0</v>
      </c>
      <c r="I27" s="145">
        <f t="shared" si="1"/>
        <v>0</v>
      </c>
    </row>
    <row r="28" spans="1:9" ht="18" customHeight="1" x14ac:dyDescent="0.25">
      <c r="A28" s="149" t="s">
        <v>5</v>
      </c>
      <c r="B28" s="149" t="s">
        <v>223</v>
      </c>
      <c r="C28" s="149" t="s">
        <v>193</v>
      </c>
      <c r="D28" s="149" t="s">
        <v>194</v>
      </c>
      <c r="E28" s="150">
        <v>0</v>
      </c>
      <c r="F28" s="145">
        <f>E28*(1+VLOOKUP($B28,SalaryvRevenue!$B$29:$F$33,5,FALSE))</f>
        <v>0</v>
      </c>
      <c r="G28" s="145">
        <f t="shared" si="0"/>
        <v>0</v>
      </c>
      <c r="H28" s="145">
        <f>G28*VLOOKUP($B28,LoadRates!$C$2:$H$6,3,FALSE)</f>
        <v>0</v>
      </c>
      <c r="I28" s="145">
        <f t="shared" si="1"/>
        <v>0</v>
      </c>
    </row>
    <row r="29" spans="1:9" ht="18" customHeight="1" x14ac:dyDescent="0.25">
      <c r="A29" s="149" t="s">
        <v>5</v>
      </c>
      <c r="B29" s="149" t="s">
        <v>223</v>
      </c>
      <c r="C29" s="149" t="s">
        <v>195</v>
      </c>
      <c r="D29" s="149" t="s">
        <v>196</v>
      </c>
      <c r="E29" s="150">
        <v>0</v>
      </c>
      <c r="F29" s="145">
        <f>E29*(1+VLOOKUP($B29,SalaryvRevenue!$B$29:$F$33,5,FALSE))</f>
        <v>0</v>
      </c>
      <c r="G29" s="145">
        <f t="shared" si="0"/>
        <v>0</v>
      </c>
      <c r="H29" s="145">
        <f>G29*VLOOKUP($B29,LoadRates!$C$2:$H$6,3,FALSE)</f>
        <v>0</v>
      </c>
      <c r="I29" s="145">
        <f t="shared" si="1"/>
        <v>0</v>
      </c>
    </row>
    <row r="30" spans="1:9" ht="18" customHeight="1" x14ac:dyDescent="0.25">
      <c r="A30" s="149" t="s">
        <v>5</v>
      </c>
      <c r="B30" s="149" t="s">
        <v>223</v>
      </c>
      <c r="C30" s="149" t="s">
        <v>197</v>
      </c>
      <c r="D30" s="149" t="s">
        <v>198</v>
      </c>
      <c r="E30" s="150">
        <v>0</v>
      </c>
      <c r="F30" s="145">
        <f>E30*(1+VLOOKUP($B30,SalaryvRevenue!$B$29:$F$33,5,FALSE))</f>
        <v>0</v>
      </c>
      <c r="G30" s="145">
        <f t="shared" si="0"/>
        <v>0</v>
      </c>
      <c r="H30" s="145">
        <f>G30*VLOOKUP($B30,LoadRates!$C$2:$H$6,3,FALSE)</f>
        <v>0</v>
      </c>
      <c r="I30" s="145">
        <f t="shared" si="1"/>
        <v>0</v>
      </c>
    </row>
    <row r="31" spans="1:9" ht="18" customHeight="1" x14ac:dyDescent="0.25">
      <c r="A31" s="149" t="s">
        <v>5</v>
      </c>
      <c r="B31" s="149" t="s">
        <v>223</v>
      </c>
      <c r="C31" s="149" t="s">
        <v>199</v>
      </c>
      <c r="D31" s="149" t="s">
        <v>200</v>
      </c>
      <c r="E31" s="150">
        <v>0</v>
      </c>
      <c r="F31" s="145">
        <f>E31*(1+VLOOKUP($B31,SalaryvRevenue!$B$29:$F$33,5,FALSE))</f>
        <v>0</v>
      </c>
      <c r="G31" s="145">
        <f t="shared" si="0"/>
        <v>0</v>
      </c>
      <c r="H31" s="145">
        <f>G31*VLOOKUP($B31,LoadRates!$C$2:$H$6,3,FALSE)</f>
        <v>0</v>
      </c>
      <c r="I31" s="145">
        <f t="shared" si="1"/>
        <v>0</v>
      </c>
    </row>
    <row r="32" spans="1:9" ht="18" customHeight="1" x14ac:dyDescent="0.25">
      <c r="A32" s="149" t="s">
        <v>5</v>
      </c>
      <c r="B32" s="149" t="s">
        <v>223</v>
      </c>
      <c r="C32" s="149" t="s">
        <v>201</v>
      </c>
      <c r="D32" s="149" t="s">
        <v>202</v>
      </c>
      <c r="E32" s="150">
        <v>0</v>
      </c>
      <c r="F32" s="145">
        <f>E32*(1+VLOOKUP($B32,SalaryvRevenue!$B$29:$F$33,5,FALSE))</f>
        <v>0</v>
      </c>
      <c r="G32" s="145">
        <f t="shared" si="0"/>
        <v>0</v>
      </c>
      <c r="H32" s="145">
        <f>G32*VLOOKUP($B32,LoadRates!$C$2:$H$6,3,FALSE)</f>
        <v>0</v>
      </c>
      <c r="I32" s="145">
        <f t="shared" si="1"/>
        <v>0</v>
      </c>
    </row>
    <row r="33" spans="1:9" ht="18" customHeight="1" x14ac:dyDescent="0.25">
      <c r="A33" s="149" t="s">
        <v>5</v>
      </c>
      <c r="B33" s="149" t="s">
        <v>223</v>
      </c>
      <c r="C33" s="149" t="s">
        <v>203</v>
      </c>
      <c r="D33" s="149" t="s">
        <v>204</v>
      </c>
      <c r="E33" s="150">
        <v>0</v>
      </c>
      <c r="F33" s="145">
        <f>E33*(1+VLOOKUP($B33,SalaryvRevenue!$B$29:$F$33,5,FALSE))</f>
        <v>0</v>
      </c>
      <c r="G33" s="145">
        <f t="shared" si="0"/>
        <v>0</v>
      </c>
      <c r="H33" s="145">
        <f>G33*VLOOKUP($B33,LoadRates!$C$2:$H$6,3,FALSE)</f>
        <v>0</v>
      </c>
      <c r="I33" s="145">
        <f t="shared" si="1"/>
        <v>0</v>
      </c>
    </row>
    <row r="34" spans="1:9" ht="18" customHeight="1" x14ac:dyDescent="0.25">
      <c r="A34" s="149" t="s">
        <v>5</v>
      </c>
      <c r="B34" s="149" t="s">
        <v>223</v>
      </c>
      <c r="C34" s="149" t="s">
        <v>205</v>
      </c>
      <c r="D34" s="149" t="s">
        <v>206</v>
      </c>
      <c r="E34" s="150">
        <v>0</v>
      </c>
      <c r="F34" s="145">
        <f>E34*(1+VLOOKUP($B34,SalaryvRevenue!$B$29:$F$33,5,FALSE))</f>
        <v>0</v>
      </c>
      <c r="G34" s="145">
        <f t="shared" si="0"/>
        <v>0</v>
      </c>
      <c r="H34" s="145">
        <f>G34*VLOOKUP($B34,LoadRates!$C$2:$H$6,3,FALSE)</f>
        <v>0</v>
      </c>
      <c r="I34" s="145">
        <f t="shared" si="1"/>
        <v>0</v>
      </c>
    </row>
    <row r="35" spans="1:9" ht="18" customHeight="1" x14ac:dyDescent="0.25">
      <c r="A35" s="149" t="s">
        <v>5</v>
      </c>
      <c r="B35" s="149" t="s">
        <v>223</v>
      </c>
      <c r="C35" s="149" t="s">
        <v>207</v>
      </c>
      <c r="D35" s="149" t="s">
        <v>208</v>
      </c>
      <c r="E35" s="150">
        <v>0</v>
      </c>
      <c r="F35" s="145">
        <f>E35*(1+VLOOKUP($B35,SalaryvRevenue!$B$29:$F$33,5,FALSE))</f>
        <v>0</v>
      </c>
      <c r="G35" s="145">
        <f t="shared" si="0"/>
        <v>0</v>
      </c>
      <c r="H35" s="145">
        <f>G35*VLOOKUP($B35,LoadRates!$C$2:$H$6,3,FALSE)</f>
        <v>0</v>
      </c>
      <c r="I35" s="145">
        <f t="shared" si="1"/>
        <v>0</v>
      </c>
    </row>
    <row r="36" spans="1:9" ht="18" customHeight="1" x14ac:dyDescent="0.25">
      <c r="A36" s="149" t="s">
        <v>5</v>
      </c>
      <c r="B36" s="149" t="s">
        <v>223</v>
      </c>
      <c r="C36" s="149" t="s">
        <v>209</v>
      </c>
      <c r="D36" s="149" t="s">
        <v>210</v>
      </c>
      <c r="E36" s="150">
        <v>0</v>
      </c>
      <c r="F36" s="145">
        <f>E36*(1+VLOOKUP($B36,SalaryvRevenue!$B$29:$F$33,5,FALSE))</f>
        <v>0</v>
      </c>
      <c r="G36" s="145">
        <f t="shared" si="0"/>
        <v>0</v>
      </c>
      <c r="H36" s="145">
        <f>G36*VLOOKUP($B36,LoadRates!$C$2:$H$6,3,FALSE)</f>
        <v>0</v>
      </c>
      <c r="I36" s="145">
        <f t="shared" si="1"/>
        <v>0</v>
      </c>
    </row>
    <row r="37" spans="1:9" ht="18" customHeight="1" x14ac:dyDescent="0.25">
      <c r="A37" s="149" t="s">
        <v>5</v>
      </c>
      <c r="B37" s="149" t="s">
        <v>223</v>
      </c>
      <c r="C37" s="149" t="s">
        <v>211</v>
      </c>
      <c r="D37" s="149" t="s">
        <v>212</v>
      </c>
      <c r="E37" s="150">
        <v>0</v>
      </c>
      <c r="F37" s="145">
        <f>E37*(1+VLOOKUP($B37,SalaryvRevenue!$B$29:$F$33,5,FALSE))</f>
        <v>0</v>
      </c>
      <c r="G37" s="145">
        <f t="shared" si="0"/>
        <v>0</v>
      </c>
      <c r="H37" s="145">
        <f>G37*VLOOKUP($B37,LoadRates!$C$2:$H$6,3,FALSE)</f>
        <v>0</v>
      </c>
      <c r="I37" s="145">
        <f t="shared" si="1"/>
        <v>0</v>
      </c>
    </row>
    <row r="38" spans="1:9" ht="18" customHeight="1" x14ac:dyDescent="0.25">
      <c r="A38" s="149" t="s">
        <v>5</v>
      </c>
      <c r="B38" s="149" t="s">
        <v>223</v>
      </c>
      <c r="C38" s="149" t="s">
        <v>213</v>
      </c>
      <c r="D38" s="149" t="s">
        <v>214</v>
      </c>
      <c r="E38" s="150">
        <v>0</v>
      </c>
      <c r="F38" s="145">
        <f>E38*(1+VLOOKUP($B38,SalaryvRevenue!$B$29:$F$33,5,FALSE))</f>
        <v>0</v>
      </c>
      <c r="G38" s="145">
        <f t="shared" si="0"/>
        <v>0</v>
      </c>
      <c r="H38" s="145">
        <f>G38*VLOOKUP($B38,LoadRates!$C$2:$H$6,3,FALSE)</f>
        <v>0</v>
      </c>
      <c r="I38" s="145">
        <f t="shared" si="1"/>
        <v>0</v>
      </c>
    </row>
    <row r="39" spans="1:9" ht="18" customHeight="1" x14ac:dyDescent="0.25">
      <c r="A39" s="149" t="s">
        <v>5</v>
      </c>
      <c r="B39" s="149" t="s">
        <v>223</v>
      </c>
      <c r="C39" s="149" t="s">
        <v>215</v>
      </c>
      <c r="D39" s="149" t="s">
        <v>216</v>
      </c>
      <c r="E39" s="150">
        <v>0</v>
      </c>
      <c r="F39" s="145">
        <f>E39*(1+VLOOKUP($B39,SalaryvRevenue!$B$29:$F$33,5,FALSE))</f>
        <v>0</v>
      </c>
      <c r="G39" s="145">
        <f t="shared" si="0"/>
        <v>0</v>
      </c>
      <c r="H39" s="145">
        <f>G39*VLOOKUP($B39,LoadRates!$C$2:$H$6,3,FALSE)</f>
        <v>0</v>
      </c>
      <c r="I39" s="145">
        <f t="shared" si="1"/>
        <v>0</v>
      </c>
    </row>
    <row r="40" spans="1:9" ht="18" customHeight="1" x14ac:dyDescent="0.25">
      <c r="A40" s="149" t="s">
        <v>5</v>
      </c>
      <c r="B40" s="149" t="s">
        <v>223</v>
      </c>
      <c r="C40" s="149" t="s">
        <v>217</v>
      </c>
      <c r="D40" s="149" t="s">
        <v>218</v>
      </c>
      <c r="E40" s="150">
        <v>0</v>
      </c>
      <c r="F40" s="145">
        <f>E40*(1+VLOOKUP($B40,SalaryvRevenue!$B$29:$F$33,5,FALSE))</f>
        <v>0</v>
      </c>
      <c r="G40" s="145">
        <f t="shared" si="0"/>
        <v>0</v>
      </c>
      <c r="H40" s="145">
        <f>G40*VLOOKUP($B40,LoadRates!$C$2:$H$6,3,FALSE)</f>
        <v>0</v>
      </c>
      <c r="I40" s="145">
        <f t="shared" si="1"/>
        <v>0</v>
      </c>
    </row>
    <row r="41" spans="1:9" ht="18" customHeight="1" x14ac:dyDescent="0.25">
      <c r="A41" s="149" t="s">
        <v>5</v>
      </c>
      <c r="B41" s="149" t="s">
        <v>223</v>
      </c>
      <c r="C41" s="149" t="s">
        <v>219</v>
      </c>
      <c r="D41" s="149" t="s">
        <v>220</v>
      </c>
      <c r="E41" s="150">
        <v>0</v>
      </c>
      <c r="F41" s="145">
        <f>E41*(1+VLOOKUP($B41,SalaryvRevenue!$B$29:$F$33,5,FALSE))</f>
        <v>0</v>
      </c>
      <c r="G41" s="145">
        <f t="shared" si="0"/>
        <v>0</v>
      </c>
      <c r="H41" s="145">
        <f>G41*VLOOKUP($B41,LoadRates!$C$2:$H$6,3,FALSE)</f>
        <v>0</v>
      </c>
      <c r="I41" s="145">
        <f t="shared" si="1"/>
        <v>0</v>
      </c>
    </row>
    <row r="42" spans="1:9" ht="18" customHeight="1" x14ac:dyDescent="0.25">
      <c r="A42" s="149" t="s">
        <v>5</v>
      </c>
      <c r="B42" s="149" t="s">
        <v>223</v>
      </c>
      <c r="C42" s="149" t="s">
        <v>221</v>
      </c>
      <c r="D42" s="149" t="s">
        <v>222</v>
      </c>
      <c r="E42" s="150">
        <v>0</v>
      </c>
      <c r="F42" s="145">
        <f>E42*(1+VLOOKUP($B42,SalaryvRevenue!$B$29:$F$33,5,FALSE))</f>
        <v>0</v>
      </c>
      <c r="G42" s="145">
        <f t="shared" si="0"/>
        <v>0</v>
      </c>
      <c r="H42" s="145">
        <f>G42*VLOOKUP($B42,LoadRates!$C$2:$H$6,3,FALSE)</f>
        <v>0</v>
      </c>
      <c r="I42" s="145">
        <f t="shared" si="1"/>
        <v>0</v>
      </c>
    </row>
    <row r="43" spans="1:9" ht="18" customHeight="1" x14ac:dyDescent="0.25">
      <c r="A43" s="149" t="s">
        <v>224</v>
      </c>
      <c r="B43" s="149" t="s">
        <v>225</v>
      </c>
      <c r="C43" s="149" t="s">
        <v>183</v>
      </c>
      <c r="D43" s="149" t="s">
        <v>184</v>
      </c>
      <c r="E43" s="150">
        <v>24723</v>
      </c>
      <c r="F43" s="145">
        <f>E43*(1+VLOOKUP($B43,SalaryvRevenue!$B$29:$F$33,5,FALSE))</f>
        <v>25711.920000000002</v>
      </c>
      <c r="G43" s="145">
        <f t="shared" si="0"/>
        <v>988.92000000000189</v>
      </c>
      <c r="H43" s="145">
        <f>G43*VLOOKUP($B43,LoadRates!$C$2:$H$6,3,FALSE)</f>
        <v>301.62060000000059</v>
      </c>
      <c r="I43" s="145">
        <f t="shared" si="1"/>
        <v>1290.5406000000025</v>
      </c>
    </row>
    <row r="44" spans="1:9" ht="18" customHeight="1" x14ac:dyDescent="0.25">
      <c r="A44" s="149" t="s">
        <v>224</v>
      </c>
      <c r="B44" s="149" t="s">
        <v>225</v>
      </c>
      <c r="C44" s="149" t="s">
        <v>185</v>
      </c>
      <c r="D44" s="149" t="s">
        <v>186</v>
      </c>
      <c r="E44" s="150">
        <v>421644</v>
      </c>
      <c r="F44" s="145">
        <f>E44*(1+VLOOKUP($B44,SalaryvRevenue!$B$29:$F$33,5,FALSE))</f>
        <v>438509.76</v>
      </c>
      <c r="G44" s="145">
        <f t="shared" si="0"/>
        <v>16865.760000000009</v>
      </c>
      <c r="H44" s="145">
        <f>G44*VLOOKUP($B44,LoadRates!$C$2:$H$6,3,FALSE)</f>
        <v>5144.056800000003</v>
      </c>
      <c r="I44" s="145">
        <f t="shared" si="1"/>
        <v>22009.816800000011</v>
      </c>
    </row>
    <row r="45" spans="1:9" ht="18" customHeight="1" x14ac:dyDescent="0.25">
      <c r="A45" s="149" t="s">
        <v>224</v>
      </c>
      <c r="B45" s="149" t="s">
        <v>225</v>
      </c>
      <c r="C45" s="149" t="s">
        <v>187</v>
      </c>
      <c r="D45" s="149" t="s">
        <v>188</v>
      </c>
      <c r="E45" s="150">
        <v>60606</v>
      </c>
      <c r="F45" s="145">
        <f>E45*(1+VLOOKUP($B45,SalaryvRevenue!$B$29:$F$33,5,FALSE))</f>
        <v>63030.240000000005</v>
      </c>
      <c r="G45" s="145">
        <f t="shared" si="0"/>
        <v>2424.2400000000052</v>
      </c>
      <c r="H45" s="145">
        <f>G45*VLOOKUP($B45,LoadRates!$C$2:$H$6,3,FALSE)</f>
        <v>739.39320000000157</v>
      </c>
      <c r="I45" s="145">
        <f t="shared" si="1"/>
        <v>3163.6332000000066</v>
      </c>
    </row>
    <row r="46" spans="1:9" ht="18" customHeight="1" x14ac:dyDescent="0.25">
      <c r="A46" s="149" t="s">
        <v>224</v>
      </c>
      <c r="B46" s="149" t="s">
        <v>225</v>
      </c>
      <c r="C46" s="149" t="s">
        <v>189</v>
      </c>
      <c r="D46" s="149" t="s">
        <v>190</v>
      </c>
      <c r="E46" s="150">
        <v>5196</v>
      </c>
      <c r="F46" s="145">
        <f>E46*(1+VLOOKUP($B46,SalaryvRevenue!$B$29:$F$33,5,FALSE))</f>
        <v>5403.84</v>
      </c>
      <c r="G46" s="145">
        <f t="shared" si="0"/>
        <v>207.84000000000015</v>
      </c>
      <c r="H46" s="145">
        <f>G46*VLOOKUP($B46,LoadRates!$C$2:$H$6,3,FALSE)</f>
        <v>63.39120000000004</v>
      </c>
      <c r="I46" s="145">
        <f t="shared" si="1"/>
        <v>271.23120000000017</v>
      </c>
    </row>
    <row r="47" spans="1:9" ht="18" customHeight="1" x14ac:dyDescent="0.25">
      <c r="A47" s="149" t="s">
        <v>224</v>
      </c>
      <c r="B47" s="149" t="s">
        <v>225</v>
      </c>
      <c r="C47" s="149" t="s">
        <v>191</v>
      </c>
      <c r="D47" s="149" t="s">
        <v>192</v>
      </c>
      <c r="E47" s="150">
        <v>614754</v>
      </c>
      <c r="F47" s="145">
        <f>E47*(1+VLOOKUP($B47,SalaryvRevenue!$B$29:$F$33,5,FALSE))</f>
        <v>639344.16</v>
      </c>
      <c r="G47" s="145">
        <f t="shared" si="0"/>
        <v>24590.160000000033</v>
      </c>
      <c r="H47" s="145">
        <f>G47*VLOOKUP($B47,LoadRates!$C$2:$H$6,3,FALSE)</f>
        <v>7499.9988000000094</v>
      </c>
      <c r="I47" s="145">
        <f t="shared" si="1"/>
        <v>32090.158800000041</v>
      </c>
    </row>
    <row r="48" spans="1:9" ht="18" customHeight="1" x14ac:dyDescent="0.25">
      <c r="A48" s="149" t="s">
        <v>224</v>
      </c>
      <c r="B48" s="149" t="s">
        <v>225</v>
      </c>
      <c r="C48" s="149" t="s">
        <v>193</v>
      </c>
      <c r="D48" s="149" t="s">
        <v>194</v>
      </c>
      <c r="E48" s="150">
        <v>1248390</v>
      </c>
      <c r="F48" s="145">
        <f>E48*(1+VLOOKUP($B48,SalaryvRevenue!$B$29:$F$33,5,FALSE))</f>
        <v>1298325.6000000001</v>
      </c>
      <c r="G48" s="145">
        <f t="shared" si="0"/>
        <v>49935.600000000093</v>
      </c>
      <c r="H48" s="145">
        <f>G48*VLOOKUP($B48,LoadRates!$C$2:$H$6,3,FALSE)</f>
        <v>15230.358000000027</v>
      </c>
      <c r="I48" s="145">
        <f t="shared" si="1"/>
        <v>65165.958000000122</v>
      </c>
    </row>
    <row r="49" spans="1:9" ht="18" customHeight="1" x14ac:dyDescent="0.25">
      <c r="A49" s="149" t="s">
        <v>224</v>
      </c>
      <c r="B49" s="149" t="s">
        <v>225</v>
      </c>
      <c r="C49" s="149" t="s">
        <v>195</v>
      </c>
      <c r="D49" s="149" t="s">
        <v>196</v>
      </c>
      <c r="E49" s="150">
        <v>200664</v>
      </c>
      <c r="F49" s="145">
        <f>E49*(1+VLOOKUP($B49,SalaryvRevenue!$B$29:$F$33,5,FALSE))</f>
        <v>208690.56</v>
      </c>
      <c r="G49" s="145">
        <f t="shared" si="0"/>
        <v>8026.5599999999977</v>
      </c>
      <c r="H49" s="145">
        <f>G49*VLOOKUP($B49,LoadRates!$C$2:$H$6,3,FALSE)</f>
        <v>2448.1007999999993</v>
      </c>
      <c r="I49" s="145">
        <f t="shared" si="1"/>
        <v>10474.660799999998</v>
      </c>
    </row>
    <row r="50" spans="1:9" ht="18" customHeight="1" x14ac:dyDescent="0.25">
      <c r="A50" s="149" t="s">
        <v>224</v>
      </c>
      <c r="B50" s="149" t="s">
        <v>225</v>
      </c>
      <c r="C50" s="149" t="s">
        <v>197</v>
      </c>
      <c r="D50" s="149" t="s">
        <v>198</v>
      </c>
      <c r="E50" s="150">
        <v>167532</v>
      </c>
      <c r="F50" s="145">
        <f>E50*(1+VLOOKUP($B50,SalaryvRevenue!$B$29:$F$33,5,FALSE))</f>
        <v>174233.28</v>
      </c>
      <c r="G50" s="145">
        <f t="shared" si="0"/>
        <v>6701.2799999999988</v>
      </c>
      <c r="H50" s="145">
        <f>G50*VLOOKUP($B50,LoadRates!$C$2:$H$6,3,FALSE)</f>
        <v>2043.8903999999995</v>
      </c>
      <c r="I50" s="145">
        <f t="shared" si="1"/>
        <v>8745.1703999999991</v>
      </c>
    </row>
    <row r="51" spans="1:9" ht="18" customHeight="1" x14ac:dyDescent="0.25">
      <c r="A51" s="149" t="s">
        <v>224</v>
      </c>
      <c r="B51" s="149" t="s">
        <v>225</v>
      </c>
      <c r="C51" s="149" t="s">
        <v>199</v>
      </c>
      <c r="D51" s="149" t="s">
        <v>200</v>
      </c>
      <c r="E51" s="150">
        <v>0</v>
      </c>
      <c r="F51" s="145">
        <f>E51*(1+VLOOKUP($B51,SalaryvRevenue!$B$29:$F$33,5,FALSE))</f>
        <v>0</v>
      </c>
      <c r="G51" s="145">
        <f t="shared" si="0"/>
        <v>0</v>
      </c>
      <c r="H51" s="145">
        <f>G51*VLOOKUP($B51,LoadRates!$C$2:$H$6,3,FALSE)</f>
        <v>0</v>
      </c>
      <c r="I51" s="145">
        <f t="shared" si="1"/>
        <v>0</v>
      </c>
    </row>
    <row r="52" spans="1:9" ht="18" customHeight="1" x14ac:dyDescent="0.25">
      <c r="A52" s="149" t="s">
        <v>224</v>
      </c>
      <c r="B52" s="149" t="s">
        <v>225</v>
      </c>
      <c r="C52" s="149" t="s">
        <v>201</v>
      </c>
      <c r="D52" s="149" t="s">
        <v>202</v>
      </c>
      <c r="E52" s="150">
        <v>0</v>
      </c>
      <c r="F52" s="145">
        <f>E52*(1+VLOOKUP($B52,SalaryvRevenue!$B$29:$F$33,5,FALSE))</f>
        <v>0</v>
      </c>
      <c r="G52" s="145">
        <f t="shared" si="0"/>
        <v>0</v>
      </c>
      <c r="H52" s="145">
        <f>G52*VLOOKUP($B52,LoadRates!$C$2:$H$6,3,FALSE)</f>
        <v>0</v>
      </c>
      <c r="I52" s="145">
        <f t="shared" si="1"/>
        <v>0</v>
      </c>
    </row>
    <row r="53" spans="1:9" ht="18" customHeight="1" x14ac:dyDescent="0.25">
      <c r="A53" s="149" t="s">
        <v>224</v>
      </c>
      <c r="B53" s="149" t="s">
        <v>225</v>
      </c>
      <c r="C53" s="149" t="s">
        <v>203</v>
      </c>
      <c r="D53" s="149" t="s">
        <v>204</v>
      </c>
      <c r="E53" s="150">
        <v>325776</v>
      </c>
      <c r="F53" s="145">
        <f>E53*(1+VLOOKUP($B53,SalaryvRevenue!$B$29:$F$33,5,FALSE))</f>
        <v>338807.04000000004</v>
      </c>
      <c r="G53" s="145">
        <f t="shared" si="0"/>
        <v>13031.040000000037</v>
      </c>
      <c r="H53" s="145">
        <f>G53*VLOOKUP($B53,LoadRates!$C$2:$H$6,3,FALSE)</f>
        <v>3974.4672000000114</v>
      </c>
      <c r="I53" s="145">
        <f t="shared" si="1"/>
        <v>17005.507200000047</v>
      </c>
    </row>
    <row r="54" spans="1:9" ht="18" customHeight="1" x14ac:dyDescent="0.25">
      <c r="A54" s="149" t="s">
        <v>224</v>
      </c>
      <c r="B54" s="149" t="s">
        <v>225</v>
      </c>
      <c r="C54" s="149" t="s">
        <v>205</v>
      </c>
      <c r="D54" s="149" t="s">
        <v>206</v>
      </c>
      <c r="E54" s="150">
        <v>215760</v>
      </c>
      <c r="F54" s="145">
        <f>E54*(1+VLOOKUP($B54,SalaryvRevenue!$B$29:$F$33,5,FALSE))</f>
        <v>224390.39999999999</v>
      </c>
      <c r="G54" s="145">
        <f t="shared" si="0"/>
        <v>8630.3999999999942</v>
      </c>
      <c r="H54" s="145">
        <f>G54*VLOOKUP($B54,LoadRates!$C$2:$H$6,3,FALSE)</f>
        <v>2632.2719999999981</v>
      </c>
      <c r="I54" s="145">
        <f t="shared" si="1"/>
        <v>11262.671999999991</v>
      </c>
    </row>
    <row r="55" spans="1:9" ht="18" customHeight="1" x14ac:dyDescent="0.25">
      <c r="A55" s="149" t="s">
        <v>224</v>
      </c>
      <c r="B55" s="149" t="s">
        <v>225</v>
      </c>
      <c r="C55" s="149" t="s">
        <v>207</v>
      </c>
      <c r="D55" s="149" t="s">
        <v>208</v>
      </c>
      <c r="E55" s="150">
        <v>735084</v>
      </c>
      <c r="F55" s="145">
        <f>E55*(1+VLOOKUP($B55,SalaryvRevenue!$B$29:$F$33,5,FALSE))</f>
        <v>764487.36</v>
      </c>
      <c r="G55" s="145">
        <f t="shared" si="0"/>
        <v>29403.359999999986</v>
      </c>
      <c r="H55" s="145">
        <f>G55*VLOOKUP($B55,LoadRates!$C$2:$H$6,3,FALSE)</f>
        <v>8968.0247999999956</v>
      </c>
      <c r="I55" s="145">
        <f t="shared" si="1"/>
        <v>38371.384799999985</v>
      </c>
    </row>
    <row r="56" spans="1:9" ht="18" customHeight="1" x14ac:dyDescent="0.25">
      <c r="A56" s="149" t="s">
        <v>224</v>
      </c>
      <c r="B56" s="149" t="s">
        <v>225</v>
      </c>
      <c r="C56" s="149" t="s">
        <v>209</v>
      </c>
      <c r="D56" s="149" t="s">
        <v>210</v>
      </c>
      <c r="E56" s="150">
        <v>384278</v>
      </c>
      <c r="F56" s="145">
        <f>E56*(1+VLOOKUP($B56,SalaryvRevenue!$B$29:$F$33,5,FALSE))</f>
        <v>399649.12</v>
      </c>
      <c r="G56" s="145">
        <f t="shared" si="0"/>
        <v>15371.119999999995</v>
      </c>
      <c r="H56" s="145">
        <f>G56*VLOOKUP($B56,LoadRates!$C$2:$H$6,3,FALSE)</f>
        <v>4688.1915999999983</v>
      </c>
      <c r="I56" s="145">
        <f t="shared" si="1"/>
        <v>20059.311599999994</v>
      </c>
    </row>
    <row r="57" spans="1:9" ht="18" customHeight="1" x14ac:dyDescent="0.25">
      <c r="A57" s="149" t="s">
        <v>224</v>
      </c>
      <c r="B57" s="149" t="s">
        <v>225</v>
      </c>
      <c r="C57" s="149" t="s">
        <v>211</v>
      </c>
      <c r="D57" s="149" t="s">
        <v>212</v>
      </c>
      <c r="E57" s="150">
        <v>7140</v>
      </c>
      <c r="F57" s="145">
        <f>E57*(1+VLOOKUP($B57,SalaryvRevenue!$B$29:$F$33,5,FALSE))</f>
        <v>7425.6</v>
      </c>
      <c r="G57" s="145">
        <f t="shared" si="0"/>
        <v>285.60000000000036</v>
      </c>
      <c r="H57" s="145">
        <f>G57*VLOOKUP($B57,LoadRates!$C$2:$H$6,3,FALSE)</f>
        <v>87.108000000000104</v>
      </c>
      <c r="I57" s="145">
        <f t="shared" si="1"/>
        <v>372.70800000000048</v>
      </c>
    </row>
    <row r="58" spans="1:9" ht="18" customHeight="1" x14ac:dyDescent="0.25">
      <c r="A58" s="149" t="s">
        <v>224</v>
      </c>
      <c r="B58" s="149" t="s">
        <v>225</v>
      </c>
      <c r="C58" s="149" t="s">
        <v>213</v>
      </c>
      <c r="D58" s="149" t="s">
        <v>214</v>
      </c>
      <c r="E58" s="150">
        <v>11424</v>
      </c>
      <c r="F58" s="145">
        <f>E58*(1+VLOOKUP($B58,SalaryvRevenue!$B$29:$F$33,5,FALSE))</f>
        <v>11880.960000000001</v>
      </c>
      <c r="G58" s="145">
        <f t="shared" si="0"/>
        <v>456.96000000000095</v>
      </c>
      <c r="H58" s="145">
        <f>G58*VLOOKUP($B58,LoadRates!$C$2:$H$6,3,FALSE)</f>
        <v>139.3728000000003</v>
      </c>
      <c r="I58" s="145">
        <f t="shared" si="1"/>
        <v>596.33280000000127</v>
      </c>
    </row>
    <row r="59" spans="1:9" ht="18" customHeight="1" x14ac:dyDescent="0.25">
      <c r="A59" s="149" t="s">
        <v>224</v>
      </c>
      <c r="B59" s="149" t="s">
        <v>225</v>
      </c>
      <c r="C59" s="149" t="s">
        <v>215</v>
      </c>
      <c r="D59" s="149" t="s">
        <v>216</v>
      </c>
      <c r="E59" s="150">
        <v>51191237</v>
      </c>
      <c r="F59" s="145">
        <f>E59*(1+VLOOKUP($B59,SalaryvRevenue!$B$29:$F$33,5,FALSE))</f>
        <v>53238886.480000004</v>
      </c>
      <c r="G59" s="145">
        <f t="shared" si="0"/>
        <v>2047649.4800000042</v>
      </c>
      <c r="H59" s="145">
        <f>G59*VLOOKUP($B59,LoadRates!$C$2:$H$6,3,FALSE)</f>
        <v>624533.09140000131</v>
      </c>
      <c r="I59" s="145">
        <f t="shared" si="1"/>
        <v>2672182.5714000054</v>
      </c>
    </row>
    <row r="60" spans="1:9" ht="18" customHeight="1" x14ac:dyDescent="0.25">
      <c r="A60" s="149" t="s">
        <v>224</v>
      </c>
      <c r="B60" s="149" t="s">
        <v>225</v>
      </c>
      <c r="C60" s="149" t="s">
        <v>217</v>
      </c>
      <c r="D60" s="149" t="s">
        <v>218</v>
      </c>
      <c r="E60" s="150">
        <v>0</v>
      </c>
      <c r="F60" s="145">
        <f>E60*(1+VLOOKUP($B60,SalaryvRevenue!$B$29:$F$33,5,FALSE))</f>
        <v>0</v>
      </c>
      <c r="G60" s="145">
        <f t="shared" si="0"/>
        <v>0</v>
      </c>
      <c r="H60" s="145">
        <f>G60*VLOOKUP($B60,LoadRates!$C$2:$H$6,3,FALSE)</f>
        <v>0</v>
      </c>
      <c r="I60" s="145">
        <f t="shared" si="1"/>
        <v>0</v>
      </c>
    </row>
    <row r="61" spans="1:9" ht="18" customHeight="1" x14ac:dyDescent="0.25">
      <c r="A61" s="149" t="s">
        <v>224</v>
      </c>
      <c r="B61" s="149" t="s">
        <v>225</v>
      </c>
      <c r="C61" s="149" t="s">
        <v>219</v>
      </c>
      <c r="D61" s="149" t="s">
        <v>220</v>
      </c>
      <c r="E61" s="150">
        <v>0</v>
      </c>
      <c r="F61" s="145">
        <f>E61*(1+VLOOKUP($B61,SalaryvRevenue!$B$29:$F$33,5,FALSE))</f>
        <v>0</v>
      </c>
      <c r="G61" s="145">
        <f t="shared" si="0"/>
        <v>0</v>
      </c>
      <c r="H61" s="145">
        <f>G61*VLOOKUP($B61,LoadRates!$C$2:$H$6,3,FALSE)</f>
        <v>0</v>
      </c>
      <c r="I61" s="145">
        <f t="shared" si="1"/>
        <v>0</v>
      </c>
    </row>
    <row r="62" spans="1:9" ht="18" customHeight="1" x14ac:dyDescent="0.25">
      <c r="A62" s="149" t="s">
        <v>224</v>
      </c>
      <c r="B62" s="149" t="s">
        <v>225</v>
      </c>
      <c r="C62" s="149" t="s">
        <v>221</v>
      </c>
      <c r="D62" s="149" t="s">
        <v>222</v>
      </c>
      <c r="E62" s="150">
        <v>0</v>
      </c>
      <c r="F62" s="145">
        <f>E62*(1+VLOOKUP($B62,SalaryvRevenue!$B$29:$F$33,5,FALSE))</f>
        <v>0</v>
      </c>
      <c r="G62" s="145">
        <f t="shared" si="0"/>
        <v>0</v>
      </c>
      <c r="H62" s="145">
        <f>G62*VLOOKUP($B62,LoadRates!$C$2:$H$6,3,FALSE)</f>
        <v>0</v>
      </c>
      <c r="I62" s="145">
        <f t="shared" si="1"/>
        <v>0</v>
      </c>
    </row>
    <row r="63" spans="1:9" ht="18" customHeight="1" x14ac:dyDescent="0.25">
      <c r="A63" s="149" t="s">
        <v>226</v>
      </c>
      <c r="B63" s="149" t="s">
        <v>227</v>
      </c>
      <c r="C63" s="149" t="s">
        <v>183</v>
      </c>
      <c r="D63" s="149" t="s">
        <v>184</v>
      </c>
      <c r="E63" s="150">
        <v>0</v>
      </c>
      <c r="F63" s="145">
        <f>E63*(1+VLOOKUP($B63,SalaryvRevenue!$B$29:$F$33,5,FALSE))</f>
        <v>0</v>
      </c>
      <c r="G63" s="145">
        <f t="shared" si="0"/>
        <v>0</v>
      </c>
      <c r="H63" s="145">
        <f>G63*VLOOKUP($B63,LoadRates!$C$2:$H$6,3,FALSE)</f>
        <v>0</v>
      </c>
      <c r="I63" s="145">
        <f t="shared" si="1"/>
        <v>0</v>
      </c>
    </row>
    <row r="64" spans="1:9" ht="18" customHeight="1" x14ac:dyDescent="0.25">
      <c r="A64" s="149" t="s">
        <v>226</v>
      </c>
      <c r="B64" s="149" t="s">
        <v>227</v>
      </c>
      <c r="C64" s="149" t="s">
        <v>185</v>
      </c>
      <c r="D64" s="149" t="s">
        <v>186</v>
      </c>
      <c r="E64" s="150">
        <v>153204</v>
      </c>
      <c r="F64" s="145">
        <f>E64*(1+VLOOKUP($B64,SalaryvRevenue!$B$29:$F$33,5,FALSE))</f>
        <v>156268.08000000002</v>
      </c>
      <c r="G64" s="145">
        <f t="shared" si="0"/>
        <v>3064.0800000000163</v>
      </c>
      <c r="H64" s="145">
        <f>G64*VLOOKUP($B64,LoadRates!$C$2:$H$6,3,FALSE)</f>
        <v>1207.2475200000065</v>
      </c>
      <c r="I64" s="145">
        <f t="shared" si="1"/>
        <v>4271.3275200000226</v>
      </c>
    </row>
    <row r="65" spans="1:9" ht="18" customHeight="1" x14ac:dyDescent="0.25">
      <c r="A65" s="149" t="s">
        <v>226</v>
      </c>
      <c r="B65" s="149" t="s">
        <v>227</v>
      </c>
      <c r="C65" s="149" t="s">
        <v>187</v>
      </c>
      <c r="D65" s="149" t="s">
        <v>188</v>
      </c>
      <c r="E65" s="150">
        <v>1577604</v>
      </c>
      <c r="F65" s="145">
        <f>E65*(1+VLOOKUP($B65,SalaryvRevenue!$B$29:$F$33,5,FALSE))</f>
        <v>1609156.08</v>
      </c>
      <c r="G65" s="145">
        <f t="shared" si="0"/>
        <v>31552.080000000075</v>
      </c>
      <c r="H65" s="145">
        <f>G65*VLOOKUP($B65,LoadRates!$C$2:$H$6,3,FALSE)</f>
        <v>12431.519520000031</v>
      </c>
      <c r="I65" s="145">
        <f t="shared" si="1"/>
        <v>43983.599520000105</v>
      </c>
    </row>
    <row r="66" spans="1:9" ht="18" customHeight="1" x14ac:dyDescent="0.25">
      <c r="A66" s="149" t="s">
        <v>226</v>
      </c>
      <c r="B66" s="149" t="s">
        <v>227</v>
      </c>
      <c r="C66" s="149" t="s">
        <v>189</v>
      </c>
      <c r="D66" s="149" t="s">
        <v>190</v>
      </c>
      <c r="E66" s="150">
        <v>0</v>
      </c>
      <c r="F66" s="145">
        <f>E66*(1+VLOOKUP($B66,SalaryvRevenue!$B$29:$F$33,5,FALSE))</f>
        <v>0</v>
      </c>
      <c r="G66" s="145">
        <f t="shared" si="0"/>
        <v>0</v>
      </c>
      <c r="H66" s="145">
        <f>G66*VLOOKUP($B66,LoadRates!$C$2:$H$6,3,FALSE)</f>
        <v>0</v>
      </c>
      <c r="I66" s="145">
        <f t="shared" si="1"/>
        <v>0</v>
      </c>
    </row>
    <row r="67" spans="1:9" ht="18" customHeight="1" x14ac:dyDescent="0.25">
      <c r="A67" s="149" t="s">
        <v>226</v>
      </c>
      <c r="B67" s="149" t="s">
        <v>227</v>
      </c>
      <c r="C67" s="149" t="s">
        <v>191</v>
      </c>
      <c r="D67" s="149" t="s">
        <v>192</v>
      </c>
      <c r="E67" s="150">
        <v>211788</v>
      </c>
      <c r="F67" s="145">
        <f>E67*(1+VLOOKUP($B67,SalaryvRevenue!$B$29:$F$33,5,FALSE))</f>
        <v>216023.76</v>
      </c>
      <c r="G67" s="145">
        <f t="shared" ref="G67:G102" si="2">+F67-E67</f>
        <v>4235.7600000000093</v>
      </c>
      <c r="H67" s="145">
        <f>G67*VLOOKUP($B67,LoadRates!$C$2:$H$6,3,FALSE)</f>
        <v>1668.8894400000038</v>
      </c>
      <c r="I67" s="145">
        <f t="shared" ref="I67:I102" si="3">+G67+H67</f>
        <v>5904.6494400000129</v>
      </c>
    </row>
    <row r="68" spans="1:9" ht="18" customHeight="1" x14ac:dyDescent="0.25">
      <c r="A68" s="149" t="s">
        <v>226</v>
      </c>
      <c r="B68" s="149" t="s">
        <v>227</v>
      </c>
      <c r="C68" s="149" t="s">
        <v>193</v>
      </c>
      <c r="D68" s="149" t="s">
        <v>194</v>
      </c>
      <c r="E68" s="150">
        <v>34140</v>
      </c>
      <c r="F68" s="145">
        <f>E68*(1+VLOOKUP($B68,SalaryvRevenue!$B$29:$F$33,5,FALSE))</f>
        <v>34822.800000000003</v>
      </c>
      <c r="G68" s="145">
        <f t="shared" si="2"/>
        <v>682.80000000000291</v>
      </c>
      <c r="H68" s="145">
        <f>G68*VLOOKUP($B68,LoadRates!$C$2:$H$6,3,FALSE)</f>
        <v>269.02320000000117</v>
      </c>
      <c r="I68" s="145">
        <f t="shared" si="3"/>
        <v>951.82320000000414</v>
      </c>
    </row>
    <row r="69" spans="1:9" ht="18" customHeight="1" x14ac:dyDescent="0.25">
      <c r="A69" s="149" t="s">
        <v>226</v>
      </c>
      <c r="B69" s="149" t="s">
        <v>227</v>
      </c>
      <c r="C69" s="149" t="s">
        <v>195</v>
      </c>
      <c r="D69" s="149" t="s">
        <v>196</v>
      </c>
      <c r="E69" s="150">
        <v>369348</v>
      </c>
      <c r="F69" s="145">
        <f>E69*(1+VLOOKUP($B69,SalaryvRevenue!$B$29:$F$33,5,FALSE))</f>
        <v>376734.96</v>
      </c>
      <c r="G69" s="145">
        <f t="shared" si="2"/>
        <v>7386.960000000021</v>
      </c>
      <c r="H69" s="145">
        <f>G69*VLOOKUP($B69,LoadRates!$C$2:$H$6,3,FALSE)</f>
        <v>2910.4622400000085</v>
      </c>
      <c r="I69" s="145">
        <f t="shared" si="3"/>
        <v>10297.422240000029</v>
      </c>
    </row>
    <row r="70" spans="1:9" ht="18" customHeight="1" x14ac:dyDescent="0.25">
      <c r="A70" s="149" t="s">
        <v>226</v>
      </c>
      <c r="B70" s="149" t="s">
        <v>227</v>
      </c>
      <c r="C70" s="149" t="s">
        <v>197</v>
      </c>
      <c r="D70" s="149" t="s">
        <v>198</v>
      </c>
      <c r="E70" s="150">
        <v>16500</v>
      </c>
      <c r="F70" s="145">
        <f>E70*(1+VLOOKUP($B70,SalaryvRevenue!$B$29:$F$33,5,FALSE))</f>
        <v>16830</v>
      </c>
      <c r="G70" s="145">
        <f t="shared" si="2"/>
        <v>330</v>
      </c>
      <c r="H70" s="145">
        <f>G70*VLOOKUP($B70,LoadRates!$C$2:$H$6,3,FALSE)</f>
        <v>130.02000000000001</v>
      </c>
      <c r="I70" s="145">
        <f t="shared" si="3"/>
        <v>460.02</v>
      </c>
    </row>
    <row r="71" spans="1:9" ht="18" customHeight="1" x14ac:dyDescent="0.25">
      <c r="A71" s="149" t="s">
        <v>226</v>
      </c>
      <c r="B71" s="149" t="s">
        <v>227</v>
      </c>
      <c r="C71" s="149" t="s">
        <v>199</v>
      </c>
      <c r="D71" s="149" t="s">
        <v>200</v>
      </c>
      <c r="E71" s="150">
        <v>0</v>
      </c>
      <c r="F71" s="145">
        <f>E71*(1+VLOOKUP($B71,SalaryvRevenue!$B$29:$F$33,5,FALSE))</f>
        <v>0</v>
      </c>
      <c r="G71" s="145">
        <f t="shared" si="2"/>
        <v>0</v>
      </c>
      <c r="H71" s="145">
        <f>G71*VLOOKUP($B71,LoadRates!$C$2:$H$6,3,FALSE)</f>
        <v>0</v>
      </c>
      <c r="I71" s="145">
        <f t="shared" si="3"/>
        <v>0</v>
      </c>
    </row>
    <row r="72" spans="1:9" ht="18" customHeight="1" x14ac:dyDescent="0.25">
      <c r="A72" s="149" t="s">
        <v>226</v>
      </c>
      <c r="B72" s="149" t="s">
        <v>227</v>
      </c>
      <c r="C72" s="149" t="s">
        <v>201</v>
      </c>
      <c r="D72" s="149" t="s">
        <v>202</v>
      </c>
      <c r="E72" s="150">
        <v>0</v>
      </c>
      <c r="F72" s="145">
        <f>E72*(1+VLOOKUP($B72,SalaryvRevenue!$B$29:$F$33,5,FALSE))</f>
        <v>0</v>
      </c>
      <c r="G72" s="145">
        <f t="shared" si="2"/>
        <v>0</v>
      </c>
      <c r="H72" s="145">
        <f>G72*VLOOKUP($B72,LoadRates!$C$2:$H$6,3,FALSE)</f>
        <v>0</v>
      </c>
      <c r="I72" s="145">
        <f t="shared" si="3"/>
        <v>0</v>
      </c>
    </row>
    <row r="73" spans="1:9" ht="18" customHeight="1" x14ac:dyDescent="0.25">
      <c r="A73" s="149" t="s">
        <v>226</v>
      </c>
      <c r="B73" s="149" t="s">
        <v>227</v>
      </c>
      <c r="C73" s="149" t="s">
        <v>203</v>
      </c>
      <c r="D73" s="149" t="s">
        <v>204</v>
      </c>
      <c r="E73" s="150">
        <v>329964</v>
      </c>
      <c r="F73" s="145">
        <f>E73*(1+VLOOKUP($B73,SalaryvRevenue!$B$29:$F$33,5,FALSE))</f>
        <v>336563.28</v>
      </c>
      <c r="G73" s="145">
        <f t="shared" si="2"/>
        <v>6599.2800000000279</v>
      </c>
      <c r="H73" s="145">
        <f>G73*VLOOKUP($B73,LoadRates!$C$2:$H$6,3,FALSE)</f>
        <v>2600.116320000011</v>
      </c>
      <c r="I73" s="145">
        <f t="shared" si="3"/>
        <v>9199.3963200000399</v>
      </c>
    </row>
    <row r="74" spans="1:9" ht="18" customHeight="1" x14ac:dyDescent="0.25">
      <c r="A74" s="149" t="s">
        <v>226</v>
      </c>
      <c r="B74" s="149" t="s">
        <v>227</v>
      </c>
      <c r="C74" s="149" t="s">
        <v>205</v>
      </c>
      <c r="D74" s="149" t="s">
        <v>206</v>
      </c>
      <c r="E74" s="150">
        <v>12456</v>
      </c>
      <c r="F74" s="145">
        <f>E74*(1+VLOOKUP($B74,SalaryvRevenue!$B$29:$F$33,5,FALSE))</f>
        <v>12705.12</v>
      </c>
      <c r="G74" s="145">
        <f t="shared" si="2"/>
        <v>249.1200000000008</v>
      </c>
      <c r="H74" s="145">
        <f>G74*VLOOKUP($B74,LoadRates!$C$2:$H$6,3,FALSE)</f>
        <v>98.153280000000322</v>
      </c>
      <c r="I74" s="145">
        <f t="shared" si="3"/>
        <v>347.27328000000114</v>
      </c>
    </row>
    <row r="75" spans="1:9" ht="18" customHeight="1" x14ac:dyDescent="0.25">
      <c r="A75" s="149" t="s">
        <v>226</v>
      </c>
      <c r="B75" s="149" t="s">
        <v>227</v>
      </c>
      <c r="C75" s="149" t="s">
        <v>207</v>
      </c>
      <c r="D75" s="149" t="s">
        <v>208</v>
      </c>
      <c r="E75" s="150">
        <v>907788</v>
      </c>
      <c r="F75" s="145">
        <f>E75*(1+VLOOKUP($B75,SalaryvRevenue!$B$29:$F$33,5,FALSE))</f>
        <v>925943.76</v>
      </c>
      <c r="G75" s="145">
        <f t="shared" si="2"/>
        <v>18155.760000000009</v>
      </c>
      <c r="H75" s="145">
        <f>G75*VLOOKUP($B75,LoadRates!$C$2:$H$6,3,FALSE)</f>
        <v>7153.369440000004</v>
      </c>
      <c r="I75" s="145">
        <f t="shared" si="3"/>
        <v>25309.129440000012</v>
      </c>
    </row>
    <row r="76" spans="1:9" ht="18" customHeight="1" x14ac:dyDescent="0.25">
      <c r="A76" s="149" t="s">
        <v>226</v>
      </c>
      <c r="B76" s="149" t="s">
        <v>227</v>
      </c>
      <c r="C76" s="149" t="s">
        <v>209</v>
      </c>
      <c r="D76" s="149" t="s">
        <v>210</v>
      </c>
      <c r="E76" s="150">
        <v>27156</v>
      </c>
      <c r="F76" s="145">
        <f>E76*(1+VLOOKUP($B76,SalaryvRevenue!$B$29:$F$33,5,FALSE))</f>
        <v>27699.119999999999</v>
      </c>
      <c r="G76" s="145">
        <f t="shared" si="2"/>
        <v>543.11999999999898</v>
      </c>
      <c r="H76" s="145">
        <f>G76*VLOOKUP($B76,LoadRates!$C$2:$H$6,3,FALSE)</f>
        <v>213.98927999999961</v>
      </c>
      <c r="I76" s="145">
        <f t="shared" si="3"/>
        <v>757.10927999999853</v>
      </c>
    </row>
    <row r="77" spans="1:9" ht="18" customHeight="1" x14ac:dyDescent="0.25">
      <c r="A77" s="149" t="s">
        <v>226</v>
      </c>
      <c r="B77" s="149" t="s">
        <v>227</v>
      </c>
      <c r="C77" s="149" t="s">
        <v>211</v>
      </c>
      <c r="D77" s="149" t="s">
        <v>212</v>
      </c>
      <c r="E77" s="150">
        <v>0</v>
      </c>
      <c r="F77" s="145">
        <f>E77*(1+VLOOKUP($B77,SalaryvRevenue!$B$29:$F$33,5,FALSE))</f>
        <v>0</v>
      </c>
      <c r="G77" s="145">
        <f t="shared" si="2"/>
        <v>0</v>
      </c>
      <c r="H77" s="145">
        <f>G77*VLOOKUP($B77,LoadRates!$C$2:$H$6,3,FALSE)</f>
        <v>0</v>
      </c>
      <c r="I77" s="145">
        <f t="shared" si="3"/>
        <v>0</v>
      </c>
    </row>
    <row r="78" spans="1:9" ht="18" customHeight="1" x14ac:dyDescent="0.25">
      <c r="A78" s="149" t="s">
        <v>226</v>
      </c>
      <c r="B78" s="149" t="s">
        <v>227</v>
      </c>
      <c r="C78" s="149" t="s">
        <v>213</v>
      </c>
      <c r="D78" s="149" t="s">
        <v>214</v>
      </c>
      <c r="E78" s="150">
        <v>0</v>
      </c>
      <c r="F78" s="145">
        <f>E78*(1+VLOOKUP($B78,SalaryvRevenue!$B$29:$F$33,5,FALSE))</f>
        <v>0</v>
      </c>
      <c r="G78" s="145">
        <f t="shared" si="2"/>
        <v>0</v>
      </c>
      <c r="H78" s="145">
        <f>G78*VLOOKUP($B78,LoadRates!$C$2:$H$6,3,FALSE)</f>
        <v>0</v>
      </c>
      <c r="I78" s="145">
        <f t="shared" si="3"/>
        <v>0</v>
      </c>
    </row>
    <row r="79" spans="1:9" ht="18" customHeight="1" x14ac:dyDescent="0.25">
      <c r="A79" s="149" t="s">
        <v>226</v>
      </c>
      <c r="B79" s="149" t="s">
        <v>227</v>
      </c>
      <c r="C79" s="149" t="s">
        <v>215</v>
      </c>
      <c r="D79" s="149" t="s">
        <v>216</v>
      </c>
      <c r="E79" s="150">
        <v>19522418</v>
      </c>
      <c r="F79" s="145">
        <f>E79*(1+VLOOKUP($B79,SalaryvRevenue!$B$29:$F$33,5,FALSE))</f>
        <v>19912866.359999999</v>
      </c>
      <c r="G79" s="145">
        <f t="shared" si="2"/>
        <v>390448.3599999994</v>
      </c>
      <c r="H79" s="145">
        <f>G79*VLOOKUP($B79,LoadRates!$C$2:$H$6,3,FALSE)</f>
        <v>153836.65383999978</v>
      </c>
      <c r="I79" s="145">
        <f t="shared" si="3"/>
        <v>544285.01383999921</v>
      </c>
    </row>
    <row r="80" spans="1:9" ht="18" customHeight="1" x14ac:dyDescent="0.25">
      <c r="A80" s="149" t="s">
        <v>226</v>
      </c>
      <c r="B80" s="149" t="s">
        <v>227</v>
      </c>
      <c r="C80" s="149" t="s">
        <v>217</v>
      </c>
      <c r="D80" s="149" t="s">
        <v>218</v>
      </c>
      <c r="E80" s="150">
        <v>0</v>
      </c>
      <c r="F80" s="145">
        <f>E80*(1+VLOOKUP($B80,SalaryvRevenue!$B$29:$F$33,5,FALSE))</f>
        <v>0</v>
      </c>
      <c r="G80" s="145">
        <f t="shared" si="2"/>
        <v>0</v>
      </c>
      <c r="H80" s="145">
        <f>G80*VLOOKUP($B80,LoadRates!$C$2:$H$6,3,FALSE)</f>
        <v>0</v>
      </c>
      <c r="I80" s="145">
        <f t="shared" si="3"/>
        <v>0</v>
      </c>
    </row>
    <row r="81" spans="1:9" ht="18" customHeight="1" x14ac:dyDescent="0.25">
      <c r="A81" s="149" t="s">
        <v>226</v>
      </c>
      <c r="B81" s="149" t="s">
        <v>227</v>
      </c>
      <c r="C81" s="149" t="s">
        <v>219</v>
      </c>
      <c r="D81" s="149" t="s">
        <v>220</v>
      </c>
      <c r="E81" s="150">
        <v>0</v>
      </c>
      <c r="F81" s="145">
        <f>E81*(1+VLOOKUP($B81,SalaryvRevenue!$B$29:$F$33,5,FALSE))</f>
        <v>0</v>
      </c>
      <c r="G81" s="145">
        <f t="shared" si="2"/>
        <v>0</v>
      </c>
      <c r="H81" s="145">
        <f>G81*VLOOKUP($B81,LoadRates!$C$2:$H$6,3,FALSE)</f>
        <v>0</v>
      </c>
      <c r="I81" s="145">
        <f t="shared" si="3"/>
        <v>0</v>
      </c>
    </row>
    <row r="82" spans="1:9" ht="18" customHeight="1" x14ac:dyDescent="0.25">
      <c r="A82" s="149" t="s">
        <v>226</v>
      </c>
      <c r="B82" s="149" t="s">
        <v>227</v>
      </c>
      <c r="C82" s="149" t="s">
        <v>221</v>
      </c>
      <c r="D82" s="149" t="s">
        <v>222</v>
      </c>
      <c r="E82" s="150">
        <v>0</v>
      </c>
      <c r="F82" s="145">
        <f>E82*(1+VLOOKUP($B82,SalaryvRevenue!$B$29:$F$33,5,FALSE))</f>
        <v>0</v>
      </c>
      <c r="G82" s="145">
        <f t="shared" si="2"/>
        <v>0</v>
      </c>
      <c r="H82" s="145">
        <f>G82*VLOOKUP($B82,LoadRates!$C$2:$H$6,3,FALSE)</f>
        <v>0</v>
      </c>
      <c r="I82" s="145">
        <f t="shared" si="3"/>
        <v>0</v>
      </c>
    </row>
    <row r="83" spans="1:9" ht="18" customHeight="1" x14ac:dyDescent="0.25">
      <c r="A83" s="149" t="s">
        <v>228</v>
      </c>
      <c r="B83" s="149" t="s">
        <v>229</v>
      </c>
      <c r="C83" s="149" t="s">
        <v>183</v>
      </c>
      <c r="D83" s="149" t="s">
        <v>184</v>
      </c>
      <c r="E83" s="150">
        <v>0</v>
      </c>
      <c r="F83" s="145">
        <f>E83*(1+VLOOKUP($B83,SalaryvRevenue!$B$29:$F$33,5,FALSE))</f>
        <v>0</v>
      </c>
      <c r="G83" s="145">
        <f t="shared" si="2"/>
        <v>0</v>
      </c>
      <c r="H83" s="145">
        <f>G83*VLOOKUP($B83,LoadRates!$C$2:$H$6,3,FALSE)</f>
        <v>0</v>
      </c>
      <c r="I83" s="145">
        <f t="shared" si="3"/>
        <v>0</v>
      </c>
    </row>
    <row r="84" spans="1:9" ht="18" customHeight="1" x14ac:dyDescent="0.25">
      <c r="A84" s="149" t="s">
        <v>228</v>
      </c>
      <c r="B84" s="149" t="s">
        <v>229</v>
      </c>
      <c r="C84" s="149" t="s">
        <v>185</v>
      </c>
      <c r="D84" s="149" t="s">
        <v>186</v>
      </c>
      <c r="E84" s="150">
        <v>49494</v>
      </c>
      <c r="F84" s="145">
        <f>E84*(1+VLOOKUP($B84,SalaryvRevenue!$B$29:$F$33,5,FALSE))</f>
        <v>52463.64</v>
      </c>
      <c r="G84" s="145">
        <f t="shared" si="2"/>
        <v>2969.6399999999994</v>
      </c>
      <c r="H84" s="145">
        <f>G84*VLOOKUP($B84,LoadRates!$C$2:$H$6,3,FALSE)</f>
        <v>525.62627999999984</v>
      </c>
      <c r="I84" s="145">
        <f t="shared" si="3"/>
        <v>3495.2662799999994</v>
      </c>
    </row>
    <row r="85" spans="1:9" ht="18" customHeight="1" x14ac:dyDescent="0.25">
      <c r="A85" s="149" t="s">
        <v>228</v>
      </c>
      <c r="B85" s="149" t="s">
        <v>229</v>
      </c>
      <c r="C85" s="149" t="s">
        <v>187</v>
      </c>
      <c r="D85" s="149" t="s">
        <v>188</v>
      </c>
      <c r="E85" s="150">
        <v>0</v>
      </c>
      <c r="F85" s="145">
        <f>E85*(1+VLOOKUP($B85,SalaryvRevenue!$B$29:$F$33,5,FALSE))</f>
        <v>0</v>
      </c>
      <c r="G85" s="145">
        <f t="shared" si="2"/>
        <v>0</v>
      </c>
      <c r="H85" s="145">
        <f>G85*VLOOKUP($B85,LoadRates!$C$2:$H$6,3,FALSE)</f>
        <v>0</v>
      </c>
      <c r="I85" s="145">
        <f t="shared" si="3"/>
        <v>0</v>
      </c>
    </row>
    <row r="86" spans="1:9" ht="18" customHeight="1" x14ac:dyDescent="0.25">
      <c r="A86" s="149" t="s">
        <v>228</v>
      </c>
      <c r="B86" s="149" t="s">
        <v>229</v>
      </c>
      <c r="C86" s="149" t="s">
        <v>189</v>
      </c>
      <c r="D86" s="149" t="s">
        <v>190</v>
      </c>
      <c r="E86" s="150">
        <v>0</v>
      </c>
      <c r="F86" s="145">
        <f>E86*(1+VLOOKUP($B86,SalaryvRevenue!$B$29:$F$33,5,FALSE))</f>
        <v>0</v>
      </c>
      <c r="G86" s="145">
        <f t="shared" si="2"/>
        <v>0</v>
      </c>
      <c r="H86" s="145">
        <f>G86*VLOOKUP($B86,LoadRates!$C$2:$H$6,3,FALSE)</f>
        <v>0</v>
      </c>
      <c r="I86" s="145">
        <f t="shared" si="3"/>
        <v>0</v>
      </c>
    </row>
    <row r="87" spans="1:9" ht="18" customHeight="1" x14ac:dyDescent="0.25">
      <c r="A87" s="149" t="s">
        <v>228</v>
      </c>
      <c r="B87" s="149" t="s">
        <v>229</v>
      </c>
      <c r="C87" s="149" t="s">
        <v>191</v>
      </c>
      <c r="D87" s="149" t="s">
        <v>192</v>
      </c>
      <c r="E87" s="150">
        <v>0</v>
      </c>
      <c r="F87" s="145">
        <f>E87*(1+VLOOKUP($B87,SalaryvRevenue!$B$29:$F$33,5,FALSE))</f>
        <v>0</v>
      </c>
      <c r="G87" s="145">
        <f t="shared" si="2"/>
        <v>0</v>
      </c>
      <c r="H87" s="145">
        <f>G87*VLOOKUP($B87,LoadRates!$C$2:$H$6,3,FALSE)</f>
        <v>0</v>
      </c>
      <c r="I87" s="145">
        <f t="shared" si="3"/>
        <v>0</v>
      </c>
    </row>
    <row r="88" spans="1:9" ht="18" customHeight="1" x14ac:dyDescent="0.25">
      <c r="A88" s="149" t="s">
        <v>228</v>
      </c>
      <c r="B88" s="149" t="s">
        <v>229</v>
      </c>
      <c r="C88" s="149" t="s">
        <v>193</v>
      </c>
      <c r="D88" s="149" t="s">
        <v>194</v>
      </c>
      <c r="E88" s="150">
        <v>1644</v>
      </c>
      <c r="F88" s="145">
        <f>E88*(1+VLOOKUP($B88,SalaryvRevenue!$B$29:$F$33,5,FALSE))</f>
        <v>1742.64</v>
      </c>
      <c r="G88" s="145">
        <f t="shared" si="2"/>
        <v>98.6400000000001</v>
      </c>
      <c r="H88" s="145">
        <f>G88*VLOOKUP($B88,LoadRates!$C$2:$H$6,3,FALSE)</f>
        <v>17.459280000000017</v>
      </c>
      <c r="I88" s="145">
        <f t="shared" si="3"/>
        <v>116.09928000000012</v>
      </c>
    </row>
    <row r="89" spans="1:9" ht="18" customHeight="1" x14ac:dyDescent="0.25">
      <c r="A89" s="149" t="s">
        <v>228</v>
      </c>
      <c r="B89" s="149" t="s">
        <v>229</v>
      </c>
      <c r="C89" s="149" t="s">
        <v>195</v>
      </c>
      <c r="D89" s="149" t="s">
        <v>196</v>
      </c>
      <c r="E89" s="150">
        <v>0</v>
      </c>
      <c r="F89" s="145">
        <f>E89*(1+VLOOKUP($B89,SalaryvRevenue!$B$29:$F$33,5,FALSE))</f>
        <v>0</v>
      </c>
      <c r="G89" s="145">
        <f t="shared" si="2"/>
        <v>0</v>
      </c>
      <c r="H89" s="145">
        <f>G89*VLOOKUP($B89,LoadRates!$C$2:$H$6,3,FALSE)</f>
        <v>0</v>
      </c>
      <c r="I89" s="145">
        <f t="shared" si="3"/>
        <v>0</v>
      </c>
    </row>
    <row r="90" spans="1:9" ht="18" customHeight="1" x14ac:dyDescent="0.25">
      <c r="A90" s="149" t="s">
        <v>228</v>
      </c>
      <c r="B90" s="149" t="s">
        <v>229</v>
      </c>
      <c r="C90" s="149" t="s">
        <v>197</v>
      </c>
      <c r="D90" s="149" t="s">
        <v>198</v>
      </c>
      <c r="E90" s="150">
        <v>0</v>
      </c>
      <c r="F90" s="145">
        <f>E90*(1+VLOOKUP($B90,SalaryvRevenue!$B$29:$F$33,5,FALSE))</f>
        <v>0</v>
      </c>
      <c r="G90" s="145">
        <f t="shared" si="2"/>
        <v>0</v>
      </c>
      <c r="H90" s="145">
        <f>G90*VLOOKUP($B90,LoadRates!$C$2:$H$6,3,FALSE)</f>
        <v>0</v>
      </c>
      <c r="I90" s="145">
        <f t="shared" si="3"/>
        <v>0</v>
      </c>
    </row>
    <row r="91" spans="1:9" ht="18" customHeight="1" x14ac:dyDescent="0.25">
      <c r="A91" s="149" t="s">
        <v>228</v>
      </c>
      <c r="B91" s="149" t="s">
        <v>229</v>
      </c>
      <c r="C91" s="149" t="s">
        <v>199</v>
      </c>
      <c r="D91" s="149" t="s">
        <v>200</v>
      </c>
      <c r="E91" s="150">
        <v>0</v>
      </c>
      <c r="F91" s="145">
        <f>E91*(1+VLOOKUP($B91,SalaryvRevenue!$B$29:$F$33,5,FALSE))</f>
        <v>0</v>
      </c>
      <c r="G91" s="145">
        <f t="shared" si="2"/>
        <v>0</v>
      </c>
      <c r="H91" s="145">
        <f>G91*VLOOKUP($B91,LoadRates!$C$2:$H$6,3,FALSE)</f>
        <v>0</v>
      </c>
      <c r="I91" s="145">
        <f t="shared" si="3"/>
        <v>0</v>
      </c>
    </row>
    <row r="92" spans="1:9" ht="18" customHeight="1" x14ac:dyDescent="0.25">
      <c r="A92" s="149" t="s">
        <v>228</v>
      </c>
      <c r="B92" s="149" t="s">
        <v>229</v>
      </c>
      <c r="C92" s="149" t="s">
        <v>201</v>
      </c>
      <c r="D92" s="149" t="s">
        <v>202</v>
      </c>
      <c r="E92" s="150">
        <v>0</v>
      </c>
      <c r="F92" s="145">
        <f>E92*(1+VLOOKUP($B92,SalaryvRevenue!$B$29:$F$33,5,FALSE))</f>
        <v>0</v>
      </c>
      <c r="G92" s="145">
        <f t="shared" si="2"/>
        <v>0</v>
      </c>
      <c r="H92" s="145">
        <f>G92*VLOOKUP($B92,LoadRates!$C$2:$H$6,3,FALSE)</f>
        <v>0</v>
      </c>
      <c r="I92" s="145">
        <f t="shared" si="3"/>
        <v>0</v>
      </c>
    </row>
    <row r="93" spans="1:9" ht="18" customHeight="1" x14ac:dyDescent="0.25">
      <c r="A93" s="149" t="s">
        <v>228</v>
      </c>
      <c r="B93" s="149" t="s">
        <v>229</v>
      </c>
      <c r="C93" s="149" t="s">
        <v>203</v>
      </c>
      <c r="D93" s="149" t="s">
        <v>204</v>
      </c>
      <c r="E93" s="150">
        <v>11232</v>
      </c>
      <c r="F93" s="145">
        <f>E93*(1+VLOOKUP($B93,SalaryvRevenue!$B$29:$F$33,5,FALSE))</f>
        <v>11905.92</v>
      </c>
      <c r="G93" s="145">
        <f t="shared" si="2"/>
        <v>673.92000000000007</v>
      </c>
      <c r="H93" s="145">
        <f>G93*VLOOKUP($B93,LoadRates!$C$2:$H$6,3,FALSE)</f>
        <v>119.28384000000001</v>
      </c>
      <c r="I93" s="145">
        <f t="shared" si="3"/>
        <v>793.20384000000013</v>
      </c>
    </row>
    <row r="94" spans="1:9" ht="18" customHeight="1" x14ac:dyDescent="0.25">
      <c r="A94" s="149" t="s">
        <v>228</v>
      </c>
      <c r="B94" s="149" t="s">
        <v>229</v>
      </c>
      <c r="C94" s="149" t="s">
        <v>205</v>
      </c>
      <c r="D94" s="149" t="s">
        <v>206</v>
      </c>
      <c r="E94" s="150">
        <v>0</v>
      </c>
      <c r="F94" s="145">
        <f>E94*(1+VLOOKUP($B94,SalaryvRevenue!$B$29:$F$33,5,FALSE))</f>
        <v>0</v>
      </c>
      <c r="G94" s="145">
        <f t="shared" si="2"/>
        <v>0</v>
      </c>
      <c r="H94" s="145">
        <f>G94*VLOOKUP($B94,LoadRates!$C$2:$H$6,3,FALSE)</f>
        <v>0</v>
      </c>
      <c r="I94" s="145">
        <f t="shared" si="3"/>
        <v>0</v>
      </c>
    </row>
    <row r="95" spans="1:9" ht="18" customHeight="1" x14ac:dyDescent="0.25">
      <c r="A95" s="149" t="s">
        <v>228</v>
      </c>
      <c r="B95" s="149" t="s">
        <v>229</v>
      </c>
      <c r="C95" s="149" t="s">
        <v>207</v>
      </c>
      <c r="D95" s="149" t="s">
        <v>208</v>
      </c>
      <c r="E95" s="150">
        <v>359666</v>
      </c>
      <c r="F95" s="145">
        <f>E95*(1+VLOOKUP($B95,SalaryvRevenue!$B$29:$F$33,5,FALSE))</f>
        <v>381245.96</v>
      </c>
      <c r="G95" s="145">
        <f t="shared" si="2"/>
        <v>21579.960000000021</v>
      </c>
      <c r="H95" s="145">
        <f>G95*VLOOKUP($B95,LoadRates!$C$2:$H$6,3,FALSE)</f>
        <v>3819.6529200000036</v>
      </c>
      <c r="I95" s="145">
        <f t="shared" si="3"/>
        <v>25399.612920000025</v>
      </c>
    </row>
    <row r="96" spans="1:9" ht="18" customHeight="1" x14ac:dyDescent="0.25">
      <c r="A96" s="149" t="s">
        <v>228</v>
      </c>
      <c r="B96" s="149" t="s">
        <v>229</v>
      </c>
      <c r="C96" s="149" t="s">
        <v>209</v>
      </c>
      <c r="D96" s="149" t="s">
        <v>210</v>
      </c>
      <c r="E96" s="150">
        <v>0</v>
      </c>
      <c r="F96" s="145">
        <f>E96*(1+VLOOKUP($B96,SalaryvRevenue!$B$29:$F$33,5,FALSE))</f>
        <v>0</v>
      </c>
      <c r="G96" s="145">
        <f t="shared" si="2"/>
        <v>0</v>
      </c>
      <c r="H96" s="145">
        <f>G96*VLOOKUP($B96,LoadRates!$C$2:$H$6,3,FALSE)</f>
        <v>0</v>
      </c>
      <c r="I96" s="145">
        <f t="shared" si="3"/>
        <v>0</v>
      </c>
    </row>
    <row r="97" spans="1:9" ht="18" customHeight="1" x14ac:dyDescent="0.25">
      <c r="A97" s="149" t="s">
        <v>228</v>
      </c>
      <c r="B97" s="149" t="s">
        <v>229</v>
      </c>
      <c r="C97" s="149" t="s">
        <v>211</v>
      </c>
      <c r="D97" s="149" t="s">
        <v>212</v>
      </c>
      <c r="E97" s="150">
        <v>0</v>
      </c>
      <c r="F97" s="145">
        <f>E97*(1+VLOOKUP($B97,SalaryvRevenue!$B$29:$F$33,5,FALSE))</f>
        <v>0</v>
      </c>
      <c r="G97" s="145">
        <f t="shared" si="2"/>
        <v>0</v>
      </c>
      <c r="H97" s="145">
        <f>G97*VLOOKUP($B97,LoadRates!$C$2:$H$6,3,FALSE)</f>
        <v>0</v>
      </c>
      <c r="I97" s="145">
        <f t="shared" si="3"/>
        <v>0</v>
      </c>
    </row>
    <row r="98" spans="1:9" ht="18" customHeight="1" x14ac:dyDescent="0.25">
      <c r="A98" s="149" t="s">
        <v>228</v>
      </c>
      <c r="B98" s="149" t="s">
        <v>229</v>
      </c>
      <c r="C98" s="149" t="s">
        <v>213</v>
      </c>
      <c r="D98" s="149" t="s">
        <v>214</v>
      </c>
      <c r="E98" s="150">
        <v>0</v>
      </c>
      <c r="F98" s="145">
        <f>E98*(1+VLOOKUP($B98,SalaryvRevenue!$B$29:$F$33,5,FALSE))</f>
        <v>0</v>
      </c>
      <c r="G98" s="145">
        <f t="shared" si="2"/>
        <v>0</v>
      </c>
      <c r="H98" s="145">
        <f>G98*VLOOKUP($B98,LoadRates!$C$2:$H$6,3,FALSE)</f>
        <v>0</v>
      </c>
      <c r="I98" s="145">
        <f t="shared" si="3"/>
        <v>0</v>
      </c>
    </row>
    <row r="99" spans="1:9" ht="18" customHeight="1" x14ac:dyDescent="0.25">
      <c r="A99" s="149" t="s">
        <v>228</v>
      </c>
      <c r="B99" s="149" t="s">
        <v>229</v>
      </c>
      <c r="C99" s="149" t="s">
        <v>215</v>
      </c>
      <c r="D99" s="149" t="s">
        <v>216</v>
      </c>
      <c r="E99" s="150">
        <v>107124</v>
      </c>
      <c r="F99" s="145">
        <f>E99*(1+VLOOKUP($B99,SalaryvRevenue!$B$29:$F$33,5,FALSE))</f>
        <v>113551.44</v>
      </c>
      <c r="G99" s="145">
        <f t="shared" si="2"/>
        <v>6427.4400000000023</v>
      </c>
      <c r="H99" s="145">
        <f>G99*VLOOKUP($B99,LoadRates!$C$2:$H$6,3,FALSE)</f>
        <v>1137.6568800000005</v>
      </c>
      <c r="I99" s="145">
        <f t="shared" si="3"/>
        <v>7565.0968800000028</v>
      </c>
    </row>
    <row r="100" spans="1:9" ht="18" customHeight="1" x14ac:dyDescent="0.25">
      <c r="A100" s="149" t="s">
        <v>228</v>
      </c>
      <c r="B100" s="149" t="s">
        <v>229</v>
      </c>
      <c r="C100" s="149" t="s">
        <v>217</v>
      </c>
      <c r="D100" s="149" t="s">
        <v>218</v>
      </c>
      <c r="E100" s="150">
        <v>0</v>
      </c>
      <c r="F100" s="145">
        <f>E100*(1+VLOOKUP($B100,SalaryvRevenue!$B$29:$F$33,5,FALSE))</f>
        <v>0</v>
      </c>
      <c r="G100" s="145">
        <f t="shared" si="2"/>
        <v>0</v>
      </c>
      <c r="H100" s="145">
        <f>G100*VLOOKUP($B100,LoadRates!$C$2:$H$6,3,FALSE)</f>
        <v>0</v>
      </c>
      <c r="I100" s="145">
        <f t="shared" si="3"/>
        <v>0</v>
      </c>
    </row>
    <row r="101" spans="1:9" ht="18" customHeight="1" x14ac:dyDescent="0.25">
      <c r="A101" s="149" t="s">
        <v>228</v>
      </c>
      <c r="B101" s="149" t="s">
        <v>229</v>
      </c>
      <c r="C101" s="149" t="s">
        <v>219</v>
      </c>
      <c r="D101" s="149" t="s">
        <v>220</v>
      </c>
      <c r="E101" s="150">
        <v>0</v>
      </c>
      <c r="F101" s="145">
        <f>E101*(1+VLOOKUP($B101,SalaryvRevenue!$B$29:$F$33,5,FALSE))</f>
        <v>0</v>
      </c>
      <c r="G101" s="145">
        <f t="shared" si="2"/>
        <v>0</v>
      </c>
      <c r="H101" s="145">
        <f>G101*VLOOKUP($B101,LoadRates!$C$2:$H$6,3,FALSE)</f>
        <v>0</v>
      </c>
      <c r="I101" s="145">
        <f t="shared" si="3"/>
        <v>0</v>
      </c>
    </row>
    <row r="102" spans="1:9" ht="18" customHeight="1" x14ac:dyDescent="0.25">
      <c r="A102" s="149" t="s">
        <v>228</v>
      </c>
      <c r="B102" s="149" t="s">
        <v>229</v>
      </c>
      <c r="C102" s="149" t="s">
        <v>221</v>
      </c>
      <c r="D102" s="149" t="s">
        <v>222</v>
      </c>
      <c r="E102" s="150">
        <v>0</v>
      </c>
      <c r="F102" s="145">
        <f>E102*(1+VLOOKUP($B102,SalaryvRevenue!$B$29:$F$33,5,FALSE))</f>
        <v>0</v>
      </c>
      <c r="G102" s="145">
        <f t="shared" si="2"/>
        <v>0</v>
      </c>
      <c r="H102" s="145">
        <f>G102*VLOOKUP($B102,LoadRates!$C$2:$H$6,3,FALSE)</f>
        <v>0</v>
      </c>
      <c r="I102" s="145">
        <f t="shared" si="3"/>
        <v>0</v>
      </c>
    </row>
    <row r="103" spans="1:9" ht="18" customHeight="1" x14ac:dyDescent="0.25"/>
    <row r="104" spans="1:9" ht="18" customHeight="1" x14ac:dyDescent="0.25"/>
    <row r="105" spans="1:9" ht="18" customHeight="1" x14ac:dyDescent="0.25"/>
    <row r="106" spans="1:9" ht="18" customHeight="1" x14ac:dyDescent="0.25"/>
    <row r="107" spans="1:9" ht="18" customHeight="1" x14ac:dyDescent="0.25"/>
    <row r="108" spans="1:9" ht="18" customHeight="1" x14ac:dyDescent="0.25"/>
    <row r="109" spans="1:9" ht="18" customHeight="1" x14ac:dyDescent="0.25"/>
    <row r="110" spans="1:9" ht="18" customHeight="1" x14ac:dyDescent="0.25"/>
    <row r="111" spans="1:9" ht="18" customHeight="1" x14ac:dyDescent="0.25"/>
    <row r="112" spans="1:9" ht="18" customHeight="1" x14ac:dyDescent="0.25"/>
    <row r="113" ht="18" customHeight="1" x14ac:dyDescent="0.25"/>
    <row r="114" ht="18" customHeight="1" x14ac:dyDescent="0.25"/>
    <row r="115" ht="18" customHeight="1" x14ac:dyDescent="0.25"/>
    <row r="116" ht="18" customHeight="1" x14ac:dyDescent="0.25"/>
  </sheetData>
  <mergeCells count="1">
    <mergeCell ref="I1: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48"/>
  <sheetViews>
    <sheetView showGridLines="0" topLeftCell="S1" zoomScale="133" zoomScaleNormal="106" zoomScalePageLayoutView="106" workbookViewId="0">
      <selection activeCell="S21" sqref="S21"/>
    </sheetView>
  </sheetViews>
  <sheetFormatPr defaultColWidth="4.7109375" defaultRowHeight="15" x14ac:dyDescent="0.25"/>
  <cols>
    <col min="1" max="1" width="7.140625" style="202" hidden="1" customWidth="1"/>
    <col min="2" max="2" width="39.42578125" style="202" customWidth="1"/>
    <col min="3" max="4" width="16.42578125" style="202" hidden="1" customWidth="1"/>
    <col min="5" max="5" width="16.7109375" style="202" hidden="1" customWidth="1"/>
    <col min="6" max="6" width="17.28515625" style="202" customWidth="1"/>
    <col min="7" max="9" width="19.42578125" style="202" hidden="1" customWidth="1"/>
    <col min="10" max="10" width="16.85546875" style="202" customWidth="1"/>
    <col min="11" max="11" width="13.140625" style="202" hidden="1" customWidth="1"/>
    <col min="12" max="12" width="10.7109375" style="202" hidden="1" customWidth="1"/>
    <col min="13" max="13" width="15.28515625" style="202" customWidth="1"/>
    <col min="14" max="16" width="14.140625" style="202" customWidth="1"/>
    <col min="17" max="18" width="14.140625" style="202" hidden="1" customWidth="1"/>
    <col min="19" max="19" width="14.140625" style="202" customWidth="1"/>
    <col min="20" max="20" width="14.140625" style="202" hidden="1" customWidth="1"/>
    <col min="21" max="22" width="14.140625" style="202" customWidth="1"/>
    <col min="23" max="23" width="14.42578125" style="202" customWidth="1"/>
    <col min="24" max="24" width="14.42578125" customWidth="1"/>
    <col min="25" max="25" width="3.85546875" style="202" customWidth="1"/>
    <col min="26" max="26" width="48.42578125" customWidth="1"/>
    <col min="27" max="27" width="12.85546875" style="202" customWidth="1"/>
    <col min="28" max="28" width="3.7109375" style="202" customWidth="1"/>
    <col min="29" max="29" width="10.7109375" style="202" hidden="1" customWidth="1"/>
    <col min="30" max="30" width="4.7109375" style="202"/>
    <col min="31" max="31" width="11.42578125" style="211" customWidth="1"/>
    <col min="32" max="32" width="21.42578125" customWidth="1"/>
    <col min="33" max="33" width="14.28515625" style="202" customWidth="1"/>
    <col min="34" max="34" width="4.7109375" style="202"/>
    <col min="35" max="36" width="6.28515625" style="202" customWidth="1"/>
    <col min="37" max="37" width="6.140625" style="202" customWidth="1"/>
    <col min="38" max="16384" width="4.7109375" style="202"/>
  </cols>
  <sheetData>
    <row r="1" spans="1:37" s="197" customFormat="1" ht="57.75" customHeight="1" x14ac:dyDescent="0.25">
      <c r="A1" s="195"/>
      <c r="B1" s="458" t="s">
        <v>238</v>
      </c>
      <c r="C1" s="196" t="s">
        <v>239</v>
      </c>
      <c r="D1" s="196" t="s">
        <v>240</v>
      </c>
      <c r="E1" s="196" t="s">
        <v>241</v>
      </c>
      <c r="F1" s="196" t="s">
        <v>314</v>
      </c>
      <c r="G1" s="196" t="s">
        <v>315</v>
      </c>
      <c r="H1" s="196" t="s">
        <v>316</v>
      </c>
      <c r="I1" s="196" t="s">
        <v>317</v>
      </c>
      <c r="J1" s="196" t="s">
        <v>321</v>
      </c>
      <c r="K1" s="196" t="s">
        <v>242</v>
      </c>
      <c r="L1" s="196" t="s">
        <v>322</v>
      </c>
      <c r="M1" s="196" t="s">
        <v>243</v>
      </c>
      <c r="N1" s="196" t="s">
        <v>318</v>
      </c>
      <c r="O1" s="196" t="s">
        <v>329</v>
      </c>
      <c r="P1" s="196" t="s">
        <v>312</v>
      </c>
      <c r="Q1" s="196" t="s">
        <v>327</v>
      </c>
      <c r="R1" s="196" t="s">
        <v>328</v>
      </c>
      <c r="S1" s="196" t="s">
        <v>313</v>
      </c>
      <c r="T1" s="196" t="s">
        <v>323</v>
      </c>
      <c r="U1" s="196" t="s">
        <v>244</v>
      </c>
      <c r="V1" s="196" t="s">
        <v>245</v>
      </c>
      <c r="W1" s="196" t="s">
        <v>330</v>
      </c>
      <c r="X1"/>
      <c r="Y1"/>
      <c r="Z1"/>
      <c r="AA1"/>
      <c r="AB1"/>
      <c r="AC1"/>
      <c r="AD1"/>
      <c r="AE1" s="198"/>
      <c r="AF1"/>
    </row>
    <row r="2" spans="1:37" s="201" customFormat="1" ht="15" hidden="1" customHeight="1" thickTop="1" x14ac:dyDescent="0.25">
      <c r="A2" s="199"/>
      <c r="B2" s="458"/>
      <c r="C2" s="200"/>
      <c r="D2" s="200"/>
      <c r="E2" s="200"/>
      <c r="F2" s="200"/>
      <c r="G2" s="200"/>
      <c r="H2" s="200"/>
      <c r="I2" s="200"/>
      <c r="J2" s="200"/>
      <c r="K2" s="162"/>
      <c r="L2" s="162"/>
      <c r="M2" s="200"/>
      <c r="N2" s="200"/>
      <c r="O2" s="200"/>
      <c r="P2" s="200"/>
      <c r="Q2" s="200"/>
      <c r="R2" s="200"/>
      <c r="S2" s="200"/>
      <c r="T2" s="200"/>
      <c r="U2" s="200">
        <f>-FY17Calc0!W123</f>
        <v>-17819080.217241466</v>
      </c>
      <c r="V2" s="200"/>
      <c r="W2" s="200"/>
      <c r="X2"/>
      <c r="Y2"/>
      <c r="Z2"/>
      <c r="AA2"/>
      <c r="AB2"/>
      <c r="AC2"/>
      <c r="AD2"/>
      <c r="AE2"/>
      <c r="AF2"/>
      <c r="AG2"/>
      <c r="AI2" s="201" t="s">
        <v>319</v>
      </c>
      <c r="AJ2" s="201" t="s">
        <v>320</v>
      </c>
    </row>
    <row r="3" spans="1:37" ht="15" customHeight="1" x14ac:dyDescent="0.25">
      <c r="A3" s="394" t="s">
        <v>183</v>
      </c>
      <c r="B3" s="395" t="s">
        <v>246</v>
      </c>
      <c r="C3" s="393">
        <f>SUMIF(GOFSalbyUnitByEmpType!$C$3:C$62,SalaryvRevenue!$A3,GOFSalbyUnitByEmpType!$I$3:$I$62)</f>
        <v>374943.67891999998</v>
      </c>
      <c r="D3" s="393">
        <f ca="1">SUMIF(GOFSalbyUnitByEmpType!$C$63:D$82,SalaryvRevenue!$A3,GOFSalbyUnitByEmpType!$I$63:$I$82)</f>
        <v>2043.4924799999976</v>
      </c>
      <c r="E3" s="393">
        <f ca="1">SUMIF(GOFSalbyUnitByEmpType!$C$83:E$102,SalaryvRevenue!$A3,GOFSalbyUnitByEmpType!$I$83:$I$102)</f>
        <v>7404.5069999999996</v>
      </c>
      <c r="F3" s="390">
        <f t="shared" ref="F3:F21" ca="1" si="0">SUM(C3:E3)</f>
        <v>384391.67839999998</v>
      </c>
      <c r="G3" s="390">
        <f t="shared" ref="G3:G21" si="1">+($F$37/$F$29)*C3</f>
        <v>187471.83945999999</v>
      </c>
      <c r="H3" s="390">
        <f t="shared" ref="H3:H21" ca="1" si="2">+($F$37/$F$32)*D3</f>
        <v>2043.4924799999976</v>
      </c>
      <c r="I3" s="390">
        <f t="shared" ref="I3:I21" ca="1" si="3">+($F$37/$F$33)*E3</f>
        <v>2468.1690000000003</v>
      </c>
      <c r="J3" s="390">
        <f ca="1">SUM(G3:I3)</f>
        <v>191983.50093999997</v>
      </c>
      <c r="K3" s="396">
        <f>SUMIF(GOFSalbyUnitByEmpType!$C$3:$C$102,SalaryvRevenue!$A3,GOFSalbyUnitByEmpType!$E$3:$E$102)</f>
        <v>7646383</v>
      </c>
      <c r="L3" s="397">
        <f t="shared" ref="L3:L21" si="4">+K3/SUM($K$3:$K$21)</f>
        <v>1.4803660202280858E-2</v>
      </c>
      <c r="M3" s="393">
        <f t="shared" ref="M3:M21" si="5">+L3*$F$38</f>
        <v>114180.63114019226</v>
      </c>
      <c r="N3" s="393">
        <f ca="1">IF(J3&gt;=M3,J3-M3,0)</f>
        <v>77802.869799807711</v>
      </c>
      <c r="O3" s="393">
        <f ca="1">+F3-J3</f>
        <v>192408.17746000001</v>
      </c>
      <c r="P3" s="393">
        <v>604784.39061866968</v>
      </c>
      <c r="Q3" s="393">
        <f>+FY17ProjRevToColl0!C26</f>
        <v>10501121.563636316</v>
      </c>
      <c r="R3" s="393">
        <f>+FY16ProjRevToColl0!C26</f>
        <v>10369736.753054088</v>
      </c>
      <c r="S3" s="393">
        <f>Q3-R3</f>
        <v>131384.810582228</v>
      </c>
      <c r="T3" s="404">
        <v>1.983973855897718E-2</v>
      </c>
      <c r="U3" s="393">
        <f>+T3*U$2</f>
        <v>-353525.89287151297</v>
      </c>
      <c r="V3" s="393">
        <f t="shared" ref="V3:V18" si="6">-$F$39*U3</f>
        <v>353525.89287151297</v>
      </c>
      <c r="W3" s="393">
        <f ca="1">+V3+U3+S3+P3-O3</f>
        <v>543761.02374089765</v>
      </c>
      <c r="Y3"/>
      <c r="AA3"/>
      <c r="AB3"/>
      <c r="AC3"/>
      <c r="AD3"/>
      <c r="AE3"/>
      <c r="AG3"/>
      <c r="AH3"/>
      <c r="AI3"/>
      <c r="AJ3"/>
      <c r="AK3"/>
    </row>
    <row r="4" spans="1:37" ht="15" customHeight="1" x14ac:dyDescent="0.25">
      <c r="A4" s="163" t="s">
        <v>185</v>
      </c>
      <c r="B4" s="164" t="s">
        <v>248</v>
      </c>
      <c r="C4" s="165">
        <f>SUMIF(GOFSalbyUnitByEmpType!$C$3:C$62,SalaryvRevenue!$A4,GOFSalbyUnitByEmpType!$I$3:$I$62)</f>
        <v>5250786.3273200039</v>
      </c>
      <c r="D4" s="166">
        <f ca="1">SUMIF(GOFSalbyUnitByEmpType!$C$63:D$82,SalaryvRevenue!$A4,GOFSalbyUnitByEmpType!$I$63:$I$82)</f>
        <v>164410.56252000009</v>
      </c>
      <c r="E4" s="166">
        <f ca="1">SUMIF(GOFSalbyUnitByEmpType!$C$83:E$102,SalaryvRevenue!$A4,GOFSalbyUnitByEmpType!$I$83:$I$102)</f>
        <v>1100042.7966000009</v>
      </c>
      <c r="F4" s="166">
        <f t="shared" ca="1" si="0"/>
        <v>6515239.686440005</v>
      </c>
      <c r="G4" s="166">
        <f t="shared" si="1"/>
        <v>2625393.1636600019</v>
      </c>
      <c r="H4" s="166">
        <f t="shared" ca="1" si="2"/>
        <v>164410.56252000009</v>
      </c>
      <c r="I4" s="166">
        <f t="shared" ca="1" si="3"/>
        <v>366680.93220000033</v>
      </c>
      <c r="J4" s="166">
        <f t="shared" ref="J4:J21" ca="1" si="7">SUM(G4:I4)</f>
        <v>3156484.6583800022</v>
      </c>
      <c r="K4" s="167">
        <f>SUMIF(GOFSalbyUnitByEmpType!$C$3:$C$102,SalaryvRevenue!$A4,GOFSalbyUnitByEmpType!$E$3:$E$102)</f>
        <v>126213882</v>
      </c>
      <c r="L4" s="168">
        <f t="shared" si="4"/>
        <v>0.24435441200614361</v>
      </c>
      <c r="M4" s="169">
        <f t="shared" si="5"/>
        <v>1884705.5798033855</v>
      </c>
      <c r="N4" s="169">
        <f t="shared" ref="N4:N19" ca="1" si="8">IF(J4&gt;=M4,J4-M4,0)</f>
        <v>1271779.0785766167</v>
      </c>
      <c r="O4" s="169">
        <f t="shared" ref="O4:O21" ca="1" si="9">+F4-J4</f>
        <v>3358755.0280600027</v>
      </c>
      <c r="P4" s="169">
        <v>-4391031.5864906358</v>
      </c>
      <c r="Q4" s="169">
        <f>+FY17ProjRevToColl0!D26</f>
        <v>194028667.88760066</v>
      </c>
      <c r="R4" s="169">
        <f>+FY16ProjRevToColl0!D26</f>
        <v>189888821.45433572</v>
      </c>
      <c r="S4" s="169">
        <f t="shared" ref="S4:S21" si="10">Q4-R4</f>
        <v>4139846.433264941</v>
      </c>
      <c r="T4" s="405">
        <v>0.64711836563681535</v>
      </c>
      <c r="U4" s="169">
        <f t="shared" ref="U4:U17" si="11">+T4*U$2</f>
        <v>-11531054.067332607</v>
      </c>
      <c r="V4" s="169">
        <f t="shared" si="6"/>
        <v>11531054.067332607</v>
      </c>
      <c r="W4" s="169">
        <f t="shared" ref="W4:W21" ca="1" si="12">+V4+U4+S4+P4-O4</f>
        <v>-3609940.1812856975</v>
      </c>
      <c r="Y4"/>
      <c r="AA4"/>
      <c r="AB4"/>
      <c r="AC4"/>
      <c r="AD4"/>
      <c r="AE4"/>
      <c r="AG4"/>
      <c r="AH4"/>
      <c r="AI4"/>
      <c r="AJ4"/>
      <c r="AK4"/>
    </row>
    <row r="5" spans="1:37" ht="15" customHeight="1" x14ac:dyDescent="0.25">
      <c r="A5" s="387" t="s">
        <v>189</v>
      </c>
      <c r="B5" s="388" t="s">
        <v>249</v>
      </c>
      <c r="C5" s="389">
        <f>SUMIF(GOFSalbyUnitByEmpType!$C$3:C$62,SalaryvRevenue!$A5,GOFSalbyUnitByEmpType!$I$3:$I$62)</f>
        <v>1044129.6380800012</v>
      </c>
      <c r="D5" s="390">
        <f ca="1">SUMIF(GOFSalbyUnitByEmpType!$C$63:D$82,SalaryvRevenue!$A5,GOFSalbyUnitByEmpType!$I$63:$I$82)</f>
        <v>17451.318720000007</v>
      </c>
      <c r="E5" s="390">
        <f ca="1">SUMIF(GOFSalbyUnitByEmpType!$C$83:E$102,SalaryvRevenue!$A5,GOFSalbyUnitByEmpType!$I$83:$I$102)</f>
        <v>46408.144860000059</v>
      </c>
      <c r="F5" s="390">
        <f t="shared" ca="1" si="0"/>
        <v>1107989.1016600013</v>
      </c>
      <c r="G5" s="390">
        <f t="shared" si="1"/>
        <v>522064.81904000061</v>
      </c>
      <c r="H5" s="390">
        <f t="shared" ca="1" si="2"/>
        <v>17451.318720000007</v>
      </c>
      <c r="I5" s="390">
        <f t="shared" ca="1" si="3"/>
        <v>15469.381620000022</v>
      </c>
      <c r="J5" s="390">
        <f t="shared" ca="1" si="7"/>
        <v>554985.51938000065</v>
      </c>
      <c r="K5" s="391">
        <f>SUMIF(GOFSalbyUnitByEmpType!$C$3:$C$102,SalaryvRevenue!$A5,GOFSalbyUnitByEmpType!$E$3:$E$102)</f>
        <v>22124735</v>
      </c>
      <c r="L5" s="392">
        <f t="shared" si="4"/>
        <v>4.2834247121221941E-2</v>
      </c>
      <c r="M5" s="393">
        <f t="shared" si="5"/>
        <v>330380.54804598482</v>
      </c>
      <c r="N5" s="393">
        <f t="shared" ca="1" si="8"/>
        <v>224604.97133401583</v>
      </c>
      <c r="O5" s="393">
        <f t="shared" ca="1" si="9"/>
        <v>553003.58228000067</v>
      </c>
      <c r="P5" s="393">
        <v>-640662.00811166363</v>
      </c>
      <c r="Q5" s="393">
        <f>+FY17ProjRevToColl0!E26</f>
        <v>28487861.484551959</v>
      </c>
      <c r="R5" s="393">
        <f>+FY16ProjRevToColl0!E26</f>
        <v>27837766.366119154</v>
      </c>
      <c r="S5" s="393">
        <f t="shared" si="10"/>
        <v>650095.11843280494</v>
      </c>
      <c r="T5" s="404">
        <v>8.2105614175711328E-2</v>
      </c>
      <c r="U5" s="393">
        <f t="shared" si="11"/>
        <v>-1463046.5252828782</v>
      </c>
      <c r="V5" s="393">
        <f t="shared" si="6"/>
        <v>1463046.5252828782</v>
      </c>
      <c r="W5" s="393">
        <f t="shared" ca="1" si="12"/>
        <v>-543570.47195885936</v>
      </c>
      <c r="Y5"/>
      <c r="AA5"/>
      <c r="AB5"/>
      <c r="AC5"/>
      <c r="AD5"/>
      <c r="AE5"/>
      <c r="AG5"/>
      <c r="AH5"/>
      <c r="AI5"/>
      <c r="AJ5"/>
      <c r="AK5"/>
    </row>
    <row r="6" spans="1:37" ht="15" customHeight="1" x14ac:dyDescent="0.25">
      <c r="A6" s="163" t="s">
        <v>191</v>
      </c>
      <c r="B6" s="164" t="s">
        <v>250</v>
      </c>
      <c r="C6" s="165">
        <f>SUMIF(GOFSalbyUnitByEmpType!$C$3:C$62,SalaryvRevenue!$A6,GOFSalbyUnitByEmpType!$I$3:$I$62)</f>
        <v>442108.91404000006</v>
      </c>
      <c r="D6" s="166">
        <f ca="1">SUMIF(GOFSalbyUnitByEmpType!$C$63:D$82,SalaryvRevenue!$A6,GOFSalbyUnitByEmpType!$I$63:$I$82)</f>
        <v>18080.291519999941</v>
      </c>
      <c r="E6" s="166">
        <f ca="1">SUMIF(GOFSalbyUnitByEmpType!$C$83:E$102,SalaryvRevenue!$A6,GOFSalbyUnitByEmpType!$I$83:$I$102)</f>
        <v>29242.047119999996</v>
      </c>
      <c r="F6" s="166">
        <f t="shared" ca="1" si="0"/>
        <v>489431.25268000003</v>
      </c>
      <c r="G6" s="166">
        <f t="shared" si="1"/>
        <v>221054.45702000003</v>
      </c>
      <c r="H6" s="166">
        <f t="shared" ca="1" si="2"/>
        <v>18080.291519999941</v>
      </c>
      <c r="I6" s="166">
        <f t="shared" ca="1" si="3"/>
        <v>9747.3490399999991</v>
      </c>
      <c r="J6" s="166">
        <f t="shared" ca="1" si="7"/>
        <v>248882.09757999997</v>
      </c>
      <c r="K6" s="167">
        <f>SUMIF(GOFSalbyUnitByEmpType!$C$3:$C$102,SalaryvRevenue!$A6,GOFSalbyUnitByEmpType!$E$3:$E$102)</f>
        <v>9877493</v>
      </c>
      <c r="L6" s="168">
        <f t="shared" si="4"/>
        <v>1.9123165818715562E-2</v>
      </c>
      <c r="M6" s="169">
        <f t="shared" si="5"/>
        <v>147496.97795975313</v>
      </c>
      <c r="N6" s="169">
        <f t="shared" ca="1" si="8"/>
        <v>101385.11962024684</v>
      </c>
      <c r="O6" s="169">
        <f t="shared" ca="1" si="9"/>
        <v>240549.15510000006</v>
      </c>
      <c r="P6" s="169">
        <v>343658.13154223707</v>
      </c>
      <c r="Q6" s="169">
        <f>+FY17ProjRevToColl0!F26</f>
        <v>8845061.7629304621</v>
      </c>
      <c r="R6" s="169">
        <f>+FY16ProjRevToColl0!F26</f>
        <v>8547789.2443735506</v>
      </c>
      <c r="S6" s="169">
        <f t="shared" si="10"/>
        <v>297272.5185569115</v>
      </c>
      <c r="T6" s="405">
        <v>1.5341699539101129E-2</v>
      </c>
      <c r="U6" s="169">
        <f t="shared" si="11"/>
        <v>-273374.97475605941</v>
      </c>
      <c r="V6" s="169">
        <f t="shared" si="6"/>
        <v>273374.97475605941</v>
      </c>
      <c r="W6" s="169">
        <f t="shared" ca="1" si="12"/>
        <v>400381.49499914842</v>
      </c>
      <c r="Y6"/>
      <c r="AA6"/>
      <c r="AB6"/>
      <c r="AC6"/>
      <c r="AD6"/>
      <c r="AE6"/>
      <c r="AG6"/>
      <c r="AH6"/>
      <c r="AI6"/>
      <c r="AJ6"/>
      <c r="AK6"/>
    </row>
    <row r="7" spans="1:37" ht="15" customHeight="1" x14ac:dyDescent="0.25">
      <c r="A7" s="163" t="s">
        <v>193</v>
      </c>
      <c r="B7" s="388" t="s">
        <v>251</v>
      </c>
      <c r="C7" s="389">
        <f>SUMIF(GOFSalbyUnitByEmpType!$C$3:C$62,SalaryvRevenue!$A7,GOFSalbyUnitByEmpType!$I$3:$I$62)</f>
        <v>1951390.7830000001</v>
      </c>
      <c r="D7" s="390">
        <f ca="1">SUMIF(GOFSalbyUnitByEmpType!$C$63:D$82,SalaryvRevenue!$A7,GOFSalbyUnitByEmpType!$I$63:$I$82)</f>
        <v>12549.011040000045</v>
      </c>
      <c r="E7" s="390">
        <f ca="1">SUMIF(GOFSalbyUnitByEmpType!$C$83:E$102,SalaryvRevenue!$A7,GOFSalbyUnitByEmpType!$I$83:$I$102)</f>
        <v>129033.19176000013</v>
      </c>
      <c r="F7" s="390">
        <f t="shared" ca="1" si="0"/>
        <v>2092972.9858000001</v>
      </c>
      <c r="G7" s="390">
        <f t="shared" si="1"/>
        <v>975695.39150000003</v>
      </c>
      <c r="H7" s="390">
        <f t="shared" ca="1" si="2"/>
        <v>12549.011040000045</v>
      </c>
      <c r="I7" s="390">
        <f t="shared" ca="1" si="3"/>
        <v>43011.063920000051</v>
      </c>
      <c r="J7" s="390">
        <f t="shared" ca="1" si="7"/>
        <v>1031255.4664600001</v>
      </c>
      <c r="K7" s="391">
        <f>SUMIF(GOFSalbyUnitByEmpType!$C$3:$C$102,SalaryvRevenue!$A7,GOFSalbyUnitByEmpType!$E$3:$E$102)</f>
        <v>41173931</v>
      </c>
      <c r="L7" s="392">
        <f t="shared" si="4"/>
        <v>7.9714145069133741E-2</v>
      </c>
      <c r="M7" s="393">
        <f t="shared" si="5"/>
        <v>614835.2009182286</v>
      </c>
      <c r="N7" s="393">
        <f t="shared" ca="1" si="8"/>
        <v>416420.26554177154</v>
      </c>
      <c r="O7" s="393">
        <f t="shared" ca="1" si="9"/>
        <v>1061717.5193400001</v>
      </c>
      <c r="P7" s="393">
        <v>-334757.2361635355</v>
      </c>
      <c r="Q7" s="393">
        <f>+FY17ProjRevToColl0!G26</f>
        <v>39255300.995432213</v>
      </c>
      <c r="R7" s="393">
        <f>+FY16ProjRevToColl0!G26</f>
        <v>37857429.201412015</v>
      </c>
      <c r="S7" s="393">
        <f t="shared" si="10"/>
        <v>1397871.7940201983</v>
      </c>
      <c r="T7" s="404">
        <v>0.10212759097006326</v>
      </c>
      <c r="U7" s="393">
        <f t="shared" si="11"/>
        <v>-1819819.7358891824</v>
      </c>
      <c r="V7" s="393">
        <f t="shared" si="6"/>
        <v>1819819.7358891824</v>
      </c>
      <c r="W7" s="393">
        <f t="shared" ca="1" si="12"/>
        <v>1397.0385166625492</v>
      </c>
      <c r="Y7"/>
      <c r="AA7"/>
      <c r="AB7"/>
      <c r="AC7"/>
      <c r="AD7"/>
      <c r="AE7"/>
      <c r="AG7"/>
      <c r="AH7"/>
      <c r="AI7"/>
      <c r="AJ7"/>
      <c r="AK7"/>
    </row>
    <row r="8" spans="1:37" ht="15" customHeight="1" x14ac:dyDescent="0.25">
      <c r="A8" s="163" t="s">
        <v>195</v>
      </c>
      <c r="B8" s="164" t="s">
        <v>252</v>
      </c>
      <c r="C8" s="165">
        <f>SUMIF(GOFSalbyUnitByEmpType!$C$3:C$62,SalaryvRevenue!$A8,GOFSalbyUnitByEmpType!$I$3:$I$62)</f>
        <v>1077759.5443200003</v>
      </c>
      <c r="D8" s="166">
        <f ca="1">SUMIF(GOFSalbyUnitByEmpType!$C$63:D$82,SalaryvRevenue!$A8,GOFSalbyUnitByEmpType!$I$63:$I$82)</f>
        <v>28941.196440000014</v>
      </c>
      <c r="E8" s="166">
        <f ca="1">SUMIF(GOFSalbyUnitByEmpType!$C$83:E$102,SalaryvRevenue!$A8,GOFSalbyUnitByEmpType!$I$83:$I$102)</f>
        <v>86301.100380000207</v>
      </c>
      <c r="F8" s="166">
        <f t="shared" ca="1" si="0"/>
        <v>1193001.8411400006</v>
      </c>
      <c r="G8" s="166">
        <f t="shared" si="1"/>
        <v>538879.77216000017</v>
      </c>
      <c r="H8" s="166">
        <f t="shared" ca="1" si="2"/>
        <v>28941.196440000014</v>
      </c>
      <c r="I8" s="166">
        <f t="shared" ca="1" si="3"/>
        <v>28767.033460000071</v>
      </c>
      <c r="J8" s="166">
        <f t="shared" ca="1" si="7"/>
        <v>596588.0020600002</v>
      </c>
      <c r="K8" s="167">
        <f>SUMIF(GOFSalbyUnitByEmpType!$C$3:$C$102,SalaryvRevenue!$A8,GOFSalbyUnitByEmpType!$E$3:$E$102)</f>
        <v>23658686</v>
      </c>
      <c r="L8" s="168">
        <f t="shared" si="4"/>
        <v>4.5804028960681059E-2</v>
      </c>
      <c r="M8" s="169">
        <f t="shared" si="5"/>
        <v>353286.47537373303</v>
      </c>
      <c r="N8" s="169">
        <f t="shared" ca="1" si="8"/>
        <v>243301.52668626717</v>
      </c>
      <c r="O8" s="169">
        <f t="shared" ca="1" si="9"/>
        <v>596413.83908000041</v>
      </c>
      <c r="P8" s="169">
        <v>-575325.50578490645</v>
      </c>
      <c r="Q8" s="169">
        <f>+FY17ProjRevToColl0!H26</f>
        <v>17167640.25679392</v>
      </c>
      <c r="R8" s="169">
        <f>+FY16ProjRevToColl0!H26</f>
        <v>16784260.672741845</v>
      </c>
      <c r="S8" s="169">
        <f t="shared" si="10"/>
        <v>383379.5840520747</v>
      </c>
      <c r="T8" s="405">
        <v>4.7757846100532193E-2</v>
      </c>
      <c r="U8" s="169">
        <f t="shared" si="11"/>
        <v>-851000.89066805574</v>
      </c>
      <c r="V8" s="169">
        <f t="shared" si="6"/>
        <v>851000.89066805574</v>
      </c>
      <c r="W8" s="169">
        <f t="shared" ca="1" si="12"/>
        <v>-788359.76081283216</v>
      </c>
      <c r="Y8"/>
      <c r="AA8"/>
      <c r="AB8"/>
      <c r="AC8"/>
      <c r="AD8"/>
      <c r="AE8"/>
      <c r="AG8"/>
      <c r="AH8"/>
      <c r="AI8"/>
      <c r="AJ8"/>
      <c r="AK8"/>
    </row>
    <row r="9" spans="1:37" ht="15" customHeight="1" x14ac:dyDescent="0.25">
      <c r="A9" s="163" t="s">
        <v>197</v>
      </c>
      <c r="B9" s="388" t="s">
        <v>253</v>
      </c>
      <c r="C9" s="389">
        <f>SUMIF(GOFSalbyUnitByEmpType!$C$3:C$62,SalaryvRevenue!$A9,GOFSalbyUnitByEmpType!$I$3:$I$62)</f>
        <v>125496.09431999992</v>
      </c>
      <c r="D9" s="390">
        <f ca="1">SUMIF(GOFSalbyUnitByEmpType!$C$63:D$82,SalaryvRevenue!$A9,GOFSalbyUnitByEmpType!$I$63:$I$82)</f>
        <v>3003.6796800000016</v>
      </c>
      <c r="E9" s="390">
        <f ca="1">SUMIF(GOFSalbyUnitByEmpType!$C$83:E$102,SalaryvRevenue!$A9,GOFSalbyUnitByEmpType!$I$83:$I$102)</f>
        <v>10656.911100000021</v>
      </c>
      <c r="F9" s="390">
        <f t="shared" ca="1" si="0"/>
        <v>139156.68509999994</v>
      </c>
      <c r="G9" s="390">
        <f t="shared" si="1"/>
        <v>62748.047159999958</v>
      </c>
      <c r="H9" s="390">
        <f t="shared" ca="1" si="2"/>
        <v>3003.6796800000016</v>
      </c>
      <c r="I9" s="390">
        <f t="shared" ca="1" si="3"/>
        <v>3552.3037000000077</v>
      </c>
      <c r="J9" s="390">
        <f t="shared" ca="1" si="7"/>
        <v>69304.030539999963</v>
      </c>
      <c r="K9" s="391">
        <f>SUMIF(GOFSalbyUnitByEmpType!$C$3:$C$102,SalaryvRevenue!$A9,GOFSalbyUnitByEmpType!$E$3:$E$102)</f>
        <v>2761619</v>
      </c>
      <c r="L9" s="392">
        <f t="shared" si="4"/>
        <v>5.346589267652779E-3</v>
      </c>
      <c r="M9" s="393">
        <f t="shared" si="5"/>
        <v>41238.243021405884</v>
      </c>
      <c r="N9" s="393">
        <f t="shared" ca="1" si="8"/>
        <v>28065.787518594079</v>
      </c>
      <c r="O9" s="393">
        <f t="shared" ca="1" si="9"/>
        <v>69852.654559999981</v>
      </c>
      <c r="P9" s="393">
        <v>240865.34329947855</v>
      </c>
      <c r="Q9" s="393">
        <f>+FY17ProjRevToColl0!I26</f>
        <v>4288705.4751703534</v>
      </c>
      <c r="R9" s="393">
        <f>+FY16ProjRevToColl0!I26</f>
        <v>4195618.2585096927</v>
      </c>
      <c r="S9" s="393">
        <f t="shared" si="10"/>
        <v>93087.216660660692</v>
      </c>
      <c r="T9" s="404">
        <v>1.4122622838817482E-2</v>
      </c>
      <c r="U9" s="393">
        <f t="shared" si="11"/>
        <v>-251652.14924273512</v>
      </c>
      <c r="V9" s="393">
        <f t="shared" si="6"/>
        <v>251652.14924273512</v>
      </c>
      <c r="W9" s="393">
        <f t="shared" ca="1" si="12"/>
        <v>264099.90540013922</v>
      </c>
      <c r="Y9"/>
      <c r="AA9"/>
      <c r="AB9"/>
      <c r="AC9"/>
      <c r="AD9"/>
      <c r="AE9"/>
      <c r="AG9"/>
      <c r="AH9"/>
      <c r="AI9"/>
      <c r="AJ9"/>
      <c r="AK9"/>
    </row>
    <row r="10" spans="1:37" ht="15" customHeight="1" x14ac:dyDescent="0.25">
      <c r="A10" s="163" t="s">
        <v>199</v>
      </c>
      <c r="B10" s="164" t="s">
        <v>254</v>
      </c>
      <c r="C10" s="165">
        <f>SUMIF(GOFSalbyUnitByEmpType!$C$3:C$62,SalaryvRevenue!$A10,GOFSalbyUnitByEmpType!$I$3:$I$62)</f>
        <v>502035.30623999983</v>
      </c>
      <c r="D10" s="166">
        <f ca="1">SUMIF(GOFSalbyUnitByEmpType!$C$63:D$82,SalaryvRevenue!$A10,GOFSalbyUnitByEmpType!$I$63:$I$82)</f>
        <v>32658.074400000129</v>
      </c>
      <c r="E10" s="166">
        <f ca="1">SUMIF(GOFSalbyUnitByEmpType!$C$83:E$102,SalaryvRevenue!$A10,GOFSalbyUnitByEmpType!$I$83:$I$102)</f>
        <v>0</v>
      </c>
      <c r="F10" s="166">
        <f t="shared" ca="1" si="0"/>
        <v>534693.38063999999</v>
      </c>
      <c r="G10" s="166">
        <f t="shared" si="1"/>
        <v>251017.65311999992</v>
      </c>
      <c r="H10" s="166">
        <f t="shared" ca="1" si="2"/>
        <v>32658.074400000129</v>
      </c>
      <c r="I10" s="166">
        <f t="shared" ca="1" si="3"/>
        <v>0</v>
      </c>
      <c r="J10" s="166">
        <f t="shared" ca="1" si="7"/>
        <v>283675.72752000007</v>
      </c>
      <c r="K10" s="167">
        <f>SUMIF(GOFSalbyUnitByEmpType!$C$3:$C$102,SalaryvRevenue!$A10,GOFSalbyUnitByEmpType!$E$3:$E$102)</f>
        <v>11153364</v>
      </c>
      <c r="L10" s="168">
        <f t="shared" si="4"/>
        <v>2.1593295911066977E-2</v>
      </c>
      <c r="M10" s="169">
        <f t="shared" si="5"/>
        <v>166549.09136205958</v>
      </c>
      <c r="N10" s="169">
        <f t="shared" ca="1" si="8"/>
        <v>117126.63615794049</v>
      </c>
      <c r="O10" s="169">
        <f t="shared" ca="1" si="9"/>
        <v>251017.65311999992</v>
      </c>
      <c r="P10" s="169">
        <v>-148772.96039898627</v>
      </c>
      <c r="Q10" s="169">
        <f>+FY17ProjRevToColl0!J26</f>
        <v>11072840.495185602</v>
      </c>
      <c r="R10" s="169">
        <f>+FY16ProjRevToColl0!J26</f>
        <v>11074026.388965625</v>
      </c>
      <c r="S10" s="169">
        <f t="shared" si="10"/>
        <v>-1185.8937800228596</v>
      </c>
      <c r="T10" s="405">
        <v>3.5247070648908887E-4</v>
      </c>
      <c r="U10" s="169">
        <f t="shared" si="11"/>
        <v>-6280.7037931568466</v>
      </c>
      <c r="V10" s="169">
        <f t="shared" si="6"/>
        <v>6280.7037931568466</v>
      </c>
      <c r="W10" s="169">
        <f t="shared" ca="1" si="12"/>
        <v>-400976.50729900901</v>
      </c>
      <c r="Y10"/>
      <c r="AA10"/>
      <c r="AB10"/>
      <c r="AC10"/>
      <c r="AD10"/>
      <c r="AE10"/>
      <c r="AG10"/>
      <c r="AH10"/>
      <c r="AI10"/>
      <c r="AJ10"/>
      <c r="AK10"/>
    </row>
    <row r="11" spans="1:37" ht="15" customHeight="1" x14ac:dyDescent="0.25">
      <c r="A11" s="163" t="s">
        <v>201</v>
      </c>
      <c r="B11" s="388" t="s">
        <v>256</v>
      </c>
      <c r="C11" s="389">
        <f>SUMIF(GOFSalbyUnitByEmpType!$C$3:C$62,SalaryvRevenue!$A11,GOFSalbyUnitByEmpType!$I$3:$I$62)</f>
        <v>191585.8011199999</v>
      </c>
      <c r="D11" s="390">
        <f ca="1">SUMIF(GOFSalbyUnitByEmpType!$C$63:D$82,SalaryvRevenue!$A11,GOFSalbyUnitByEmpType!$I$63:$I$82)</f>
        <v>0</v>
      </c>
      <c r="E11" s="390">
        <f ca="1">SUMIF(GOFSalbyUnitByEmpType!$C$83:E$102,SalaryvRevenue!$A11,GOFSalbyUnitByEmpType!$I$83:$I$102)</f>
        <v>14281.482600000021</v>
      </c>
      <c r="F11" s="390">
        <f t="shared" ca="1" si="0"/>
        <v>205867.28371999992</v>
      </c>
      <c r="G11" s="390">
        <f t="shared" si="1"/>
        <v>95792.900559999951</v>
      </c>
      <c r="H11" s="390">
        <f t="shared" ca="1" si="2"/>
        <v>0</v>
      </c>
      <c r="I11" s="390">
        <f t="shared" ca="1" si="3"/>
        <v>4760.4942000000074</v>
      </c>
      <c r="J11" s="390">
        <f t="shared" ca="1" si="7"/>
        <v>100553.39475999995</v>
      </c>
      <c r="K11" s="391">
        <f>SUMIF(GOFSalbyUnitByEmpType!$C$3:$C$102,SalaryvRevenue!$A11,GOFSalbyUnitByEmpType!$E$3:$E$102)</f>
        <v>4028522</v>
      </c>
      <c r="L11" s="392">
        <f t="shared" si="4"/>
        <v>7.7993570038818209E-3</v>
      </c>
      <c r="M11" s="393">
        <f t="shared" si="5"/>
        <v>60156.440570940482</v>
      </c>
      <c r="N11" s="393">
        <f t="shared" ca="1" si="8"/>
        <v>40396.95418905947</v>
      </c>
      <c r="O11" s="393">
        <f t="shared" ca="1" si="9"/>
        <v>105313.88895999997</v>
      </c>
      <c r="P11" s="393">
        <v>87148.256723161234</v>
      </c>
      <c r="Q11" s="393">
        <f>+FY17ProjRevToColl0!K26</f>
        <v>4360299.1972924098</v>
      </c>
      <c r="R11" s="393">
        <f>+FY16ProjRevToColl0!K26</f>
        <v>4183904.0890482301</v>
      </c>
      <c r="S11" s="393">
        <f t="shared" si="10"/>
        <v>176395.10824417975</v>
      </c>
      <c r="T11" s="404">
        <v>1.0384406083531231E-4</v>
      </c>
      <c r="U11" s="393">
        <f t="shared" si="11"/>
        <v>-1850.4056501085329</v>
      </c>
      <c r="V11" s="393">
        <f t="shared" si="6"/>
        <v>1850.4056501085329</v>
      </c>
      <c r="W11" s="393">
        <f t="shared" ca="1" si="12"/>
        <v>158229.476007341</v>
      </c>
      <c r="Y11"/>
      <c r="AA11"/>
      <c r="AB11"/>
      <c r="AC11"/>
      <c r="AD11"/>
      <c r="AE11"/>
      <c r="AG11"/>
      <c r="AH11"/>
      <c r="AI11"/>
      <c r="AJ11"/>
      <c r="AK11"/>
    </row>
    <row r="12" spans="1:37" ht="15" customHeight="1" x14ac:dyDescent="0.25">
      <c r="A12" s="163" t="s">
        <v>203</v>
      </c>
      <c r="B12" s="164" t="s">
        <v>258</v>
      </c>
      <c r="C12" s="165">
        <f>SUMIF(GOFSalbyUnitByEmpType!$C$3:C$62,SalaryvRevenue!$A12,GOFSalbyUnitByEmpType!$I$3:$I$62)</f>
        <v>225625.6100800003</v>
      </c>
      <c r="D12" s="166">
        <f ca="1">SUMIF(GOFSalbyUnitByEmpType!$C$63:D$82,SalaryvRevenue!$A12,GOFSalbyUnitByEmpType!$I$63:$I$82)</f>
        <v>2931.4147200000066</v>
      </c>
      <c r="E12" s="166">
        <f ca="1">SUMIF(GOFSalbyUnitByEmpType!$C$83:E$102,SalaryvRevenue!$A12,GOFSalbyUnitByEmpType!$I$83:$I$102)</f>
        <v>11523.277260000006</v>
      </c>
      <c r="F12" s="166">
        <f t="shared" ca="1" si="0"/>
        <v>240080.30206000031</v>
      </c>
      <c r="G12" s="166">
        <f t="shared" si="1"/>
        <v>112812.80504000015</v>
      </c>
      <c r="H12" s="166">
        <f t="shared" ca="1" si="2"/>
        <v>2931.4147200000066</v>
      </c>
      <c r="I12" s="166">
        <f t="shared" ca="1" si="3"/>
        <v>3841.0924200000027</v>
      </c>
      <c r="J12" s="166">
        <f t="shared" ca="1" si="7"/>
        <v>119585.31218000015</v>
      </c>
      <c r="K12" s="167">
        <f>SUMIF(GOFSalbyUnitByEmpType!$C$3:$C$102,SalaryvRevenue!$A12,GOFSalbyUnitByEmpType!$E$3:$E$102)</f>
        <v>4775233</v>
      </c>
      <c r="L12" s="168">
        <f t="shared" si="4"/>
        <v>9.2450151553640763E-3</v>
      </c>
      <c r="M12" s="169">
        <f t="shared" si="5"/>
        <v>71306.801893323121</v>
      </c>
      <c r="N12" s="169">
        <f t="shared" ca="1" si="8"/>
        <v>48278.510286677032</v>
      </c>
      <c r="O12" s="169">
        <f t="shared" ca="1" si="9"/>
        <v>120494.98988000015</v>
      </c>
      <c r="P12" s="169">
        <v>17379.322833167404</v>
      </c>
      <c r="Q12" s="169">
        <f>+FY17ProjRevToColl0!L26</f>
        <v>4435462.54698803</v>
      </c>
      <c r="R12" s="169">
        <f>+FY16ProjRevToColl0!L26</f>
        <v>4314162.5101127382</v>
      </c>
      <c r="S12" s="169">
        <f t="shared" si="10"/>
        <v>121300.03687529173</v>
      </c>
      <c r="T12" s="405">
        <v>3.735715899407464E-3</v>
      </c>
      <c r="U12" s="169">
        <f t="shared" si="11"/>
        <v>-66567.021280365952</v>
      </c>
      <c r="V12" s="169">
        <f t="shared" si="6"/>
        <v>66567.021280365952</v>
      </c>
      <c r="W12" s="169">
        <f t="shared" ca="1" si="12"/>
        <v>18184.369828458963</v>
      </c>
      <c r="Y12"/>
      <c r="AA12"/>
      <c r="AB12"/>
      <c r="AC12"/>
      <c r="AD12"/>
      <c r="AE12"/>
      <c r="AG12"/>
      <c r="AH12"/>
      <c r="AI12"/>
      <c r="AJ12"/>
      <c r="AK12"/>
    </row>
    <row r="13" spans="1:37" ht="15" customHeight="1" x14ac:dyDescent="0.25">
      <c r="A13" s="163" t="s">
        <v>205</v>
      </c>
      <c r="B13" s="388" t="s">
        <v>260</v>
      </c>
      <c r="C13" s="389">
        <f>SUMIF(GOFSalbyUnitByEmpType!$C$3:C$62,SalaryvRevenue!$A13,GOFSalbyUnitByEmpType!$I$3:$I$62)</f>
        <v>524796.91360000137</v>
      </c>
      <c r="D13" s="390">
        <f ca="1">SUMIF(GOFSalbyUnitByEmpType!$C$63:D$82,SalaryvRevenue!$A13,GOFSalbyUnitByEmpType!$I$63:$I$82)</f>
        <v>15570.561799999934</v>
      </c>
      <c r="E13" s="390">
        <f ca="1">SUMIF(GOFSalbyUnitByEmpType!$C$83:E$102,SalaryvRevenue!$A13,GOFSalbyUnitByEmpType!$I$83:$I$102)</f>
        <v>0</v>
      </c>
      <c r="F13" s="390">
        <f t="shared" ca="1" si="0"/>
        <v>540367.47540000128</v>
      </c>
      <c r="G13" s="390">
        <f t="shared" si="1"/>
        <v>262398.45680000068</v>
      </c>
      <c r="H13" s="390">
        <f t="shared" ca="1" si="2"/>
        <v>15570.561799999934</v>
      </c>
      <c r="I13" s="390">
        <f t="shared" ca="1" si="3"/>
        <v>0</v>
      </c>
      <c r="J13" s="390">
        <f t="shared" ca="1" si="7"/>
        <v>277969.01860000059</v>
      </c>
      <c r="K13" s="391">
        <f>SUMIF(GOFSalbyUnitByEmpType!$C$3:$C$102,SalaryvRevenue!$A13,GOFSalbyUnitByEmpType!$E$3:$E$102)</f>
        <v>10996365</v>
      </c>
      <c r="L13" s="392">
        <f t="shared" si="4"/>
        <v>2.1289340452898337E-2</v>
      </c>
      <c r="M13" s="393">
        <f t="shared" si="5"/>
        <v>164204.68291320489</v>
      </c>
      <c r="N13" s="393">
        <f t="shared" ca="1" si="8"/>
        <v>113764.3356867957</v>
      </c>
      <c r="O13" s="393">
        <f t="shared" ca="1" si="9"/>
        <v>262398.45680000068</v>
      </c>
      <c r="P13" s="393">
        <v>-459738.26651076163</v>
      </c>
      <c r="Q13" s="393">
        <f>+FY17ProjRevToColl0!M26</f>
        <v>7145353.9828822557</v>
      </c>
      <c r="R13" s="393">
        <f>+FY16ProjRevToColl0!M26</f>
        <v>6532168.3646029821</v>
      </c>
      <c r="S13" s="393">
        <f t="shared" si="10"/>
        <v>613185.61827927362</v>
      </c>
      <c r="T13" s="404">
        <v>3.5446770765899875E-5</v>
      </c>
      <c r="U13" s="393">
        <f t="shared" si="11"/>
        <v>-631.6288517197396</v>
      </c>
      <c r="V13" s="393">
        <f t="shared" si="6"/>
        <v>631.6288517197396</v>
      </c>
      <c r="W13" s="393">
        <f t="shared" ca="1" si="12"/>
        <v>-108951.1050314887</v>
      </c>
      <c r="Y13"/>
      <c r="AA13"/>
      <c r="AB13"/>
      <c r="AC13"/>
      <c r="AD13"/>
      <c r="AE13"/>
      <c r="AG13"/>
      <c r="AH13"/>
      <c r="AI13"/>
      <c r="AJ13"/>
      <c r="AK13"/>
    </row>
    <row r="14" spans="1:37" ht="15" customHeight="1" x14ac:dyDescent="0.25">
      <c r="A14" s="163" t="s">
        <v>207</v>
      </c>
      <c r="B14" s="164" t="s">
        <v>262</v>
      </c>
      <c r="C14" s="165">
        <f>SUMIF(GOFSalbyUnitByEmpType!$C$3:C$62,SalaryvRevenue!$A14,GOFSalbyUnitByEmpType!$I$3:$I$62)</f>
        <v>2268522.9133200026</v>
      </c>
      <c r="D14" s="166">
        <f ca="1">SUMIF(GOFSalbyUnitByEmpType!$C$63:D$82,SalaryvRevenue!$A14,GOFSalbyUnitByEmpType!$I$63:$I$82)</f>
        <v>424.55663999999928</v>
      </c>
      <c r="E14" s="166">
        <f ca="1">SUMIF(GOFSalbyUnitByEmpType!$C$83:E$102,SalaryvRevenue!$A14,GOFSalbyUnitByEmpType!$I$83:$I$102)</f>
        <v>6364.0625400000044</v>
      </c>
      <c r="F14" s="166">
        <f t="shared" ca="1" si="0"/>
        <v>2275311.5325000025</v>
      </c>
      <c r="G14" s="166">
        <f t="shared" si="1"/>
        <v>1134261.4566600013</v>
      </c>
      <c r="H14" s="166">
        <f t="shared" ca="1" si="2"/>
        <v>424.55663999999928</v>
      </c>
      <c r="I14" s="166">
        <f t="shared" ca="1" si="3"/>
        <v>2121.3541800000016</v>
      </c>
      <c r="J14" s="166">
        <f t="shared" ca="1" si="7"/>
        <v>1136807.3674800014</v>
      </c>
      <c r="K14" s="167">
        <f>SUMIF(GOFSalbyUnitByEmpType!$C$3:$C$102,SalaryvRevenue!$A14,GOFSalbyUnitByEmpType!$E$3:$E$102)</f>
        <v>45437644</v>
      </c>
      <c r="L14" s="168">
        <f t="shared" si="4"/>
        <v>8.7968839929703446E-2</v>
      </c>
      <c r="M14" s="169">
        <f t="shared" si="5"/>
        <v>678503.66237780266</v>
      </c>
      <c r="N14" s="169">
        <f t="shared" ca="1" si="8"/>
        <v>458303.70510219876</v>
      </c>
      <c r="O14" s="169">
        <f t="shared" ca="1" si="9"/>
        <v>1138504.1650200011</v>
      </c>
      <c r="P14" s="169">
        <v>506020.9926212572</v>
      </c>
      <c r="Q14" s="169">
        <f>+FY17ProjRevToColl0!N26</f>
        <v>27402165.554747973</v>
      </c>
      <c r="R14" s="169">
        <f>+FY16ProjRevToColl0!N26</f>
        <v>25975903.501316588</v>
      </c>
      <c r="S14" s="169">
        <f t="shared" si="10"/>
        <v>1426262.0534313843</v>
      </c>
      <c r="T14" s="405">
        <v>2.8654489844338809E-2</v>
      </c>
      <c r="U14" s="169">
        <f t="shared" si="11"/>
        <v>-510596.65312040417</v>
      </c>
      <c r="V14" s="169">
        <f t="shared" si="6"/>
        <v>510596.65312040417</v>
      </c>
      <c r="W14" s="169">
        <f t="shared" ca="1" si="12"/>
        <v>793778.88103264035</v>
      </c>
      <c r="Y14"/>
      <c r="AA14"/>
      <c r="AB14"/>
      <c r="AC14"/>
      <c r="AD14"/>
      <c r="AE14"/>
      <c r="AG14"/>
      <c r="AH14"/>
      <c r="AI14"/>
      <c r="AJ14"/>
      <c r="AK14"/>
    </row>
    <row r="15" spans="1:37" ht="15" customHeight="1" x14ac:dyDescent="0.25">
      <c r="A15" s="163" t="s">
        <v>209</v>
      </c>
      <c r="B15" s="388" t="s">
        <v>264</v>
      </c>
      <c r="C15" s="389">
        <f>SUMIF(GOFSalbyUnitByEmpType!$C$3:C$62,SalaryvRevenue!$A15,GOFSalbyUnitByEmpType!$I$3:$I$62)</f>
        <v>413188.54587999999</v>
      </c>
      <c r="D15" s="390">
        <f ca="1">SUMIF(GOFSalbyUnitByEmpType!$C$63:D$82,SalaryvRevenue!$A15,GOFSalbyUnitByEmpType!$I$63:$I$82)</f>
        <v>0</v>
      </c>
      <c r="E15" s="390">
        <f ca="1">SUMIF(GOFSalbyUnitByEmpType!$C$83:E$102,SalaryvRevenue!$A15,GOFSalbyUnitByEmpType!$I$83:$I$102)</f>
        <v>0</v>
      </c>
      <c r="F15" s="390">
        <f t="shared" ca="1" si="0"/>
        <v>413188.54587999999</v>
      </c>
      <c r="G15" s="390">
        <f t="shared" si="1"/>
        <v>206594.27294</v>
      </c>
      <c r="H15" s="390">
        <f t="shared" ca="1" si="2"/>
        <v>0</v>
      </c>
      <c r="I15" s="390">
        <f t="shared" ca="1" si="3"/>
        <v>0</v>
      </c>
      <c r="J15" s="390">
        <f t="shared" ca="1" si="7"/>
        <v>206594.27294</v>
      </c>
      <c r="K15" s="391">
        <f>SUMIF(GOFSalbyUnitByEmpType!$C$3:$C$102,SalaryvRevenue!$A15,GOFSalbyUnitByEmpType!$E$3:$E$102)</f>
        <v>8181037</v>
      </c>
      <c r="L15" s="392">
        <f t="shared" si="4"/>
        <v>1.5838768715912763E-2</v>
      </c>
      <c r="M15" s="393">
        <f t="shared" si="5"/>
        <v>122164.42310583514</v>
      </c>
      <c r="N15" s="393">
        <f t="shared" ca="1" si="8"/>
        <v>84429.849834164852</v>
      </c>
      <c r="O15" s="393">
        <f t="shared" ca="1" si="9"/>
        <v>206594.27294</v>
      </c>
      <c r="P15" s="393">
        <v>167912.60352321921</v>
      </c>
      <c r="Q15" s="393">
        <f>+FY17ProjRevToColl0!O26</f>
        <v>5188367.294108402</v>
      </c>
      <c r="R15" s="393">
        <f>+FY16ProjRevToColl0!O26</f>
        <v>5042446.9326465512</v>
      </c>
      <c r="S15" s="393">
        <f t="shared" si="10"/>
        <v>145920.36146185081</v>
      </c>
      <c r="T15" s="404">
        <v>1.1603324337721127E-2</v>
      </c>
      <c r="U15" s="393">
        <f t="shared" si="11"/>
        <v>-206760.56716052297</v>
      </c>
      <c r="V15" s="393">
        <f t="shared" si="6"/>
        <v>206760.56716052297</v>
      </c>
      <c r="W15" s="393">
        <f t="shared" ca="1" si="12"/>
        <v>107238.69204507006</v>
      </c>
      <c r="Y15"/>
      <c r="AA15"/>
      <c r="AB15"/>
      <c r="AC15"/>
      <c r="AD15"/>
      <c r="AE15"/>
      <c r="AG15"/>
      <c r="AH15"/>
      <c r="AI15"/>
      <c r="AJ15"/>
      <c r="AK15"/>
    </row>
    <row r="16" spans="1:37" ht="15" customHeight="1" x14ac:dyDescent="0.25">
      <c r="A16" s="163" t="s">
        <v>211</v>
      </c>
      <c r="B16" s="164" t="s">
        <v>265</v>
      </c>
      <c r="C16" s="165">
        <f>SUMIF(GOFSalbyUnitByEmpType!$C$3:C$62,SalaryvRevenue!$A16,GOFSalbyUnitByEmpType!$I$3:$I$62)</f>
        <v>333630.36635999975</v>
      </c>
      <c r="D16" s="166">
        <f ca="1">SUMIF(GOFSalbyUnitByEmpType!$C$63:D$82,SalaryvRevenue!$A16,GOFSalbyUnitByEmpType!$I$63:$I$82)</f>
        <v>10970.556960000036</v>
      </c>
      <c r="E16" s="166">
        <f ca="1">SUMIF(GOFSalbyUnitByEmpType!$C$83:E$102,SalaryvRevenue!$A16,GOFSalbyUnitByEmpType!$I$83:$I$102)</f>
        <v>15929.259059999998</v>
      </c>
      <c r="F16" s="166">
        <f t="shared" ca="1" si="0"/>
        <v>360530.18237999978</v>
      </c>
      <c r="G16" s="166">
        <f t="shared" si="1"/>
        <v>166815.18317999988</v>
      </c>
      <c r="H16" s="166">
        <f t="shared" ca="1" si="2"/>
        <v>10970.556960000036</v>
      </c>
      <c r="I16" s="166">
        <f t="shared" ca="1" si="3"/>
        <v>5309.7530200000001</v>
      </c>
      <c r="J16" s="166">
        <f t="shared" ca="1" si="7"/>
        <v>183095.49315999993</v>
      </c>
      <c r="K16" s="167">
        <f>SUMIF(GOFSalbyUnitByEmpType!$C$3:$C$102,SalaryvRevenue!$A16,GOFSalbyUnitByEmpType!$E$3:$E$102)</f>
        <v>7262180</v>
      </c>
      <c r="L16" s="168">
        <f t="shared" si="4"/>
        <v>1.4059829993841533E-2</v>
      </c>
      <c r="M16" s="169">
        <f t="shared" si="5"/>
        <v>108443.46874249974</v>
      </c>
      <c r="N16" s="169">
        <f t="shared" ca="1" si="8"/>
        <v>74652.024417500186</v>
      </c>
      <c r="O16" s="169">
        <f t="shared" ca="1" si="9"/>
        <v>177434.68921999985</v>
      </c>
      <c r="P16" s="169">
        <v>157375.86728274674</v>
      </c>
      <c r="Q16" s="169">
        <f>+FY17ProjRevToColl0!P26</f>
        <v>7342563.5615551425</v>
      </c>
      <c r="R16" s="169">
        <f>+FY16ProjRevToColl0!P26</f>
        <v>7094259.2605902478</v>
      </c>
      <c r="S16" s="169">
        <f t="shared" si="10"/>
        <v>248304.3009648947</v>
      </c>
      <c r="T16" s="405">
        <v>2.0419336962328237E-4</v>
      </c>
      <c r="U16" s="169">
        <f t="shared" si="11"/>
        <v>-3638.5380331461051</v>
      </c>
      <c r="V16" s="169">
        <f t="shared" si="6"/>
        <v>3638.5380331461051</v>
      </c>
      <c r="W16" s="169">
        <f t="shared" ca="1" si="12"/>
        <v>228245.47902764156</v>
      </c>
      <c r="Y16"/>
      <c r="AA16"/>
      <c r="AB16"/>
      <c r="AC16"/>
      <c r="AD16"/>
      <c r="AE16"/>
      <c r="AG16"/>
      <c r="AH16"/>
      <c r="AI16"/>
      <c r="AJ16"/>
      <c r="AK16"/>
    </row>
    <row r="17" spans="1:37" ht="15" customHeight="1" x14ac:dyDescent="0.25">
      <c r="A17" s="163" t="s">
        <v>213</v>
      </c>
      <c r="B17" s="398" t="s">
        <v>267</v>
      </c>
      <c r="C17" s="399">
        <f>SUMIF(GOFSalbyUnitByEmpType!$C$3:C$62,SalaryvRevenue!$A17,GOFSalbyUnitByEmpType!$I$3:$I$62)</f>
        <v>283612.67483999988</v>
      </c>
      <c r="D17" s="400">
        <f ca="1">SUMIF(GOFSalbyUnitByEmpType!$C$63:D$82,SalaryvRevenue!$A17,GOFSalbyUnitByEmpType!$I$63:$I$82)</f>
        <v>0</v>
      </c>
      <c r="E17" s="400">
        <f ca="1">SUMIF(GOFSalbyUnitByEmpType!$C$83:E$102,SalaryvRevenue!$A17,GOFSalbyUnitByEmpType!$I$83:$I$102)</f>
        <v>0</v>
      </c>
      <c r="F17" s="400">
        <f t="shared" ca="1" si="0"/>
        <v>283612.67483999988</v>
      </c>
      <c r="G17" s="400">
        <f t="shared" si="1"/>
        <v>141806.33741999994</v>
      </c>
      <c r="H17" s="400">
        <f t="shared" ca="1" si="2"/>
        <v>0</v>
      </c>
      <c r="I17" s="400">
        <f t="shared" ca="1" si="3"/>
        <v>0</v>
      </c>
      <c r="J17" s="400">
        <f t="shared" ca="1" si="7"/>
        <v>141806.33741999994</v>
      </c>
      <c r="K17" s="401">
        <f>SUMIF(GOFSalbyUnitByEmpType!$C$3:$C$102,SalaryvRevenue!$A17,GOFSalbyUnitByEmpType!$E$3:$E$102)</f>
        <v>5704197</v>
      </c>
      <c r="L17" s="402">
        <f t="shared" si="4"/>
        <v>1.1043521376691418E-2</v>
      </c>
      <c r="M17" s="403">
        <f t="shared" si="5"/>
        <v>85178.680378420904</v>
      </c>
      <c r="N17" s="403">
        <f t="shared" ca="1" si="8"/>
        <v>56627.657041579034</v>
      </c>
      <c r="O17" s="403">
        <f t="shared" ca="1" si="9"/>
        <v>141806.33741999994</v>
      </c>
      <c r="P17" s="403">
        <v>55054.259874004187</v>
      </c>
      <c r="Q17" s="403">
        <f>+FY17ProjRevToColl0!Q26</f>
        <v>9454614.1810821295</v>
      </c>
      <c r="R17" s="403">
        <f>+FY16ProjRevToColl0!Q26</f>
        <v>9031081.0811309665</v>
      </c>
      <c r="S17" s="403">
        <f t="shared" si="10"/>
        <v>423533.09995116293</v>
      </c>
      <c r="T17" s="406">
        <v>1.7961108267565848E-2</v>
      </c>
      <c r="U17" s="403">
        <f t="shared" si="11"/>
        <v>-320050.42901031475</v>
      </c>
      <c r="V17" s="403">
        <f t="shared" si="6"/>
        <v>320050.42901031475</v>
      </c>
      <c r="W17" s="403">
        <f t="shared" ca="1" si="12"/>
        <v>336781.02240516717</v>
      </c>
      <c r="Y17"/>
      <c r="AA17"/>
      <c r="AB17"/>
      <c r="AC17"/>
      <c r="AD17"/>
      <c r="AE17"/>
      <c r="AG17"/>
      <c r="AH17"/>
      <c r="AI17"/>
      <c r="AJ17"/>
      <c r="AK17"/>
    </row>
    <row r="18" spans="1:37" s="208" customFormat="1" ht="15" customHeight="1" x14ac:dyDescent="0.25">
      <c r="A18" s="172">
        <v>400</v>
      </c>
      <c r="B18" s="173" t="s">
        <v>269</v>
      </c>
      <c r="C18" s="174">
        <f>SUMIF(GOFSalbyUnitByEmpType!$C$3:C$62,SalaryvRevenue!$A18,GOFSalbyUnitByEmpType!$I$3:$I$62)</f>
        <v>3893330.4459199975</v>
      </c>
      <c r="D18" s="175">
        <f ca="1">SUMIF(GOFSalbyUnitByEmpType!$C$63:D$82,SalaryvRevenue!$A18,GOFSalbyUnitByEmpType!$I$63:$I$82)</f>
        <v>803787.09120000107</v>
      </c>
      <c r="E18" s="175">
        <f ca="1">SUMIF(GOFSalbyUnitByEmpType!$C$83:E$102,SalaryvRevenue!$A18,GOFSalbyUnitByEmpType!$I$83:$I$102)</f>
        <v>229872.12534000046</v>
      </c>
      <c r="F18" s="175">
        <f t="shared" ca="1" si="0"/>
        <v>4926989.6624599993</v>
      </c>
      <c r="G18" s="175">
        <f t="shared" si="1"/>
        <v>1946665.2229599988</v>
      </c>
      <c r="H18" s="175">
        <f t="shared" ca="1" si="2"/>
        <v>803787.09120000107</v>
      </c>
      <c r="I18" s="175">
        <f t="shared" ca="1" si="3"/>
        <v>76624.04178000016</v>
      </c>
      <c r="J18" s="175">
        <f t="shared" ca="1" si="7"/>
        <v>2827076.3559399997</v>
      </c>
      <c r="K18" s="176">
        <f>SUMIF(GOFSalbyUnitByEmpType!$C$3:$C$102,SalaryvRevenue!$A18,GOFSalbyUnitByEmpType!$E$3:$E$102)</f>
        <v>106843309</v>
      </c>
      <c r="L18" s="177">
        <f t="shared" si="4"/>
        <v>0.20685231714436697</v>
      </c>
      <c r="M18" s="178">
        <f t="shared" si="5"/>
        <v>1595451.9221345026</v>
      </c>
      <c r="N18" s="178">
        <f t="shared" ca="1" si="8"/>
        <v>1231624.4338054971</v>
      </c>
      <c r="O18" s="178">
        <f t="shared" ca="1" si="9"/>
        <v>2099913.3065199996</v>
      </c>
      <c r="P18" s="178">
        <v>-140250</v>
      </c>
      <c r="Q18" s="178">
        <f>+FY17ProjRevToColl0!S26++FY17ProjRevToColl0!R26</f>
        <v>3800323.5668349275</v>
      </c>
      <c r="R18" s="178">
        <f>+FY16ProjRevToColl0!R26++FY16ProjRevToColl0!S26</f>
        <v>3642174.5844737692</v>
      </c>
      <c r="S18" s="178">
        <f t="shared" si="10"/>
        <v>158148.98236115836</v>
      </c>
      <c r="T18" s="407">
        <v>8.9359289232352253E-3</v>
      </c>
      <c r="U18" s="178">
        <f>+T18*U$2</f>
        <v>-159230.03429869664</v>
      </c>
      <c r="V18" s="178">
        <f t="shared" si="6"/>
        <v>159230.03429869664</v>
      </c>
      <c r="W18" s="178">
        <f t="shared" ca="1" si="12"/>
        <v>-2082014.3241588413</v>
      </c>
      <c r="X18"/>
      <c r="Y18"/>
      <c r="Z18"/>
      <c r="AA18"/>
      <c r="AB18"/>
      <c r="AC18"/>
      <c r="AD18"/>
      <c r="AE18" s="209"/>
      <c r="AF18"/>
      <c r="AG18"/>
      <c r="AH18"/>
      <c r="AI18"/>
      <c r="AJ18"/>
      <c r="AK18"/>
    </row>
    <row r="19" spans="1:37" ht="15" customHeight="1" x14ac:dyDescent="0.25">
      <c r="A19" s="172" t="s">
        <v>217</v>
      </c>
      <c r="B19" s="179" t="s">
        <v>271</v>
      </c>
      <c r="C19" s="180">
        <f>SUMIF(GOFSalbyUnitByEmpType!$C$3:C$62,SalaryvRevenue!$A19,GOFSalbyUnitByEmpType!$I$3:$I$62)</f>
        <v>213024.94223999963</v>
      </c>
      <c r="D19" s="175">
        <f ca="1">SUMIF(GOFSalbyUnitByEmpType!$C$63:D$82,SalaryvRevenue!$A19,GOFSalbyUnitByEmpType!$I$63:$I$82)</f>
        <v>0</v>
      </c>
      <c r="E19" s="175">
        <f ca="1">SUMIF(GOFSalbyUnitByEmpType!$C$83:E$102,SalaryvRevenue!$A19,GOFSalbyUnitByEmpType!$I$83:$I$102)</f>
        <v>0</v>
      </c>
      <c r="F19" s="175">
        <f t="shared" ca="1" si="0"/>
        <v>213024.94223999963</v>
      </c>
      <c r="G19" s="175">
        <f t="shared" si="1"/>
        <v>106512.47111999981</v>
      </c>
      <c r="H19" s="175">
        <f t="shared" ca="1" si="2"/>
        <v>0</v>
      </c>
      <c r="I19" s="175">
        <f t="shared" ca="1" si="3"/>
        <v>0</v>
      </c>
      <c r="J19" s="175">
        <f t="shared" ca="1" si="7"/>
        <v>106512.47111999981</v>
      </c>
      <c r="K19" s="175">
        <f>SUMIF(GOFSalbyUnitByEmpType!$C$3:$C$102,SalaryvRevenue!$A19,GOFSalbyUnitByEmpType!$E$3:$E$102)</f>
        <v>4284492</v>
      </c>
      <c r="L19" s="181">
        <f t="shared" si="4"/>
        <v>8.2949237184941852E-3</v>
      </c>
      <c r="M19" s="180">
        <f t="shared" si="5"/>
        <v>63978.746640745652</v>
      </c>
      <c r="N19" s="180">
        <f t="shared" ca="1" si="8"/>
        <v>42533.724479254161</v>
      </c>
      <c r="O19" s="180">
        <f t="shared" ca="1" si="9"/>
        <v>106512.47111999981</v>
      </c>
      <c r="P19" s="180"/>
      <c r="Q19" s="180"/>
      <c r="R19" s="180"/>
      <c r="S19" s="180"/>
      <c r="T19" s="180"/>
      <c r="U19" s="180"/>
      <c r="V19" s="180"/>
      <c r="W19" s="180">
        <f t="shared" ca="1" si="12"/>
        <v>-106512.47111999981</v>
      </c>
      <c r="Y19"/>
      <c r="AA19"/>
      <c r="AB19"/>
      <c r="AC19"/>
      <c r="AD19"/>
      <c r="AE19"/>
      <c r="AG19"/>
      <c r="AH19"/>
      <c r="AI19"/>
      <c r="AJ19"/>
      <c r="AK19"/>
    </row>
    <row r="20" spans="1:37" ht="15" customHeight="1" x14ac:dyDescent="0.25">
      <c r="A20" s="182" t="s">
        <v>219</v>
      </c>
      <c r="B20" s="183" t="s">
        <v>273</v>
      </c>
      <c r="C20" s="184">
        <f>SUMIF(GOFSalbyUnitByEmpType!$C$3:C$62,SalaryvRevenue!$A20,GOFSalbyUnitByEmpType!$I$3:$I$62)</f>
        <v>1664740.2832000011</v>
      </c>
      <c r="D20" s="184">
        <f ca="1">SUMIF(GOFSalbyUnitByEmpType!$C$63:D$82,SalaryvRevenue!$A20,GOFSalbyUnitByEmpType!$I$63:$I$82)</f>
        <v>139982.49684000047</v>
      </c>
      <c r="E20" s="184">
        <f ca="1">SUMIF(GOFSalbyUnitByEmpType!$C$83:E$102,SalaryvRevenue!$A20,GOFSalbyUnitByEmpType!$I$83:$I$102)</f>
        <v>11686.409460000012</v>
      </c>
      <c r="F20" s="184">
        <f t="shared" ca="1" si="0"/>
        <v>1816409.1895000015</v>
      </c>
      <c r="G20" s="184">
        <f t="shared" si="1"/>
        <v>832370.14160000056</v>
      </c>
      <c r="H20" s="184">
        <f t="shared" ca="1" si="2"/>
        <v>139982.49684000047</v>
      </c>
      <c r="I20" s="184">
        <f t="shared" ca="1" si="3"/>
        <v>3895.4698200000043</v>
      </c>
      <c r="J20" s="184">
        <f t="shared" ca="1" si="7"/>
        <v>976248.10826000106</v>
      </c>
      <c r="K20" s="184">
        <f>SUMIF(GOFSalbyUnitByEmpType!$C$3:$C$102,SalaryvRevenue!$A20,GOFSalbyUnitByEmpType!$E$3:$E$102)</f>
        <v>38125000</v>
      </c>
      <c r="L20" s="185">
        <f t="shared" si="4"/>
        <v>7.381130989802076E-2</v>
      </c>
      <c r="M20" s="184">
        <f t="shared" si="5"/>
        <v>569306.63324343413</v>
      </c>
      <c r="N20" s="184"/>
      <c r="O20" s="184">
        <f t="shared" ca="1" si="9"/>
        <v>840161.08124000044</v>
      </c>
      <c r="P20" s="184">
        <v>-688878.49831839651</v>
      </c>
      <c r="Q20" s="184">
        <f>FY17Rev0!E26</f>
        <v>55852798.874653824</v>
      </c>
      <c r="R20" s="184">
        <f>+FY16Rev0!E26</f>
        <v>53192466.368232712</v>
      </c>
      <c r="S20" s="184">
        <f t="shared" si="10"/>
        <v>2660332.5064211115</v>
      </c>
      <c r="T20" s="184"/>
      <c r="U20" s="184">
        <f>-FY17Calc0!W124</f>
        <v>-3828729.5206992328</v>
      </c>
      <c r="V20" s="184">
        <f>-$F$39*U20</f>
        <v>3828729.5206992328</v>
      </c>
      <c r="W20" s="184">
        <f t="shared" ca="1" si="12"/>
        <v>1131292.9268627146</v>
      </c>
      <c r="Y20"/>
      <c r="AA20"/>
      <c r="AB20"/>
      <c r="AC20"/>
      <c r="AD20"/>
      <c r="AG20"/>
      <c r="AH20"/>
      <c r="AI20"/>
      <c r="AJ20"/>
      <c r="AK20"/>
    </row>
    <row r="21" spans="1:37" ht="15" customHeight="1" x14ac:dyDescent="0.25">
      <c r="A21" s="182" t="s">
        <v>221</v>
      </c>
      <c r="B21" s="186" t="s">
        <v>275</v>
      </c>
      <c r="C21" s="187">
        <f>SUMIF(GOFSalbyUnitByEmpType!$C$3:C$62,SalaryvRevenue!$A21,GOFSalbyUnitByEmpType!$I$3:$I$62)</f>
        <v>1589227.6134800031</v>
      </c>
      <c r="D21" s="187">
        <f ca="1">SUMIF(GOFSalbyUnitByEmpType!$C$63:D$82,SalaryvRevenue!$A21,GOFSalbyUnitByEmpType!$I$63:$I$82)</f>
        <v>139800.91439999948</v>
      </c>
      <c r="E21" s="187">
        <f ca="1">SUMIF(GOFSalbyUnitByEmpType!$C$83:E$102,SalaryvRevenue!$A21,GOFSalbyUnitByEmpType!$I$83:$I$102)</f>
        <v>1470.3084000000008</v>
      </c>
      <c r="F21" s="187">
        <f t="shared" ca="1" si="0"/>
        <v>1730498.8362800025</v>
      </c>
      <c r="G21" s="187">
        <f t="shared" si="1"/>
        <v>794613.80674000154</v>
      </c>
      <c r="H21" s="187">
        <f t="shared" ca="1" si="2"/>
        <v>139800.91439999948</v>
      </c>
      <c r="I21" s="187">
        <f t="shared" ca="1" si="3"/>
        <v>490.10280000000034</v>
      </c>
      <c r="J21" s="187">
        <f t="shared" ca="1" si="7"/>
        <v>934904.82394000096</v>
      </c>
      <c r="K21" s="187">
        <f>SUMIF(GOFSalbyUnitByEmpType!$C$3:$C$102,SalaryvRevenue!$A21,GOFSalbyUnitByEmpType!$E$3:$E$102)</f>
        <v>36271687</v>
      </c>
      <c r="L21" s="188">
        <f t="shared" si="4"/>
        <v>7.0223232253928167E-2</v>
      </c>
      <c r="M21" s="187">
        <f t="shared" si="5"/>
        <v>541631.79037454794</v>
      </c>
      <c r="N21" s="187"/>
      <c r="O21" s="187">
        <f t="shared" ca="1" si="9"/>
        <v>795594.01234000153</v>
      </c>
      <c r="P21" s="187">
        <v>583357.54771844298</v>
      </c>
      <c r="Q21" s="187">
        <f>FY17Rev0!E27</f>
        <v>48106718.708685301</v>
      </c>
      <c r="R21" s="187">
        <f>+FY16Rev0!E27</f>
        <v>46002976.919635288</v>
      </c>
      <c r="S21" s="187">
        <f t="shared" si="10"/>
        <v>2103741.7890500128</v>
      </c>
      <c r="T21" s="187"/>
      <c r="U21" s="187">
        <f>-FY17Calc0!W125</f>
        <v>-3334416.612927299</v>
      </c>
      <c r="V21" s="187">
        <f>-$F$39*U21</f>
        <v>3334416.612927299</v>
      </c>
      <c r="W21" s="187">
        <f t="shared" ca="1" si="12"/>
        <v>1891505.3244284543</v>
      </c>
      <c r="Y21"/>
      <c r="AA21"/>
      <c r="AB21"/>
      <c r="AC21"/>
      <c r="AD21"/>
      <c r="AG21"/>
      <c r="AH21"/>
      <c r="AI21"/>
      <c r="AJ21"/>
      <c r="AK21"/>
    </row>
    <row r="22" spans="1:37" customFormat="1" ht="15" hidden="1" customHeight="1" x14ac:dyDescent="0.25">
      <c r="A22" s="189">
        <v>400</v>
      </c>
      <c r="B22" s="212" t="s">
        <v>277</v>
      </c>
      <c r="C22" s="190">
        <f>SUMIF(DOFSalbyUnitbyEmpType!$C$3:C$62,SalaryvRevenue!$A22,DOFSalbyUnitbyEmpType!$I$3:$I$62)</f>
        <v>2737398.5054800054</v>
      </c>
      <c r="D22" s="190">
        <f ca="1">SUMIF(DOFSalbyUnitbyEmpType!$C$63:D$82,SalaryvRevenue!$A22,DOFSalbyUnitbyEmpType!$I$63:$I$82)</f>
        <v>544285.01383999921</v>
      </c>
      <c r="E22" s="190">
        <f ca="1">SUMIF(DOFSalbyUnitbyEmpType!$C$83:E$102,SalaryvRevenue!$A22,DOFSalbyUnitbyEmpType!$I$83:$I$102)</f>
        <v>7565.0968800000028</v>
      </c>
      <c r="F22" s="190">
        <f ca="1">SUM(C22:E22)</f>
        <v>3289248.6162000047</v>
      </c>
      <c r="G22" s="190"/>
      <c r="H22" s="190"/>
      <c r="I22" s="190"/>
      <c r="J22" s="190"/>
      <c r="K22" s="213"/>
      <c r="L22" s="214"/>
      <c r="M22" s="214"/>
      <c r="N22" s="214"/>
      <c r="O22" s="214"/>
      <c r="P22" s="214"/>
      <c r="Q22" s="214"/>
      <c r="R22" s="214"/>
      <c r="S22" s="214"/>
      <c r="T22" s="214"/>
      <c r="U22" s="214"/>
      <c r="V22" s="214"/>
      <c r="W22" s="215">
        <f ca="1">-$F$36*F22</f>
        <v>-2960323.7545800041</v>
      </c>
    </row>
    <row r="23" spans="1:37" customFormat="1" ht="15" hidden="1" customHeight="1" x14ac:dyDescent="0.25">
      <c r="A23" s="191" t="s">
        <v>217</v>
      </c>
      <c r="B23" s="217" t="s">
        <v>278</v>
      </c>
      <c r="C23" s="192">
        <f>SUMIF(DOFSalbyUnitbyEmpType!$C$3:C$62,SalaryvRevenue!$A23,DOFSalbyUnitbyEmpType!$I$3:$I$62)</f>
        <v>4868.5824000000039</v>
      </c>
      <c r="D23" s="192">
        <f ca="1">SUMIF(DOFSalbyUnitbyEmpType!$C$63:D$82,SalaryvRevenue!$A23,DOFSalbyUnitbyEmpType!$I$63:$I$82)</f>
        <v>0</v>
      </c>
      <c r="E23" s="192">
        <f ca="1">SUMIF(DOFSalbyUnitbyEmpType!$C$83:E$102,SalaryvRevenue!$A23,DOFSalbyUnitbyEmpType!$I$83:$I$102)</f>
        <v>0</v>
      </c>
      <c r="F23" s="192">
        <f ca="1">SUM(C23:E23)</f>
        <v>4868.5824000000039</v>
      </c>
      <c r="G23" s="192"/>
      <c r="H23" s="192"/>
      <c r="I23" s="192"/>
      <c r="J23" s="192"/>
      <c r="K23" s="218"/>
      <c r="L23" s="219"/>
      <c r="M23" s="219"/>
      <c r="N23" s="219"/>
      <c r="O23" s="219"/>
      <c r="P23" s="219"/>
      <c r="Q23" s="219"/>
      <c r="R23" s="219"/>
      <c r="S23" s="219"/>
      <c r="T23" s="219"/>
      <c r="U23" s="219"/>
      <c r="V23" s="219"/>
      <c r="W23" s="220">
        <f ca="1">-$F$36*F23</f>
        <v>-4381.7241600000034</v>
      </c>
    </row>
    <row r="24" spans="1:37" s="209" customFormat="1" ht="15" hidden="1" customHeight="1" thickBot="1" x14ac:dyDescent="0.3">
      <c r="A24" s="193"/>
      <c r="B24" s="221"/>
      <c r="C24" s="194"/>
      <c r="D24" s="194"/>
      <c r="E24" s="194"/>
      <c r="F24" s="194"/>
      <c r="G24" s="194"/>
      <c r="H24" s="194"/>
      <c r="I24" s="194"/>
      <c r="J24" s="194"/>
      <c r="K24" s="222"/>
      <c r="L24" s="223"/>
      <c r="M24" s="223"/>
      <c r="N24" s="223"/>
      <c r="O24" s="223"/>
      <c r="P24" s="223"/>
      <c r="Q24" s="223"/>
      <c r="R24" s="223"/>
      <c r="S24" s="223"/>
      <c r="T24" s="223"/>
      <c r="U24" s="223"/>
      <c r="V24" s="223"/>
      <c r="W24" s="221"/>
      <c r="X24"/>
      <c r="Y24"/>
      <c r="Z24"/>
      <c r="AA24"/>
      <c r="AB24"/>
      <c r="AC24"/>
      <c r="AD24"/>
      <c r="AF24"/>
      <c r="AG24"/>
      <c r="AH24"/>
      <c r="AI24"/>
      <c r="AJ24"/>
      <c r="AK24"/>
    </row>
    <row r="25" spans="1:37" hidden="1" x14ac:dyDescent="0.25">
      <c r="B25" s="202" t="s">
        <v>324</v>
      </c>
      <c r="Y25"/>
      <c r="AA25"/>
      <c r="AB25"/>
      <c r="AC25"/>
      <c r="AD25"/>
      <c r="AG25"/>
      <c r="AH25"/>
      <c r="AI25"/>
      <c r="AJ25"/>
      <c r="AK25"/>
    </row>
    <row r="26" spans="1:37" ht="18" hidden="1" customHeight="1" x14ac:dyDescent="0.25">
      <c r="B26" s="408" t="s">
        <v>325</v>
      </c>
      <c r="Y26"/>
      <c r="AA26"/>
      <c r="AB26"/>
      <c r="AC26"/>
      <c r="AD26"/>
      <c r="AG26"/>
      <c r="AH26"/>
      <c r="AI26"/>
      <c r="AJ26"/>
      <c r="AK26"/>
    </row>
    <row r="27" spans="1:37" x14ac:dyDescent="0.25">
      <c r="Y27"/>
      <c r="AA27"/>
      <c r="AB27"/>
      <c r="AC27"/>
      <c r="AD27"/>
      <c r="AG27"/>
      <c r="AH27"/>
      <c r="AI27"/>
      <c r="AJ27"/>
      <c r="AK27"/>
    </row>
    <row r="28" spans="1:37" x14ac:dyDescent="0.25">
      <c r="B28" s="461" t="s">
        <v>247</v>
      </c>
      <c r="C28" s="462"/>
      <c r="D28" s="462"/>
      <c r="E28" s="462"/>
      <c r="F28" s="463"/>
      <c r="Y28"/>
      <c r="AA28"/>
      <c r="AB28"/>
      <c r="AC28"/>
      <c r="AD28"/>
      <c r="AG28"/>
      <c r="AH28"/>
      <c r="AI28"/>
      <c r="AJ28"/>
      <c r="AK28"/>
    </row>
    <row r="29" spans="1:37" x14ac:dyDescent="0.25">
      <c r="B29" s="421" t="s">
        <v>182</v>
      </c>
      <c r="F29" s="452">
        <v>0.04</v>
      </c>
      <c r="AG29"/>
      <c r="AH29"/>
      <c r="AI29"/>
      <c r="AJ29"/>
      <c r="AK29"/>
    </row>
    <row r="30" spans="1:37" x14ac:dyDescent="0.25">
      <c r="B30" s="170" t="s">
        <v>223</v>
      </c>
      <c r="F30" s="453">
        <f>+F29</f>
        <v>0.04</v>
      </c>
      <c r="AG30"/>
      <c r="AH30"/>
      <c r="AI30"/>
      <c r="AJ30"/>
      <c r="AK30"/>
    </row>
    <row r="31" spans="1:37" x14ac:dyDescent="0.25">
      <c r="B31" s="170" t="s">
        <v>225</v>
      </c>
      <c r="F31" s="453">
        <f>+F29</f>
        <v>0.04</v>
      </c>
      <c r="AG31"/>
      <c r="AH31"/>
      <c r="AI31"/>
      <c r="AJ31"/>
      <c r="AK31"/>
    </row>
    <row r="32" spans="1:37" x14ac:dyDescent="0.25">
      <c r="B32" s="170" t="s">
        <v>227</v>
      </c>
      <c r="F32" s="453">
        <v>0.02</v>
      </c>
      <c r="AG32"/>
      <c r="AH32"/>
      <c r="AI32"/>
      <c r="AJ32"/>
      <c r="AK32"/>
    </row>
    <row r="33" spans="2:6" x14ac:dyDescent="0.25">
      <c r="B33" s="170" t="s">
        <v>229</v>
      </c>
      <c r="F33" s="453">
        <v>0.06</v>
      </c>
    </row>
    <row r="34" spans="2:6" x14ac:dyDescent="0.25">
      <c r="B34" s="203"/>
      <c r="C34" s="203"/>
    </row>
    <row r="35" spans="2:6" x14ac:dyDescent="0.25">
      <c r="B35" s="459" t="s">
        <v>255</v>
      </c>
      <c r="C35" s="464"/>
      <c r="D35" s="464"/>
      <c r="E35" s="464"/>
      <c r="F35" s="460"/>
    </row>
    <row r="36" spans="2:6" x14ac:dyDescent="0.25">
      <c r="B36" s="422" t="s">
        <v>257</v>
      </c>
      <c r="F36" s="454">
        <v>0.9</v>
      </c>
    </row>
    <row r="37" spans="2:6" x14ac:dyDescent="0.25">
      <c r="B37" s="204" t="s">
        <v>259</v>
      </c>
      <c r="F37" s="453">
        <v>0.02</v>
      </c>
    </row>
    <row r="38" spans="2:6" x14ac:dyDescent="0.25">
      <c r="B38" s="204" t="s">
        <v>261</v>
      </c>
      <c r="F38" s="207">
        <v>7713000</v>
      </c>
    </row>
    <row r="39" spans="2:6" x14ac:dyDescent="0.25">
      <c r="B39" s="204" t="s">
        <v>263</v>
      </c>
      <c r="F39" s="456">
        <v>1</v>
      </c>
    </row>
    <row r="40" spans="2:6" x14ac:dyDescent="0.25">
      <c r="B40" s="203"/>
      <c r="C40" s="205"/>
    </row>
    <row r="41" spans="2:6" hidden="1" x14ac:dyDescent="0.25">
      <c r="B41" s="459" t="s">
        <v>266</v>
      </c>
      <c r="C41" s="460"/>
    </row>
    <row r="42" spans="2:6" hidden="1" x14ac:dyDescent="0.25">
      <c r="B42" s="206" t="s">
        <v>268</v>
      </c>
      <c r="C42" s="171">
        <f ca="1">SUM(N3:N17)</f>
        <v>3356939.2917932351</v>
      </c>
    </row>
    <row r="43" spans="2:6" hidden="1" x14ac:dyDescent="0.25">
      <c r="B43" s="207" t="s">
        <v>270</v>
      </c>
      <c r="C43" s="207">
        <f ca="1">+N18+N19</f>
        <v>1274158.1582847512</v>
      </c>
    </row>
    <row r="44" spans="2:6" hidden="1" x14ac:dyDescent="0.25">
      <c r="B44" s="207" t="s">
        <v>272</v>
      </c>
      <c r="C44" s="210">
        <f ca="1">-(W18+W19)</f>
        <v>2188526.7952788412</v>
      </c>
    </row>
    <row r="45" spans="2:6" hidden="1" x14ac:dyDescent="0.25">
      <c r="B45" s="206" t="s">
        <v>274</v>
      </c>
      <c r="C45" s="171">
        <f ca="1">-(W22+W23)</f>
        <v>2964705.4787400044</v>
      </c>
    </row>
    <row r="46" spans="2:6" hidden="1" x14ac:dyDescent="0.25">
      <c r="B46" s="206" t="s">
        <v>276</v>
      </c>
      <c r="C46" s="210">
        <f ca="1">+C42+C43+C44+C45</f>
        <v>9784329.7240968328</v>
      </c>
    </row>
    <row r="47" spans="2:6" hidden="1" x14ac:dyDescent="0.25">
      <c r="B47" s="216"/>
      <c r="C47" s="216"/>
    </row>
    <row r="48" spans="2:6" hidden="1" x14ac:dyDescent="0.25">
      <c r="B48" s="204" t="s">
        <v>279</v>
      </c>
      <c r="C48" s="210">
        <f ca="1">-SUMIF(W3:W17,"&lt;0",W3:W17)</f>
        <v>5451798.0263878861</v>
      </c>
    </row>
  </sheetData>
  <mergeCells count="4">
    <mergeCell ref="B1:B2"/>
    <mergeCell ref="B41:C41"/>
    <mergeCell ref="B28:F28"/>
    <mergeCell ref="B35:F35"/>
  </mergeCells>
  <pageMargins left="0.2" right="0.2" top="0.75" bottom="0.75" header="0.3" footer="0.3"/>
  <pageSetup paperSize="5" scale="65" orientation="landscape" r:id="rId1"/>
  <headerFooter>
    <oddFooter>&amp;L&amp;9&amp;Z&amp;F,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E5" sqref="E5"/>
    </sheetView>
  </sheetViews>
  <sheetFormatPr defaultColWidth="8.85546875" defaultRowHeight="18" customHeight="1" x14ac:dyDescent="0.25"/>
  <cols>
    <col min="1" max="1" width="33.42578125" style="137" customWidth="1"/>
    <col min="2" max="2" width="8.85546875" style="137"/>
    <col min="3" max="3" width="37.7109375" style="137" customWidth="1"/>
    <col min="4" max="4" width="11.85546875" style="137" customWidth="1"/>
    <col min="5" max="16384" width="8.85546875" style="137"/>
  </cols>
  <sheetData>
    <row r="1" spans="1:8" ht="18" customHeight="1" x14ac:dyDescent="0.25">
      <c r="A1" s="151" t="s">
        <v>230</v>
      </c>
      <c r="B1" s="151" t="s">
        <v>175</v>
      </c>
      <c r="C1" s="151" t="s">
        <v>176</v>
      </c>
      <c r="D1" s="151" t="s">
        <v>231</v>
      </c>
      <c r="E1" s="151" t="s">
        <v>172</v>
      </c>
      <c r="F1" s="152" t="s">
        <v>173</v>
      </c>
      <c r="G1" s="152" t="s">
        <v>232</v>
      </c>
      <c r="H1" s="152" t="s">
        <v>233</v>
      </c>
    </row>
    <row r="2" spans="1:8" ht="18" customHeight="1" x14ac:dyDescent="0.25">
      <c r="A2" s="153" t="s">
        <v>182</v>
      </c>
      <c r="B2" s="153" t="s">
        <v>3</v>
      </c>
      <c r="C2" s="154" t="s">
        <v>182</v>
      </c>
      <c r="D2" s="153">
        <v>0.22700000000000001</v>
      </c>
      <c r="E2" s="155">
        <v>0.24299999999999999</v>
      </c>
      <c r="F2" s="156">
        <v>0.24399999999999999</v>
      </c>
      <c r="G2" s="137">
        <f>+E2-D2</f>
        <v>1.5999999999999986E-2</v>
      </c>
      <c r="H2" s="137">
        <f>+F2-E2</f>
        <v>1.0000000000000009E-3</v>
      </c>
    </row>
    <row r="3" spans="1:8" ht="18" customHeight="1" x14ac:dyDescent="0.25">
      <c r="A3" s="153" t="s">
        <v>234</v>
      </c>
      <c r="B3" s="153" t="s">
        <v>5</v>
      </c>
      <c r="C3" s="154" t="s">
        <v>223</v>
      </c>
      <c r="D3" s="153">
        <v>0.26700000000000002</v>
      </c>
      <c r="E3" s="155">
        <v>0.307</v>
      </c>
      <c r="F3" s="156">
        <v>0.307</v>
      </c>
      <c r="G3" s="137">
        <f t="shared" ref="G3:H6" si="0">+E3-D3</f>
        <v>3.999999999999998E-2</v>
      </c>
      <c r="H3" s="137">
        <f t="shared" si="0"/>
        <v>0</v>
      </c>
    </row>
    <row r="4" spans="1:8" ht="18" customHeight="1" x14ac:dyDescent="0.25">
      <c r="A4" s="153" t="s">
        <v>235</v>
      </c>
      <c r="B4" s="153" t="s">
        <v>224</v>
      </c>
      <c r="C4" s="154" t="s">
        <v>225</v>
      </c>
      <c r="D4" s="153">
        <v>0.27700000000000002</v>
      </c>
      <c r="E4" s="155">
        <v>0.30499999999999999</v>
      </c>
      <c r="F4" s="156">
        <v>0.30399999999999999</v>
      </c>
      <c r="G4" s="137">
        <f t="shared" si="0"/>
        <v>2.7999999999999969E-2</v>
      </c>
      <c r="H4" s="137">
        <f t="shared" si="0"/>
        <v>-1.0000000000000009E-3</v>
      </c>
    </row>
    <row r="5" spans="1:8" ht="18" customHeight="1" x14ac:dyDescent="0.25">
      <c r="A5" s="153" t="s">
        <v>236</v>
      </c>
      <c r="B5" s="153" t="s">
        <v>226</v>
      </c>
      <c r="C5" s="154" t="s">
        <v>227</v>
      </c>
      <c r="D5" s="153">
        <v>0.33800000000000002</v>
      </c>
      <c r="E5" s="155">
        <v>0.39400000000000002</v>
      </c>
      <c r="F5" s="156">
        <v>0.39800000000000002</v>
      </c>
      <c r="G5" s="137">
        <f t="shared" si="0"/>
        <v>5.5999999999999994E-2</v>
      </c>
      <c r="H5" s="137">
        <f t="shared" si="0"/>
        <v>4.0000000000000036E-3</v>
      </c>
    </row>
    <row r="6" spans="1:8" ht="18" customHeight="1" x14ac:dyDescent="0.25">
      <c r="A6" s="153" t="s">
        <v>237</v>
      </c>
      <c r="B6" s="153" t="s">
        <v>228</v>
      </c>
      <c r="C6" s="154" t="s">
        <v>229</v>
      </c>
      <c r="D6" s="153">
        <v>0.20599999999999999</v>
      </c>
      <c r="E6" s="155">
        <v>0.17699999999999999</v>
      </c>
      <c r="F6" s="156">
        <v>0.17699999999999999</v>
      </c>
      <c r="G6" s="137">
        <f t="shared" si="0"/>
        <v>-2.8999999999999998E-2</v>
      </c>
      <c r="H6" s="137">
        <f t="shared" si="0"/>
        <v>0</v>
      </c>
    </row>
    <row r="7" spans="1:8" ht="18" customHeight="1" x14ac:dyDescent="0.25">
      <c r="A7" s="157"/>
      <c r="B7" s="153"/>
      <c r="C7" s="158"/>
      <c r="D7" s="159"/>
      <c r="E7" s="160"/>
      <c r="F7" s="161"/>
      <c r="G7" s="161"/>
      <c r="H7" s="16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116"/>
  <sheetViews>
    <sheetView showGridLines="0" topLeftCell="F1" zoomScale="116" workbookViewId="0">
      <selection activeCell="AD11" sqref="AD11"/>
    </sheetView>
  </sheetViews>
  <sheetFormatPr defaultColWidth="25.140625" defaultRowHeight="15" x14ac:dyDescent="0.25"/>
  <cols>
    <col min="1" max="1" width="9.28515625" style="4" customWidth="1"/>
    <col min="2" max="2" width="6.42578125" style="4" customWidth="1"/>
    <col min="3" max="3" width="6.85546875" style="4" customWidth="1"/>
    <col min="4" max="4" width="4.7109375" style="4" customWidth="1"/>
    <col min="5" max="5" width="19.140625" style="4" customWidth="1"/>
    <col min="6" max="6" width="38.42578125" style="4" customWidth="1"/>
    <col min="7" max="7" width="16.7109375" style="4" customWidth="1"/>
    <col min="8" max="8" width="10.42578125" style="44" customWidth="1"/>
    <col min="9" max="12" width="10.42578125" style="44" hidden="1" customWidth="1"/>
    <col min="13" max="14" width="10.42578125" style="6" customWidth="1"/>
    <col min="15" max="18" width="10.42578125" style="6" hidden="1" customWidth="1"/>
    <col min="19" max="24" width="10.42578125" style="7" hidden="1" customWidth="1"/>
    <col min="25" max="25" width="10.42578125" style="315" hidden="1" customWidth="1"/>
    <col min="26" max="27" width="10.42578125" style="4" hidden="1" customWidth="1"/>
    <col min="28" max="29" width="10.42578125" style="44" hidden="1" customWidth="1"/>
    <col min="30" max="16384" width="25.140625" style="4"/>
  </cols>
  <sheetData>
    <row r="1" spans="1:29" ht="16.5" thickBot="1" x14ac:dyDescent="0.3">
      <c r="F1" s="465" t="s">
        <v>331</v>
      </c>
      <c r="G1" s="465"/>
      <c r="H1" s="465"/>
      <c r="I1" s="465"/>
      <c r="J1" s="465"/>
      <c r="K1" s="465"/>
      <c r="L1" s="465"/>
      <c r="M1" s="465"/>
      <c r="N1" s="465"/>
    </row>
    <row r="2" spans="1:29" s="104" customFormat="1" ht="63" customHeight="1" thickTop="1" x14ac:dyDescent="0.25">
      <c r="A2" s="470" t="s">
        <v>100</v>
      </c>
      <c r="B2" s="468" t="s">
        <v>101</v>
      </c>
      <c r="C2" s="468" t="s">
        <v>102</v>
      </c>
      <c r="D2" s="468" t="s">
        <v>103</v>
      </c>
      <c r="E2" s="468" t="s">
        <v>104</v>
      </c>
      <c r="F2" s="468" t="s">
        <v>105</v>
      </c>
      <c r="G2" s="475" t="s">
        <v>106</v>
      </c>
      <c r="H2" s="472" t="s">
        <v>98</v>
      </c>
      <c r="I2" s="473"/>
      <c r="J2" s="473"/>
      <c r="K2" s="473"/>
      <c r="L2" s="474"/>
      <c r="M2" s="466" t="s">
        <v>99</v>
      </c>
      <c r="N2" s="477"/>
      <c r="O2" s="119"/>
      <c r="P2" s="119"/>
      <c r="Q2" s="119"/>
      <c r="R2" s="120"/>
      <c r="S2" s="224" t="s">
        <v>134</v>
      </c>
      <c r="T2" s="111" t="s">
        <v>136</v>
      </c>
      <c r="U2" s="109"/>
      <c r="V2" s="109"/>
      <c r="W2" s="109"/>
      <c r="X2" s="110"/>
      <c r="Y2" s="385" t="s">
        <v>98</v>
      </c>
      <c r="Z2" s="466" t="s">
        <v>99</v>
      </c>
      <c r="AA2" s="467"/>
      <c r="AB2" s="416" t="s">
        <v>134</v>
      </c>
      <c r="AC2" s="416" t="s">
        <v>136</v>
      </c>
    </row>
    <row r="3" spans="1:29" s="5" customFormat="1" ht="26.1" customHeight="1" x14ac:dyDescent="0.25">
      <c r="A3" s="471"/>
      <c r="B3" s="469"/>
      <c r="C3" s="469"/>
      <c r="D3" s="469"/>
      <c r="E3" s="469"/>
      <c r="F3" s="469"/>
      <c r="G3" s="476"/>
      <c r="H3" s="29" t="s">
        <v>107</v>
      </c>
      <c r="I3" s="30" t="s">
        <v>108</v>
      </c>
      <c r="J3" s="30" t="s">
        <v>109</v>
      </c>
      <c r="K3" s="30" t="s">
        <v>110</v>
      </c>
      <c r="L3" s="31" t="s">
        <v>111</v>
      </c>
      <c r="M3" s="19" t="s">
        <v>112</v>
      </c>
      <c r="N3" s="13" t="s">
        <v>107</v>
      </c>
      <c r="O3" s="121" t="s">
        <v>108</v>
      </c>
      <c r="P3" s="8" t="s">
        <v>109</v>
      </c>
      <c r="Q3" s="8" t="s">
        <v>110</v>
      </c>
      <c r="R3" s="13" t="s">
        <v>111</v>
      </c>
      <c r="S3" s="105" t="s">
        <v>107</v>
      </c>
      <c r="T3" s="105" t="s">
        <v>107</v>
      </c>
      <c r="U3" s="105" t="s">
        <v>108</v>
      </c>
      <c r="V3" s="105" t="s">
        <v>109</v>
      </c>
      <c r="W3" s="105" t="s">
        <v>110</v>
      </c>
      <c r="X3" s="105" t="s">
        <v>111</v>
      </c>
      <c r="Y3" s="116" t="s">
        <v>107</v>
      </c>
      <c r="Z3" s="19" t="s">
        <v>112</v>
      </c>
      <c r="AA3" s="8" t="s">
        <v>107</v>
      </c>
      <c r="AB3" s="417" t="s">
        <v>107</v>
      </c>
      <c r="AC3" s="417" t="s">
        <v>107</v>
      </c>
    </row>
    <row r="4" spans="1:29" ht="18" customHeight="1" x14ac:dyDescent="0.25">
      <c r="A4" s="14" t="s">
        <v>0</v>
      </c>
      <c r="B4" s="9" t="s">
        <v>1</v>
      </c>
      <c r="C4" s="9" t="s">
        <v>1</v>
      </c>
      <c r="D4" s="9" t="s">
        <v>3</v>
      </c>
      <c r="E4" s="9" t="s">
        <v>2</v>
      </c>
      <c r="F4" s="9" t="s">
        <v>2</v>
      </c>
      <c r="G4" s="26" t="s">
        <v>4</v>
      </c>
      <c r="H4" s="32">
        <v>-0.10525</v>
      </c>
      <c r="I4" s="33"/>
      <c r="J4" s="33"/>
      <c r="K4" s="33"/>
      <c r="L4" s="34"/>
      <c r="M4" s="20">
        <v>10203</v>
      </c>
      <c r="N4" s="21">
        <f t="shared" ref="N4:N43" si="0">+ROUND(M4*(1+H4),0)</f>
        <v>9129</v>
      </c>
      <c r="O4" s="122">
        <f t="shared" ref="O4:O43" si="1">+ROUND(N4*(1+I4),0)</f>
        <v>9129</v>
      </c>
      <c r="P4" s="10">
        <f t="shared" ref="P4:P43" si="2">+ROUND(O4*(1+J4),0)</f>
        <v>9129</v>
      </c>
      <c r="Q4" s="10">
        <f t="shared" ref="Q4:Q43" si="3">+ROUND(P4*(1+K4),0)</f>
        <v>9129</v>
      </c>
      <c r="R4" s="21">
        <f t="shared" ref="R4:R43" si="4">+ROUND(Q4*(1+L4),0)</f>
        <v>9129</v>
      </c>
      <c r="S4" s="106">
        <f>+N4/M4-1</f>
        <v>-0.10526315789473684</v>
      </c>
      <c r="T4" s="106">
        <v>0</v>
      </c>
      <c r="U4" s="106">
        <v>0</v>
      </c>
      <c r="V4" s="106">
        <v>0</v>
      </c>
      <c r="W4" s="106">
        <v>0</v>
      </c>
      <c r="X4" s="106">
        <v>0</v>
      </c>
      <c r="Y4" s="32">
        <v>0</v>
      </c>
      <c r="Z4" s="20">
        <v>10203</v>
      </c>
      <c r="AA4" s="10">
        <f t="shared" ref="AA4:AA43" si="5">+ROUND(Z4*(1+Y4),0)</f>
        <v>10203</v>
      </c>
      <c r="AB4" s="418">
        <f>+AA4/Z4-1</f>
        <v>0</v>
      </c>
      <c r="AC4" s="418">
        <v>0</v>
      </c>
    </row>
    <row r="5" spans="1:29" ht="18" customHeight="1" x14ac:dyDescent="0.25">
      <c r="A5" s="15" t="s">
        <v>0</v>
      </c>
      <c r="B5" s="11" t="s">
        <v>1</v>
      </c>
      <c r="C5" s="11" t="s">
        <v>1</v>
      </c>
      <c r="D5" s="11" t="s">
        <v>5</v>
      </c>
      <c r="E5" s="11" t="s">
        <v>2</v>
      </c>
      <c r="F5" s="11" t="s">
        <v>2</v>
      </c>
      <c r="G5" s="27" t="s">
        <v>6</v>
      </c>
      <c r="H5" s="35">
        <v>0.02</v>
      </c>
      <c r="I5" s="36"/>
      <c r="J5" s="36"/>
      <c r="K5" s="36"/>
      <c r="L5" s="37"/>
      <c r="M5" s="22">
        <v>31584</v>
      </c>
      <c r="N5" s="23">
        <f t="shared" si="0"/>
        <v>32216</v>
      </c>
      <c r="O5" s="123">
        <f t="shared" si="1"/>
        <v>32216</v>
      </c>
      <c r="P5" s="12">
        <f t="shared" si="2"/>
        <v>32216</v>
      </c>
      <c r="Q5" s="12">
        <f t="shared" si="3"/>
        <v>32216</v>
      </c>
      <c r="R5" s="23">
        <f t="shared" si="4"/>
        <v>32216</v>
      </c>
      <c r="S5" s="107">
        <f>+S4</f>
        <v>-0.10526315789473684</v>
      </c>
      <c r="T5" s="107">
        <f>+(N5-N4)/(M5-M4)-1</f>
        <v>7.9790468172676654E-2</v>
      </c>
      <c r="U5" s="107">
        <f>+(O5-O4)/(N5-N4)-1</f>
        <v>0</v>
      </c>
      <c r="V5" s="107">
        <f>+(P5-P4)/(O5-O4)-1</f>
        <v>0</v>
      </c>
      <c r="W5" s="107">
        <f>+(Q5-Q4)/(P5-P4)-1</f>
        <v>0</v>
      </c>
      <c r="X5" s="107">
        <f>+(R5-R4)/(Q5-Q4)-1</f>
        <v>0</v>
      </c>
      <c r="Y5" s="38">
        <f>+H5</f>
        <v>0.02</v>
      </c>
      <c r="Z5" s="22">
        <v>31584</v>
      </c>
      <c r="AA5" s="12">
        <f t="shared" si="5"/>
        <v>32216</v>
      </c>
      <c r="AB5" s="419">
        <f>+AB4</f>
        <v>0</v>
      </c>
      <c r="AC5" s="419">
        <f>+(AA5-AA4)/(Z5-Z4)-1</f>
        <v>2.9558954211683197E-2</v>
      </c>
    </row>
    <row r="6" spans="1:29" ht="18" customHeight="1" x14ac:dyDescent="0.25">
      <c r="A6" s="15" t="s">
        <v>0</v>
      </c>
      <c r="B6" s="11" t="s">
        <v>8</v>
      </c>
      <c r="C6" s="11" t="s">
        <v>1</v>
      </c>
      <c r="D6" s="11" t="s">
        <v>3</v>
      </c>
      <c r="E6" s="11" t="s">
        <v>2</v>
      </c>
      <c r="F6" s="11" t="s">
        <v>51</v>
      </c>
      <c r="G6" s="27" t="s">
        <v>4</v>
      </c>
      <c r="H6" s="38">
        <f t="shared" ref="H6:L7" si="6">+H4</f>
        <v>-0.10525</v>
      </c>
      <c r="I6" s="39">
        <f t="shared" si="6"/>
        <v>0</v>
      </c>
      <c r="J6" s="39">
        <f t="shared" si="6"/>
        <v>0</v>
      </c>
      <c r="K6" s="39">
        <f t="shared" si="6"/>
        <v>0</v>
      </c>
      <c r="L6" s="40">
        <f t="shared" si="6"/>
        <v>0</v>
      </c>
      <c r="M6" s="22">
        <v>10203</v>
      </c>
      <c r="N6" s="23">
        <f t="shared" si="0"/>
        <v>9129</v>
      </c>
      <c r="O6" s="123">
        <f t="shared" si="1"/>
        <v>9129</v>
      </c>
      <c r="P6" s="12">
        <f t="shared" si="2"/>
        <v>9129</v>
      </c>
      <c r="Q6" s="12">
        <f t="shared" si="3"/>
        <v>9129</v>
      </c>
      <c r="R6" s="23">
        <f t="shared" si="4"/>
        <v>9129</v>
      </c>
      <c r="S6" s="107">
        <f>+N6/M6-1</f>
        <v>-0.10526315789473684</v>
      </c>
      <c r="T6" s="107">
        <v>0</v>
      </c>
      <c r="U6" s="107">
        <v>0</v>
      </c>
      <c r="V6" s="107">
        <v>0</v>
      </c>
      <c r="W6" s="107">
        <v>0</v>
      </c>
      <c r="X6" s="107">
        <v>0</v>
      </c>
      <c r="Y6" s="38">
        <v>0</v>
      </c>
      <c r="Z6" s="22">
        <v>10203</v>
      </c>
      <c r="AA6" s="12">
        <f t="shared" si="5"/>
        <v>10203</v>
      </c>
      <c r="AB6" s="419">
        <f>+AA6/Z6-1</f>
        <v>0</v>
      </c>
      <c r="AC6" s="419">
        <v>0</v>
      </c>
    </row>
    <row r="7" spans="1:29" ht="18" customHeight="1" x14ac:dyDescent="0.25">
      <c r="A7" s="15" t="s">
        <v>0</v>
      </c>
      <c r="B7" s="11" t="s">
        <v>8</v>
      </c>
      <c r="C7" s="11" t="s">
        <v>1</v>
      </c>
      <c r="D7" s="11" t="s">
        <v>5</v>
      </c>
      <c r="E7" s="11" t="s">
        <v>2</v>
      </c>
      <c r="F7" s="11" t="s">
        <v>51</v>
      </c>
      <c r="G7" s="27" t="s">
        <v>6</v>
      </c>
      <c r="H7" s="38">
        <f t="shared" si="6"/>
        <v>0.02</v>
      </c>
      <c r="I7" s="39">
        <f t="shared" si="6"/>
        <v>0</v>
      </c>
      <c r="J7" s="39">
        <f t="shared" si="6"/>
        <v>0</v>
      </c>
      <c r="K7" s="39">
        <f t="shared" si="6"/>
        <v>0</v>
      </c>
      <c r="L7" s="40">
        <f t="shared" si="6"/>
        <v>0</v>
      </c>
      <c r="M7" s="22">
        <v>31584</v>
      </c>
      <c r="N7" s="23">
        <f t="shared" si="0"/>
        <v>32216</v>
      </c>
      <c r="O7" s="123">
        <f t="shared" si="1"/>
        <v>32216</v>
      </c>
      <c r="P7" s="12">
        <f t="shared" si="2"/>
        <v>32216</v>
      </c>
      <c r="Q7" s="12">
        <f t="shared" si="3"/>
        <v>32216</v>
      </c>
      <c r="R7" s="23">
        <f t="shared" si="4"/>
        <v>32216</v>
      </c>
      <c r="S7" s="107">
        <f>+S6</f>
        <v>-0.10526315789473684</v>
      </c>
      <c r="T7" s="107">
        <f>+(N7-N6)/(M7-M6)-1</f>
        <v>7.9790468172676654E-2</v>
      </c>
      <c r="U7" s="107">
        <f>+(O7-O6)/(N7-N6)-1</f>
        <v>0</v>
      </c>
      <c r="V7" s="107">
        <f>+(P7-P6)/(O7-O6)-1</f>
        <v>0</v>
      </c>
      <c r="W7" s="107">
        <f>+(Q7-Q6)/(P7-P6)-1</f>
        <v>0</v>
      </c>
      <c r="X7" s="107">
        <f>+(R7-R6)/(Q7-Q6)-1</f>
        <v>0</v>
      </c>
      <c r="Y7" s="38">
        <f t="shared" ref="Y7:Y69" si="7">+H7</f>
        <v>0.02</v>
      </c>
      <c r="Z7" s="22">
        <v>31584</v>
      </c>
      <c r="AA7" s="12">
        <f t="shared" si="5"/>
        <v>32216</v>
      </c>
      <c r="AB7" s="419">
        <f>+AB6</f>
        <v>0</v>
      </c>
      <c r="AC7" s="419">
        <f>+(AA7-AA6)/(Z7-Z6)-1</f>
        <v>2.9558954211683197E-2</v>
      </c>
    </row>
    <row r="8" spans="1:29" ht="18" customHeight="1" x14ac:dyDescent="0.25">
      <c r="A8" s="15" t="s">
        <v>0</v>
      </c>
      <c r="B8" s="11" t="s">
        <v>13</v>
      </c>
      <c r="C8" s="11" t="s">
        <v>8</v>
      </c>
      <c r="D8" s="11" t="s">
        <v>3</v>
      </c>
      <c r="E8" s="11" t="s">
        <v>9</v>
      </c>
      <c r="F8" s="11" t="s">
        <v>9</v>
      </c>
      <c r="G8" s="27" t="s">
        <v>4</v>
      </c>
      <c r="H8" s="35">
        <v>0</v>
      </c>
      <c r="I8" s="36"/>
      <c r="J8" s="36"/>
      <c r="K8" s="36"/>
      <c r="L8" s="37"/>
      <c r="M8" s="22">
        <v>14751</v>
      </c>
      <c r="N8" s="23">
        <f t="shared" si="0"/>
        <v>14751</v>
      </c>
      <c r="O8" s="123">
        <f t="shared" si="1"/>
        <v>14751</v>
      </c>
      <c r="P8" s="12">
        <f t="shared" si="2"/>
        <v>14751</v>
      </c>
      <c r="Q8" s="12">
        <f t="shared" si="3"/>
        <v>14751</v>
      </c>
      <c r="R8" s="23">
        <f t="shared" si="4"/>
        <v>14751</v>
      </c>
      <c r="S8" s="107">
        <f>+N8/M8-1</f>
        <v>0</v>
      </c>
      <c r="T8" s="107">
        <v>0</v>
      </c>
      <c r="U8" s="107">
        <v>0</v>
      </c>
      <c r="V8" s="107">
        <v>0</v>
      </c>
      <c r="W8" s="107">
        <v>0</v>
      </c>
      <c r="X8" s="107">
        <v>0</v>
      </c>
      <c r="Y8" s="38">
        <f t="shared" si="7"/>
        <v>0</v>
      </c>
      <c r="Z8" s="22">
        <v>14751</v>
      </c>
      <c r="AA8" s="12">
        <f t="shared" si="5"/>
        <v>14751</v>
      </c>
      <c r="AB8" s="419">
        <f>+AA8/Z8-1</f>
        <v>0</v>
      </c>
      <c r="AC8" s="419">
        <v>0</v>
      </c>
    </row>
    <row r="9" spans="1:29" ht="18" customHeight="1" x14ac:dyDescent="0.25">
      <c r="A9" s="15" t="s">
        <v>0</v>
      </c>
      <c r="B9" s="11" t="s">
        <v>13</v>
      </c>
      <c r="C9" s="11" t="s">
        <v>8</v>
      </c>
      <c r="D9" s="11" t="s">
        <v>5</v>
      </c>
      <c r="E9" s="11" t="s">
        <v>9</v>
      </c>
      <c r="F9" s="11" t="s">
        <v>9</v>
      </c>
      <c r="G9" s="27" t="s">
        <v>6</v>
      </c>
      <c r="H9" s="35">
        <v>0</v>
      </c>
      <c r="I9" s="36"/>
      <c r="J9" s="36"/>
      <c r="K9" s="36"/>
      <c r="L9" s="37"/>
      <c r="M9" s="22">
        <v>26301</v>
      </c>
      <c r="N9" s="23">
        <f t="shared" si="0"/>
        <v>26301</v>
      </c>
      <c r="O9" s="123">
        <f t="shared" si="1"/>
        <v>26301</v>
      </c>
      <c r="P9" s="12">
        <f t="shared" si="2"/>
        <v>26301</v>
      </c>
      <c r="Q9" s="12">
        <f t="shared" si="3"/>
        <v>26301</v>
      </c>
      <c r="R9" s="23">
        <f t="shared" si="4"/>
        <v>26301</v>
      </c>
      <c r="S9" s="107">
        <f>+S8</f>
        <v>0</v>
      </c>
      <c r="T9" s="107">
        <f>+(N9-N8)/(M9-M8)-1</f>
        <v>0</v>
      </c>
      <c r="U9" s="107">
        <f>+(O9-O8)/(N9-N8)-1</f>
        <v>0</v>
      </c>
      <c r="V9" s="107">
        <f>+(P9-P8)/(O9-O8)-1</f>
        <v>0</v>
      </c>
      <c r="W9" s="107">
        <f>+(Q9-Q8)/(P9-P8)-1</f>
        <v>0</v>
      </c>
      <c r="X9" s="107">
        <f>+(R9-R8)/(Q9-Q8)-1</f>
        <v>0</v>
      </c>
      <c r="Y9" s="38">
        <f t="shared" si="7"/>
        <v>0</v>
      </c>
      <c r="Z9" s="22">
        <v>26301</v>
      </c>
      <c r="AA9" s="12">
        <f t="shared" si="5"/>
        <v>26301</v>
      </c>
      <c r="AB9" s="419">
        <f>+AB8</f>
        <v>0</v>
      </c>
      <c r="AC9" s="419">
        <f>+(AA9-AA8)/(Z9-Z8)-1</f>
        <v>0</v>
      </c>
    </row>
    <row r="10" spans="1:29" ht="18" customHeight="1" x14ac:dyDescent="0.25">
      <c r="A10" s="15" t="s">
        <v>0</v>
      </c>
      <c r="B10" s="11" t="s">
        <v>10</v>
      </c>
      <c r="C10" s="11" t="s">
        <v>7</v>
      </c>
      <c r="D10" s="11" t="s">
        <v>3</v>
      </c>
      <c r="E10" s="11" t="s">
        <v>11</v>
      </c>
      <c r="F10" s="11" t="s">
        <v>11</v>
      </c>
      <c r="G10" s="27" t="s">
        <v>4</v>
      </c>
      <c r="H10" s="35">
        <v>0</v>
      </c>
      <c r="I10" s="36"/>
      <c r="J10" s="36"/>
      <c r="K10" s="36"/>
      <c r="L10" s="37"/>
      <c r="M10" s="22">
        <v>15126</v>
      </c>
      <c r="N10" s="23">
        <f t="shared" si="0"/>
        <v>15126</v>
      </c>
      <c r="O10" s="123">
        <f t="shared" si="1"/>
        <v>15126</v>
      </c>
      <c r="P10" s="12">
        <f t="shared" si="2"/>
        <v>15126</v>
      </c>
      <c r="Q10" s="12">
        <f t="shared" si="3"/>
        <v>15126</v>
      </c>
      <c r="R10" s="23">
        <f t="shared" si="4"/>
        <v>15126</v>
      </c>
      <c r="S10" s="107">
        <f>+N10/M10-1</f>
        <v>0</v>
      </c>
      <c r="T10" s="107">
        <v>0</v>
      </c>
      <c r="U10" s="107">
        <v>0</v>
      </c>
      <c r="V10" s="107">
        <v>0</v>
      </c>
      <c r="W10" s="107">
        <v>0</v>
      </c>
      <c r="X10" s="107">
        <v>0</v>
      </c>
      <c r="Y10" s="38">
        <f t="shared" si="7"/>
        <v>0</v>
      </c>
      <c r="Z10" s="22">
        <v>15126</v>
      </c>
      <c r="AA10" s="12">
        <f t="shared" si="5"/>
        <v>15126</v>
      </c>
      <c r="AB10" s="419">
        <f>+AA10/Z10-1</f>
        <v>0</v>
      </c>
      <c r="AC10" s="419">
        <v>0</v>
      </c>
    </row>
    <row r="11" spans="1:29" ht="18" customHeight="1" x14ac:dyDescent="0.25">
      <c r="A11" s="15" t="s">
        <v>0</v>
      </c>
      <c r="B11" s="11" t="s">
        <v>10</v>
      </c>
      <c r="C11" s="11" t="s">
        <v>7</v>
      </c>
      <c r="D11" s="11" t="s">
        <v>5</v>
      </c>
      <c r="E11" s="11" t="s">
        <v>11</v>
      </c>
      <c r="F11" s="11" t="s">
        <v>11</v>
      </c>
      <c r="G11" s="27" t="s">
        <v>6</v>
      </c>
      <c r="H11" s="35">
        <v>0</v>
      </c>
      <c r="I11" s="36"/>
      <c r="J11" s="36"/>
      <c r="K11" s="36"/>
      <c r="L11" s="37"/>
      <c r="M11" s="22">
        <v>26863</v>
      </c>
      <c r="N11" s="23">
        <f t="shared" si="0"/>
        <v>26863</v>
      </c>
      <c r="O11" s="123">
        <f t="shared" si="1"/>
        <v>26863</v>
      </c>
      <c r="P11" s="12">
        <f t="shared" si="2"/>
        <v>26863</v>
      </c>
      <c r="Q11" s="12">
        <f t="shared" si="3"/>
        <v>26863</v>
      </c>
      <c r="R11" s="23">
        <f t="shared" si="4"/>
        <v>26863</v>
      </c>
      <c r="S11" s="107">
        <f>+S10</f>
        <v>0</v>
      </c>
      <c r="T11" s="107">
        <f>+(N11-N10)/(M11-M10)-1</f>
        <v>0</v>
      </c>
      <c r="U11" s="107">
        <f>+(O11-O10)/(N11-N10)-1</f>
        <v>0</v>
      </c>
      <c r="V11" s="107">
        <f>+(P11-P10)/(O11-O10)-1</f>
        <v>0</v>
      </c>
      <c r="W11" s="107">
        <f>+(Q11-Q10)/(P11-P10)-1</f>
        <v>0</v>
      </c>
      <c r="X11" s="107">
        <f>+(R11-R10)/(Q11-Q10)-1</f>
        <v>0</v>
      </c>
      <c r="Y11" s="38">
        <f t="shared" si="7"/>
        <v>0</v>
      </c>
      <c r="Z11" s="22">
        <v>26863</v>
      </c>
      <c r="AA11" s="12">
        <f t="shared" si="5"/>
        <v>26863</v>
      </c>
      <c r="AB11" s="419">
        <f>+AB10</f>
        <v>0</v>
      </c>
      <c r="AC11" s="419">
        <f>+(AA11-AA10)/(Z11-Z10)-1</f>
        <v>0</v>
      </c>
    </row>
    <row r="12" spans="1:29" ht="18" customHeight="1" x14ac:dyDescent="0.25">
      <c r="A12" s="15" t="s">
        <v>0</v>
      </c>
      <c r="B12" s="11" t="s">
        <v>7</v>
      </c>
      <c r="C12" s="11" t="s">
        <v>13</v>
      </c>
      <c r="D12" s="11" t="s">
        <v>3</v>
      </c>
      <c r="E12" s="11" t="s">
        <v>14</v>
      </c>
      <c r="F12" s="11" t="s">
        <v>52</v>
      </c>
      <c r="G12" s="27" t="s">
        <v>4</v>
      </c>
      <c r="H12" s="38">
        <f t="shared" ref="H12:L13" si="8">+H14</f>
        <v>0.03</v>
      </c>
      <c r="I12" s="39">
        <f t="shared" si="8"/>
        <v>0</v>
      </c>
      <c r="J12" s="39">
        <f t="shared" si="8"/>
        <v>0</v>
      </c>
      <c r="K12" s="39">
        <f t="shared" si="8"/>
        <v>0</v>
      </c>
      <c r="L12" s="40">
        <f t="shared" si="8"/>
        <v>0</v>
      </c>
      <c r="M12" s="22">
        <v>15932</v>
      </c>
      <c r="N12" s="23">
        <f t="shared" si="0"/>
        <v>16410</v>
      </c>
      <c r="O12" s="123">
        <f t="shared" si="1"/>
        <v>16410</v>
      </c>
      <c r="P12" s="12">
        <f t="shared" si="2"/>
        <v>16410</v>
      </c>
      <c r="Q12" s="12">
        <f t="shared" si="3"/>
        <v>16410</v>
      </c>
      <c r="R12" s="23">
        <f t="shared" si="4"/>
        <v>16410</v>
      </c>
      <c r="S12" s="107">
        <f>+N12/M12-1</f>
        <v>3.0002510670348981E-2</v>
      </c>
      <c r="T12" s="107">
        <v>0</v>
      </c>
      <c r="U12" s="107">
        <v>0</v>
      </c>
      <c r="V12" s="107">
        <v>0</v>
      </c>
      <c r="W12" s="107">
        <v>0</v>
      </c>
      <c r="X12" s="107">
        <v>0</v>
      </c>
      <c r="Y12" s="38">
        <f t="shared" si="7"/>
        <v>0.03</v>
      </c>
      <c r="Z12" s="22">
        <v>15932</v>
      </c>
      <c r="AA12" s="12">
        <f t="shared" si="5"/>
        <v>16410</v>
      </c>
      <c r="AB12" s="419">
        <f>+AA12/Z12-1</f>
        <v>3.0002510670348981E-2</v>
      </c>
      <c r="AC12" s="419">
        <v>0</v>
      </c>
    </row>
    <row r="13" spans="1:29" ht="18" customHeight="1" x14ac:dyDescent="0.25">
      <c r="A13" s="15" t="s">
        <v>0</v>
      </c>
      <c r="B13" s="11" t="s">
        <v>7</v>
      </c>
      <c r="C13" s="11" t="s">
        <v>13</v>
      </c>
      <c r="D13" s="11" t="s">
        <v>5</v>
      </c>
      <c r="E13" s="11" t="s">
        <v>14</v>
      </c>
      <c r="F13" s="11" t="s">
        <v>52</v>
      </c>
      <c r="G13" s="27" t="s">
        <v>6</v>
      </c>
      <c r="H13" s="38">
        <f t="shared" si="8"/>
        <v>0.03</v>
      </c>
      <c r="I13" s="39">
        <f t="shared" si="8"/>
        <v>0</v>
      </c>
      <c r="J13" s="39">
        <f t="shared" si="8"/>
        <v>0</v>
      </c>
      <c r="K13" s="39">
        <f t="shared" si="8"/>
        <v>0</v>
      </c>
      <c r="L13" s="40">
        <f t="shared" si="8"/>
        <v>0</v>
      </c>
      <c r="M13" s="22">
        <v>28249</v>
      </c>
      <c r="N13" s="23">
        <f t="shared" si="0"/>
        <v>29096</v>
      </c>
      <c r="O13" s="123">
        <f t="shared" si="1"/>
        <v>29096</v>
      </c>
      <c r="P13" s="12">
        <f t="shared" si="2"/>
        <v>29096</v>
      </c>
      <c r="Q13" s="12">
        <f t="shared" si="3"/>
        <v>29096</v>
      </c>
      <c r="R13" s="23">
        <f t="shared" si="4"/>
        <v>29096</v>
      </c>
      <c r="S13" s="107">
        <f>+S12</f>
        <v>3.0002510670348981E-2</v>
      </c>
      <c r="T13" s="107">
        <f>+(N13-N12)/(M13-M12)-1</f>
        <v>2.995859381342858E-2</v>
      </c>
      <c r="U13" s="107">
        <f>+(O13-O12)/(N13-N12)-1</f>
        <v>0</v>
      </c>
      <c r="V13" s="107">
        <f>+(P13-P12)/(O13-O12)-1</f>
        <v>0</v>
      </c>
      <c r="W13" s="107">
        <f>+(Q13-Q12)/(P13-P12)-1</f>
        <v>0</v>
      </c>
      <c r="X13" s="107">
        <f>+(R13-R12)/(Q13-Q12)-1</f>
        <v>0</v>
      </c>
      <c r="Y13" s="38">
        <f t="shared" si="7"/>
        <v>0.03</v>
      </c>
      <c r="Z13" s="22">
        <v>28249</v>
      </c>
      <c r="AA13" s="12">
        <f t="shared" si="5"/>
        <v>29096</v>
      </c>
      <c r="AB13" s="419">
        <f>+AB12</f>
        <v>3.0002510670348981E-2</v>
      </c>
      <c r="AC13" s="419">
        <f>+(AA13-AA12)/(Z13-Z12)-1</f>
        <v>2.995859381342858E-2</v>
      </c>
    </row>
    <row r="14" spans="1:29" ht="18" customHeight="1" x14ac:dyDescent="0.25">
      <c r="A14" s="15" t="s">
        <v>0</v>
      </c>
      <c r="B14" s="11" t="s">
        <v>16</v>
      </c>
      <c r="C14" s="11" t="s">
        <v>13</v>
      </c>
      <c r="D14" s="11" t="s">
        <v>3</v>
      </c>
      <c r="E14" s="11" t="s">
        <v>14</v>
      </c>
      <c r="F14" s="11" t="s">
        <v>14</v>
      </c>
      <c r="G14" s="27" t="s">
        <v>4</v>
      </c>
      <c r="H14" s="35">
        <v>0.03</v>
      </c>
      <c r="I14" s="36"/>
      <c r="J14" s="36"/>
      <c r="K14" s="36"/>
      <c r="L14" s="37"/>
      <c r="M14" s="22">
        <v>15932</v>
      </c>
      <c r="N14" s="23">
        <f t="shared" si="0"/>
        <v>16410</v>
      </c>
      <c r="O14" s="123">
        <f t="shared" si="1"/>
        <v>16410</v>
      </c>
      <c r="P14" s="12">
        <f t="shared" si="2"/>
        <v>16410</v>
      </c>
      <c r="Q14" s="12">
        <f t="shared" si="3"/>
        <v>16410</v>
      </c>
      <c r="R14" s="23">
        <f t="shared" si="4"/>
        <v>16410</v>
      </c>
      <c r="S14" s="107">
        <f>+N14/M14-1</f>
        <v>3.0002510670348981E-2</v>
      </c>
      <c r="T14" s="107">
        <v>0</v>
      </c>
      <c r="U14" s="107">
        <v>0</v>
      </c>
      <c r="V14" s="107">
        <v>0</v>
      </c>
      <c r="W14" s="107">
        <v>0</v>
      </c>
      <c r="X14" s="107">
        <v>0</v>
      </c>
      <c r="Y14" s="38">
        <f t="shared" si="7"/>
        <v>0.03</v>
      </c>
      <c r="Z14" s="22">
        <v>15932</v>
      </c>
      <c r="AA14" s="12">
        <f t="shared" si="5"/>
        <v>16410</v>
      </c>
      <c r="AB14" s="419">
        <f>+AA14/Z14-1</f>
        <v>3.0002510670348981E-2</v>
      </c>
      <c r="AC14" s="419">
        <v>0</v>
      </c>
    </row>
    <row r="15" spans="1:29" ht="18" customHeight="1" x14ac:dyDescent="0.25">
      <c r="A15" s="15" t="s">
        <v>0</v>
      </c>
      <c r="B15" s="11" t="s">
        <v>16</v>
      </c>
      <c r="C15" s="11" t="s">
        <v>13</v>
      </c>
      <c r="D15" s="11" t="s">
        <v>5</v>
      </c>
      <c r="E15" s="11" t="s">
        <v>14</v>
      </c>
      <c r="F15" s="11" t="s">
        <v>14</v>
      </c>
      <c r="G15" s="27" t="s">
        <v>6</v>
      </c>
      <c r="H15" s="35">
        <v>0.03</v>
      </c>
      <c r="I15" s="36"/>
      <c r="J15" s="36"/>
      <c r="K15" s="36"/>
      <c r="L15" s="37"/>
      <c r="M15" s="22">
        <v>28249</v>
      </c>
      <c r="N15" s="23">
        <f t="shared" si="0"/>
        <v>29096</v>
      </c>
      <c r="O15" s="123">
        <f t="shared" si="1"/>
        <v>29096</v>
      </c>
      <c r="P15" s="12">
        <f t="shared" si="2"/>
        <v>29096</v>
      </c>
      <c r="Q15" s="12">
        <f t="shared" si="3"/>
        <v>29096</v>
      </c>
      <c r="R15" s="23">
        <f t="shared" si="4"/>
        <v>29096</v>
      </c>
      <c r="S15" s="107">
        <f>+S14</f>
        <v>3.0002510670348981E-2</v>
      </c>
      <c r="T15" s="107">
        <f>+(N15-N14)/(M15-M14)-1</f>
        <v>2.995859381342858E-2</v>
      </c>
      <c r="U15" s="107">
        <f>+(O15-O14)/(N15-N14)-1</f>
        <v>0</v>
      </c>
      <c r="V15" s="107">
        <f>+(P15-P14)/(O15-O14)-1</f>
        <v>0</v>
      </c>
      <c r="W15" s="107">
        <f>+(Q15-Q14)/(P15-P14)-1</f>
        <v>0</v>
      </c>
      <c r="X15" s="107">
        <f>+(R15-R14)/(Q15-Q14)-1</f>
        <v>0</v>
      </c>
      <c r="Y15" s="38">
        <f t="shared" si="7"/>
        <v>0.03</v>
      </c>
      <c r="Z15" s="22">
        <v>28249</v>
      </c>
      <c r="AA15" s="12">
        <f t="shared" si="5"/>
        <v>29096</v>
      </c>
      <c r="AB15" s="419">
        <f>+AB14</f>
        <v>3.0002510670348981E-2</v>
      </c>
      <c r="AC15" s="419">
        <f>+(AA15-AA14)/(Z15-Z14)-1</f>
        <v>2.995859381342858E-2</v>
      </c>
    </row>
    <row r="16" spans="1:29" ht="18" customHeight="1" x14ac:dyDescent="0.25">
      <c r="A16" s="15" t="s">
        <v>0</v>
      </c>
      <c r="B16" s="11" t="s">
        <v>47</v>
      </c>
      <c r="C16" s="11" t="s">
        <v>16</v>
      </c>
      <c r="D16" s="11" t="s">
        <v>3</v>
      </c>
      <c r="E16" s="11" t="s">
        <v>17</v>
      </c>
      <c r="F16" s="11" t="s">
        <v>53</v>
      </c>
      <c r="G16" s="27" t="s">
        <v>4</v>
      </c>
      <c r="H16" s="35">
        <v>0</v>
      </c>
      <c r="I16" s="36"/>
      <c r="J16" s="36"/>
      <c r="K16" s="36"/>
      <c r="L16" s="37"/>
      <c r="M16" s="22">
        <v>15126</v>
      </c>
      <c r="N16" s="23">
        <f t="shared" si="0"/>
        <v>15126</v>
      </c>
      <c r="O16" s="123">
        <f t="shared" si="1"/>
        <v>15126</v>
      </c>
      <c r="P16" s="12">
        <f t="shared" si="2"/>
        <v>15126</v>
      </c>
      <c r="Q16" s="12">
        <f t="shared" si="3"/>
        <v>15126</v>
      </c>
      <c r="R16" s="23">
        <f t="shared" si="4"/>
        <v>15126</v>
      </c>
      <c r="S16" s="107">
        <f>+N16/M16-1</f>
        <v>0</v>
      </c>
      <c r="T16" s="107">
        <v>0</v>
      </c>
      <c r="U16" s="107">
        <v>0</v>
      </c>
      <c r="V16" s="107">
        <v>0</v>
      </c>
      <c r="W16" s="107">
        <v>0</v>
      </c>
      <c r="X16" s="107">
        <v>0</v>
      </c>
      <c r="Y16" s="38">
        <f t="shared" si="7"/>
        <v>0</v>
      </c>
      <c r="Z16" s="22">
        <v>15126</v>
      </c>
      <c r="AA16" s="12">
        <f t="shared" si="5"/>
        <v>15126</v>
      </c>
      <c r="AB16" s="419">
        <f>+AA16/Z16-1</f>
        <v>0</v>
      </c>
      <c r="AC16" s="419">
        <v>0</v>
      </c>
    </row>
    <row r="17" spans="1:29" ht="18" customHeight="1" x14ac:dyDescent="0.25">
      <c r="A17" s="15" t="s">
        <v>0</v>
      </c>
      <c r="B17" s="11" t="s">
        <v>47</v>
      </c>
      <c r="C17" s="11" t="s">
        <v>16</v>
      </c>
      <c r="D17" s="11" t="s">
        <v>5</v>
      </c>
      <c r="E17" s="11" t="s">
        <v>17</v>
      </c>
      <c r="F17" s="11" t="s">
        <v>53</v>
      </c>
      <c r="G17" s="27" t="s">
        <v>6</v>
      </c>
      <c r="H17" s="35">
        <v>0</v>
      </c>
      <c r="I17" s="36"/>
      <c r="J17" s="36"/>
      <c r="K17" s="36"/>
      <c r="L17" s="37"/>
      <c r="M17" s="22">
        <v>26863</v>
      </c>
      <c r="N17" s="23">
        <f t="shared" si="0"/>
        <v>26863</v>
      </c>
      <c r="O17" s="123">
        <f t="shared" si="1"/>
        <v>26863</v>
      </c>
      <c r="P17" s="12">
        <f t="shared" si="2"/>
        <v>26863</v>
      </c>
      <c r="Q17" s="12">
        <f t="shared" si="3"/>
        <v>26863</v>
      </c>
      <c r="R17" s="23">
        <f t="shared" si="4"/>
        <v>26863</v>
      </c>
      <c r="S17" s="107">
        <f>+S16</f>
        <v>0</v>
      </c>
      <c r="T17" s="107">
        <f>+(N17-N16)/(M17-M16)-1</f>
        <v>0</v>
      </c>
      <c r="U17" s="107">
        <f>+(O17-O16)/(N17-N16)-1</f>
        <v>0</v>
      </c>
      <c r="V17" s="107">
        <f>+(P17-P16)/(O17-O16)-1</f>
        <v>0</v>
      </c>
      <c r="W17" s="107">
        <f>+(Q17-Q16)/(P17-P16)-1</f>
        <v>0</v>
      </c>
      <c r="X17" s="107">
        <f>+(R17-R16)/(Q17-Q16)-1</f>
        <v>0</v>
      </c>
      <c r="Y17" s="38">
        <f t="shared" si="7"/>
        <v>0</v>
      </c>
      <c r="Z17" s="22">
        <v>26863</v>
      </c>
      <c r="AA17" s="12">
        <f t="shared" si="5"/>
        <v>26863</v>
      </c>
      <c r="AB17" s="419">
        <f>+AB16</f>
        <v>0</v>
      </c>
      <c r="AC17" s="419">
        <f>+(AA17-AA16)/(Z17-Z16)-1</f>
        <v>0</v>
      </c>
    </row>
    <row r="18" spans="1:29" ht="18" customHeight="1" x14ac:dyDescent="0.25">
      <c r="A18" s="15" t="s">
        <v>0</v>
      </c>
      <c r="B18" s="11" t="s">
        <v>54</v>
      </c>
      <c r="C18" s="11" t="s">
        <v>16</v>
      </c>
      <c r="D18" s="11" t="s">
        <v>3</v>
      </c>
      <c r="E18" s="11" t="s">
        <v>17</v>
      </c>
      <c r="F18" s="11" t="s">
        <v>55</v>
      </c>
      <c r="G18" s="27" t="s">
        <v>4</v>
      </c>
      <c r="H18" s="35">
        <v>0</v>
      </c>
      <c r="I18" s="36"/>
      <c r="J18" s="36"/>
      <c r="K18" s="36"/>
      <c r="L18" s="37"/>
      <c r="M18" s="22">
        <v>16261</v>
      </c>
      <c r="N18" s="23">
        <f t="shared" si="0"/>
        <v>16261</v>
      </c>
      <c r="O18" s="123">
        <f t="shared" si="1"/>
        <v>16261</v>
      </c>
      <c r="P18" s="12">
        <f t="shared" si="2"/>
        <v>16261</v>
      </c>
      <c r="Q18" s="12">
        <f t="shared" si="3"/>
        <v>16261</v>
      </c>
      <c r="R18" s="23">
        <f t="shared" si="4"/>
        <v>16261</v>
      </c>
      <c r="S18" s="107">
        <f>+N18/M18-1</f>
        <v>0</v>
      </c>
      <c r="T18" s="107">
        <v>0</v>
      </c>
      <c r="U18" s="107">
        <v>0</v>
      </c>
      <c r="V18" s="107">
        <v>0</v>
      </c>
      <c r="W18" s="107">
        <v>0</v>
      </c>
      <c r="X18" s="107">
        <v>0</v>
      </c>
      <c r="Y18" s="38">
        <f t="shared" si="7"/>
        <v>0</v>
      </c>
      <c r="Z18" s="22">
        <v>16261</v>
      </c>
      <c r="AA18" s="12">
        <f t="shared" si="5"/>
        <v>16261</v>
      </c>
      <c r="AB18" s="419">
        <f>+AA18/Z18-1</f>
        <v>0</v>
      </c>
      <c r="AC18" s="419">
        <v>0</v>
      </c>
    </row>
    <row r="19" spans="1:29" ht="18" customHeight="1" x14ac:dyDescent="0.25">
      <c r="A19" s="15" t="s">
        <v>0</v>
      </c>
      <c r="B19" s="11" t="s">
        <v>54</v>
      </c>
      <c r="C19" s="11" t="s">
        <v>16</v>
      </c>
      <c r="D19" s="11" t="s">
        <v>5</v>
      </c>
      <c r="E19" s="11" t="s">
        <v>17</v>
      </c>
      <c r="F19" s="11" t="s">
        <v>55</v>
      </c>
      <c r="G19" s="27" t="s">
        <v>6</v>
      </c>
      <c r="H19" s="35">
        <v>0</v>
      </c>
      <c r="I19" s="36"/>
      <c r="J19" s="36"/>
      <c r="K19" s="36"/>
      <c r="L19" s="37"/>
      <c r="M19" s="22">
        <v>28878</v>
      </c>
      <c r="N19" s="23">
        <f t="shared" si="0"/>
        <v>28878</v>
      </c>
      <c r="O19" s="123">
        <f t="shared" si="1"/>
        <v>28878</v>
      </c>
      <c r="P19" s="12">
        <f t="shared" si="2"/>
        <v>28878</v>
      </c>
      <c r="Q19" s="12">
        <f t="shared" si="3"/>
        <v>28878</v>
      </c>
      <c r="R19" s="23">
        <f t="shared" si="4"/>
        <v>28878</v>
      </c>
      <c r="S19" s="107">
        <f>+S18</f>
        <v>0</v>
      </c>
      <c r="T19" s="107">
        <f>+(N19-N18)/(M19-M18)-1</f>
        <v>0</v>
      </c>
      <c r="U19" s="107">
        <f>+(O19-O18)/(N19-N18)-1</f>
        <v>0</v>
      </c>
      <c r="V19" s="107">
        <f>+(P19-P18)/(O19-O18)-1</f>
        <v>0</v>
      </c>
      <c r="W19" s="107">
        <f>+(Q19-Q18)/(P19-P18)-1</f>
        <v>0</v>
      </c>
      <c r="X19" s="107">
        <f>+(R19-R18)/(Q19-Q18)-1</f>
        <v>0</v>
      </c>
      <c r="Y19" s="38">
        <f t="shared" si="7"/>
        <v>0</v>
      </c>
      <c r="Z19" s="22">
        <v>28878</v>
      </c>
      <c r="AA19" s="12">
        <f t="shared" si="5"/>
        <v>28878</v>
      </c>
      <c r="AB19" s="419">
        <f>+AB18</f>
        <v>0</v>
      </c>
      <c r="AC19" s="419">
        <f>+(AA19-AA18)/(Z19-Z18)-1</f>
        <v>0</v>
      </c>
    </row>
    <row r="20" spans="1:29" ht="18" customHeight="1" x14ac:dyDescent="0.25">
      <c r="A20" s="15" t="s">
        <v>0</v>
      </c>
      <c r="B20" s="11" t="s">
        <v>31</v>
      </c>
      <c r="C20" s="11" t="s">
        <v>12</v>
      </c>
      <c r="D20" s="11" t="s">
        <v>3</v>
      </c>
      <c r="E20" s="11" t="s">
        <v>19</v>
      </c>
      <c r="F20" s="11" t="s">
        <v>56</v>
      </c>
      <c r="G20" s="27" t="s">
        <v>4</v>
      </c>
      <c r="H20" s="35">
        <v>0.03</v>
      </c>
      <c r="I20" s="36"/>
      <c r="J20" s="36"/>
      <c r="K20" s="36"/>
      <c r="L20" s="37"/>
      <c r="M20" s="22">
        <v>15001</v>
      </c>
      <c r="N20" s="23">
        <f t="shared" si="0"/>
        <v>15451</v>
      </c>
      <c r="O20" s="123">
        <f t="shared" si="1"/>
        <v>15451</v>
      </c>
      <c r="P20" s="12">
        <f t="shared" si="2"/>
        <v>15451</v>
      </c>
      <c r="Q20" s="12">
        <f t="shared" si="3"/>
        <v>15451</v>
      </c>
      <c r="R20" s="23">
        <f t="shared" si="4"/>
        <v>15451</v>
      </c>
      <c r="S20" s="107">
        <f>+N20/M20-1</f>
        <v>2.9998000133324432E-2</v>
      </c>
      <c r="T20" s="107">
        <v>0</v>
      </c>
      <c r="U20" s="107">
        <v>0</v>
      </c>
      <c r="V20" s="107">
        <v>0</v>
      </c>
      <c r="W20" s="107">
        <v>0</v>
      </c>
      <c r="X20" s="107">
        <v>0</v>
      </c>
      <c r="Y20" s="38">
        <f t="shared" si="7"/>
        <v>0.03</v>
      </c>
      <c r="Z20" s="22">
        <v>15001</v>
      </c>
      <c r="AA20" s="12">
        <f t="shared" si="5"/>
        <v>15451</v>
      </c>
      <c r="AB20" s="419">
        <f>+AA20/Z20-1</f>
        <v>2.9998000133324432E-2</v>
      </c>
      <c r="AC20" s="419">
        <v>0</v>
      </c>
    </row>
    <row r="21" spans="1:29" ht="18" customHeight="1" x14ac:dyDescent="0.25">
      <c r="A21" s="15" t="s">
        <v>0</v>
      </c>
      <c r="B21" s="11" t="s">
        <v>31</v>
      </c>
      <c r="C21" s="11" t="s">
        <v>12</v>
      </c>
      <c r="D21" s="11" t="s">
        <v>5</v>
      </c>
      <c r="E21" s="11" t="s">
        <v>19</v>
      </c>
      <c r="F21" s="11" t="s">
        <v>56</v>
      </c>
      <c r="G21" s="27" t="s">
        <v>6</v>
      </c>
      <c r="H21" s="35">
        <v>0.03</v>
      </c>
      <c r="I21" s="36"/>
      <c r="J21" s="36"/>
      <c r="K21" s="36"/>
      <c r="L21" s="37"/>
      <c r="M21" s="22">
        <v>27668</v>
      </c>
      <c r="N21" s="23">
        <f t="shared" si="0"/>
        <v>28498</v>
      </c>
      <c r="O21" s="123">
        <f t="shared" si="1"/>
        <v>28498</v>
      </c>
      <c r="P21" s="12">
        <f t="shared" si="2"/>
        <v>28498</v>
      </c>
      <c r="Q21" s="12">
        <f t="shared" si="3"/>
        <v>28498</v>
      </c>
      <c r="R21" s="23">
        <f t="shared" si="4"/>
        <v>28498</v>
      </c>
      <c r="S21" s="107">
        <f>+S20</f>
        <v>2.9998000133324432E-2</v>
      </c>
      <c r="T21" s="107">
        <f>+(N21-N20)/(M21-M20)-1</f>
        <v>2.999921054709076E-2</v>
      </c>
      <c r="U21" s="107">
        <f>+(O21-O20)/(N21-N20)-1</f>
        <v>0</v>
      </c>
      <c r="V21" s="107">
        <f>+(P21-P20)/(O21-O20)-1</f>
        <v>0</v>
      </c>
      <c r="W21" s="107">
        <f>+(Q21-Q20)/(P21-P20)-1</f>
        <v>0</v>
      </c>
      <c r="X21" s="107">
        <f>+(R21-R20)/(Q21-Q20)-1</f>
        <v>0</v>
      </c>
      <c r="Y21" s="38">
        <f t="shared" si="7"/>
        <v>0.03</v>
      </c>
      <c r="Z21" s="22">
        <v>27668</v>
      </c>
      <c r="AA21" s="12">
        <f t="shared" si="5"/>
        <v>28498</v>
      </c>
      <c r="AB21" s="419">
        <f>+AB20</f>
        <v>2.9998000133324432E-2</v>
      </c>
      <c r="AC21" s="419">
        <f>+(AA21-AA20)/(Z21-Z20)-1</f>
        <v>2.999921054709076E-2</v>
      </c>
    </row>
    <row r="22" spans="1:29" ht="18" customHeight="1" x14ac:dyDescent="0.25">
      <c r="A22" s="15" t="s">
        <v>0</v>
      </c>
      <c r="B22" s="11" t="s">
        <v>57</v>
      </c>
      <c r="C22" s="11" t="s">
        <v>12</v>
      </c>
      <c r="D22" s="11" t="s">
        <v>3</v>
      </c>
      <c r="E22" s="11" t="s">
        <v>19</v>
      </c>
      <c r="F22" s="11" t="s">
        <v>58</v>
      </c>
      <c r="G22" s="27" t="s">
        <v>4</v>
      </c>
      <c r="H22" s="35">
        <v>0.03</v>
      </c>
      <c r="I22" s="36"/>
      <c r="J22" s="36"/>
      <c r="K22" s="36"/>
      <c r="L22" s="37"/>
      <c r="M22" s="22">
        <v>15001</v>
      </c>
      <c r="N22" s="23">
        <f t="shared" si="0"/>
        <v>15451</v>
      </c>
      <c r="O22" s="123">
        <f t="shared" si="1"/>
        <v>15451</v>
      </c>
      <c r="P22" s="12">
        <f t="shared" si="2"/>
        <v>15451</v>
      </c>
      <c r="Q22" s="12">
        <f t="shared" si="3"/>
        <v>15451</v>
      </c>
      <c r="R22" s="23">
        <f t="shared" si="4"/>
        <v>15451</v>
      </c>
      <c r="S22" s="107">
        <f>+N22/M22-1</f>
        <v>2.9998000133324432E-2</v>
      </c>
      <c r="T22" s="107">
        <v>0</v>
      </c>
      <c r="U22" s="107">
        <v>0</v>
      </c>
      <c r="V22" s="107">
        <v>0</v>
      </c>
      <c r="W22" s="107">
        <v>0</v>
      </c>
      <c r="X22" s="107">
        <v>0</v>
      </c>
      <c r="Y22" s="38">
        <f t="shared" si="7"/>
        <v>0.03</v>
      </c>
      <c r="Z22" s="22">
        <v>15001</v>
      </c>
      <c r="AA22" s="12">
        <f t="shared" si="5"/>
        <v>15451</v>
      </c>
      <c r="AB22" s="419">
        <f>+AA22/Z22-1</f>
        <v>2.9998000133324432E-2</v>
      </c>
      <c r="AC22" s="419">
        <v>0</v>
      </c>
    </row>
    <row r="23" spans="1:29" ht="18" customHeight="1" x14ac:dyDescent="0.25">
      <c r="A23" s="15" t="s">
        <v>0</v>
      </c>
      <c r="B23" s="11" t="s">
        <v>57</v>
      </c>
      <c r="C23" s="11" t="s">
        <v>12</v>
      </c>
      <c r="D23" s="11" t="s">
        <v>5</v>
      </c>
      <c r="E23" s="11" t="s">
        <v>19</v>
      </c>
      <c r="F23" s="11" t="s">
        <v>58</v>
      </c>
      <c r="G23" s="27" t="s">
        <v>6</v>
      </c>
      <c r="H23" s="35">
        <v>0.03</v>
      </c>
      <c r="I23" s="36"/>
      <c r="J23" s="36"/>
      <c r="K23" s="36"/>
      <c r="L23" s="37"/>
      <c r="M23" s="22">
        <v>27668</v>
      </c>
      <c r="N23" s="23">
        <f t="shared" si="0"/>
        <v>28498</v>
      </c>
      <c r="O23" s="123">
        <f t="shared" si="1"/>
        <v>28498</v>
      </c>
      <c r="P23" s="12">
        <f t="shared" si="2"/>
        <v>28498</v>
      </c>
      <c r="Q23" s="12">
        <f t="shared" si="3"/>
        <v>28498</v>
      </c>
      <c r="R23" s="23">
        <f t="shared" si="4"/>
        <v>28498</v>
      </c>
      <c r="S23" s="107">
        <f>+S22</f>
        <v>2.9998000133324432E-2</v>
      </c>
      <c r="T23" s="107">
        <f>+(N23-N22)/(M23-M22)-1</f>
        <v>2.999921054709076E-2</v>
      </c>
      <c r="U23" s="107">
        <f>+(O23-O22)/(N23-N22)-1</f>
        <v>0</v>
      </c>
      <c r="V23" s="107">
        <f>+(P23-P22)/(O23-O22)-1</f>
        <v>0</v>
      </c>
      <c r="W23" s="107">
        <f>+(Q23-Q22)/(P23-P22)-1</f>
        <v>0</v>
      </c>
      <c r="X23" s="107">
        <f>+(R23-R22)/(Q23-Q22)-1</f>
        <v>0</v>
      </c>
      <c r="Y23" s="38">
        <f t="shared" si="7"/>
        <v>0.03</v>
      </c>
      <c r="Z23" s="22">
        <v>27668</v>
      </c>
      <c r="AA23" s="12">
        <f t="shared" si="5"/>
        <v>28498</v>
      </c>
      <c r="AB23" s="419">
        <f>+AB22</f>
        <v>2.9998000133324432E-2</v>
      </c>
      <c r="AC23" s="419">
        <f>+(AA23-AA22)/(Z23-Z22)-1</f>
        <v>2.999921054709076E-2</v>
      </c>
    </row>
    <row r="24" spans="1:29" ht="18" customHeight="1" x14ac:dyDescent="0.25">
      <c r="A24" s="15" t="s">
        <v>0</v>
      </c>
      <c r="B24" s="11" t="s">
        <v>41</v>
      </c>
      <c r="C24" s="11" t="s">
        <v>15</v>
      </c>
      <c r="D24" s="11" t="s">
        <v>3</v>
      </c>
      <c r="E24" s="11" t="s">
        <v>22</v>
      </c>
      <c r="F24" s="11" t="s">
        <v>59</v>
      </c>
      <c r="G24" s="27" t="s">
        <v>4</v>
      </c>
      <c r="H24" s="35">
        <v>0.03</v>
      </c>
      <c r="I24" s="36"/>
      <c r="J24" s="36"/>
      <c r="K24" s="36"/>
      <c r="L24" s="37"/>
      <c r="M24" s="22">
        <v>16616</v>
      </c>
      <c r="N24" s="23">
        <f t="shared" si="0"/>
        <v>17114</v>
      </c>
      <c r="O24" s="123">
        <f t="shared" si="1"/>
        <v>17114</v>
      </c>
      <c r="P24" s="12">
        <f t="shared" si="2"/>
        <v>17114</v>
      </c>
      <c r="Q24" s="12">
        <f t="shared" si="3"/>
        <v>17114</v>
      </c>
      <c r="R24" s="23">
        <f t="shared" si="4"/>
        <v>17114</v>
      </c>
      <c r="S24" s="107">
        <f>+N24/M24-1</f>
        <v>2.9971112181030435E-2</v>
      </c>
      <c r="T24" s="107">
        <v>0</v>
      </c>
      <c r="U24" s="107">
        <v>0</v>
      </c>
      <c r="V24" s="107">
        <v>0</v>
      </c>
      <c r="W24" s="107">
        <v>0</v>
      </c>
      <c r="X24" s="107">
        <v>0</v>
      </c>
      <c r="Y24" s="38">
        <f t="shared" si="7"/>
        <v>0.03</v>
      </c>
      <c r="Z24" s="22">
        <v>16616</v>
      </c>
      <c r="AA24" s="12">
        <f t="shared" si="5"/>
        <v>17114</v>
      </c>
      <c r="AB24" s="419">
        <f>+AA24/Z24-1</f>
        <v>2.9971112181030435E-2</v>
      </c>
      <c r="AC24" s="419">
        <v>0</v>
      </c>
    </row>
    <row r="25" spans="1:29" ht="18" customHeight="1" x14ac:dyDescent="0.25">
      <c r="A25" s="15" t="s">
        <v>0</v>
      </c>
      <c r="B25" s="11" t="s">
        <v>41</v>
      </c>
      <c r="C25" s="11" t="s">
        <v>15</v>
      </c>
      <c r="D25" s="11" t="s">
        <v>5</v>
      </c>
      <c r="E25" s="11" t="s">
        <v>22</v>
      </c>
      <c r="F25" s="11" t="s">
        <v>59</v>
      </c>
      <c r="G25" s="27" t="s">
        <v>6</v>
      </c>
      <c r="H25" s="35">
        <v>0.03</v>
      </c>
      <c r="I25" s="36"/>
      <c r="J25" s="36"/>
      <c r="K25" s="36"/>
      <c r="L25" s="37"/>
      <c r="M25" s="22">
        <v>28397</v>
      </c>
      <c r="N25" s="23">
        <f t="shared" si="0"/>
        <v>29249</v>
      </c>
      <c r="O25" s="123">
        <f t="shared" si="1"/>
        <v>29249</v>
      </c>
      <c r="P25" s="12">
        <f t="shared" si="2"/>
        <v>29249</v>
      </c>
      <c r="Q25" s="12">
        <f t="shared" si="3"/>
        <v>29249</v>
      </c>
      <c r="R25" s="23">
        <f t="shared" si="4"/>
        <v>29249</v>
      </c>
      <c r="S25" s="107">
        <f>+S24</f>
        <v>2.9971112181030435E-2</v>
      </c>
      <c r="T25" s="107">
        <f>+(N25-N24)/(M25-M24)-1</f>
        <v>3.0048382989559475E-2</v>
      </c>
      <c r="U25" s="107">
        <f>+(O25-O24)/(N25-N24)-1</f>
        <v>0</v>
      </c>
      <c r="V25" s="107">
        <f>+(P25-P24)/(O25-O24)-1</f>
        <v>0</v>
      </c>
      <c r="W25" s="107">
        <f>+(Q25-Q24)/(P25-P24)-1</f>
        <v>0</v>
      </c>
      <c r="X25" s="107">
        <f>+(R25-R24)/(Q25-Q24)-1</f>
        <v>0</v>
      </c>
      <c r="Y25" s="38">
        <f t="shared" si="7"/>
        <v>0.03</v>
      </c>
      <c r="Z25" s="22">
        <v>28397</v>
      </c>
      <c r="AA25" s="12">
        <f t="shared" si="5"/>
        <v>29249</v>
      </c>
      <c r="AB25" s="419">
        <f>+AB24</f>
        <v>2.9971112181030435E-2</v>
      </c>
      <c r="AC25" s="419">
        <f>+(AA25-AA24)/(Z25-Z24)-1</f>
        <v>3.0048382989559475E-2</v>
      </c>
    </row>
    <row r="26" spans="1:29" ht="18" customHeight="1" x14ac:dyDescent="0.25">
      <c r="A26" s="15" t="s">
        <v>0</v>
      </c>
      <c r="B26" s="11" t="s">
        <v>60</v>
      </c>
      <c r="C26" s="11" t="s">
        <v>24</v>
      </c>
      <c r="D26" s="11" t="s">
        <v>3</v>
      </c>
      <c r="E26" s="11" t="s">
        <v>25</v>
      </c>
      <c r="F26" s="11" t="s">
        <v>61</v>
      </c>
      <c r="G26" s="27" t="s">
        <v>4</v>
      </c>
      <c r="H26" s="35">
        <v>0.05</v>
      </c>
      <c r="I26" s="36"/>
      <c r="J26" s="36"/>
      <c r="K26" s="36"/>
      <c r="L26" s="37"/>
      <c r="M26" s="22">
        <v>16244</v>
      </c>
      <c r="N26" s="23">
        <f t="shared" si="0"/>
        <v>17056</v>
      </c>
      <c r="O26" s="123">
        <f t="shared" si="1"/>
        <v>17056</v>
      </c>
      <c r="P26" s="12">
        <f t="shared" si="2"/>
        <v>17056</v>
      </c>
      <c r="Q26" s="12">
        <f t="shared" si="3"/>
        <v>17056</v>
      </c>
      <c r="R26" s="23">
        <f t="shared" si="4"/>
        <v>17056</v>
      </c>
      <c r="S26" s="107">
        <f>+N26/M26-1</f>
        <v>4.998768776163498E-2</v>
      </c>
      <c r="T26" s="107">
        <v>0</v>
      </c>
      <c r="U26" s="107">
        <v>0</v>
      </c>
      <c r="V26" s="107">
        <v>0</v>
      </c>
      <c r="W26" s="107">
        <v>0</v>
      </c>
      <c r="X26" s="107">
        <v>0</v>
      </c>
      <c r="Y26" s="38">
        <f t="shared" si="7"/>
        <v>0.05</v>
      </c>
      <c r="Z26" s="22">
        <v>16244</v>
      </c>
      <c r="AA26" s="12">
        <f t="shared" si="5"/>
        <v>17056</v>
      </c>
      <c r="AB26" s="419">
        <f>+AA26/Z26-1</f>
        <v>4.998768776163498E-2</v>
      </c>
      <c r="AC26" s="419">
        <v>0</v>
      </c>
    </row>
    <row r="27" spans="1:29" ht="18" customHeight="1" x14ac:dyDescent="0.25">
      <c r="A27" s="15" t="s">
        <v>0</v>
      </c>
      <c r="B27" s="11" t="s">
        <v>60</v>
      </c>
      <c r="C27" s="11" t="s">
        <v>24</v>
      </c>
      <c r="D27" s="11" t="s">
        <v>5</v>
      </c>
      <c r="E27" s="11" t="s">
        <v>25</v>
      </c>
      <c r="F27" s="11" t="s">
        <v>61</v>
      </c>
      <c r="G27" s="27" t="s">
        <v>6</v>
      </c>
      <c r="H27" s="35">
        <v>0.03</v>
      </c>
      <c r="I27" s="36"/>
      <c r="J27" s="36"/>
      <c r="K27" s="36"/>
      <c r="L27" s="37"/>
      <c r="M27" s="22">
        <v>28249</v>
      </c>
      <c r="N27" s="23">
        <f t="shared" si="0"/>
        <v>29096</v>
      </c>
      <c r="O27" s="123">
        <f t="shared" si="1"/>
        <v>29096</v>
      </c>
      <c r="P27" s="12">
        <f t="shared" si="2"/>
        <v>29096</v>
      </c>
      <c r="Q27" s="12">
        <f t="shared" si="3"/>
        <v>29096</v>
      </c>
      <c r="R27" s="23">
        <f t="shared" si="4"/>
        <v>29096</v>
      </c>
      <c r="S27" s="107">
        <f>+S26</f>
        <v>4.998768776163498E-2</v>
      </c>
      <c r="T27" s="107">
        <f>+(N27-N26)/(M27-M26)-1</f>
        <v>2.9154518950438302E-3</v>
      </c>
      <c r="U27" s="107">
        <f>+(O27-O26)/(N27-N26)-1</f>
        <v>0</v>
      </c>
      <c r="V27" s="107">
        <f>+(P27-P26)/(O27-O26)-1</f>
        <v>0</v>
      </c>
      <c r="W27" s="107">
        <f>+(Q27-Q26)/(P27-P26)-1</f>
        <v>0</v>
      </c>
      <c r="X27" s="107">
        <f>+(R27-R26)/(Q27-Q26)-1</f>
        <v>0</v>
      </c>
      <c r="Y27" s="38">
        <f t="shared" si="7"/>
        <v>0.03</v>
      </c>
      <c r="Z27" s="22">
        <v>28249</v>
      </c>
      <c r="AA27" s="12">
        <f t="shared" si="5"/>
        <v>29096</v>
      </c>
      <c r="AB27" s="419">
        <f>+AB26</f>
        <v>4.998768776163498E-2</v>
      </c>
      <c r="AC27" s="419">
        <f>+(AA27-AA26)/(Z27-Z26)-1</f>
        <v>2.9154518950438302E-3</v>
      </c>
    </row>
    <row r="28" spans="1:29" ht="18" customHeight="1" x14ac:dyDescent="0.25">
      <c r="A28" s="15" t="s">
        <v>0</v>
      </c>
      <c r="B28" s="11" t="s">
        <v>62</v>
      </c>
      <c r="C28" s="11" t="s">
        <v>24</v>
      </c>
      <c r="D28" s="11" t="s">
        <v>3</v>
      </c>
      <c r="E28" s="11" t="s">
        <v>25</v>
      </c>
      <c r="F28" s="11" t="s">
        <v>63</v>
      </c>
      <c r="G28" s="27" t="s">
        <v>4</v>
      </c>
      <c r="H28" s="35">
        <v>0.05</v>
      </c>
      <c r="I28" s="36"/>
      <c r="J28" s="36"/>
      <c r="K28" s="36"/>
      <c r="L28" s="37"/>
      <c r="M28" s="22">
        <v>16244</v>
      </c>
      <c r="N28" s="23">
        <f t="shared" si="0"/>
        <v>17056</v>
      </c>
      <c r="O28" s="123">
        <f t="shared" si="1"/>
        <v>17056</v>
      </c>
      <c r="P28" s="12">
        <f t="shared" si="2"/>
        <v>17056</v>
      </c>
      <c r="Q28" s="12">
        <f t="shared" si="3"/>
        <v>17056</v>
      </c>
      <c r="R28" s="23">
        <f t="shared" si="4"/>
        <v>17056</v>
      </c>
      <c r="S28" s="107">
        <f>+N28/M28-1</f>
        <v>4.998768776163498E-2</v>
      </c>
      <c r="T28" s="107">
        <v>0</v>
      </c>
      <c r="U28" s="107">
        <v>0</v>
      </c>
      <c r="V28" s="107">
        <v>0</v>
      </c>
      <c r="W28" s="107">
        <v>0</v>
      </c>
      <c r="X28" s="107">
        <v>0</v>
      </c>
      <c r="Y28" s="38">
        <f t="shared" si="7"/>
        <v>0.05</v>
      </c>
      <c r="Z28" s="22">
        <v>16244</v>
      </c>
      <c r="AA28" s="12">
        <f t="shared" si="5"/>
        <v>17056</v>
      </c>
      <c r="AB28" s="419">
        <f>+AA28/Z28-1</f>
        <v>4.998768776163498E-2</v>
      </c>
      <c r="AC28" s="419">
        <v>0</v>
      </c>
    </row>
    <row r="29" spans="1:29" ht="18" customHeight="1" x14ac:dyDescent="0.25">
      <c r="A29" s="15" t="s">
        <v>0</v>
      </c>
      <c r="B29" s="11" t="s">
        <v>62</v>
      </c>
      <c r="C29" s="11" t="s">
        <v>24</v>
      </c>
      <c r="D29" s="11" t="s">
        <v>5</v>
      </c>
      <c r="E29" s="11" t="s">
        <v>25</v>
      </c>
      <c r="F29" s="11" t="s">
        <v>63</v>
      </c>
      <c r="G29" s="27" t="s">
        <v>6</v>
      </c>
      <c r="H29" s="35">
        <v>0.03</v>
      </c>
      <c r="I29" s="36"/>
      <c r="J29" s="36"/>
      <c r="K29" s="36"/>
      <c r="L29" s="37"/>
      <c r="M29" s="22">
        <v>28249</v>
      </c>
      <c r="N29" s="23">
        <f t="shared" si="0"/>
        <v>29096</v>
      </c>
      <c r="O29" s="123">
        <f t="shared" si="1"/>
        <v>29096</v>
      </c>
      <c r="P29" s="12">
        <f t="shared" si="2"/>
        <v>29096</v>
      </c>
      <c r="Q29" s="12">
        <f t="shared" si="3"/>
        <v>29096</v>
      </c>
      <c r="R29" s="23">
        <f t="shared" si="4"/>
        <v>29096</v>
      </c>
      <c r="S29" s="107">
        <f>+S28</f>
        <v>4.998768776163498E-2</v>
      </c>
      <c r="T29" s="107">
        <f>+(N29-N28)/(M29-M28)-1</f>
        <v>2.9154518950438302E-3</v>
      </c>
      <c r="U29" s="107">
        <f>+(O29-O28)/(N29-N28)-1</f>
        <v>0</v>
      </c>
      <c r="V29" s="107">
        <f>+(P29-P28)/(O29-O28)-1</f>
        <v>0</v>
      </c>
      <c r="W29" s="107">
        <f>+(Q29-Q28)/(P29-P28)-1</f>
        <v>0</v>
      </c>
      <c r="X29" s="107">
        <f>+(R29-R28)/(Q29-Q28)-1</f>
        <v>0</v>
      </c>
      <c r="Y29" s="38">
        <f t="shared" si="7"/>
        <v>0.03</v>
      </c>
      <c r="Z29" s="22">
        <v>28249</v>
      </c>
      <c r="AA29" s="12">
        <f t="shared" si="5"/>
        <v>29096</v>
      </c>
      <c r="AB29" s="419">
        <f>+AB28</f>
        <v>4.998768776163498E-2</v>
      </c>
      <c r="AC29" s="419">
        <f>+(AA29-AA28)/(Z29-Z28)-1</f>
        <v>2.9154518950438302E-3</v>
      </c>
    </row>
    <row r="30" spans="1:29" ht="18" customHeight="1" x14ac:dyDescent="0.25">
      <c r="A30" s="15" t="s">
        <v>0</v>
      </c>
      <c r="B30" s="11" t="s">
        <v>26</v>
      </c>
      <c r="C30" s="11" t="s">
        <v>18</v>
      </c>
      <c r="D30" s="11" t="s">
        <v>3</v>
      </c>
      <c r="E30" s="11" t="s">
        <v>27</v>
      </c>
      <c r="F30" s="11" t="s">
        <v>64</v>
      </c>
      <c r="G30" s="27" t="s">
        <v>4</v>
      </c>
      <c r="H30" s="35">
        <v>0.08</v>
      </c>
      <c r="I30" s="36"/>
      <c r="J30" s="36"/>
      <c r="K30" s="36"/>
      <c r="L30" s="37"/>
      <c r="M30" s="22">
        <v>17405</v>
      </c>
      <c r="N30" s="23">
        <f t="shared" si="0"/>
        <v>18797</v>
      </c>
      <c r="O30" s="123">
        <f t="shared" si="1"/>
        <v>18797</v>
      </c>
      <c r="P30" s="12">
        <f t="shared" si="2"/>
        <v>18797</v>
      </c>
      <c r="Q30" s="12">
        <f t="shared" si="3"/>
        <v>18797</v>
      </c>
      <c r="R30" s="23">
        <f t="shared" si="4"/>
        <v>18797</v>
      </c>
      <c r="S30" s="107">
        <f>+N30/M30-1</f>
        <v>7.9977018098247532E-2</v>
      </c>
      <c r="T30" s="107">
        <v>0</v>
      </c>
      <c r="U30" s="107">
        <v>0</v>
      </c>
      <c r="V30" s="107">
        <v>0</v>
      </c>
      <c r="W30" s="107">
        <v>0</v>
      </c>
      <c r="X30" s="107">
        <v>0</v>
      </c>
      <c r="Y30" s="38">
        <f t="shared" si="7"/>
        <v>0.08</v>
      </c>
      <c r="Z30" s="22">
        <v>17405</v>
      </c>
      <c r="AA30" s="12">
        <f t="shared" si="5"/>
        <v>18797</v>
      </c>
      <c r="AB30" s="419">
        <f>+AA30/Z30-1</f>
        <v>7.9977018098247532E-2</v>
      </c>
      <c r="AC30" s="419">
        <v>0</v>
      </c>
    </row>
    <row r="31" spans="1:29" ht="18" customHeight="1" x14ac:dyDescent="0.25">
      <c r="A31" s="15" t="s">
        <v>0</v>
      </c>
      <c r="B31" s="11" t="s">
        <v>26</v>
      </c>
      <c r="C31" s="11" t="s">
        <v>18</v>
      </c>
      <c r="D31" s="11" t="s">
        <v>5</v>
      </c>
      <c r="E31" s="11" t="s">
        <v>27</v>
      </c>
      <c r="F31" s="11" t="s">
        <v>64</v>
      </c>
      <c r="G31" s="27" t="s">
        <v>6</v>
      </c>
      <c r="H31" s="35">
        <v>0</v>
      </c>
      <c r="I31" s="36"/>
      <c r="J31" s="36"/>
      <c r="K31" s="36"/>
      <c r="L31" s="37"/>
      <c r="M31" s="22">
        <v>32557</v>
      </c>
      <c r="N31" s="23">
        <f t="shared" si="0"/>
        <v>32557</v>
      </c>
      <c r="O31" s="123">
        <f t="shared" si="1"/>
        <v>32557</v>
      </c>
      <c r="P31" s="12">
        <f t="shared" si="2"/>
        <v>32557</v>
      </c>
      <c r="Q31" s="12">
        <f t="shared" si="3"/>
        <v>32557</v>
      </c>
      <c r="R31" s="23">
        <f t="shared" si="4"/>
        <v>32557</v>
      </c>
      <c r="S31" s="107">
        <f>+S30</f>
        <v>7.9977018098247532E-2</v>
      </c>
      <c r="T31" s="107">
        <f>+(N31-N30)/(M31-M30)-1</f>
        <v>-9.1869060190073903E-2</v>
      </c>
      <c r="U31" s="107">
        <f>+(O31-O30)/(N31-N30)-1</f>
        <v>0</v>
      </c>
      <c r="V31" s="107">
        <f>+(P31-P30)/(O31-O30)-1</f>
        <v>0</v>
      </c>
      <c r="W31" s="107">
        <f>+(Q31-Q30)/(P31-P30)-1</f>
        <v>0</v>
      </c>
      <c r="X31" s="107">
        <f>+(R31-R30)/(Q31-Q30)-1</f>
        <v>0</v>
      </c>
      <c r="Y31" s="38">
        <f t="shared" si="7"/>
        <v>0</v>
      </c>
      <c r="Z31" s="22">
        <v>32557</v>
      </c>
      <c r="AA31" s="12">
        <f t="shared" si="5"/>
        <v>32557</v>
      </c>
      <c r="AB31" s="419">
        <f>+AB30</f>
        <v>7.9977018098247532E-2</v>
      </c>
      <c r="AC31" s="419">
        <f>+(AA31-AA30)/(Z31-Z30)-1</f>
        <v>-9.1869060190073903E-2</v>
      </c>
    </row>
    <row r="32" spans="1:29" ht="18" customHeight="1" x14ac:dyDescent="0.25">
      <c r="A32" s="15" t="s">
        <v>0</v>
      </c>
      <c r="B32" s="11" t="s">
        <v>38</v>
      </c>
      <c r="C32" s="11" t="s">
        <v>18</v>
      </c>
      <c r="D32" s="11" t="s">
        <v>3</v>
      </c>
      <c r="E32" s="11" t="s">
        <v>27</v>
      </c>
      <c r="F32" s="11" t="s">
        <v>65</v>
      </c>
      <c r="G32" s="27" t="s">
        <v>4</v>
      </c>
      <c r="H32" s="35">
        <v>0.08</v>
      </c>
      <c r="I32" s="36"/>
      <c r="J32" s="36"/>
      <c r="K32" s="36"/>
      <c r="L32" s="37"/>
      <c r="M32" s="22">
        <v>16922</v>
      </c>
      <c r="N32" s="23">
        <f t="shared" si="0"/>
        <v>18276</v>
      </c>
      <c r="O32" s="123">
        <f t="shared" si="1"/>
        <v>18276</v>
      </c>
      <c r="P32" s="12">
        <f t="shared" si="2"/>
        <v>18276</v>
      </c>
      <c r="Q32" s="12">
        <f t="shared" si="3"/>
        <v>18276</v>
      </c>
      <c r="R32" s="23">
        <f t="shared" si="4"/>
        <v>18276</v>
      </c>
      <c r="S32" s="107">
        <f>+N32/M32-1</f>
        <v>8.0014182720718585E-2</v>
      </c>
      <c r="T32" s="107">
        <v>0</v>
      </c>
      <c r="U32" s="107">
        <v>0</v>
      </c>
      <c r="V32" s="107">
        <v>0</v>
      </c>
      <c r="W32" s="107">
        <v>0</v>
      </c>
      <c r="X32" s="107">
        <v>0</v>
      </c>
      <c r="Y32" s="38">
        <f t="shared" si="7"/>
        <v>0.08</v>
      </c>
      <c r="Z32" s="22">
        <v>16922</v>
      </c>
      <c r="AA32" s="12">
        <f t="shared" si="5"/>
        <v>18276</v>
      </c>
      <c r="AB32" s="419">
        <f>+AA32/Z32-1</f>
        <v>8.0014182720718585E-2</v>
      </c>
      <c r="AC32" s="419">
        <v>0</v>
      </c>
    </row>
    <row r="33" spans="1:29" ht="18" customHeight="1" x14ac:dyDescent="0.25">
      <c r="A33" s="15" t="s">
        <v>0</v>
      </c>
      <c r="B33" s="11" t="s">
        <v>38</v>
      </c>
      <c r="C33" s="11" t="s">
        <v>18</v>
      </c>
      <c r="D33" s="11" t="s">
        <v>5</v>
      </c>
      <c r="E33" s="11" t="s">
        <v>27</v>
      </c>
      <c r="F33" s="11" t="s">
        <v>65</v>
      </c>
      <c r="G33" s="27" t="s">
        <v>6</v>
      </c>
      <c r="H33" s="35">
        <v>0</v>
      </c>
      <c r="I33" s="36"/>
      <c r="J33" s="36"/>
      <c r="K33" s="36"/>
      <c r="L33" s="37"/>
      <c r="M33" s="22">
        <v>32557</v>
      </c>
      <c r="N33" s="23">
        <f t="shared" si="0"/>
        <v>32557</v>
      </c>
      <c r="O33" s="123">
        <f t="shared" si="1"/>
        <v>32557</v>
      </c>
      <c r="P33" s="12">
        <f t="shared" si="2"/>
        <v>32557</v>
      </c>
      <c r="Q33" s="12">
        <f t="shared" si="3"/>
        <v>32557</v>
      </c>
      <c r="R33" s="23">
        <f t="shared" si="4"/>
        <v>32557</v>
      </c>
      <c r="S33" s="107">
        <f>+S32</f>
        <v>8.0014182720718585E-2</v>
      </c>
      <c r="T33" s="107">
        <f>+(N33-N32)/(M33-M32)-1</f>
        <v>-8.6600575631595733E-2</v>
      </c>
      <c r="U33" s="107">
        <f>+(O33-O32)/(N33-N32)-1</f>
        <v>0</v>
      </c>
      <c r="V33" s="107">
        <f>+(P33-P32)/(O33-O32)-1</f>
        <v>0</v>
      </c>
      <c r="W33" s="107">
        <f>+(Q33-Q32)/(P33-P32)-1</f>
        <v>0</v>
      </c>
      <c r="X33" s="107">
        <f>+(R33-R32)/(Q33-Q32)-1</f>
        <v>0</v>
      </c>
      <c r="Y33" s="38">
        <f t="shared" si="7"/>
        <v>0</v>
      </c>
      <c r="Z33" s="22">
        <v>32557</v>
      </c>
      <c r="AA33" s="12">
        <f t="shared" si="5"/>
        <v>32557</v>
      </c>
      <c r="AB33" s="419">
        <f>+AB32</f>
        <v>8.0014182720718585E-2</v>
      </c>
      <c r="AC33" s="419">
        <f>+(AA33-AA32)/(Z33-Z32)-1</f>
        <v>-8.6600575631595733E-2</v>
      </c>
    </row>
    <row r="34" spans="1:29" ht="18" customHeight="1" x14ac:dyDescent="0.25">
      <c r="A34" s="15" t="s">
        <v>0</v>
      </c>
      <c r="B34" s="11" t="s">
        <v>21</v>
      </c>
      <c r="C34" s="11" t="s">
        <v>29</v>
      </c>
      <c r="D34" s="11" t="s">
        <v>3</v>
      </c>
      <c r="E34" s="11" t="s">
        <v>30</v>
      </c>
      <c r="F34" s="11" t="s">
        <v>66</v>
      </c>
      <c r="G34" s="27" t="s">
        <v>4</v>
      </c>
      <c r="H34" s="35">
        <v>0</v>
      </c>
      <c r="I34" s="36"/>
      <c r="J34" s="36"/>
      <c r="K34" s="36"/>
      <c r="L34" s="37"/>
      <c r="M34" s="22">
        <v>16369</v>
      </c>
      <c r="N34" s="23">
        <f t="shared" si="0"/>
        <v>16369</v>
      </c>
      <c r="O34" s="123">
        <f t="shared" si="1"/>
        <v>16369</v>
      </c>
      <c r="P34" s="12">
        <f t="shared" si="2"/>
        <v>16369</v>
      </c>
      <c r="Q34" s="12">
        <f t="shared" si="3"/>
        <v>16369</v>
      </c>
      <c r="R34" s="23">
        <f t="shared" si="4"/>
        <v>16369</v>
      </c>
      <c r="S34" s="107">
        <f>+N34/M34-1</f>
        <v>0</v>
      </c>
      <c r="T34" s="107">
        <v>0</v>
      </c>
      <c r="U34" s="107">
        <v>0</v>
      </c>
      <c r="V34" s="107">
        <v>0</v>
      </c>
      <c r="W34" s="107">
        <v>0</v>
      </c>
      <c r="X34" s="107">
        <v>0</v>
      </c>
      <c r="Y34" s="38">
        <f t="shared" si="7"/>
        <v>0</v>
      </c>
      <c r="Z34" s="22">
        <v>16369</v>
      </c>
      <c r="AA34" s="12">
        <f t="shared" si="5"/>
        <v>16369</v>
      </c>
      <c r="AB34" s="419">
        <f>+AA34/Z34-1</f>
        <v>0</v>
      </c>
      <c r="AC34" s="419">
        <v>0</v>
      </c>
    </row>
    <row r="35" spans="1:29" ht="18" customHeight="1" x14ac:dyDescent="0.25">
      <c r="A35" s="15" t="s">
        <v>0</v>
      </c>
      <c r="B35" s="11" t="s">
        <v>21</v>
      </c>
      <c r="C35" s="11" t="s">
        <v>29</v>
      </c>
      <c r="D35" s="11" t="s">
        <v>5</v>
      </c>
      <c r="E35" s="11" t="s">
        <v>30</v>
      </c>
      <c r="F35" s="11" t="s">
        <v>66</v>
      </c>
      <c r="G35" s="27" t="s">
        <v>6</v>
      </c>
      <c r="H35" s="35">
        <v>0</v>
      </c>
      <c r="I35" s="36"/>
      <c r="J35" s="36"/>
      <c r="K35" s="36"/>
      <c r="L35" s="37"/>
      <c r="M35" s="22">
        <v>34291</v>
      </c>
      <c r="N35" s="23">
        <f t="shared" si="0"/>
        <v>34291</v>
      </c>
      <c r="O35" s="123">
        <f t="shared" si="1"/>
        <v>34291</v>
      </c>
      <c r="P35" s="12">
        <f t="shared" si="2"/>
        <v>34291</v>
      </c>
      <c r="Q35" s="12">
        <f t="shared" si="3"/>
        <v>34291</v>
      </c>
      <c r="R35" s="23">
        <f t="shared" si="4"/>
        <v>34291</v>
      </c>
      <c r="S35" s="107">
        <f>+S34</f>
        <v>0</v>
      </c>
      <c r="T35" s="107">
        <f>+(N35-N34)/(M35-M34)-1</f>
        <v>0</v>
      </c>
      <c r="U35" s="107">
        <f>+(O35-O34)/(N35-N34)-1</f>
        <v>0</v>
      </c>
      <c r="V35" s="107">
        <f>+(P35-P34)/(O35-O34)-1</f>
        <v>0</v>
      </c>
      <c r="W35" s="107">
        <f>+(Q35-Q34)/(P35-P34)-1</f>
        <v>0</v>
      </c>
      <c r="X35" s="107">
        <f>+(R35-R34)/(Q35-Q34)-1</f>
        <v>0</v>
      </c>
      <c r="Y35" s="38">
        <f t="shared" si="7"/>
        <v>0</v>
      </c>
      <c r="Z35" s="22">
        <v>34291</v>
      </c>
      <c r="AA35" s="12">
        <f t="shared" si="5"/>
        <v>34291</v>
      </c>
      <c r="AB35" s="419">
        <f>+AB34</f>
        <v>0</v>
      </c>
      <c r="AC35" s="419">
        <f>+(AA35-AA34)/(Z35-Z34)-1</f>
        <v>0</v>
      </c>
    </row>
    <row r="36" spans="1:29" ht="18" customHeight="1" x14ac:dyDescent="0.25">
      <c r="A36" s="15" t="s">
        <v>0</v>
      </c>
      <c r="B36" s="11" t="s">
        <v>37</v>
      </c>
      <c r="C36" s="11" t="s">
        <v>29</v>
      </c>
      <c r="D36" s="11" t="s">
        <v>3</v>
      </c>
      <c r="E36" s="11" t="s">
        <v>30</v>
      </c>
      <c r="F36" s="11" t="s">
        <v>67</v>
      </c>
      <c r="G36" s="27" t="s">
        <v>4</v>
      </c>
      <c r="H36" s="35">
        <v>0</v>
      </c>
      <c r="I36" s="36"/>
      <c r="J36" s="36"/>
      <c r="K36" s="36"/>
      <c r="L36" s="37"/>
      <c r="M36" s="22">
        <v>15475</v>
      </c>
      <c r="N36" s="23">
        <f t="shared" si="0"/>
        <v>15475</v>
      </c>
      <c r="O36" s="123">
        <f t="shared" si="1"/>
        <v>15475</v>
      </c>
      <c r="P36" s="12">
        <f t="shared" si="2"/>
        <v>15475</v>
      </c>
      <c r="Q36" s="12">
        <f t="shared" si="3"/>
        <v>15475</v>
      </c>
      <c r="R36" s="23">
        <f t="shared" si="4"/>
        <v>15475</v>
      </c>
      <c r="S36" s="107">
        <f>+N36/M36-1</f>
        <v>0</v>
      </c>
      <c r="T36" s="107">
        <v>0</v>
      </c>
      <c r="U36" s="107">
        <v>0</v>
      </c>
      <c r="V36" s="107">
        <v>0</v>
      </c>
      <c r="W36" s="107">
        <v>0</v>
      </c>
      <c r="X36" s="107">
        <v>0</v>
      </c>
      <c r="Y36" s="38">
        <f t="shared" si="7"/>
        <v>0</v>
      </c>
      <c r="Z36" s="22">
        <v>15475</v>
      </c>
      <c r="AA36" s="12">
        <f t="shared" si="5"/>
        <v>15475</v>
      </c>
      <c r="AB36" s="419">
        <f>+AA36/Z36-1</f>
        <v>0</v>
      </c>
      <c r="AC36" s="419">
        <v>0</v>
      </c>
    </row>
    <row r="37" spans="1:29" ht="18" customHeight="1" x14ac:dyDescent="0.25">
      <c r="A37" s="15" t="s">
        <v>0</v>
      </c>
      <c r="B37" s="11" t="s">
        <v>37</v>
      </c>
      <c r="C37" s="11" t="s">
        <v>29</v>
      </c>
      <c r="D37" s="11" t="s">
        <v>5</v>
      </c>
      <c r="E37" s="11" t="s">
        <v>30</v>
      </c>
      <c r="F37" s="11" t="s">
        <v>67</v>
      </c>
      <c r="G37" s="27" t="s">
        <v>6</v>
      </c>
      <c r="H37" s="35">
        <v>0</v>
      </c>
      <c r="I37" s="36"/>
      <c r="J37" s="36"/>
      <c r="K37" s="36"/>
      <c r="L37" s="37"/>
      <c r="M37" s="22">
        <v>27419</v>
      </c>
      <c r="N37" s="23">
        <f t="shared" si="0"/>
        <v>27419</v>
      </c>
      <c r="O37" s="123">
        <f t="shared" si="1"/>
        <v>27419</v>
      </c>
      <c r="P37" s="12">
        <f t="shared" si="2"/>
        <v>27419</v>
      </c>
      <c r="Q37" s="12">
        <f t="shared" si="3"/>
        <v>27419</v>
      </c>
      <c r="R37" s="23">
        <f t="shared" si="4"/>
        <v>27419</v>
      </c>
      <c r="S37" s="107">
        <f>+S36</f>
        <v>0</v>
      </c>
      <c r="T37" s="107">
        <f>+(N37-N36)/(M37-M36)-1</f>
        <v>0</v>
      </c>
      <c r="U37" s="107">
        <f>+(O37-O36)/(N37-N36)-1</f>
        <v>0</v>
      </c>
      <c r="V37" s="107">
        <f>+(P37-P36)/(O37-O36)-1</f>
        <v>0</v>
      </c>
      <c r="W37" s="107">
        <f>+(Q37-Q36)/(P37-P36)-1</f>
        <v>0</v>
      </c>
      <c r="X37" s="107">
        <f>+(R37-R36)/(Q37-Q36)-1</f>
        <v>0</v>
      </c>
      <c r="Y37" s="38">
        <f t="shared" si="7"/>
        <v>0</v>
      </c>
      <c r="Z37" s="22">
        <v>27419</v>
      </c>
      <c r="AA37" s="12">
        <f t="shared" si="5"/>
        <v>27419</v>
      </c>
      <c r="AB37" s="419">
        <f>+AB36</f>
        <v>0</v>
      </c>
      <c r="AC37" s="419">
        <f>+(AA37-AA36)/(Z37-Z36)-1</f>
        <v>0</v>
      </c>
    </row>
    <row r="38" spans="1:29" ht="18" customHeight="1" x14ac:dyDescent="0.25">
      <c r="A38" s="15" t="s">
        <v>0</v>
      </c>
      <c r="B38" s="11" t="s">
        <v>68</v>
      </c>
      <c r="C38" s="11" t="s">
        <v>32</v>
      </c>
      <c r="D38" s="11" t="s">
        <v>3</v>
      </c>
      <c r="E38" s="11" t="s">
        <v>33</v>
      </c>
      <c r="F38" s="11" t="s">
        <v>69</v>
      </c>
      <c r="G38" s="27" t="s">
        <v>4</v>
      </c>
      <c r="H38" s="35">
        <v>0.03</v>
      </c>
      <c r="I38" s="36"/>
      <c r="J38" s="36"/>
      <c r="K38" s="36"/>
      <c r="L38" s="37"/>
      <c r="M38" s="22">
        <v>19904</v>
      </c>
      <c r="N38" s="23">
        <f t="shared" si="0"/>
        <v>20501</v>
      </c>
      <c r="O38" s="123">
        <f t="shared" si="1"/>
        <v>20501</v>
      </c>
      <c r="P38" s="12">
        <f t="shared" si="2"/>
        <v>20501</v>
      </c>
      <c r="Q38" s="12">
        <f t="shared" si="3"/>
        <v>20501</v>
      </c>
      <c r="R38" s="23">
        <f t="shared" si="4"/>
        <v>20501</v>
      </c>
      <c r="S38" s="107">
        <f>+N38/M38-1</f>
        <v>2.999397106109325E-2</v>
      </c>
      <c r="T38" s="107">
        <v>0</v>
      </c>
      <c r="U38" s="107">
        <v>0</v>
      </c>
      <c r="V38" s="107">
        <v>0</v>
      </c>
      <c r="W38" s="107">
        <v>0</v>
      </c>
      <c r="X38" s="107">
        <v>0</v>
      </c>
      <c r="Y38" s="38">
        <f t="shared" si="7"/>
        <v>0.03</v>
      </c>
      <c r="Z38" s="22">
        <v>19904</v>
      </c>
      <c r="AA38" s="12">
        <f t="shared" si="5"/>
        <v>20501</v>
      </c>
      <c r="AB38" s="419">
        <f>+AA38/Z38-1</f>
        <v>2.999397106109325E-2</v>
      </c>
      <c r="AC38" s="419">
        <v>0</v>
      </c>
    </row>
    <row r="39" spans="1:29" ht="18" customHeight="1" x14ac:dyDescent="0.25">
      <c r="A39" s="15" t="s">
        <v>0</v>
      </c>
      <c r="B39" s="11" t="s">
        <v>68</v>
      </c>
      <c r="C39" s="11" t="s">
        <v>32</v>
      </c>
      <c r="D39" s="11" t="s">
        <v>5</v>
      </c>
      <c r="E39" s="11" t="s">
        <v>33</v>
      </c>
      <c r="F39" s="11" t="s">
        <v>69</v>
      </c>
      <c r="G39" s="27" t="s">
        <v>6</v>
      </c>
      <c r="H39" s="35">
        <v>0.03</v>
      </c>
      <c r="I39" s="36"/>
      <c r="J39" s="36"/>
      <c r="K39" s="36"/>
      <c r="L39" s="37"/>
      <c r="M39" s="22">
        <v>31220</v>
      </c>
      <c r="N39" s="23">
        <f t="shared" si="0"/>
        <v>32157</v>
      </c>
      <c r="O39" s="123">
        <f t="shared" si="1"/>
        <v>32157</v>
      </c>
      <c r="P39" s="12">
        <f t="shared" si="2"/>
        <v>32157</v>
      </c>
      <c r="Q39" s="12">
        <f t="shared" si="3"/>
        <v>32157</v>
      </c>
      <c r="R39" s="23">
        <f t="shared" si="4"/>
        <v>32157</v>
      </c>
      <c r="S39" s="107">
        <f>+S38</f>
        <v>2.999397106109325E-2</v>
      </c>
      <c r="T39" s="107">
        <f>+(N39-N38)/(M39-M38)-1</f>
        <v>3.0045952633439343E-2</v>
      </c>
      <c r="U39" s="107">
        <f>+(O39-O38)/(N39-N38)-1</f>
        <v>0</v>
      </c>
      <c r="V39" s="107">
        <f>+(P39-P38)/(O39-O38)-1</f>
        <v>0</v>
      </c>
      <c r="W39" s="107">
        <f>+(Q39-Q38)/(P39-P38)-1</f>
        <v>0</v>
      </c>
      <c r="X39" s="107">
        <f>+(R39-R38)/(Q39-Q38)-1</f>
        <v>0</v>
      </c>
      <c r="Y39" s="38">
        <f t="shared" si="7"/>
        <v>0.03</v>
      </c>
      <c r="Z39" s="22">
        <v>31220</v>
      </c>
      <c r="AA39" s="12">
        <f t="shared" si="5"/>
        <v>32157</v>
      </c>
      <c r="AB39" s="419">
        <f>+AB38</f>
        <v>2.999397106109325E-2</v>
      </c>
      <c r="AC39" s="419">
        <f>+(AA39-AA38)/(Z39-Z38)-1</f>
        <v>3.0045952633439343E-2</v>
      </c>
    </row>
    <row r="40" spans="1:29" ht="18" customHeight="1" x14ac:dyDescent="0.25">
      <c r="A40" s="15" t="s">
        <v>0</v>
      </c>
      <c r="B40" s="11" t="s">
        <v>70</v>
      </c>
      <c r="C40" s="11" t="s">
        <v>32</v>
      </c>
      <c r="D40" s="11" t="s">
        <v>3</v>
      </c>
      <c r="E40" s="11" t="s">
        <v>33</v>
      </c>
      <c r="F40" s="11" t="s">
        <v>71</v>
      </c>
      <c r="G40" s="27" t="s">
        <v>4</v>
      </c>
      <c r="H40" s="35">
        <v>0.03</v>
      </c>
      <c r="I40" s="36"/>
      <c r="J40" s="36"/>
      <c r="K40" s="36"/>
      <c r="L40" s="37"/>
      <c r="M40" s="22">
        <v>19904</v>
      </c>
      <c r="N40" s="23">
        <f t="shared" si="0"/>
        <v>20501</v>
      </c>
      <c r="O40" s="123">
        <f t="shared" si="1"/>
        <v>20501</v>
      </c>
      <c r="P40" s="12">
        <f t="shared" si="2"/>
        <v>20501</v>
      </c>
      <c r="Q40" s="12">
        <f t="shared" si="3"/>
        <v>20501</v>
      </c>
      <c r="R40" s="23">
        <f t="shared" si="4"/>
        <v>20501</v>
      </c>
      <c r="S40" s="107">
        <f>+N40/M40-1</f>
        <v>2.999397106109325E-2</v>
      </c>
      <c r="T40" s="107">
        <v>0</v>
      </c>
      <c r="U40" s="107">
        <v>0</v>
      </c>
      <c r="V40" s="107">
        <v>0</v>
      </c>
      <c r="W40" s="107">
        <v>0</v>
      </c>
      <c r="X40" s="107">
        <v>0</v>
      </c>
      <c r="Y40" s="38">
        <f t="shared" si="7"/>
        <v>0.03</v>
      </c>
      <c r="Z40" s="22">
        <v>19904</v>
      </c>
      <c r="AA40" s="12">
        <f t="shared" si="5"/>
        <v>20501</v>
      </c>
      <c r="AB40" s="419">
        <f>+AA40/Z40-1</f>
        <v>2.999397106109325E-2</v>
      </c>
      <c r="AC40" s="419">
        <v>0</v>
      </c>
    </row>
    <row r="41" spans="1:29" ht="18" customHeight="1" x14ac:dyDescent="0.25">
      <c r="A41" s="15" t="s">
        <v>0</v>
      </c>
      <c r="B41" s="11" t="s">
        <v>70</v>
      </c>
      <c r="C41" s="11" t="s">
        <v>32</v>
      </c>
      <c r="D41" s="11" t="s">
        <v>5</v>
      </c>
      <c r="E41" s="11" t="s">
        <v>33</v>
      </c>
      <c r="F41" s="11" t="s">
        <v>71</v>
      </c>
      <c r="G41" s="27" t="s">
        <v>6</v>
      </c>
      <c r="H41" s="35">
        <v>0.03</v>
      </c>
      <c r="I41" s="36"/>
      <c r="J41" s="36"/>
      <c r="K41" s="36"/>
      <c r="L41" s="37"/>
      <c r="M41" s="22">
        <v>31220</v>
      </c>
      <c r="N41" s="23">
        <f t="shared" si="0"/>
        <v>32157</v>
      </c>
      <c r="O41" s="123">
        <f t="shared" si="1"/>
        <v>32157</v>
      </c>
      <c r="P41" s="12">
        <f t="shared" si="2"/>
        <v>32157</v>
      </c>
      <c r="Q41" s="12">
        <f t="shared" si="3"/>
        <v>32157</v>
      </c>
      <c r="R41" s="23">
        <f t="shared" si="4"/>
        <v>32157</v>
      </c>
      <c r="S41" s="107">
        <f>+S40</f>
        <v>2.999397106109325E-2</v>
      </c>
      <c r="T41" s="107">
        <f>+(N41-N40)/(M41-M40)-1</f>
        <v>3.0045952633439343E-2</v>
      </c>
      <c r="U41" s="107">
        <f>+(O41-O40)/(N41-N40)-1</f>
        <v>0</v>
      </c>
      <c r="V41" s="107">
        <f>+(P41-P40)/(O41-O40)-1</f>
        <v>0</v>
      </c>
      <c r="W41" s="107">
        <f>+(Q41-Q40)/(P41-P40)-1</f>
        <v>0</v>
      </c>
      <c r="X41" s="107">
        <f>+(R41-R40)/(Q41-Q40)-1</f>
        <v>0</v>
      </c>
      <c r="Y41" s="38">
        <f t="shared" si="7"/>
        <v>0.03</v>
      </c>
      <c r="Z41" s="22">
        <v>31220</v>
      </c>
      <c r="AA41" s="12">
        <f t="shared" si="5"/>
        <v>32157</v>
      </c>
      <c r="AB41" s="419">
        <f>+AB40</f>
        <v>2.999397106109325E-2</v>
      </c>
      <c r="AC41" s="419">
        <f>+(AA41-AA40)/(Z41-Z40)-1</f>
        <v>3.0045952633439343E-2</v>
      </c>
    </row>
    <row r="42" spans="1:29" ht="18" customHeight="1" x14ac:dyDescent="0.25">
      <c r="A42" s="15" t="s">
        <v>0</v>
      </c>
      <c r="B42" s="11" t="s">
        <v>72</v>
      </c>
      <c r="C42" s="11" t="s">
        <v>32</v>
      </c>
      <c r="D42" s="11" t="s">
        <v>3</v>
      </c>
      <c r="E42" s="11" t="s">
        <v>33</v>
      </c>
      <c r="F42" s="11" t="s">
        <v>73</v>
      </c>
      <c r="G42" s="27" t="s">
        <v>4</v>
      </c>
      <c r="H42" s="35">
        <v>0.03</v>
      </c>
      <c r="I42" s="36"/>
      <c r="J42" s="36"/>
      <c r="K42" s="36"/>
      <c r="L42" s="37"/>
      <c r="M42" s="22">
        <v>19904</v>
      </c>
      <c r="N42" s="23">
        <f t="shared" si="0"/>
        <v>20501</v>
      </c>
      <c r="O42" s="123">
        <f t="shared" si="1"/>
        <v>20501</v>
      </c>
      <c r="P42" s="12">
        <f t="shared" si="2"/>
        <v>20501</v>
      </c>
      <c r="Q42" s="12">
        <f t="shared" si="3"/>
        <v>20501</v>
      </c>
      <c r="R42" s="23">
        <f t="shared" si="4"/>
        <v>20501</v>
      </c>
      <c r="S42" s="107">
        <f>+N42/M42-1</f>
        <v>2.999397106109325E-2</v>
      </c>
      <c r="T42" s="107">
        <v>0</v>
      </c>
      <c r="U42" s="107">
        <v>0</v>
      </c>
      <c r="V42" s="107">
        <v>0</v>
      </c>
      <c r="W42" s="107">
        <v>0</v>
      </c>
      <c r="X42" s="107">
        <v>0</v>
      </c>
      <c r="Y42" s="38">
        <f t="shared" si="7"/>
        <v>0.03</v>
      </c>
      <c r="Z42" s="22">
        <v>19904</v>
      </c>
      <c r="AA42" s="12">
        <f t="shared" si="5"/>
        <v>20501</v>
      </c>
      <c r="AB42" s="419">
        <f>+AA42/Z42-1</f>
        <v>2.999397106109325E-2</v>
      </c>
      <c r="AC42" s="419">
        <v>0</v>
      </c>
    </row>
    <row r="43" spans="1:29" ht="18" customHeight="1" x14ac:dyDescent="0.25">
      <c r="A43" s="15" t="s">
        <v>0</v>
      </c>
      <c r="B43" s="11" t="s">
        <v>72</v>
      </c>
      <c r="C43" s="11" t="s">
        <v>32</v>
      </c>
      <c r="D43" s="11" t="s">
        <v>5</v>
      </c>
      <c r="E43" s="11" t="s">
        <v>33</v>
      </c>
      <c r="F43" s="11" t="s">
        <v>73</v>
      </c>
      <c r="G43" s="27" t="s">
        <v>6</v>
      </c>
      <c r="H43" s="35">
        <v>0.03</v>
      </c>
      <c r="I43" s="36"/>
      <c r="J43" s="36"/>
      <c r="K43" s="36"/>
      <c r="L43" s="37"/>
      <c r="M43" s="22">
        <v>31220</v>
      </c>
      <c r="N43" s="23">
        <f t="shared" si="0"/>
        <v>32157</v>
      </c>
      <c r="O43" s="123">
        <f t="shared" si="1"/>
        <v>32157</v>
      </c>
      <c r="P43" s="12">
        <f t="shared" si="2"/>
        <v>32157</v>
      </c>
      <c r="Q43" s="12">
        <f t="shared" si="3"/>
        <v>32157</v>
      </c>
      <c r="R43" s="23">
        <f t="shared" si="4"/>
        <v>32157</v>
      </c>
      <c r="S43" s="107">
        <f>+S42</f>
        <v>2.999397106109325E-2</v>
      </c>
      <c r="T43" s="107">
        <f>+(N43-N42)/(M43-M42)-1</f>
        <v>3.0045952633439343E-2</v>
      </c>
      <c r="U43" s="107">
        <f>+(O43-O42)/(N43-N42)-1</f>
        <v>0</v>
      </c>
      <c r="V43" s="107">
        <f>+(P43-P42)/(O43-O42)-1</f>
        <v>0</v>
      </c>
      <c r="W43" s="107">
        <f>+(Q43-Q42)/(P43-P42)-1</f>
        <v>0</v>
      </c>
      <c r="X43" s="107">
        <f>+(R43-R42)/(Q43-Q42)-1</f>
        <v>0</v>
      </c>
      <c r="Y43" s="38">
        <f t="shared" si="7"/>
        <v>0.03</v>
      </c>
      <c r="Z43" s="22">
        <v>31220</v>
      </c>
      <c r="AA43" s="12">
        <f t="shared" si="5"/>
        <v>32157</v>
      </c>
      <c r="AB43" s="419">
        <f>+AB42</f>
        <v>2.999397106109325E-2</v>
      </c>
      <c r="AC43" s="419">
        <f>+(AA43-AA42)/(Z43-Z42)-1</f>
        <v>3.0045952633439343E-2</v>
      </c>
    </row>
    <row r="44" spans="1:29" ht="18" customHeight="1" x14ac:dyDescent="0.25">
      <c r="A44" s="15" t="s">
        <v>0</v>
      </c>
      <c r="B44" s="11"/>
      <c r="C44" s="11" t="s">
        <v>32</v>
      </c>
      <c r="D44" s="11" t="s">
        <v>3</v>
      </c>
      <c r="E44" s="11" t="s">
        <v>33</v>
      </c>
      <c r="F44" s="11" t="s">
        <v>135</v>
      </c>
      <c r="G44" s="27" t="s">
        <v>4</v>
      </c>
      <c r="H44" s="45" t="s">
        <v>137</v>
      </c>
      <c r="I44" s="36"/>
      <c r="J44" s="36"/>
      <c r="K44" s="36"/>
      <c r="L44" s="37"/>
      <c r="M44" s="22"/>
      <c r="N44" s="23">
        <v>30000</v>
      </c>
      <c r="O44" s="123">
        <f t="shared" ref="O44:O75" si="9">+ROUND(N44*(1+I44),0)</f>
        <v>30000</v>
      </c>
      <c r="P44" s="12">
        <f t="shared" ref="P44:P75" si="10">+ROUND(O44*(1+J44),0)</f>
        <v>30000</v>
      </c>
      <c r="Q44" s="12">
        <f t="shared" ref="Q44:Q75" si="11">+ROUND(P44*(1+K44),0)</f>
        <v>30000</v>
      </c>
      <c r="R44" s="23">
        <f t="shared" ref="R44:R75" si="12">+ROUND(Q44*(1+L44),0)</f>
        <v>30000</v>
      </c>
      <c r="S44" s="107"/>
      <c r="T44" s="107"/>
      <c r="U44" s="107">
        <v>0</v>
      </c>
      <c r="V44" s="107">
        <v>0</v>
      </c>
      <c r="W44" s="107">
        <v>0</v>
      </c>
      <c r="X44" s="107">
        <v>0</v>
      </c>
      <c r="Y44" s="45" t="str">
        <f t="shared" si="7"/>
        <v>--</v>
      </c>
      <c r="Z44" s="22"/>
      <c r="AA44" s="12">
        <v>30000</v>
      </c>
      <c r="AB44" s="419"/>
      <c r="AC44" s="419"/>
    </row>
    <row r="45" spans="1:29" ht="18" customHeight="1" x14ac:dyDescent="0.25">
      <c r="A45" s="15" t="s">
        <v>0</v>
      </c>
      <c r="B45" s="11"/>
      <c r="C45" s="11" t="s">
        <v>32</v>
      </c>
      <c r="D45" s="11" t="s">
        <v>5</v>
      </c>
      <c r="E45" s="11" t="s">
        <v>33</v>
      </c>
      <c r="F45" s="11" t="s">
        <v>135</v>
      </c>
      <c r="G45" s="27" t="s">
        <v>6</v>
      </c>
      <c r="H45" s="45" t="s">
        <v>137</v>
      </c>
      <c r="I45" s="36"/>
      <c r="J45" s="36"/>
      <c r="K45" s="36"/>
      <c r="L45" s="37"/>
      <c r="M45" s="22"/>
      <c r="N45" s="23">
        <v>36000</v>
      </c>
      <c r="O45" s="123">
        <f t="shared" si="9"/>
        <v>36000</v>
      </c>
      <c r="P45" s="12">
        <f t="shared" si="10"/>
        <v>36000</v>
      </c>
      <c r="Q45" s="12">
        <f t="shared" si="11"/>
        <v>36000</v>
      </c>
      <c r="R45" s="23">
        <f t="shared" si="12"/>
        <v>36000</v>
      </c>
      <c r="S45" s="107"/>
      <c r="T45" s="107"/>
      <c r="U45" s="107">
        <f>+(O45-O44)/(N45-N44)-1</f>
        <v>0</v>
      </c>
      <c r="V45" s="107">
        <f>+(P45-P44)/(O45-O44)-1</f>
        <v>0</v>
      </c>
      <c r="W45" s="107">
        <f>+(Q45-Q44)/(P45-P44)-1</f>
        <v>0</v>
      </c>
      <c r="X45" s="107">
        <f>+(R45-R44)/(Q45-Q44)-1</f>
        <v>0</v>
      </c>
      <c r="Y45" s="45" t="str">
        <f t="shared" si="7"/>
        <v>--</v>
      </c>
      <c r="Z45" s="22"/>
      <c r="AA45" s="12">
        <v>36000</v>
      </c>
      <c r="AB45" s="419"/>
      <c r="AC45" s="419"/>
    </row>
    <row r="46" spans="1:29" ht="18" customHeight="1" x14ac:dyDescent="0.25">
      <c r="A46" s="15" t="s">
        <v>0</v>
      </c>
      <c r="B46" s="11" t="s">
        <v>12</v>
      </c>
      <c r="C46" s="11" t="s">
        <v>21</v>
      </c>
      <c r="D46" s="11" t="s">
        <v>3</v>
      </c>
      <c r="E46" s="11" t="s">
        <v>35</v>
      </c>
      <c r="F46" s="11" t="s">
        <v>74</v>
      </c>
      <c r="G46" s="27" t="s">
        <v>4</v>
      </c>
      <c r="H46" s="35">
        <v>0.03</v>
      </c>
      <c r="I46" s="36"/>
      <c r="J46" s="36"/>
      <c r="K46" s="36"/>
      <c r="L46" s="37"/>
      <c r="M46" s="22">
        <v>19221</v>
      </c>
      <c r="N46" s="23">
        <f t="shared" ref="N46:N77" si="13">+ROUND(M46*(1+H46),0)</f>
        <v>19798</v>
      </c>
      <c r="O46" s="123">
        <f t="shared" si="9"/>
        <v>19798</v>
      </c>
      <c r="P46" s="12">
        <f t="shared" si="10"/>
        <v>19798</v>
      </c>
      <c r="Q46" s="12">
        <f t="shared" si="11"/>
        <v>19798</v>
      </c>
      <c r="R46" s="23">
        <f t="shared" si="12"/>
        <v>19798</v>
      </c>
      <c r="S46" s="107">
        <f>+N46/M46-1</f>
        <v>3.0019249778887591E-2</v>
      </c>
      <c r="T46" s="107">
        <v>0</v>
      </c>
      <c r="U46" s="107">
        <v>0</v>
      </c>
      <c r="V46" s="107">
        <v>0</v>
      </c>
      <c r="W46" s="107">
        <v>0</v>
      </c>
      <c r="X46" s="107">
        <v>0</v>
      </c>
      <c r="Y46" s="38">
        <f t="shared" si="7"/>
        <v>0.03</v>
      </c>
      <c r="Z46" s="22">
        <v>19221</v>
      </c>
      <c r="AA46" s="12">
        <f t="shared" ref="AA46:AA77" si="14">+ROUND(Z46*(1+Y46),0)</f>
        <v>19798</v>
      </c>
      <c r="AB46" s="419">
        <f>+AA46/Z46-1</f>
        <v>3.0019249778887591E-2</v>
      </c>
      <c r="AC46" s="419">
        <v>0</v>
      </c>
    </row>
    <row r="47" spans="1:29" ht="18" customHeight="1" x14ac:dyDescent="0.25">
      <c r="A47" s="15" t="s">
        <v>0</v>
      </c>
      <c r="B47" s="11" t="s">
        <v>12</v>
      </c>
      <c r="C47" s="11" t="s">
        <v>21</v>
      </c>
      <c r="D47" s="11" t="s">
        <v>5</v>
      </c>
      <c r="E47" s="11" t="s">
        <v>35</v>
      </c>
      <c r="F47" s="11" t="s">
        <v>74</v>
      </c>
      <c r="G47" s="27" t="s">
        <v>6</v>
      </c>
      <c r="H47" s="35">
        <v>0.03</v>
      </c>
      <c r="I47" s="36"/>
      <c r="J47" s="36"/>
      <c r="K47" s="36"/>
      <c r="L47" s="37"/>
      <c r="M47" s="22">
        <v>34320</v>
      </c>
      <c r="N47" s="23">
        <f t="shared" si="13"/>
        <v>35350</v>
      </c>
      <c r="O47" s="123">
        <f t="shared" si="9"/>
        <v>35350</v>
      </c>
      <c r="P47" s="12">
        <f t="shared" si="10"/>
        <v>35350</v>
      </c>
      <c r="Q47" s="12">
        <f t="shared" si="11"/>
        <v>35350</v>
      </c>
      <c r="R47" s="23">
        <f t="shared" si="12"/>
        <v>35350</v>
      </c>
      <c r="S47" s="107">
        <f>+S46</f>
        <v>3.0019249778887591E-2</v>
      </c>
      <c r="T47" s="107">
        <f>+(N47-N46)/(M47-M46)-1</f>
        <v>3.000198688654887E-2</v>
      </c>
      <c r="U47" s="107">
        <f>+(O47-O46)/(N47-N46)-1</f>
        <v>0</v>
      </c>
      <c r="V47" s="107">
        <f>+(P47-P46)/(O47-O46)-1</f>
        <v>0</v>
      </c>
      <c r="W47" s="107">
        <f>+(Q47-Q46)/(P47-P46)-1</f>
        <v>0</v>
      </c>
      <c r="X47" s="107">
        <f>+(R47-R46)/(Q47-Q46)-1</f>
        <v>0</v>
      </c>
      <c r="Y47" s="38">
        <f t="shared" si="7"/>
        <v>0.03</v>
      </c>
      <c r="Z47" s="22">
        <v>34320</v>
      </c>
      <c r="AA47" s="12">
        <f t="shared" si="14"/>
        <v>35350</v>
      </c>
      <c r="AB47" s="419">
        <f>+AB46</f>
        <v>3.0019249778887591E-2</v>
      </c>
      <c r="AC47" s="419">
        <f>+(AA47-AA46)/(Z47-Z46)-1</f>
        <v>3.000198688654887E-2</v>
      </c>
    </row>
    <row r="48" spans="1:29" ht="18" customHeight="1" x14ac:dyDescent="0.25">
      <c r="A48" s="15" t="s">
        <v>0</v>
      </c>
      <c r="B48" s="11" t="s">
        <v>80</v>
      </c>
      <c r="C48" s="11" t="s">
        <v>23</v>
      </c>
      <c r="D48" s="11" t="s">
        <v>3</v>
      </c>
      <c r="E48" s="11" t="s">
        <v>43</v>
      </c>
      <c r="F48" s="11" t="s">
        <v>81</v>
      </c>
      <c r="G48" s="27" t="s">
        <v>4</v>
      </c>
      <c r="H48" s="35">
        <v>0.03</v>
      </c>
      <c r="I48" s="36"/>
      <c r="J48" s="36"/>
      <c r="K48" s="36"/>
      <c r="L48" s="37"/>
      <c r="M48" s="22">
        <v>24697</v>
      </c>
      <c r="N48" s="23">
        <f t="shared" si="13"/>
        <v>25438</v>
      </c>
      <c r="O48" s="123">
        <f t="shared" si="9"/>
        <v>25438</v>
      </c>
      <c r="P48" s="12">
        <f t="shared" si="10"/>
        <v>25438</v>
      </c>
      <c r="Q48" s="12">
        <f t="shared" si="11"/>
        <v>25438</v>
      </c>
      <c r="R48" s="23">
        <f t="shared" si="12"/>
        <v>25438</v>
      </c>
      <c r="S48" s="107">
        <f>+N48/M48-1</f>
        <v>3.0003644167307719E-2</v>
      </c>
      <c r="T48" s="107">
        <v>0</v>
      </c>
      <c r="U48" s="107">
        <v>0</v>
      </c>
      <c r="V48" s="107">
        <v>0</v>
      </c>
      <c r="W48" s="107">
        <v>0</v>
      </c>
      <c r="X48" s="107">
        <v>0</v>
      </c>
      <c r="Y48" s="38">
        <f t="shared" si="7"/>
        <v>0.03</v>
      </c>
      <c r="Z48" s="22">
        <v>24697</v>
      </c>
      <c r="AA48" s="12">
        <f t="shared" si="14"/>
        <v>25438</v>
      </c>
      <c r="AB48" s="419">
        <f>+AA48/Z48-1</f>
        <v>3.0003644167307719E-2</v>
      </c>
      <c r="AC48" s="419">
        <v>0</v>
      </c>
    </row>
    <row r="49" spans="1:29" ht="18" customHeight="1" x14ac:dyDescent="0.25">
      <c r="A49" s="15" t="s">
        <v>0</v>
      </c>
      <c r="B49" s="11" t="s">
        <v>80</v>
      </c>
      <c r="C49" s="11" t="s">
        <v>23</v>
      </c>
      <c r="D49" s="11" t="s">
        <v>5</v>
      </c>
      <c r="E49" s="11" t="s">
        <v>43</v>
      </c>
      <c r="F49" s="11" t="s">
        <v>81</v>
      </c>
      <c r="G49" s="27" t="s">
        <v>6</v>
      </c>
      <c r="H49" s="35">
        <v>0.03</v>
      </c>
      <c r="I49" s="36"/>
      <c r="J49" s="36"/>
      <c r="K49" s="36"/>
      <c r="L49" s="37"/>
      <c r="M49" s="22">
        <v>44201</v>
      </c>
      <c r="N49" s="23">
        <f t="shared" si="13"/>
        <v>45527</v>
      </c>
      <c r="O49" s="123">
        <f t="shared" si="9"/>
        <v>45527</v>
      </c>
      <c r="P49" s="12">
        <f t="shared" si="10"/>
        <v>45527</v>
      </c>
      <c r="Q49" s="12">
        <f t="shared" si="11"/>
        <v>45527</v>
      </c>
      <c r="R49" s="23">
        <f t="shared" si="12"/>
        <v>45527</v>
      </c>
      <c r="S49" s="107">
        <f>+S48</f>
        <v>3.0003644167307719E-2</v>
      </c>
      <c r="T49" s="107">
        <f>+(N49-N48)/(M49-M48)-1</f>
        <v>2.9993847415914709E-2</v>
      </c>
      <c r="U49" s="107">
        <f>+(O49-O48)/(N49-N48)-1</f>
        <v>0</v>
      </c>
      <c r="V49" s="107">
        <f>+(P49-P48)/(O49-O48)-1</f>
        <v>0</v>
      </c>
      <c r="W49" s="107">
        <f>+(Q49-Q48)/(P49-P48)-1</f>
        <v>0</v>
      </c>
      <c r="X49" s="107">
        <f>+(R49-R48)/(Q49-Q48)-1</f>
        <v>0</v>
      </c>
      <c r="Y49" s="38">
        <f t="shared" si="7"/>
        <v>0.03</v>
      </c>
      <c r="Z49" s="22">
        <v>44201</v>
      </c>
      <c r="AA49" s="12">
        <f t="shared" si="14"/>
        <v>45527</v>
      </c>
      <c r="AB49" s="419">
        <f>+AB48</f>
        <v>3.0003644167307719E-2</v>
      </c>
      <c r="AC49" s="419">
        <f>+(AA49-AA48)/(Z49-Z48)-1</f>
        <v>2.9993847415914709E-2</v>
      </c>
    </row>
    <row r="50" spans="1:29" ht="18" customHeight="1" x14ac:dyDescent="0.25">
      <c r="A50" s="15" t="s">
        <v>0</v>
      </c>
      <c r="B50" s="11" t="s">
        <v>32</v>
      </c>
      <c r="C50" s="11" t="s">
        <v>44</v>
      </c>
      <c r="D50" s="11" t="s">
        <v>3</v>
      </c>
      <c r="E50" s="11" t="s">
        <v>45</v>
      </c>
      <c r="F50" s="11" t="s">
        <v>82</v>
      </c>
      <c r="G50" s="27" t="s">
        <v>4</v>
      </c>
      <c r="H50" s="35">
        <v>0.03</v>
      </c>
      <c r="I50" s="36"/>
      <c r="J50" s="36"/>
      <c r="K50" s="36"/>
      <c r="L50" s="37"/>
      <c r="M50" s="22">
        <v>26472</v>
      </c>
      <c r="N50" s="23">
        <f t="shared" si="13"/>
        <v>27266</v>
      </c>
      <c r="O50" s="123">
        <f t="shared" si="9"/>
        <v>27266</v>
      </c>
      <c r="P50" s="12">
        <f t="shared" si="10"/>
        <v>27266</v>
      </c>
      <c r="Q50" s="12">
        <f t="shared" si="11"/>
        <v>27266</v>
      </c>
      <c r="R50" s="23">
        <f t="shared" si="12"/>
        <v>27266</v>
      </c>
      <c r="S50" s="107">
        <f>+N50/M50-1</f>
        <v>2.9993955877908762E-2</v>
      </c>
      <c r="T50" s="107">
        <v>0</v>
      </c>
      <c r="U50" s="107">
        <v>0</v>
      </c>
      <c r="V50" s="107">
        <v>0</v>
      </c>
      <c r="W50" s="107">
        <v>0</v>
      </c>
      <c r="X50" s="107">
        <v>0</v>
      </c>
      <c r="Y50" s="38">
        <f t="shared" si="7"/>
        <v>0.03</v>
      </c>
      <c r="Z50" s="22">
        <v>26472</v>
      </c>
      <c r="AA50" s="12">
        <f t="shared" si="14"/>
        <v>27266</v>
      </c>
      <c r="AB50" s="419">
        <f>+AA50/Z50-1</f>
        <v>2.9993955877908762E-2</v>
      </c>
      <c r="AC50" s="419">
        <v>0</v>
      </c>
    </row>
    <row r="51" spans="1:29" ht="18" customHeight="1" x14ac:dyDescent="0.25">
      <c r="A51" s="15" t="s">
        <v>0</v>
      </c>
      <c r="B51" s="11" t="s">
        <v>32</v>
      </c>
      <c r="C51" s="11" t="s">
        <v>44</v>
      </c>
      <c r="D51" s="11" t="s">
        <v>5</v>
      </c>
      <c r="E51" s="11" t="s">
        <v>45</v>
      </c>
      <c r="F51" s="11" t="s">
        <v>82</v>
      </c>
      <c r="G51" s="27" t="s">
        <v>6</v>
      </c>
      <c r="H51" s="35">
        <v>0.03</v>
      </c>
      <c r="I51" s="36"/>
      <c r="J51" s="36"/>
      <c r="K51" s="36"/>
      <c r="L51" s="37"/>
      <c r="M51" s="22">
        <v>47492</v>
      </c>
      <c r="N51" s="23">
        <f t="shared" si="13"/>
        <v>48917</v>
      </c>
      <c r="O51" s="123">
        <f t="shared" si="9"/>
        <v>48917</v>
      </c>
      <c r="P51" s="12">
        <f t="shared" si="10"/>
        <v>48917</v>
      </c>
      <c r="Q51" s="12">
        <f t="shared" si="11"/>
        <v>48917</v>
      </c>
      <c r="R51" s="23">
        <f t="shared" si="12"/>
        <v>48917</v>
      </c>
      <c r="S51" s="107">
        <f>+S50</f>
        <v>2.9993955877908762E-2</v>
      </c>
      <c r="T51" s="107">
        <f>+(N51-N50)/(M51-M50)-1</f>
        <v>3.001902949571833E-2</v>
      </c>
      <c r="U51" s="107">
        <f>+(O51-O50)/(N51-N50)-1</f>
        <v>0</v>
      </c>
      <c r="V51" s="107">
        <f>+(P51-P50)/(O51-O50)-1</f>
        <v>0</v>
      </c>
      <c r="W51" s="107">
        <f>+(Q51-Q50)/(P51-P50)-1</f>
        <v>0</v>
      </c>
      <c r="X51" s="107">
        <f>+(R51-R50)/(Q51-Q50)-1</f>
        <v>0</v>
      </c>
      <c r="Y51" s="38">
        <f t="shared" si="7"/>
        <v>0.03</v>
      </c>
      <c r="Z51" s="22">
        <v>47492</v>
      </c>
      <c r="AA51" s="12">
        <f t="shared" si="14"/>
        <v>48917</v>
      </c>
      <c r="AB51" s="419">
        <f>+AB50</f>
        <v>2.9993955877908762E-2</v>
      </c>
      <c r="AC51" s="419">
        <f>+(AA51-AA50)/(Z51-Z50)-1</f>
        <v>3.001902949571833E-2</v>
      </c>
    </row>
    <row r="52" spans="1:29" ht="18" customHeight="1" x14ac:dyDescent="0.25">
      <c r="A52" s="15" t="s">
        <v>0</v>
      </c>
      <c r="B52" s="11" t="s">
        <v>15</v>
      </c>
      <c r="C52" s="11" t="s">
        <v>26</v>
      </c>
      <c r="D52" s="11" t="s">
        <v>3</v>
      </c>
      <c r="E52" s="11" t="s">
        <v>36</v>
      </c>
      <c r="F52" s="11" t="s">
        <v>75</v>
      </c>
      <c r="G52" s="27" t="s">
        <v>4</v>
      </c>
      <c r="H52" s="35">
        <v>0.04</v>
      </c>
      <c r="I52" s="36"/>
      <c r="J52" s="36"/>
      <c r="K52" s="36"/>
      <c r="L52" s="37"/>
      <c r="M52" s="22">
        <v>29225</v>
      </c>
      <c r="N52" s="23">
        <f t="shared" si="13"/>
        <v>30394</v>
      </c>
      <c r="O52" s="123">
        <f t="shared" si="9"/>
        <v>30394</v>
      </c>
      <c r="P52" s="12">
        <f t="shared" si="10"/>
        <v>30394</v>
      </c>
      <c r="Q52" s="12">
        <f t="shared" si="11"/>
        <v>30394</v>
      </c>
      <c r="R52" s="23">
        <f t="shared" si="12"/>
        <v>30394</v>
      </c>
      <c r="S52" s="107">
        <f>+N52/M52-1</f>
        <v>4.0000000000000036E-2</v>
      </c>
      <c r="T52" s="107">
        <v>0</v>
      </c>
      <c r="U52" s="107">
        <v>0</v>
      </c>
      <c r="V52" s="107">
        <v>0</v>
      </c>
      <c r="W52" s="107">
        <v>0</v>
      </c>
      <c r="X52" s="107">
        <v>0</v>
      </c>
      <c r="Y52" s="38">
        <f t="shared" si="7"/>
        <v>0.04</v>
      </c>
      <c r="Z52" s="22">
        <v>29225</v>
      </c>
      <c r="AA52" s="12">
        <f t="shared" si="14"/>
        <v>30394</v>
      </c>
      <c r="AB52" s="419">
        <f>+AA52/Z52-1</f>
        <v>4.0000000000000036E-2</v>
      </c>
      <c r="AC52" s="419">
        <v>0</v>
      </c>
    </row>
    <row r="53" spans="1:29" ht="18" customHeight="1" x14ac:dyDescent="0.25">
      <c r="A53" s="15" t="s">
        <v>0</v>
      </c>
      <c r="B53" s="11" t="s">
        <v>15</v>
      </c>
      <c r="C53" s="11" t="s">
        <v>26</v>
      </c>
      <c r="D53" s="11" t="s">
        <v>5</v>
      </c>
      <c r="E53" s="11" t="s">
        <v>36</v>
      </c>
      <c r="F53" s="11" t="s">
        <v>75</v>
      </c>
      <c r="G53" s="27" t="s">
        <v>6</v>
      </c>
      <c r="H53" s="35">
        <v>0.04</v>
      </c>
      <c r="I53" s="36"/>
      <c r="J53" s="36"/>
      <c r="K53" s="36"/>
      <c r="L53" s="37"/>
      <c r="M53" s="22">
        <v>42826</v>
      </c>
      <c r="N53" s="23">
        <f t="shared" si="13"/>
        <v>44539</v>
      </c>
      <c r="O53" s="123">
        <f t="shared" si="9"/>
        <v>44539</v>
      </c>
      <c r="P53" s="12">
        <f t="shared" si="10"/>
        <v>44539</v>
      </c>
      <c r="Q53" s="12">
        <f t="shared" si="11"/>
        <v>44539</v>
      </c>
      <c r="R53" s="23">
        <f t="shared" si="12"/>
        <v>44539</v>
      </c>
      <c r="S53" s="107">
        <f>+S52</f>
        <v>4.0000000000000036E-2</v>
      </c>
      <c r="T53" s="107">
        <f>+(N53-N52)/(M53-M52)-1</f>
        <v>3.9997059039776461E-2</v>
      </c>
      <c r="U53" s="107">
        <f>+(O53-O52)/(N53-N52)-1</f>
        <v>0</v>
      </c>
      <c r="V53" s="107">
        <f>+(P53-P52)/(O53-O52)-1</f>
        <v>0</v>
      </c>
      <c r="W53" s="107">
        <f>+(Q53-Q52)/(P53-P52)-1</f>
        <v>0</v>
      </c>
      <c r="X53" s="107">
        <f>+(R53-R52)/(Q53-Q52)-1</f>
        <v>0</v>
      </c>
      <c r="Y53" s="38">
        <f t="shared" si="7"/>
        <v>0.04</v>
      </c>
      <c r="Z53" s="22">
        <v>42826</v>
      </c>
      <c r="AA53" s="12">
        <f t="shared" si="14"/>
        <v>44539</v>
      </c>
      <c r="AB53" s="419">
        <f>+AB52</f>
        <v>4.0000000000000036E-2</v>
      </c>
      <c r="AC53" s="419">
        <f>+(AA53-AA52)/(Z53-Z52)-1</f>
        <v>3.9997059039776461E-2</v>
      </c>
    </row>
    <row r="54" spans="1:29" ht="18" customHeight="1" x14ac:dyDescent="0.25">
      <c r="A54" s="15" t="s">
        <v>0</v>
      </c>
      <c r="B54" s="11" t="s">
        <v>24</v>
      </c>
      <c r="C54" s="11" t="s">
        <v>26</v>
      </c>
      <c r="D54" s="11" t="s">
        <v>3</v>
      </c>
      <c r="E54" s="11" t="s">
        <v>36</v>
      </c>
      <c r="F54" s="11" t="s">
        <v>76</v>
      </c>
      <c r="G54" s="27" t="s">
        <v>4</v>
      </c>
      <c r="H54" s="35">
        <v>0.03</v>
      </c>
      <c r="I54" s="36"/>
      <c r="J54" s="36"/>
      <c r="K54" s="36"/>
      <c r="L54" s="37"/>
      <c r="M54" s="22">
        <v>28372</v>
      </c>
      <c r="N54" s="23">
        <f t="shared" si="13"/>
        <v>29223</v>
      </c>
      <c r="O54" s="123">
        <f t="shared" si="9"/>
        <v>29223</v>
      </c>
      <c r="P54" s="12">
        <f t="shared" si="10"/>
        <v>29223</v>
      </c>
      <c r="Q54" s="12">
        <f t="shared" si="11"/>
        <v>29223</v>
      </c>
      <c r="R54" s="23">
        <f t="shared" si="12"/>
        <v>29223</v>
      </c>
      <c r="S54" s="107">
        <f>+N54/M54-1</f>
        <v>2.9994360637247919E-2</v>
      </c>
      <c r="T54" s="107">
        <v>0</v>
      </c>
      <c r="U54" s="107">
        <v>0</v>
      </c>
      <c r="V54" s="107">
        <v>0</v>
      </c>
      <c r="W54" s="107">
        <v>0</v>
      </c>
      <c r="X54" s="107">
        <v>0</v>
      </c>
      <c r="Y54" s="38">
        <f t="shared" si="7"/>
        <v>0.03</v>
      </c>
      <c r="Z54" s="22">
        <v>28372</v>
      </c>
      <c r="AA54" s="12">
        <f t="shared" si="14"/>
        <v>29223</v>
      </c>
      <c r="AB54" s="419">
        <f>+AA54/Z54-1</f>
        <v>2.9994360637247919E-2</v>
      </c>
      <c r="AC54" s="419">
        <v>0</v>
      </c>
    </row>
    <row r="55" spans="1:29" ht="18" customHeight="1" x14ac:dyDescent="0.25">
      <c r="A55" s="15" t="s">
        <v>0</v>
      </c>
      <c r="B55" s="11" t="s">
        <v>24</v>
      </c>
      <c r="C55" s="11" t="s">
        <v>26</v>
      </c>
      <c r="D55" s="11" t="s">
        <v>5</v>
      </c>
      <c r="E55" s="11" t="s">
        <v>36</v>
      </c>
      <c r="F55" s="11" t="s">
        <v>76</v>
      </c>
      <c r="G55" s="27" t="s">
        <v>6</v>
      </c>
      <c r="H55" s="35">
        <v>0.03</v>
      </c>
      <c r="I55" s="36"/>
      <c r="J55" s="36"/>
      <c r="K55" s="36"/>
      <c r="L55" s="37"/>
      <c r="M55" s="22">
        <v>41578</v>
      </c>
      <c r="N55" s="23">
        <f t="shared" si="13"/>
        <v>42825</v>
      </c>
      <c r="O55" s="123">
        <f t="shared" si="9"/>
        <v>42825</v>
      </c>
      <c r="P55" s="12">
        <f t="shared" si="10"/>
        <v>42825</v>
      </c>
      <c r="Q55" s="12">
        <f t="shared" si="11"/>
        <v>42825</v>
      </c>
      <c r="R55" s="23">
        <f t="shared" si="12"/>
        <v>42825</v>
      </c>
      <c r="S55" s="107">
        <f>+S54</f>
        <v>2.9994360637247919E-2</v>
      </c>
      <c r="T55" s="107">
        <f>+(N55-N54)/(M55-M54)-1</f>
        <v>2.998636983189451E-2</v>
      </c>
      <c r="U55" s="107">
        <f>+(O55-O54)/(N55-N54)-1</f>
        <v>0</v>
      </c>
      <c r="V55" s="107">
        <f>+(P55-P54)/(O55-O54)-1</f>
        <v>0</v>
      </c>
      <c r="W55" s="107">
        <f>+(Q55-Q54)/(P55-P54)-1</f>
        <v>0</v>
      </c>
      <c r="X55" s="107">
        <f>+(R55-R54)/(Q55-Q54)-1</f>
        <v>0</v>
      </c>
      <c r="Y55" s="38">
        <f t="shared" si="7"/>
        <v>0.03</v>
      </c>
      <c r="Z55" s="22">
        <v>41578</v>
      </c>
      <c r="AA55" s="12">
        <f t="shared" si="14"/>
        <v>42825</v>
      </c>
      <c r="AB55" s="419">
        <f>+AB54</f>
        <v>2.9994360637247919E-2</v>
      </c>
      <c r="AC55" s="419">
        <f>+(AA55-AA54)/(Z55-Z54)-1</f>
        <v>2.998636983189451E-2</v>
      </c>
    </row>
    <row r="56" spans="1:29" ht="18" customHeight="1" x14ac:dyDescent="0.25">
      <c r="A56" s="15" t="s">
        <v>0</v>
      </c>
      <c r="B56" s="11" t="s">
        <v>29</v>
      </c>
      <c r="C56" s="11" t="s">
        <v>38</v>
      </c>
      <c r="D56" s="11" t="s">
        <v>3</v>
      </c>
      <c r="E56" s="11" t="s">
        <v>39</v>
      </c>
      <c r="F56" s="11" t="s">
        <v>39</v>
      </c>
      <c r="G56" s="27" t="s">
        <v>4</v>
      </c>
      <c r="H56" s="35">
        <v>0</v>
      </c>
      <c r="I56" s="36"/>
      <c r="J56" s="36"/>
      <c r="K56" s="36"/>
      <c r="L56" s="37"/>
      <c r="M56" s="22">
        <v>29346</v>
      </c>
      <c r="N56" s="23">
        <f t="shared" si="13"/>
        <v>29346</v>
      </c>
      <c r="O56" s="123">
        <f t="shared" si="9"/>
        <v>29346</v>
      </c>
      <c r="P56" s="12">
        <f t="shared" si="10"/>
        <v>29346</v>
      </c>
      <c r="Q56" s="12">
        <f t="shared" si="11"/>
        <v>29346</v>
      </c>
      <c r="R56" s="23">
        <f t="shared" si="12"/>
        <v>29346</v>
      </c>
      <c r="S56" s="107">
        <f>+N56/M56-1</f>
        <v>0</v>
      </c>
      <c r="T56" s="107">
        <v>0</v>
      </c>
      <c r="U56" s="107">
        <v>0</v>
      </c>
      <c r="V56" s="107">
        <v>0</v>
      </c>
      <c r="W56" s="107">
        <v>0</v>
      </c>
      <c r="X56" s="107">
        <v>0</v>
      </c>
      <c r="Y56" s="38">
        <f t="shared" si="7"/>
        <v>0</v>
      </c>
      <c r="Z56" s="22">
        <v>29346</v>
      </c>
      <c r="AA56" s="12">
        <f t="shared" si="14"/>
        <v>29346</v>
      </c>
      <c r="AB56" s="419">
        <f>+AA56/Z56-1</f>
        <v>0</v>
      </c>
      <c r="AC56" s="419">
        <v>0</v>
      </c>
    </row>
    <row r="57" spans="1:29" ht="18" customHeight="1" x14ac:dyDescent="0.25">
      <c r="A57" s="15" t="s">
        <v>0</v>
      </c>
      <c r="B57" s="11" t="s">
        <v>29</v>
      </c>
      <c r="C57" s="11" t="s">
        <v>38</v>
      </c>
      <c r="D57" s="11" t="s">
        <v>5</v>
      </c>
      <c r="E57" s="11" t="s">
        <v>39</v>
      </c>
      <c r="F57" s="11" t="s">
        <v>39</v>
      </c>
      <c r="G57" s="27" t="s">
        <v>6</v>
      </c>
      <c r="H57" s="35">
        <v>-0.02</v>
      </c>
      <c r="I57" s="36"/>
      <c r="J57" s="36"/>
      <c r="K57" s="36"/>
      <c r="L57" s="37"/>
      <c r="M57" s="22">
        <v>41761</v>
      </c>
      <c r="N57" s="23">
        <f t="shared" si="13"/>
        <v>40926</v>
      </c>
      <c r="O57" s="123">
        <f t="shared" si="9"/>
        <v>40926</v>
      </c>
      <c r="P57" s="12">
        <f t="shared" si="10"/>
        <v>40926</v>
      </c>
      <c r="Q57" s="12">
        <f t="shared" si="11"/>
        <v>40926</v>
      </c>
      <c r="R57" s="23">
        <f t="shared" si="12"/>
        <v>40926</v>
      </c>
      <c r="S57" s="107">
        <f>+S56</f>
        <v>0</v>
      </c>
      <c r="T57" s="107">
        <f>+(N57-N56)/(M57-M56)-1</f>
        <v>-6.7257349979863101E-2</v>
      </c>
      <c r="U57" s="107">
        <f>+(O57-O56)/(N57-N56)-1</f>
        <v>0</v>
      </c>
      <c r="V57" s="107">
        <f>+(P57-P56)/(O57-O56)-1</f>
        <v>0</v>
      </c>
      <c r="W57" s="107">
        <f>+(Q57-Q56)/(P57-P56)-1</f>
        <v>0</v>
      </c>
      <c r="X57" s="107">
        <f>+(R57-R56)/(Q57-Q56)-1</f>
        <v>0</v>
      </c>
      <c r="Y57" s="38">
        <f t="shared" si="7"/>
        <v>-0.02</v>
      </c>
      <c r="Z57" s="22">
        <v>41761</v>
      </c>
      <c r="AA57" s="12">
        <f t="shared" si="14"/>
        <v>40926</v>
      </c>
      <c r="AB57" s="419">
        <f>+AB56</f>
        <v>0</v>
      </c>
      <c r="AC57" s="419">
        <f>+(AA57-AA56)/(Z57-Z56)-1</f>
        <v>-6.7257349979863101E-2</v>
      </c>
    </row>
    <row r="58" spans="1:29" ht="18" customHeight="1" x14ac:dyDescent="0.25">
      <c r="A58" s="15" t="s">
        <v>0</v>
      </c>
      <c r="B58" s="11" t="s">
        <v>77</v>
      </c>
      <c r="C58" s="11" t="s">
        <v>41</v>
      </c>
      <c r="D58" s="11" t="s">
        <v>3</v>
      </c>
      <c r="E58" s="11" t="s">
        <v>42</v>
      </c>
      <c r="F58" s="11" t="s">
        <v>78</v>
      </c>
      <c r="G58" s="27" t="s">
        <v>4</v>
      </c>
      <c r="H58" s="35">
        <v>0.1</v>
      </c>
      <c r="I58" s="36"/>
      <c r="J58" s="36"/>
      <c r="K58" s="36"/>
      <c r="L58" s="37"/>
      <c r="M58" s="22">
        <v>19087</v>
      </c>
      <c r="N58" s="23">
        <f t="shared" si="13"/>
        <v>20996</v>
      </c>
      <c r="O58" s="123">
        <f t="shared" si="9"/>
        <v>20996</v>
      </c>
      <c r="P58" s="12">
        <f t="shared" si="10"/>
        <v>20996</v>
      </c>
      <c r="Q58" s="12">
        <f t="shared" si="11"/>
        <v>20996</v>
      </c>
      <c r="R58" s="23">
        <f t="shared" si="12"/>
        <v>20996</v>
      </c>
      <c r="S58" s="107">
        <f>+N58/M58-1</f>
        <v>0.10001571750406035</v>
      </c>
      <c r="T58" s="107">
        <v>0</v>
      </c>
      <c r="U58" s="107">
        <v>0</v>
      </c>
      <c r="V58" s="107">
        <v>0</v>
      </c>
      <c r="W58" s="107">
        <v>0</v>
      </c>
      <c r="X58" s="107">
        <v>0</v>
      </c>
      <c r="Y58" s="38">
        <f t="shared" si="7"/>
        <v>0.1</v>
      </c>
      <c r="Z58" s="22">
        <v>19087</v>
      </c>
      <c r="AA58" s="12">
        <f t="shared" si="14"/>
        <v>20996</v>
      </c>
      <c r="AB58" s="419">
        <f>+AA58/Z58-1</f>
        <v>0.10001571750406035</v>
      </c>
      <c r="AC58" s="419">
        <v>0</v>
      </c>
    </row>
    <row r="59" spans="1:29" ht="18" customHeight="1" x14ac:dyDescent="0.25">
      <c r="A59" s="15" t="s">
        <v>0</v>
      </c>
      <c r="B59" s="11" t="s">
        <v>77</v>
      </c>
      <c r="C59" s="11" t="s">
        <v>41</v>
      </c>
      <c r="D59" s="11" t="s">
        <v>5</v>
      </c>
      <c r="E59" s="11" t="s">
        <v>42</v>
      </c>
      <c r="F59" s="11" t="s">
        <v>78</v>
      </c>
      <c r="G59" s="27" t="s">
        <v>6</v>
      </c>
      <c r="H59" s="35">
        <v>0.03</v>
      </c>
      <c r="I59" s="36"/>
      <c r="J59" s="36"/>
      <c r="K59" s="36"/>
      <c r="L59" s="37"/>
      <c r="M59" s="22">
        <v>34627</v>
      </c>
      <c r="N59" s="23">
        <f t="shared" si="13"/>
        <v>35666</v>
      </c>
      <c r="O59" s="123">
        <f t="shared" si="9"/>
        <v>35666</v>
      </c>
      <c r="P59" s="12">
        <f t="shared" si="10"/>
        <v>35666</v>
      </c>
      <c r="Q59" s="12">
        <f t="shared" si="11"/>
        <v>35666</v>
      </c>
      <c r="R59" s="23">
        <f t="shared" si="12"/>
        <v>35666</v>
      </c>
      <c r="S59" s="107">
        <f>+S58</f>
        <v>0.10001571750406035</v>
      </c>
      <c r="T59" s="107">
        <f>+(N59-N58)/(M59-M58)-1</f>
        <v>-5.5984555984555984E-2</v>
      </c>
      <c r="U59" s="107">
        <f>+(O59-O58)/(N59-N58)-1</f>
        <v>0</v>
      </c>
      <c r="V59" s="107">
        <f>+(P59-P58)/(O59-O58)-1</f>
        <v>0</v>
      </c>
      <c r="W59" s="107">
        <f>+(Q59-Q58)/(P59-P58)-1</f>
        <v>0</v>
      </c>
      <c r="X59" s="107">
        <f>+(R59-R58)/(Q59-Q58)-1</f>
        <v>0</v>
      </c>
      <c r="Y59" s="38">
        <f t="shared" si="7"/>
        <v>0.03</v>
      </c>
      <c r="Z59" s="22">
        <v>34627</v>
      </c>
      <c r="AA59" s="12">
        <f t="shared" si="14"/>
        <v>35666</v>
      </c>
      <c r="AB59" s="419">
        <f>+AB58</f>
        <v>0.10001571750406035</v>
      </c>
      <c r="AC59" s="419">
        <f>+(AA59-AA58)/(Z59-Z58)-1</f>
        <v>-5.5984555984555984E-2</v>
      </c>
    </row>
    <row r="60" spans="1:29" ht="18" customHeight="1" x14ac:dyDescent="0.25">
      <c r="A60" s="15" t="s">
        <v>0</v>
      </c>
      <c r="B60" s="11" t="s">
        <v>40</v>
      </c>
      <c r="C60" s="11" t="s">
        <v>41</v>
      </c>
      <c r="D60" s="11" t="s">
        <v>3</v>
      </c>
      <c r="E60" s="11" t="s">
        <v>42</v>
      </c>
      <c r="F60" s="11" t="s">
        <v>79</v>
      </c>
      <c r="G60" s="27" t="s">
        <v>4</v>
      </c>
      <c r="H60" s="35">
        <v>0.03</v>
      </c>
      <c r="I60" s="36"/>
      <c r="J60" s="36"/>
      <c r="K60" s="36"/>
      <c r="L60" s="37"/>
      <c r="M60" s="22">
        <v>17873</v>
      </c>
      <c r="N60" s="23">
        <f t="shared" si="13"/>
        <v>18409</v>
      </c>
      <c r="O60" s="123">
        <f t="shared" si="9"/>
        <v>18409</v>
      </c>
      <c r="P60" s="12">
        <f t="shared" si="10"/>
        <v>18409</v>
      </c>
      <c r="Q60" s="12">
        <f t="shared" si="11"/>
        <v>18409</v>
      </c>
      <c r="R60" s="23">
        <f t="shared" si="12"/>
        <v>18409</v>
      </c>
      <c r="S60" s="107">
        <f>+N60/M60-1</f>
        <v>2.9989369439937352E-2</v>
      </c>
      <c r="T60" s="107">
        <v>0</v>
      </c>
      <c r="U60" s="107">
        <v>0</v>
      </c>
      <c r="V60" s="107">
        <v>0</v>
      </c>
      <c r="W60" s="107">
        <v>0</v>
      </c>
      <c r="X60" s="107">
        <v>0</v>
      </c>
      <c r="Y60" s="38">
        <f t="shared" si="7"/>
        <v>0.03</v>
      </c>
      <c r="Z60" s="22">
        <v>17873</v>
      </c>
      <c r="AA60" s="12">
        <f t="shared" si="14"/>
        <v>18409</v>
      </c>
      <c r="AB60" s="419">
        <f>+AA60/Z60-1</f>
        <v>2.9989369439937352E-2</v>
      </c>
      <c r="AC60" s="419">
        <v>0</v>
      </c>
    </row>
    <row r="61" spans="1:29" ht="18" customHeight="1" x14ac:dyDescent="0.25">
      <c r="A61" s="15" t="s">
        <v>0</v>
      </c>
      <c r="B61" s="11" t="s">
        <v>40</v>
      </c>
      <c r="C61" s="11" t="s">
        <v>41</v>
      </c>
      <c r="D61" s="11" t="s">
        <v>5</v>
      </c>
      <c r="E61" s="11" t="s">
        <v>42</v>
      </c>
      <c r="F61" s="11" t="s">
        <v>79</v>
      </c>
      <c r="G61" s="27" t="s">
        <v>6</v>
      </c>
      <c r="H61" s="35">
        <v>0.03</v>
      </c>
      <c r="I61" s="36"/>
      <c r="J61" s="36"/>
      <c r="K61" s="36"/>
      <c r="L61" s="37"/>
      <c r="M61" s="22">
        <v>34627</v>
      </c>
      <c r="N61" s="23">
        <f t="shared" si="13"/>
        <v>35666</v>
      </c>
      <c r="O61" s="123">
        <f t="shared" si="9"/>
        <v>35666</v>
      </c>
      <c r="P61" s="12">
        <f t="shared" si="10"/>
        <v>35666</v>
      </c>
      <c r="Q61" s="12">
        <f t="shared" si="11"/>
        <v>35666</v>
      </c>
      <c r="R61" s="23">
        <f t="shared" si="12"/>
        <v>35666</v>
      </c>
      <c r="S61" s="107">
        <f>+S60</f>
        <v>2.9989369439937352E-2</v>
      </c>
      <c r="T61" s="107">
        <f>+(N61-N60)/(M61-M60)-1</f>
        <v>3.0022681150770003E-2</v>
      </c>
      <c r="U61" s="107">
        <f>+(O61-O60)/(N61-N60)-1</f>
        <v>0</v>
      </c>
      <c r="V61" s="107">
        <f>+(P61-P60)/(O61-O60)-1</f>
        <v>0</v>
      </c>
      <c r="W61" s="107">
        <f>+(Q61-Q60)/(P61-P60)-1</f>
        <v>0</v>
      </c>
      <c r="X61" s="107">
        <f>+(R61-R60)/(Q61-Q60)-1</f>
        <v>0</v>
      </c>
      <c r="Y61" s="38">
        <f t="shared" si="7"/>
        <v>0.03</v>
      </c>
      <c r="Z61" s="22">
        <v>34627</v>
      </c>
      <c r="AA61" s="12">
        <f t="shared" si="14"/>
        <v>35666</v>
      </c>
      <c r="AB61" s="419">
        <f>+AB60</f>
        <v>2.9989369439937352E-2</v>
      </c>
      <c r="AC61" s="419">
        <f>+(AA61-AA60)/(Z61-Z60)-1</f>
        <v>3.0022681150770003E-2</v>
      </c>
    </row>
    <row r="62" spans="1:29" ht="18" customHeight="1" x14ac:dyDescent="0.25">
      <c r="A62" s="15" t="s">
        <v>0</v>
      </c>
      <c r="B62" s="11" t="s">
        <v>20</v>
      </c>
      <c r="C62" s="11" t="s">
        <v>28</v>
      </c>
      <c r="D62" s="11" t="s">
        <v>3</v>
      </c>
      <c r="E62" s="11" t="s">
        <v>46</v>
      </c>
      <c r="F62" s="11" t="s">
        <v>83</v>
      </c>
      <c r="G62" s="27" t="s">
        <v>4</v>
      </c>
      <c r="H62" s="35">
        <v>0.05</v>
      </c>
      <c r="I62" s="36"/>
      <c r="J62" s="36"/>
      <c r="K62" s="36"/>
      <c r="L62" s="37"/>
      <c r="M62" s="22">
        <v>31054</v>
      </c>
      <c r="N62" s="23">
        <f t="shared" si="13"/>
        <v>32607</v>
      </c>
      <c r="O62" s="123">
        <f t="shared" si="9"/>
        <v>32607</v>
      </c>
      <c r="P62" s="12">
        <f t="shared" si="10"/>
        <v>32607</v>
      </c>
      <c r="Q62" s="12">
        <f t="shared" si="11"/>
        <v>32607</v>
      </c>
      <c r="R62" s="23">
        <f t="shared" si="12"/>
        <v>32607</v>
      </c>
      <c r="S62" s="107">
        <f>+N62/M62-1</f>
        <v>5.0009660591228133E-2</v>
      </c>
      <c r="T62" s="107">
        <v>0</v>
      </c>
      <c r="U62" s="107">
        <v>0</v>
      </c>
      <c r="V62" s="107">
        <v>0</v>
      </c>
      <c r="W62" s="107">
        <v>0</v>
      </c>
      <c r="X62" s="107">
        <v>0</v>
      </c>
      <c r="Y62" s="38">
        <f t="shared" si="7"/>
        <v>0.05</v>
      </c>
      <c r="Z62" s="22">
        <v>31054</v>
      </c>
      <c r="AA62" s="12">
        <f t="shared" si="14"/>
        <v>32607</v>
      </c>
      <c r="AB62" s="419">
        <f>+AA62/Z62-1</f>
        <v>5.0009660591228133E-2</v>
      </c>
      <c r="AC62" s="419">
        <v>0</v>
      </c>
    </row>
    <row r="63" spans="1:29" ht="18" customHeight="1" x14ac:dyDescent="0.25">
      <c r="A63" s="15" t="s">
        <v>0</v>
      </c>
      <c r="B63" s="11" t="s">
        <v>20</v>
      </c>
      <c r="C63" s="11" t="s">
        <v>28</v>
      </c>
      <c r="D63" s="11" t="s">
        <v>5</v>
      </c>
      <c r="E63" s="11" t="s">
        <v>46</v>
      </c>
      <c r="F63" s="11" t="s">
        <v>83</v>
      </c>
      <c r="G63" s="27" t="s">
        <v>6</v>
      </c>
      <c r="H63" s="35">
        <v>0.05</v>
      </c>
      <c r="I63" s="36"/>
      <c r="J63" s="36"/>
      <c r="K63" s="36"/>
      <c r="L63" s="37"/>
      <c r="M63" s="22">
        <v>61229</v>
      </c>
      <c r="N63" s="23">
        <f t="shared" si="13"/>
        <v>64290</v>
      </c>
      <c r="O63" s="123">
        <f t="shared" si="9"/>
        <v>64290</v>
      </c>
      <c r="P63" s="12">
        <f t="shared" si="10"/>
        <v>64290</v>
      </c>
      <c r="Q63" s="12">
        <f t="shared" si="11"/>
        <v>64290</v>
      </c>
      <c r="R63" s="23">
        <f t="shared" si="12"/>
        <v>64290</v>
      </c>
      <c r="S63" s="107">
        <f>+S62</f>
        <v>5.0009660591228133E-2</v>
      </c>
      <c r="T63" s="107">
        <f>+(N63-N62)/(M63-M62)-1</f>
        <v>4.9975144987572495E-2</v>
      </c>
      <c r="U63" s="107">
        <f>+(O63-O62)/(N63-N62)-1</f>
        <v>0</v>
      </c>
      <c r="V63" s="107">
        <f>+(P63-P62)/(O63-O62)-1</f>
        <v>0</v>
      </c>
      <c r="W63" s="107">
        <f>+(Q63-Q62)/(P63-P62)-1</f>
        <v>0</v>
      </c>
      <c r="X63" s="107">
        <f>+(R63-R62)/(Q63-Q62)-1</f>
        <v>0</v>
      </c>
      <c r="Y63" s="38">
        <f t="shared" si="7"/>
        <v>0.05</v>
      </c>
      <c r="Z63" s="22">
        <v>61229</v>
      </c>
      <c r="AA63" s="12">
        <f t="shared" si="14"/>
        <v>64290</v>
      </c>
      <c r="AB63" s="419">
        <f>+AB62</f>
        <v>5.0009660591228133E-2</v>
      </c>
      <c r="AC63" s="419">
        <f>+(AA63-AA62)/(Z63-Z62)-1</f>
        <v>4.9975144987572495E-2</v>
      </c>
    </row>
    <row r="64" spans="1:29" ht="18" customHeight="1" x14ac:dyDescent="0.25">
      <c r="A64" s="15" t="s">
        <v>0</v>
      </c>
      <c r="B64" s="11" t="s">
        <v>44</v>
      </c>
      <c r="C64" s="11" t="s">
        <v>47</v>
      </c>
      <c r="D64" s="11" t="s">
        <v>3</v>
      </c>
      <c r="E64" s="11" t="s">
        <v>48</v>
      </c>
      <c r="F64" s="11" t="s">
        <v>84</v>
      </c>
      <c r="G64" s="27" t="s">
        <v>4</v>
      </c>
      <c r="H64" s="35">
        <v>0.1</v>
      </c>
      <c r="I64" s="36"/>
      <c r="J64" s="36"/>
      <c r="K64" s="36"/>
      <c r="L64" s="37"/>
      <c r="M64" s="22">
        <v>40302</v>
      </c>
      <c r="N64" s="23">
        <f t="shared" si="13"/>
        <v>44332</v>
      </c>
      <c r="O64" s="123">
        <f t="shared" si="9"/>
        <v>44332</v>
      </c>
      <c r="P64" s="12">
        <f t="shared" si="10"/>
        <v>44332</v>
      </c>
      <c r="Q64" s="12">
        <f t="shared" si="11"/>
        <v>44332</v>
      </c>
      <c r="R64" s="23">
        <f t="shared" si="12"/>
        <v>44332</v>
      </c>
      <c r="S64" s="107">
        <f>+N64/M64-1</f>
        <v>9.9995037467123238E-2</v>
      </c>
      <c r="T64" s="107">
        <v>0</v>
      </c>
      <c r="U64" s="107">
        <v>0</v>
      </c>
      <c r="V64" s="107">
        <v>0</v>
      </c>
      <c r="W64" s="107">
        <v>0</v>
      </c>
      <c r="X64" s="107">
        <v>0</v>
      </c>
      <c r="Y64" s="38">
        <f t="shared" si="7"/>
        <v>0.1</v>
      </c>
      <c r="Z64" s="22">
        <v>40302</v>
      </c>
      <c r="AA64" s="12">
        <f t="shared" si="14"/>
        <v>44332</v>
      </c>
      <c r="AB64" s="419">
        <f>+AA64/Z64-1</f>
        <v>9.9995037467123238E-2</v>
      </c>
      <c r="AC64" s="419">
        <v>0</v>
      </c>
    </row>
    <row r="65" spans="1:29" ht="18" customHeight="1" x14ac:dyDescent="0.25">
      <c r="A65" s="15" t="s">
        <v>0</v>
      </c>
      <c r="B65" s="11" t="s">
        <v>44</v>
      </c>
      <c r="C65" s="11" t="s">
        <v>47</v>
      </c>
      <c r="D65" s="11" t="s">
        <v>5</v>
      </c>
      <c r="E65" s="11" t="s">
        <v>48</v>
      </c>
      <c r="F65" s="11" t="s">
        <v>84</v>
      </c>
      <c r="G65" s="27" t="s">
        <v>6</v>
      </c>
      <c r="H65" s="35">
        <v>0.1</v>
      </c>
      <c r="I65" s="36"/>
      <c r="J65" s="36"/>
      <c r="K65" s="36"/>
      <c r="L65" s="37"/>
      <c r="M65" s="22">
        <v>63450</v>
      </c>
      <c r="N65" s="23">
        <f t="shared" si="13"/>
        <v>69795</v>
      </c>
      <c r="O65" s="123">
        <f t="shared" si="9"/>
        <v>69795</v>
      </c>
      <c r="P65" s="12">
        <f t="shared" si="10"/>
        <v>69795</v>
      </c>
      <c r="Q65" s="12">
        <f t="shared" si="11"/>
        <v>69795</v>
      </c>
      <c r="R65" s="23">
        <f t="shared" si="12"/>
        <v>69795</v>
      </c>
      <c r="S65" s="107">
        <f>+S64</f>
        <v>9.9995037467123238E-2</v>
      </c>
      <c r="T65" s="107">
        <f>+(N65-N64)/(M65-M64)-1</f>
        <v>0.10000864005529642</v>
      </c>
      <c r="U65" s="107">
        <f>+(O65-O64)/(N65-N64)-1</f>
        <v>0</v>
      </c>
      <c r="V65" s="107">
        <f>+(P65-P64)/(O65-O64)-1</f>
        <v>0</v>
      </c>
      <c r="W65" s="107">
        <f>+(Q65-Q64)/(P65-P64)-1</f>
        <v>0</v>
      </c>
      <c r="X65" s="107">
        <f>+(R65-R64)/(Q65-Q64)-1</f>
        <v>0</v>
      </c>
      <c r="Y65" s="38">
        <f t="shared" si="7"/>
        <v>0.1</v>
      </c>
      <c r="Z65" s="22">
        <v>63450</v>
      </c>
      <c r="AA65" s="12">
        <f t="shared" si="14"/>
        <v>69795</v>
      </c>
      <c r="AB65" s="419">
        <f>+AB64</f>
        <v>9.9995037467123238E-2</v>
      </c>
      <c r="AC65" s="419">
        <f>+(AA65-AA64)/(Z65-Z64)-1</f>
        <v>0.10000864005529642</v>
      </c>
    </row>
    <row r="66" spans="1:29" ht="18" customHeight="1" x14ac:dyDescent="0.25">
      <c r="A66" s="15" t="s">
        <v>0</v>
      </c>
      <c r="B66" s="11" t="s">
        <v>28</v>
      </c>
      <c r="C66" s="11" t="s">
        <v>47</v>
      </c>
      <c r="D66" s="11" t="s">
        <v>3</v>
      </c>
      <c r="E66" s="11" t="s">
        <v>48</v>
      </c>
      <c r="F66" s="11" t="s">
        <v>85</v>
      </c>
      <c r="G66" s="27" t="s">
        <v>4</v>
      </c>
      <c r="H66" s="35">
        <v>0.1</v>
      </c>
      <c r="I66" s="36"/>
      <c r="J66" s="36"/>
      <c r="K66" s="36"/>
      <c r="L66" s="37"/>
      <c r="M66" s="22">
        <v>40302</v>
      </c>
      <c r="N66" s="23">
        <f t="shared" si="13"/>
        <v>44332</v>
      </c>
      <c r="O66" s="123">
        <f t="shared" si="9"/>
        <v>44332</v>
      </c>
      <c r="P66" s="12">
        <f t="shared" si="10"/>
        <v>44332</v>
      </c>
      <c r="Q66" s="12">
        <f t="shared" si="11"/>
        <v>44332</v>
      </c>
      <c r="R66" s="23">
        <f t="shared" si="12"/>
        <v>44332</v>
      </c>
      <c r="S66" s="107">
        <f>+N66/M66-1</f>
        <v>9.9995037467123238E-2</v>
      </c>
      <c r="T66" s="107">
        <v>0</v>
      </c>
      <c r="U66" s="107">
        <v>0</v>
      </c>
      <c r="V66" s="107">
        <v>0</v>
      </c>
      <c r="W66" s="107">
        <v>0</v>
      </c>
      <c r="X66" s="107">
        <v>0</v>
      </c>
      <c r="Y66" s="38">
        <f t="shared" si="7"/>
        <v>0.1</v>
      </c>
      <c r="Z66" s="22">
        <v>40302</v>
      </c>
      <c r="AA66" s="12">
        <f t="shared" si="14"/>
        <v>44332</v>
      </c>
      <c r="AB66" s="419">
        <f>+AA66/Z66-1</f>
        <v>9.9995037467123238E-2</v>
      </c>
      <c r="AC66" s="419">
        <v>0</v>
      </c>
    </row>
    <row r="67" spans="1:29" ht="18" customHeight="1" x14ac:dyDescent="0.25">
      <c r="A67" s="15" t="s">
        <v>0</v>
      </c>
      <c r="B67" s="11" t="s">
        <v>28</v>
      </c>
      <c r="C67" s="11" t="s">
        <v>47</v>
      </c>
      <c r="D67" s="11" t="s">
        <v>5</v>
      </c>
      <c r="E67" s="11" t="s">
        <v>48</v>
      </c>
      <c r="F67" s="11" t="s">
        <v>85</v>
      </c>
      <c r="G67" s="27" t="s">
        <v>6</v>
      </c>
      <c r="H67" s="35">
        <v>0.1</v>
      </c>
      <c r="I67" s="36"/>
      <c r="J67" s="36"/>
      <c r="K67" s="36"/>
      <c r="L67" s="37"/>
      <c r="M67" s="22">
        <v>63450</v>
      </c>
      <c r="N67" s="23">
        <f t="shared" si="13"/>
        <v>69795</v>
      </c>
      <c r="O67" s="123">
        <f t="shared" si="9"/>
        <v>69795</v>
      </c>
      <c r="P67" s="12">
        <f t="shared" si="10"/>
        <v>69795</v>
      </c>
      <c r="Q67" s="12">
        <f t="shared" si="11"/>
        <v>69795</v>
      </c>
      <c r="R67" s="23">
        <f t="shared" si="12"/>
        <v>69795</v>
      </c>
      <c r="S67" s="107">
        <f>+S66</f>
        <v>9.9995037467123238E-2</v>
      </c>
      <c r="T67" s="107">
        <f>+(N67-N66)/(M67-M66)-1</f>
        <v>0.10000864005529642</v>
      </c>
      <c r="U67" s="107">
        <f>+(O67-O66)/(N67-N66)-1</f>
        <v>0</v>
      </c>
      <c r="V67" s="107">
        <f>+(P67-P66)/(O67-O66)-1</f>
        <v>0</v>
      </c>
      <c r="W67" s="107">
        <f>+(Q67-Q66)/(P67-P66)-1</f>
        <v>0</v>
      </c>
      <c r="X67" s="107">
        <f>+(R67-R66)/(Q67-Q66)-1</f>
        <v>0</v>
      </c>
      <c r="Y67" s="38">
        <f t="shared" si="7"/>
        <v>0.1</v>
      </c>
      <c r="Z67" s="22">
        <v>63450</v>
      </c>
      <c r="AA67" s="12">
        <f t="shared" si="14"/>
        <v>69795</v>
      </c>
      <c r="AB67" s="419">
        <f>+AB66</f>
        <v>9.9995037467123238E-2</v>
      </c>
      <c r="AC67" s="419">
        <f>+(AA67-AA66)/(Z67-Z66)-1</f>
        <v>0.10000864005529642</v>
      </c>
    </row>
    <row r="68" spans="1:29" ht="18" customHeight="1" x14ac:dyDescent="0.25">
      <c r="A68" s="15" t="s">
        <v>0</v>
      </c>
      <c r="B68" s="11" t="s">
        <v>86</v>
      </c>
      <c r="C68" s="11" t="s">
        <v>47</v>
      </c>
      <c r="D68" s="11" t="s">
        <v>3</v>
      </c>
      <c r="E68" s="11" t="s">
        <v>48</v>
      </c>
      <c r="F68" s="11" t="s">
        <v>87</v>
      </c>
      <c r="G68" s="27" t="s">
        <v>4</v>
      </c>
      <c r="H68" s="35">
        <v>0.1</v>
      </c>
      <c r="I68" s="36"/>
      <c r="J68" s="36"/>
      <c r="K68" s="36"/>
      <c r="L68" s="37"/>
      <c r="M68" s="22">
        <v>40296</v>
      </c>
      <c r="N68" s="23">
        <f t="shared" si="13"/>
        <v>44326</v>
      </c>
      <c r="O68" s="123">
        <f t="shared" si="9"/>
        <v>44326</v>
      </c>
      <c r="P68" s="12">
        <f t="shared" si="10"/>
        <v>44326</v>
      </c>
      <c r="Q68" s="12">
        <f t="shared" si="11"/>
        <v>44326</v>
      </c>
      <c r="R68" s="23">
        <f t="shared" si="12"/>
        <v>44326</v>
      </c>
      <c r="S68" s="107">
        <f>+N68/M68-1</f>
        <v>0.10000992654357743</v>
      </c>
      <c r="T68" s="107">
        <v>0</v>
      </c>
      <c r="U68" s="107">
        <v>0</v>
      </c>
      <c r="V68" s="107">
        <v>0</v>
      </c>
      <c r="W68" s="107">
        <v>0</v>
      </c>
      <c r="X68" s="107">
        <v>0</v>
      </c>
      <c r="Y68" s="38">
        <f t="shared" si="7"/>
        <v>0.1</v>
      </c>
      <c r="Z68" s="22">
        <v>40296</v>
      </c>
      <c r="AA68" s="12">
        <f t="shared" si="14"/>
        <v>44326</v>
      </c>
      <c r="AB68" s="419">
        <f>+AA68/Z68-1</f>
        <v>0.10000992654357743</v>
      </c>
      <c r="AC68" s="419">
        <v>0</v>
      </c>
    </row>
    <row r="69" spans="1:29" ht="18" customHeight="1" x14ac:dyDescent="0.25">
      <c r="A69" s="15" t="s">
        <v>0</v>
      </c>
      <c r="B69" s="11" t="s">
        <v>86</v>
      </c>
      <c r="C69" s="11" t="s">
        <v>47</v>
      </c>
      <c r="D69" s="11" t="s">
        <v>5</v>
      </c>
      <c r="E69" s="11" t="s">
        <v>48</v>
      </c>
      <c r="F69" s="11" t="s">
        <v>87</v>
      </c>
      <c r="G69" s="27" t="s">
        <v>6</v>
      </c>
      <c r="H69" s="35">
        <v>0.1</v>
      </c>
      <c r="I69" s="36"/>
      <c r="J69" s="36"/>
      <c r="K69" s="36"/>
      <c r="L69" s="37"/>
      <c r="M69" s="22">
        <v>63450</v>
      </c>
      <c r="N69" s="23">
        <f t="shared" si="13"/>
        <v>69795</v>
      </c>
      <c r="O69" s="123">
        <f t="shared" si="9"/>
        <v>69795</v>
      </c>
      <c r="P69" s="12">
        <f t="shared" si="10"/>
        <v>69795</v>
      </c>
      <c r="Q69" s="12">
        <f t="shared" si="11"/>
        <v>69795</v>
      </c>
      <c r="R69" s="23">
        <f t="shared" si="12"/>
        <v>69795</v>
      </c>
      <c r="S69" s="107">
        <f>+S68</f>
        <v>0.10000992654357743</v>
      </c>
      <c r="T69" s="107">
        <f>+(N69-N68)/(M69-M68)-1</f>
        <v>9.9982724367279951E-2</v>
      </c>
      <c r="U69" s="107">
        <f>+(O69-O68)/(N69-N68)-1</f>
        <v>0</v>
      </c>
      <c r="V69" s="107">
        <f>+(P69-P68)/(O69-O68)-1</f>
        <v>0</v>
      </c>
      <c r="W69" s="107">
        <f>+(Q69-Q68)/(P69-P68)-1</f>
        <v>0</v>
      </c>
      <c r="X69" s="107">
        <f>+(R69-R68)/(Q69-Q68)-1</f>
        <v>0</v>
      </c>
      <c r="Y69" s="38">
        <f t="shared" si="7"/>
        <v>0.1</v>
      </c>
      <c r="Z69" s="22">
        <v>63450</v>
      </c>
      <c r="AA69" s="12">
        <f t="shared" si="14"/>
        <v>69795</v>
      </c>
      <c r="AB69" s="419">
        <f>+AB68</f>
        <v>0.10000992654357743</v>
      </c>
      <c r="AC69" s="419">
        <f>+(AA69-AA68)/(Z69-Z68)-1</f>
        <v>9.9982724367279951E-2</v>
      </c>
    </row>
    <row r="70" spans="1:29" ht="18" customHeight="1" x14ac:dyDescent="0.25">
      <c r="A70" s="15" t="s">
        <v>0</v>
      </c>
      <c r="B70" s="11" t="s">
        <v>88</v>
      </c>
      <c r="C70" s="11" t="s">
        <v>47</v>
      </c>
      <c r="D70" s="11" t="s">
        <v>3</v>
      </c>
      <c r="E70" s="11" t="s">
        <v>48</v>
      </c>
      <c r="F70" s="11" t="s">
        <v>89</v>
      </c>
      <c r="G70" s="27" t="s">
        <v>4</v>
      </c>
      <c r="H70" s="35">
        <v>0.1</v>
      </c>
      <c r="I70" s="36"/>
      <c r="J70" s="36"/>
      <c r="K70" s="36"/>
      <c r="L70" s="37"/>
      <c r="M70" s="22">
        <v>37249</v>
      </c>
      <c r="N70" s="23">
        <f t="shared" si="13"/>
        <v>40974</v>
      </c>
      <c r="O70" s="123">
        <f t="shared" si="9"/>
        <v>40974</v>
      </c>
      <c r="P70" s="12">
        <f t="shared" si="10"/>
        <v>40974</v>
      </c>
      <c r="Q70" s="12">
        <f t="shared" si="11"/>
        <v>40974</v>
      </c>
      <c r="R70" s="23">
        <f t="shared" si="12"/>
        <v>40974</v>
      </c>
      <c r="S70" s="107">
        <f>+N70/M70-1</f>
        <v>0.10000268463582906</v>
      </c>
      <c r="T70" s="107">
        <v>0</v>
      </c>
      <c r="U70" s="107">
        <v>0</v>
      </c>
      <c r="V70" s="107">
        <v>0</v>
      </c>
      <c r="W70" s="107">
        <v>0</v>
      </c>
      <c r="X70" s="107">
        <v>0</v>
      </c>
      <c r="Y70" s="38">
        <f t="shared" ref="Y70:Y115" si="15">+H70</f>
        <v>0.1</v>
      </c>
      <c r="Z70" s="22">
        <v>37249</v>
      </c>
      <c r="AA70" s="12">
        <f t="shared" si="14"/>
        <v>40974</v>
      </c>
      <c r="AB70" s="419">
        <f>+AA70/Z70-1</f>
        <v>0.10000268463582906</v>
      </c>
      <c r="AC70" s="419">
        <v>0</v>
      </c>
    </row>
    <row r="71" spans="1:29" ht="18" customHeight="1" x14ac:dyDescent="0.25">
      <c r="A71" s="15" t="s">
        <v>0</v>
      </c>
      <c r="B71" s="11" t="s">
        <v>88</v>
      </c>
      <c r="C71" s="11" t="s">
        <v>47</v>
      </c>
      <c r="D71" s="11" t="s">
        <v>5</v>
      </c>
      <c r="E71" s="11" t="s">
        <v>48</v>
      </c>
      <c r="F71" s="11" t="s">
        <v>89</v>
      </c>
      <c r="G71" s="27" t="s">
        <v>6</v>
      </c>
      <c r="H71" s="35">
        <v>0.1</v>
      </c>
      <c r="I71" s="36"/>
      <c r="J71" s="36"/>
      <c r="K71" s="36"/>
      <c r="L71" s="37"/>
      <c r="M71" s="22">
        <v>63450</v>
      </c>
      <c r="N71" s="23">
        <f t="shared" si="13"/>
        <v>69795</v>
      </c>
      <c r="O71" s="123">
        <f t="shared" si="9"/>
        <v>69795</v>
      </c>
      <c r="P71" s="12">
        <f t="shared" si="10"/>
        <v>69795</v>
      </c>
      <c r="Q71" s="12">
        <f t="shared" si="11"/>
        <v>69795</v>
      </c>
      <c r="R71" s="23">
        <f t="shared" si="12"/>
        <v>69795</v>
      </c>
      <c r="S71" s="107">
        <f>+S70</f>
        <v>0.10000268463582906</v>
      </c>
      <c r="T71" s="107">
        <f>+(N71-N70)/(M71-M70)-1</f>
        <v>9.9996183351780399E-2</v>
      </c>
      <c r="U71" s="107">
        <f>+(O71-O70)/(N71-N70)-1</f>
        <v>0</v>
      </c>
      <c r="V71" s="107">
        <f>+(P71-P70)/(O71-O70)-1</f>
        <v>0</v>
      </c>
      <c r="W71" s="107">
        <f>+(Q71-Q70)/(P71-P70)-1</f>
        <v>0</v>
      </c>
      <c r="X71" s="107">
        <f>+(R71-R70)/(Q71-Q70)-1</f>
        <v>0</v>
      </c>
      <c r="Y71" s="38">
        <f t="shared" si="15"/>
        <v>0.1</v>
      </c>
      <c r="Z71" s="22">
        <v>63450</v>
      </c>
      <c r="AA71" s="12">
        <f t="shared" si="14"/>
        <v>69795</v>
      </c>
      <c r="AB71" s="419">
        <f>+AB70</f>
        <v>0.10000268463582906</v>
      </c>
      <c r="AC71" s="419">
        <f>+(AA71-AA70)/(Z71-Z70)-1</f>
        <v>9.9996183351780399E-2</v>
      </c>
    </row>
    <row r="72" spans="1:29" ht="18" customHeight="1" x14ac:dyDescent="0.25">
      <c r="A72" s="15" t="s">
        <v>0</v>
      </c>
      <c r="B72" s="11" t="s">
        <v>34</v>
      </c>
      <c r="C72" s="11" t="s">
        <v>31</v>
      </c>
      <c r="D72" s="11" t="s">
        <v>3</v>
      </c>
      <c r="E72" s="11" t="s">
        <v>49</v>
      </c>
      <c r="F72" s="11" t="s">
        <v>90</v>
      </c>
      <c r="G72" s="27" t="s">
        <v>4</v>
      </c>
      <c r="H72" s="35">
        <v>0.04</v>
      </c>
      <c r="I72" s="36"/>
      <c r="J72" s="36"/>
      <c r="K72" s="36"/>
      <c r="L72" s="37"/>
      <c r="M72" s="22">
        <v>14303</v>
      </c>
      <c r="N72" s="23">
        <f t="shared" si="13"/>
        <v>14875</v>
      </c>
      <c r="O72" s="123">
        <f t="shared" si="9"/>
        <v>14875</v>
      </c>
      <c r="P72" s="12">
        <f t="shared" si="10"/>
        <v>14875</v>
      </c>
      <c r="Q72" s="12">
        <f t="shared" si="11"/>
        <v>14875</v>
      </c>
      <c r="R72" s="23">
        <f t="shared" si="12"/>
        <v>14875</v>
      </c>
      <c r="S72" s="107">
        <f>+N72/M72-1</f>
        <v>3.9991610151716372E-2</v>
      </c>
      <c r="T72" s="107">
        <v>0</v>
      </c>
      <c r="U72" s="107">
        <v>0</v>
      </c>
      <c r="V72" s="107">
        <v>0</v>
      </c>
      <c r="W72" s="107">
        <v>0</v>
      </c>
      <c r="X72" s="107">
        <v>0</v>
      </c>
      <c r="Y72" s="38">
        <f t="shared" si="15"/>
        <v>0.04</v>
      </c>
      <c r="Z72" s="22">
        <v>14303</v>
      </c>
      <c r="AA72" s="12">
        <f t="shared" si="14"/>
        <v>14875</v>
      </c>
      <c r="AB72" s="419">
        <f>+AA72/Z72-1</f>
        <v>3.9991610151716372E-2</v>
      </c>
      <c r="AC72" s="419">
        <v>0</v>
      </c>
    </row>
    <row r="73" spans="1:29" ht="18" customHeight="1" x14ac:dyDescent="0.25">
      <c r="A73" s="15" t="s">
        <v>0</v>
      </c>
      <c r="B73" s="11" t="s">
        <v>34</v>
      </c>
      <c r="C73" s="11" t="s">
        <v>31</v>
      </c>
      <c r="D73" s="11" t="s">
        <v>5</v>
      </c>
      <c r="E73" s="11" t="s">
        <v>49</v>
      </c>
      <c r="F73" s="11" t="s">
        <v>90</v>
      </c>
      <c r="G73" s="27" t="s">
        <v>6</v>
      </c>
      <c r="H73" s="35">
        <v>0.04</v>
      </c>
      <c r="I73" s="36"/>
      <c r="J73" s="36"/>
      <c r="K73" s="36"/>
      <c r="L73" s="37"/>
      <c r="M73" s="22">
        <v>27479</v>
      </c>
      <c r="N73" s="23">
        <f t="shared" si="13"/>
        <v>28578</v>
      </c>
      <c r="O73" s="123">
        <f t="shared" si="9"/>
        <v>28578</v>
      </c>
      <c r="P73" s="12">
        <f t="shared" si="10"/>
        <v>28578</v>
      </c>
      <c r="Q73" s="12">
        <f t="shared" si="11"/>
        <v>28578</v>
      </c>
      <c r="R73" s="23">
        <f t="shared" si="12"/>
        <v>28578</v>
      </c>
      <c r="S73" s="107">
        <f>+S72</f>
        <v>3.9991610151716372E-2</v>
      </c>
      <c r="T73" s="107">
        <f>+(N73-N72)/(M73-M72)-1</f>
        <v>3.9996964177292149E-2</v>
      </c>
      <c r="U73" s="107">
        <f>+(O73-O72)/(N73-N72)-1</f>
        <v>0</v>
      </c>
      <c r="V73" s="107">
        <f>+(P73-P72)/(O73-O72)-1</f>
        <v>0</v>
      </c>
      <c r="W73" s="107">
        <f>+(Q73-Q72)/(P73-P72)-1</f>
        <v>0</v>
      </c>
      <c r="X73" s="107">
        <f>+(R73-R72)/(Q73-Q72)-1</f>
        <v>0</v>
      </c>
      <c r="Y73" s="38">
        <f t="shared" si="15"/>
        <v>0.04</v>
      </c>
      <c r="Z73" s="22">
        <v>27479</v>
      </c>
      <c r="AA73" s="12">
        <f t="shared" si="14"/>
        <v>28578</v>
      </c>
      <c r="AB73" s="419">
        <f>+AB72</f>
        <v>3.9991610151716372E-2</v>
      </c>
      <c r="AC73" s="419">
        <f>+(AA73-AA72)/(Z73-Z72)-1</f>
        <v>3.9996964177292149E-2</v>
      </c>
    </row>
    <row r="74" spans="1:29" ht="18" customHeight="1" x14ac:dyDescent="0.25">
      <c r="A74" s="15" t="s">
        <v>0</v>
      </c>
      <c r="B74" s="11" t="s">
        <v>91</v>
      </c>
      <c r="C74" s="11" t="s">
        <v>31</v>
      </c>
      <c r="D74" s="11" t="s">
        <v>3</v>
      </c>
      <c r="E74" s="11" t="s">
        <v>49</v>
      </c>
      <c r="F74" s="11" t="s">
        <v>92</v>
      </c>
      <c r="G74" s="27" t="s">
        <v>4</v>
      </c>
      <c r="H74" s="35">
        <v>0.04</v>
      </c>
      <c r="I74" s="36"/>
      <c r="J74" s="36"/>
      <c r="K74" s="36"/>
      <c r="L74" s="37"/>
      <c r="M74" s="22">
        <v>15886</v>
      </c>
      <c r="N74" s="23">
        <f t="shared" si="13"/>
        <v>16521</v>
      </c>
      <c r="O74" s="123">
        <f t="shared" si="9"/>
        <v>16521</v>
      </c>
      <c r="P74" s="12">
        <f t="shared" si="10"/>
        <v>16521</v>
      </c>
      <c r="Q74" s="12">
        <f t="shared" si="11"/>
        <v>16521</v>
      </c>
      <c r="R74" s="23">
        <f t="shared" si="12"/>
        <v>16521</v>
      </c>
      <c r="S74" s="107">
        <f>+N74/M74-1</f>
        <v>3.997230265642715E-2</v>
      </c>
      <c r="T74" s="107">
        <v>0</v>
      </c>
      <c r="U74" s="107">
        <v>0</v>
      </c>
      <c r="V74" s="107">
        <v>0</v>
      </c>
      <c r="W74" s="107">
        <v>0</v>
      </c>
      <c r="X74" s="107">
        <v>0</v>
      </c>
      <c r="Y74" s="38">
        <f t="shared" si="15"/>
        <v>0.04</v>
      </c>
      <c r="Z74" s="22">
        <v>15886</v>
      </c>
      <c r="AA74" s="12">
        <f t="shared" si="14"/>
        <v>16521</v>
      </c>
      <c r="AB74" s="419">
        <f>+AA74/Z74-1</f>
        <v>3.997230265642715E-2</v>
      </c>
      <c r="AC74" s="419">
        <v>0</v>
      </c>
    </row>
    <row r="75" spans="1:29" ht="18" customHeight="1" x14ac:dyDescent="0.25">
      <c r="A75" s="15" t="s">
        <v>0</v>
      </c>
      <c r="B75" s="11" t="s">
        <v>91</v>
      </c>
      <c r="C75" s="11" t="s">
        <v>31</v>
      </c>
      <c r="D75" s="11" t="s">
        <v>5</v>
      </c>
      <c r="E75" s="11" t="s">
        <v>49</v>
      </c>
      <c r="F75" s="11" t="s">
        <v>92</v>
      </c>
      <c r="G75" s="27" t="s">
        <v>6</v>
      </c>
      <c r="H75" s="35">
        <v>0.04</v>
      </c>
      <c r="I75" s="36"/>
      <c r="J75" s="36"/>
      <c r="K75" s="36"/>
      <c r="L75" s="37"/>
      <c r="M75" s="22">
        <v>28840</v>
      </c>
      <c r="N75" s="23">
        <f t="shared" si="13"/>
        <v>29994</v>
      </c>
      <c r="O75" s="123">
        <f t="shared" si="9"/>
        <v>29994</v>
      </c>
      <c r="P75" s="12">
        <f t="shared" si="10"/>
        <v>29994</v>
      </c>
      <c r="Q75" s="12">
        <f t="shared" si="11"/>
        <v>29994</v>
      </c>
      <c r="R75" s="23">
        <f t="shared" si="12"/>
        <v>29994</v>
      </c>
      <c r="S75" s="107">
        <f>+S74</f>
        <v>3.997230265642715E-2</v>
      </c>
      <c r="T75" s="107">
        <f>+(N75-N74)/(M75-M74)-1</f>
        <v>4.0064844835572044E-2</v>
      </c>
      <c r="U75" s="107">
        <f>+(O75-O74)/(N75-N74)-1</f>
        <v>0</v>
      </c>
      <c r="V75" s="107">
        <f>+(P75-P74)/(O75-O74)-1</f>
        <v>0</v>
      </c>
      <c r="W75" s="107">
        <f>+(Q75-Q74)/(P75-P74)-1</f>
        <v>0</v>
      </c>
      <c r="X75" s="107">
        <f>+(R75-R74)/(Q75-Q74)-1</f>
        <v>0</v>
      </c>
      <c r="Y75" s="38">
        <f t="shared" si="15"/>
        <v>0.04</v>
      </c>
      <c r="Z75" s="22">
        <v>28840</v>
      </c>
      <c r="AA75" s="12">
        <f t="shared" si="14"/>
        <v>29994</v>
      </c>
      <c r="AB75" s="419">
        <f>+AB74</f>
        <v>3.997230265642715E-2</v>
      </c>
      <c r="AC75" s="419">
        <f>+(AA75-AA74)/(Z75-Z74)-1</f>
        <v>4.0064844835572044E-2</v>
      </c>
    </row>
    <row r="76" spans="1:29" ht="18" customHeight="1" x14ac:dyDescent="0.25">
      <c r="A76" s="15" t="s">
        <v>0</v>
      </c>
      <c r="B76" s="11" t="s">
        <v>93</v>
      </c>
      <c r="C76" s="11" t="s">
        <v>31</v>
      </c>
      <c r="D76" s="11" t="s">
        <v>3</v>
      </c>
      <c r="E76" s="11" t="s">
        <v>49</v>
      </c>
      <c r="F76" s="11" t="s">
        <v>94</v>
      </c>
      <c r="G76" s="27" t="s">
        <v>4</v>
      </c>
      <c r="H76" s="35">
        <v>0.04</v>
      </c>
      <c r="I76" s="36"/>
      <c r="J76" s="36"/>
      <c r="K76" s="36"/>
      <c r="L76" s="37"/>
      <c r="M76" s="22">
        <v>17472</v>
      </c>
      <c r="N76" s="23">
        <f t="shared" si="13"/>
        <v>18171</v>
      </c>
      <c r="O76" s="123">
        <f t="shared" ref="O76:O107" si="16">+ROUND(N76*(1+I76),0)</f>
        <v>18171</v>
      </c>
      <c r="P76" s="12">
        <f t="shared" ref="P76:P107" si="17">+ROUND(O76*(1+J76),0)</f>
        <v>18171</v>
      </c>
      <c r="Q76" s="12">
        <f t="shared" ref="Q76:Q107" si="18">+ROUND(P76*(1+K76),0)</f>
        <v>18171</v>
      </c>
      <c r="R76" s="23">
        <f t="shared" ref="R76:R107" si="19">+ROUND(Q76*(1+L76),0)</f>
        <v>18171</v>
      </c>
      <c r="S76" s="107">
        <f>+N76/M76-1</f>
        <v>4.0006868131868156E-2</v>
      </c>
      <c r="T76" s="107">
        <v>0</v>
      </c>
      <c r="U76" s="107">
        <v>0</v>
      </c>
      <c r="V76" s="107">
        <v>0</v>
      </c>
      <c r="W76" s="107">
        <v>0</v>
      </c>
      <c r="X76" s="107">
        <v>0</v>
      </c>
      <c r="Y76" s="38">
        <f t="shared" si="15"/>
        <v>0.04</v>
      </c>
      <c r="Z76" s="22">
        <v>17472</v>
      </c>
      <c r="AA76" s="12">
        <f t="shared" si="14"/>
        <v>18171</v>
      </c>
      <c r="AB76" s="419">
        <f>+AA76/Z76-1</f>
        <v>4.0006868131868156E-2</v>
      </c>
      <c r="AC76" s="419">
        <v>0</v>
      </c>
    </row>
    <row r="77" spans="1:29" ht="18" customHeight="1" x14ac:dyDescent="0.25">
      <c r="A77" s="15" t="s">
        <v>0</v>
      </c>
      <c r="B77" s="11" t="s">
        <v>93</v>
      </c>
      <c r="C77" s="11" t="s">
        <v>31</v>
      </c>
      <c r="D77" s="11" t="s">
        <v>5</v>
      </c>
      <c r="E77" s="11" t="s">
        <v>49</v>
      </c>
      <c r="F77" s="11" t="s">
        <v>94</v>
      </c>
      <c r="G77" s="27" t="s">
        <v>6</v>
      </c>
      <c r="H77" s="35">
        <v>0.04</v>
      </c>
      <c r="I77" s="36"/>
      <c r="J77" s="36"/>
      <c r="K77" s="36"/>
      <c r="L77" s="37"/>
      <c r="M77" s="22">
        <v>28840</v>
      </c>
      <c r="N77" s="23">
        <f t="shared" si="13"/>
        <v>29994</v>
      </c>
      <c r="O77" s="123">
        <f t="shared" si="16"/>
        <v>29994</v>
      </c>
      <c r="P77" s="12">
        <f t="shared" si="17"/>
        <v>29994</v>
      </c>
      <c r="Q77" s="12">
        <f t="shared" si="18"/>
        <v>29994</v>
      </c>
      <c r="R77" s="23">
        <f t="shared" si="19"/>
        <v>29994</v>
      </c>
      <c r="S77" s="107">
        <f>+S76</f>
        <v>4.0006868131868156E-2</v>
      </c>
      <c r="T77" s="107">
        <f>+(N77-N76)/(M77-M76)-1</f>
        <v>4.0024630541871886E-2</v>
      </c>
      <c r="U77" s="107">
        <f>+(O77-O76)/(N77-N76)-1</f>
        <v>0</v>
      </c>
      <c r="V77" s="107">
        <f>+(P77-P76)/(O77-O76)-1</f>
        <v>0</v>
      </c>
      <c r="W77" s="107">
        <f>+(Q77-Q76)/(P77-P76)-1</f>
        <v>0</v>
      </c>
      <c r="X77" s="107">
        <f>+(R77-R76)/(Q77-Q76)-1</f>
        <v>0</v>
      </c>
      <c r="Y77" s="38">
        <f t="shared" si="15"/>
        <v>0.04</v>
      </c>
      <c r="Z77" s="22">
        <v>28840</v>
      </c>
      <c r="AA77" s="12">
        <f t="shared" si="14"/>
        <v>29994</v>
      </c>
      <c r="AB77" s="419">
        <f>+AB76</f>
        <v>4.0006868131868156E-2</v>
      </c>
      <c r="AC77" s="419">
        <f>+(AA77-AA76)/(Z77-Z76)-1</f>
        <v>4.0024630541871886E-2</v>
      </c>
    </row>
    <row r="78" spans="1:29" ht="18" customHeight="1" x14ac:dyDescent="0.25">
      <c r="A78" s="15" t="s">
        <v>0</v>
      </c>
      <c r="B78" s="11" t="s">
        <v>95</v>
      </c>
      <c r="C78" s="11" t="s">
        <v>31</v>
      </c>
      <c r="D78" s="11" t="s">
        <v>3</v>
      </c>
      <c r="E78" s="11" t="s">
        <v>49</v>
      </c>
      <c r="F78" s="11" t="s">
        <v>96</v>
      </c>
      <c r="G78" s="27" t="s">
        <v>4</v>
      </c>
      <c r="H78" s="35">
        <v>0.04</v>
      </c>
      <c r="I78" s="36"/>
      <c r="J78" s="36"/>
      <c r="K78" s="36"/>
      <c r="L78" s="37"/>
      <c r="M78" s="22">
        <v>22247</v>
      </c>
      <c r="N78" s="23">
        <f t="shared" ref="N78:N109" si="20">+ROUND(M78*(1+H78),0)</f>
        <v>23137</v>
      </c>
      <c r="O78" s="123">
        <f t="shared" si="16"/>
        <v>23137</v>
      </c>
      <c r="P78" s="12">
        <f t="shared" si="17"/>
        <v>23137</v>
      </c>
      <c r="Q78" s="12">
        <f t="shared" si="18"/>
        <v>23137</v>
      </c>
      <c r="R78" s="23">
        <f t="shared" si="19"/>
        <v>23137</v>
      </c>
      <c r="S78" s="107">
        <f>+N78/M78-1</f>
        <v>4.0005393985705906E-2</v>
      </c>
      <c r="T78" s="107">
        <v>0</v>
      </c>
      <c r="U78" s="107">
        <v>0</v>
      </c>
      <c r="V78" s="107">
        <v>0</v>
      </c>
      <c r="W78" s="107">
        <v>0</v>
      </c>
      <c r="X78" s="107">
        <v>0</v>
      </c>
      <c r="Y78" s="38">
        <f t="shared" si="15"/>
        <v>0.04</v>
      </c>
      <c r="Z78" s="22">
        <v>22247</v>
      </c>
      <c r="AA78" s="12">
        <f t="shared" ref="AA78:AA109" si="21">+ROUND(Z78*(1+Y78),0)</f>
        <v>23137</v>
      </c>
      <c r="AB78" s="419">
        <f>+AA78/Z78-1</f>
        <v>4.0005393985705906E-2</v>
      </c>
      <c r="AC78" s="419">
        <v>0</v>
      </c>
    </row>
    <row r="79" spans="1:29" ht="18" customHeight="1" x14ac:dyDescent="0.25">
      <c r="A79" s="15" t="s">
        <v>0</v>
      </c>
      <c r="B79" s="11" t="s">
        <v>95</v>
      </c>
      <c r="C79" s="11" t="s">
        <v>31</v>
      </c>
      <c r="D79" s="11" t="s">
        <v>5</v>
      </c>
      <c r="E79" s="11" t="s">
        <v>49</v>
      </c>
      <c r="F79" s="11" t="s">
        <v>96</v>
      </c>
      <c r="G79" s="27" t="s">
        <v>6</v>
      </c>
      <c r="H79" s="35">
        <v>0.04</v>
      </c>
      <c r="I79" s="36"/>
      <c r="J79" s="36"/>
      <c r="K79" s="36"/>
      <c r="L79" s="37"/>
      <c r="M79" s="22">
        <v>28840</v>
      </c>
      <c r="N79" s="23">
        <f t="shared" si="20"/>
        <v>29994</v>
      </c>
      <c r="O79" s="123">
        <f t="shared" si="16"/>
        <v>29994</v>
      </c>
      <c r="P79" s="12">
        <f t="shared" si="17"/>
        <v>29994</v>
      </c>
      <c r="Q79" s="12">
        <f t="shared" si="18"/>
        <v>29994</v>
      </c>
      <c r="R79" s="23">
        <f t="shared" si="19"/>
        <v>29994</v>
      </c>
      <c r="S79" s="107">
        <f>+S78</f>
        <v>4.0005393985705906E-2</v>
      </c>
      <c r="T79" s="107">
        <f>+(N79-N78)/(M79-M78)-1</f>
        <v>4.0042469285605842E-2</v>
      </c>
      <c r="U79" s="107">
        <f>+(O79-O78)/(N79-N78)-1</f>
        <v>0</v>
      </c>
      <c r="V79" s="107">
        <f>+(P79-P78)/(O79-O78)-1</f>
        <v>0</v>
      </c>
      <c r="W79" s="107">
        <f>+(Q79-Q78)/(P79-P78)-1</f>
        <v>0</v>
      </c>
      <c r="X79" s="107">
        <f>+(R79-R78)/(Q79-Q78)-1</f>
        <v>0</v>
      </c>
      <c r="Y79" s="38">
        <f t="shared" si="15"/>
        <v>0.04</v>
      </c>
      <c r="Z79" s="22">
        <v>28840</v>
      </c>
      <c r="AA79" s="12">
        <f t="shared" si="21"/>
        <v>29994</v>
      </c>
      <c r="AB79" s="419">
        <f>+AB78</f>
        <v>4.0005393985705906E-2</v>
      </c>
      <c r="AC79" s="419">
        <f>+(AA79-AA78)/(Z79-Z78)-1</f>
        <v>4.0042469285605842E-2</v>
      </c>
    </row>
    <row r="80" spans="1:29" ht="18" customHeight="1" x14ac:dyDescent="0.25">
      <c r="A80" s="15" t="s">
        <v>3</v>
      </c>
      <c r="B80" s="11" t="s">
        <v>1</v>
      </c>
      <c r="C80" s="11" t="s">
        <v>1</v>
      </c>
      <c r="D80" s="11" t="s">
        <v>3</v>
      </c>
      <c r="E80" s="11" t="s">
        <v>2</v>
      </c>
      <c r="F80" s="11" t="s">
        <v>2</v>
      </c>
      <c r="G80" s="27" t="s">
        <v>4</v>
      </c>
      <c r="H80" s="38">
        <f t="shared" ref="H80:L91" si="22">+H4</f>
        <v>-0.10525</v>
      </c>
      <c r="I80" s="39">
        <f t="shared" si="22"/>
        <v>0</v>
      </c>
      <c r="J80" s="39">
        <f t="shared" si="22"/>
        <v>0</v>
      </c>
      <c r="K80" s="39">
        <f t="shared" si="22"/>
        <v>0</v>
      </c>
      <c r="L80" s="40">
        <f t="shared" si="22"/>
        <v>0</v>
      </c>
      <c r="M80" s="22">
        <v>10203</v>
      </c>
      <c r="N80" s="23">
        <f t="shared" si="20"/>
        <v>9129</v>
      </c>
      <c r="O80" s="123">
        <f t="shared" si="16"/>
        <v>9129</v>
      </c>
      <c r="P80" s="12">
        <f t="shared" si="17"/>
        <v>9129</v>
      </c>
      <c r="Q80" s="12">
        <f t="shared" si="18"/>
        <v>9129</v>
      </c>
      <c r="R80" s="23">
        <f t="shared" si="19"/>
        <v>9129</v>
      </c>
      <c r="S80" s="107">
        <f>+N80/M80-1</f>
        <v>-0.10526315789473684</v>
      </c>
      <c r="T80" s="107">
        <v>0</v>
      </c>
      <c r="U80" s="107">
        <v>0</v>
      </c>
      <c r="V80" s="107">
        <v>0</v>
      </c>
      <c r="W80" s="107">
        <v>0</v>
      </c>
      <c r="X80" s="107">
        <v>0</v>
      </c>
      <c r="Y80" s="38">
        <v>0</v>
      </c>
      <c r="Z80" s="22">
        <v>10203</v>
      </c>
      <c r="AA80" s="12">
        <f t="shared" si="21"/>
        <v>10203</v>
      </c>
      <c r="AB80" s="419">
        <f>+AA80/Z80-1</f>
        <v>0</v>
      </c>
      <c r="AC80" s="419">
        <v>0</v>
      </c>
    </row>
    <row r="81" spans="1:29" ht="18" customHeight="1" x14ac:dyDescent="0.25">
      <c r="A81" s="15" t="s">
        <v>3</v>
      </c>
      <c r="B81" s="11" t="s">
        <v>1</v>
      </c>
      <c r="C81" s="11" t="s">
        <v>1</v>
      </c>
      <c r="D81" s="11" t="s">
        <v>5</v>
      </c>
      <c r="E81" s="11" t="s">
        <v>2</v>
      </c>
      <c r="F81" s="11" t="s">
        <v>2</v>
      </c>
      <c r="G81" s="27" t="s">
        <v>6</v>
      </c>
      <c r="H81" s="38">
        <f t="shared" si="22"/>
        <v>0.02</v>
      </c>
      <c r="I81" s="39">
        <f t="shared" si="22"/>
        <v>0</v>
      </c>
      <c r="J81" s="39">
        <f t="shared" si="22"/>
        <v>0</v>
      </c>
      <c r="K81" s="39">
        <f t="shared" si="22"/>
        <v>0</v>
      </c>
      <c r="L81" s="40">
        <f t="shared" si="22"/>
        <v>0</v>
      </c>
      <c r="M81" s="22">
        <v>31584</v>
      </c>
      <c r="N81" s="23">
        <f t="shared" si="20"/>
        <v>32216</v>
      </c>
      <c r="O81" s="123">
        <f t="shared" si="16"/>
        <v>32216</v>
      </c>
      <c r="P81" s="12">
        <f t="shared" si="17"/>
        <v>32216</v>
      </c>
      <c r="Q81" s="12">
        <f t="shared" si="18"/>
        <v>32216</v>
      </c>
      <c r="R81" s="23">
        <f t="shared" si="19"/>
        <v>32216</v>
      </c>
      <c r="S81" s="107">
        <f>+S80</f>
        <v>-0.10526315789473684</v>
      </c>
      <c r="T81" s="107">
        <f>+(N81-N80)/(M81-M80)-1</f>
        <v>7.9790468172676654E-2</v>
      </c>
      <c r="U81" s="107">
        <f>+(O81-O80)/(N81-N80)-1</f>
        <v>0</v>
      </c>
      <c r="V81" s="107">
        <f>+(P81-P80)/(O81-O80)-1</f>
        <v>0</v>
      </c>
      <c r="W81" s="107">
        <f>+(Q81-Q80)/(P81-P80)-1</f>
        <v>0</v>
      </c>
      <c r="X81" s="107">
        <f>+(R81-R80)/(Q81-Q80)-1</f>
        <v>0</v>
      </c>
      <c r="Y81" s="38">
        <f t="shared" si="15"/>
        <v>0.02</v>
      </c>
      <c r="Z81" s="22">
        <v>31584</v>
      </c>
      <c r="AA81" s="12">
        <f t="shared" si="21"/>
        <v>32216</v>
      </c>
      <c r="AB81" s="419">
        <f>+AB80</f>
        <v>0</v>
      </c>
      <c r="AC81" s="419">
        <f>+(AA81-AA80)/(Z81-Z80)-1</f>
        <v>2.9558954211683197E-2</v>
      </c>
    </row>
    <row r="82" spans="1:29" ht="18" customHeight="1" x14ac:dyDescent="0.25">
      <c r="A82" s="15" t="s">
        <v>3</v>
      </c>
      <c r="B82" s="11" t="s">
        <v>8</v>
      </c>
      <c r="C82" s="11" t="s">
        <v>1</v>
      </c>
      <c r="D82" s="11" t="s">
        <v>3</v>
      </c>
      <c r="E82" s="11" t="s">
        <v>2</v>
      </c>
      <c r="F82" s="11" t="s">
        <v>51</v>
      </c>
      <c r="G82" s="27" t="s">
        <v>4</v>
      </c>
      <c r="H82" s="38">
        <f t="shared" si="22"/>
        <v>-0.10525</v>
      </c>
      <c r="I82" s="39">
        <f t="shared" si="22"/>
        <v>0</v>
      </c>
      <c r="J82" s="39">
        <f t="shared" si="22"/>
        <v>0</v>
      </c>
      <c r="K82" s="39">
        <f t="shared" si="22"/>
        <v>0</v>
      </c>
      <c r="L82" s="40">
        <f t="shared" si="22"/>
        <v>0</v>
      </c>
      <c r="M82" s="22">
        <v>10203</v>
      </c>
      <c r="N82" s="23">
        <f t="shared" si="20"/>
        <v>9129</v>
      </c>
      <c r="O82" s="123">
        <f t="shared" si="16"/>
        <v>9129</v>
      </c>
      <c r="P82" s="12">
        <f t="shared" si="17"/>
        <v>9129</v>
      </c>
      <c r="Q82" s="12">
        <f t="shared" si="18"/>
        <v>9129</v>
      </c>
      <c r="R82" s="23">
        <f t="shared" si="19"/>
        <v>9129</v>
      </c>
      <c r="S82" s="107">
        <f>+N82/M82-1</f>
        <v>-0.10526315789473684</v>
      </c>
      <c r="T82" s="107">
        <v>0</v>
      </c>
      <c r="U82" s="107">
        <v>0</v>
      </c>
      <c r="V82" s="107">
        <v>0</v>
      </c>
      <c r="W82" s="107">
        <v>0</v>
      </c>
      <c r="X82" s="107">
        <v>0</v>
      </c>
      <c r="Y82" s="38">
        <v>0</v>
      </c>
      <c r="Z82" s="22">
        <v>10203</v>
      </c>
      <c r="AA82" s="12">
        <f t="shared" si="21"/>
        <v>10203</v>
      </c>
      <c r="AB82" s="419">
        <f>+AA82/Z82-1</f>
        <v>0</v>
      </c>
      <c r="AC82" s="419">
        <v>0</v>
      </c>
    </row>
    <row r="83" spans="1:29" ht="18" customHeight="1" x14ac:dyDescent="0.25">
      <c r="A83" s="15" t="s">
        <v>3</v>
      </c>
      <c r="B83" s="11" t="s">
        <v>8</v>
      </c>
      <c r="C83" s="11" t="s">
        <v>1</v>
      </c>
      <c r="D83" s="11" t="s">
        <v>5</v>
      </c>
      <c r="E83" s="11" t="s">
        <v>2</v>
      </c>
      <c r="F83" s="11" t="s">
        <v>51</v>
      </c>
      <c r="G83" s="27" t="s">
        <v>6</v>
      </c>
      <c r="H83" s="38">
        <f t="shared" si="22"/>
        <v>0.02</v>
      </c>
      <c r="I83" s="39">
        <f t="shared" si="22"/>
        <v>0</v>
      </c>
      <c r="J83" s="39">
        <f t="shared" si="22"/>
        <v>0</v>
      </c>
      <c r="K83" s="39">
        <f t="shared" si="22"/>
        <v>0</v>
      </c>
      <c r="L83" s="40">
        <f t="shared" si="22"/>
        <v>0</v>
      </c>
      <c r="M83" s="22">
        <v>31584</v>
      </c>
      <c r="N83" s="23">
        <f t="shared" si="20"/>
        <v>32216</v>
      </c>
      <c r="O83" s="123">
        <f t="shared" si="16"/>
        <v>32216</v>
      </c>
      <c r="P83" s="12">
        <f t="shared" si="17"/>
        <v>32216</v>
      </c>
      <c r="Q83" s="12">
        <f t="shared" si="18"/>
        <v>32216</v>
      </c>
      <c r="R83" s="23">
        <f t="shared" si="19"/>
        <v>32216</v>
      </c>
      <c r="S83" s="107">
        <f>+S82</f>
        <v>-0.10526315789473684</v>
      </c>
      <c r="T83" s="107">
        <f>+(N83-N82)/(M83-M82)-1</f>
        <v>7.9790468172676654E-2</v>
      </c>
      <c r="U83" s="107">
        <f>+(O83-O82)/(N83-N82)-1</f>
        <v>0</v>
      </c>
      <c r="V83" s="107">
        <f>+(P83-P82)/(O83-O82)-1</f>
        <v>0</v>
      </c>
      <c r="W83" s="107">
        <f>+(Q83-Q82)/(P83-P82)-1</f>
        <v>0</v>
      </c>
      <c r="X83" s="107">
        <f>+(R83-R82)/(Q83-Q82)-1</f>
        <v>0</v>
      </c>
      <c r="Y83" s="38">
        <f t="shared" si="15"/>
        <v>0.02</v>
      </c>
      <c r="Z83" s="22">
        <v>31584</v>
      </c>
      <c r="AA83" s="12">
        <f t="shared" si="21"/>
        <v>32216</v>
      </c>
      <c r="AB83" s="419">
        <f>+AB82</f>
        <v>0</v>
      </c>
      <c r="AC83" s="419">
        <f>+(AA83-AA82)/(Z83-Z82)-1</f>
        <v>2.9558954211683197E-2</v>
      </c>
    </row>
    <row r="84" spans="1:29" ht="18" customHeight="1" x14ac:dyDescent="0.25">
      <c r="A84" s="15" t="s">
        <v>3</v>
      </c>
      <c r="B84" s="11" t="s">
        <v>13</v>
      </c>
      <c r="C84" s="11" t="s">
        <v>8</v>
      </c>
      <c r="D84" s="11" t="s">
        <v>3</v>
      </c>
      <c r="E84" s="11" t="s">
        <v>9</v>
      </c>
      <c r="F84" s="11" t="s">
        <v>9</v>
      </c>
      <c r="G84" s="27" t="s">
        <v>4</v>
      </c>
      <c r="H84" s="38">
        <f t="shared" si="22"/>
        <v>0</v>
      </c>
      <c r="I84" s="39">
        <f t="shared" si="22"/>
        <v>0</v>
      </c>
      <c r="J84" s="39">
        <f t="shared" si="22"/>
        <v>0</v>
      </c>
      <c r="K84" s="39">
        <f t="shared" si="22"/>
        <v>0</v>
      </c>
      <c r="L84" s="40">
        <f t="shared" si="22"/>
        <v>0</v>
      </c>
      <c r="M84" s="22">
        <v>14751</v>
      </c>
      <c r="N84" s="23">
        <f t="shared" si="20"/>
        <v>14751</v>
      </c>
      <c r="O84" s="123">
        <f t="shared" si="16"/>
        <v>14751</v>
      </c>
      <c r="P84" s="12">
        <f t="shared" si="17"/>
        <v>14751</v>
      </c>
      <c r="Q84" s="12">
        <f t="shared" si="18"/>
        <v>14751</v>
      </c>
      <c r="R84" s="23">
        <f t="shared" si="19"/>
        <v>14751</v>
      </c>
      <c r="S84" s="107">
        <f>+N84/M84-1</f>
        <v>0</v>
      </c>
      <c r="T84" s="107">
        <v>0</v>
      </c>
      <c r="U84" s="107">
        <v>0</v>
      </c>
      <c r="V84" s="107">
        <v>0</v>
      </c>
      <c r="W84" s="107">
        <v>0</v>
      </c>
      <c r="X84" s="107">
        <v>0</v>
      </c>
      <c r="Y84" s="38">
        <f t="shared" si="15"/>
        <v>0</v>
      </c>
      <c r="Z84" s="22">
        <v>14751</v>
      </c>
      <c r="AA84" s="12">
        <f t="shared" si="21"/>
        <v>14751</v>
      </c>
      <c r="AB84" s="419">
        <f>+AA84/Z84-1</f>
        <v>0</v>
      </c>
      <c r="AC84" s="419">
        <v>0</v>
      </c>
    </row>
    <row r="85" spans="1:29" ht="18" customHeight="1" x14ac:dyDescent="0.25">
      <c r="A85" s="15" t="s">
        <v>3</v>
      </c>
      <c r="B85" s="11" t="s">
        <v>13</v>
      </c>
      <c r="C85" s="11" t="s">
        <v>8</v>
      </c>
      <c r="D85" s="11" t="s">
        <v>5</v>
      </c>
      <c r="E85" s="11" t="s">
        <v>9</v>
      </c>
      <c r="F85" s="11" t="s">
        <v>9</v>
      </c>
      <c r="G85" s="27" t="s">
        <v>6</v>
      </c>
      <c r="H85" s="38">
        <f t="shared" si="22"/>
        <v>0</v>
      </c>
      <c r="I85" s="39">
        <f t="shared" si="22"/>
        <v>0</v>
      </c>
      <c r="J85" s="39">
        <f t="shared" si="22"/>
        <v>0</v>
      </c>
      <c r="K85" s="39">
        <f t="shared" si="22"/>
        <v>0</v>
      </c>
      <c r="L85" s="40">
        <f t="shared" si="22"/>
        <v>0</v>
      </c>
      <c r="M85" s="22">
        <v>26301</v>
      </c>
      <c r="N85" s="23">
        <f t="shared" si="20"/>
        <v>26301</v>
      </c>
      <c r="O85" s="123">
        <f t="shared" si="16"/>
        <v>26301</v>
      </c>
      <c r="P85" s="12">
        <f t="shared" si="17"/>
        <v>26301</v>
      </c>
      <c r="Q85" s="12">
        <f t="shared" si="18"/>
        <v>26301</v>
      </c>
      <c r="R85" s="23">
        <f t="shared" si="19"/>
        <v>26301</v>
      </c>
      <c r="S85" s="107">
        <f>+S84</f>
        <v>0</v>
      </c>
      <c r="T85" s="107">
        <f>+(N85-N84)/(M85-M84)-1</f>
        <v>0</v>
      </c>
      <c r="U85" s="107">
        <f>+(O85-O84)/(N85-N84)-1</f>
        <v>0</v>
      </c>
      <c r="V85" s="107">
        <f>+(P85-P84)/(O85-O84)-1</f>
        <v>0</v>
      </c>
      <c r="W85" s="107">
        <f>+(Q85-Q84)/(P85-P84)-1</f>
        <v>0</v>
      </c>
      <c r="X85" s="107">
        <f>+(R85-R84)/(Q85-Q84)-1</f>
        <v>0</v>
      </c>
      <c r="Y85" s="38">
        <f t="shared" si="15"/>
        <v>0</v>
      </c>
      <c r="Z85" s="22">
        <v>26301</v>
      </c>
      <c r="AA85" s="12">
        <f t="shared" si="21"/>
        <v>26301</v>
      </c>
      <c r="AB85" s="419">
        <f>+AB84</f>
        <v>0</v>
      </c>
      <c r="AC85" s="419">
        <f>+(AA85-AA84)/(Z85-Z84)-1</f>
        <v>0</v>
      </c>
    </row>
    <row r="86" spans="1:29" ht="18" customHeight="1" x14ac:dyDescent="0.25">
      <c r="A86" s="15" t="s">
        <v>3</v>
      </c>
      <c r="B86" s="11" t="s">
        <v>10</v>
      </c>
      <c r="C86" s="11" t="s">
        <v>7</v>
      </c>
      <c r="D86" s="11" t="s">
        <v>3</v>
      </c>
      <c r="E86" s="11" t="s">
        <v>11</v>
      </c>
      <c r="F86" s="11" t="s">
        <v>11</v>
      </c>
      <c r="G86" s="27" t="s">
        <v>4</v>
      </c>
      <c r="H86" s="38">
        <f t="shared" si="22"/>
        <v>0</v>
      </c>
      <c r="I86" s="39">
        <f t="shared" si="22"/>
        <v>0</v>
      </c>
      <c r="J86" s="39">
        <f t="shared" si="22"/>
        <v>0</v>
      </c>
      <c r="K86" s="39">
        <f t="shared" si="22"/>
        <v>0</v>
      </c>
      <c r="L86" s="40">
        <f t="shared" si="22"/>
        <v>0</v>
      </c>
      <c r="M86" s="22">
        <v>15126</v>
      </c>
      <c r="N86" s="23">
        <f t="shared" si="20"/>
        <v>15126</v>
      </c>
      <c r="O86" s="123">
        <f t="shared" si="16"/>
        <v>15126</v>
      </c>
      <c r="P86" s="12">
        <f t="shared" si="17"/>
        <v>15126</v>
      </c>
      <c r="Q86" s="12">
        <f t="shared" si="18"/>
        <v>15126</v>
      </c>
      <c r="R86" s="23">
        <f t="shared" si="19"/>
        <v>15126</v>
      </c>
      <c r="S86" s="107">
        <f>+N86/M86-1</f>
        <v>0</v>
      </c>
      <c r="T86" s="107">
        <v>0</v>
      </c>
      <c r="U86" s="107">
        <v>0</v>
      </c>
      <c r="V86" s="107">
        <v>0</v>
      </c>
      <c r="W86" s="107">
        <v>0</v>
      </c>
      <c r="X86" s="107">
        <v>0</v>
      </c>
      <c r="Y86" s="38">
        <f t="shared" si="15"/>
        <v>0</v>
      </c>
      <c r="Z86" s="22">
        <v>15126</v>
      </c>
      <c r="AA86" s="12">
        <f t="shared" si="21"/>
        <v>15126</v>
      </c>
      <c r="AB86" s="419">
        <f>+AA86/Z86-1</f>
        <v>0</v>
      </c>
      <c r="AC86" s="419">
        <v>0</v>
      </c>
    </row>
    <row r="87" spans="1:29" ht="18" customHeight="1" x14ac:dyDescent="0.25">
      <c r="A87" s="15" t="s">
        <v>3</v>
      </c>
      <c r="B87" s="11" t="s">
        <v>10</v>
      </c>
      <c r="C87" s="11" t="s">
        <v>7</v>
      </c>
      <c r="D87" s="11" t="s">
        <v>5</v>
      </c>
      <c r="E87" s="11" t="s">
        <v>11</v>
      </c>
      <c r="F87" s="11" t="s">
        <v>11</v>
      </c>
      <c r="G87" s="27" t="s">
        <v>6</v>
      </c>
      <c r="H87" s="38">
        <f t="shared" si="22"/>
        <v>0</v>
      </c>
      <c r="I87" s="39">
        <f t="shared" si="22"/>
        <v>0</v>
      </c>
      <c r="J87" s="39">
        <f t="shared" si="22"/>
        <v>0</v>
      </c>
      <c r="K87" s="39">
        <f t="shared" si="22"/>
        <v>0</v>
      </c>
      <c r="L87" s="40">
        <f t="shared" si="22"/>
        <v>0</v>
      </c>
      <c r="M87" s="22">
        <v>26863</v>
      </c>
      <c r="N87" s="23">
        <f t="shared" si="20"/>
        <v>26863</v>
      </c>
      <c r="O87" s="123">
        <f t="shared" si="16"/>
        <v>26863</v>
      </c>
      <c r="P87" s="12">
        <f t="shared" si="17"/>
        <v>26863</v>
      </c>
      <c r="Q87" s="12">
        <f t="shared" si="18"/>
        <v>26863</v>
      </c>
      <c r="R87" s="23">
        <f t="shared" si="19"/>
        <v>26863</v>
      </c>
      <c r="S87" s="107">
        <f>+S86</f>
        <v>0</v>
      </c>
      <c r="T87" s="107">
        <f>+(N87-N86)/(M87-M86)-1</f>
        <v>0</v>
      </c>
      <c r="U87" s="107">
        <f>+(O87-O86)/(N87-N86)-1</f>
        <v>0</v>
      </c>
      <c r="V87" s="107">
        <f>+(P87-P86)/(O87-O86)-1</f>
        <v>0</v>
      </c>
      <c r="W87" s="107">
        <f>+(Q87-Q86)/(P87-P86)-1</f>
        <v>0</v>
      </c>
      <c r="X87" s="107">
        <f>+(R87-R86)/(Q87-Q86)-1</f>
        <v>0</v>
      </c>
      <c r="Y87" s="38">
        <f t="shared" si="15"/>
        <v>0</v>
      </c>
      <c r="Z87" s="22">
        <v>26863</v>
      </c>
      <c r="AA87" s="12">
        <f t="shared" si="21"/>
        <v>26863</v>
      </c>
      <c r="AB87" s="419">
        <f>+AB86</f>
        <v>0</v>
      </c>
      <c r="AC87" s="419">
        <f>+(AA87-AA86)/(Z87-Z86)-1</f>
        <v>0</v>
      </c>
    </row>
    <row r="88" spans="1:29" ht="18" customHeight="1" x14ac:dyDescent="0.25">
      <c r="A88" s="15" t="s">
        <v>3</v>
      </c>
      <c r="B88" s="11" t="s">
        <v>7</v>
      </c>
      <c r="C88" s="11" t="s">
        <v>13</v>
      </c>
      <c r="D88" s="11" t="s">
        <v>3</v>
      </c>
      <c r="E88" s="11" t="s">
        <v>14</v>
      </c>
      <c r="F88" s="11" t="s">
        <v>52</v>
      </c>
      <c r="G88" s="27" t="s">
        <v>4</v>
      </c>
      <c r="H88" s="38">
        <f t="shared" si="22"/>
        <v>0.03</v>
      </c>
      <c r="I88" s="39">
        <f t="shared" si="22"/>
        <v>0</v>
      </c>
      <c r="J88" s="39">
        <f t="shared" si="22"/>
        <v>0</v>
      </c>
      <c r="K88" s="39">
        <f t="shared" si="22"/>
        <v>0</v>
      </c>
      <c r="L88" s="40">
        <f t="shared" si="22"/>
        <v>0</v>
      </c>
      <c r="M88" s="22">
        <v>15932</v>
      </c>
      <c r="N88" s="23">
        <f t="shared" si="20"/>
        <v>16410</v>
      </c>
      <c r="O88" s="123">
        <f t="shared" si="16"/>
        <v>16410</v>
      </c>
      <c r="P88" s="12">
        <f t="shared" si="17"/>
        <v>16410</v>
      </c>
      <c r="Q88" s="12">
        <f t="shared" si="18"/>
        <v>16410</v>
      </c>
      <c r="R88" s="23">
        <f t="shared" si="19"/>
        <v>16410</v>
      </c>
      <c r="S88" s="107">
        <f>+N88/M88-1</f>
        <v>3.0002510670348981E-2</v>
      </c>
      <c r="T88" s="107">
        <v>0</v>
      </c>
      <c r="U88" s="107">
        <v>0</v>
      </c>
      <c r="V88" s="107">
        <v>0</v>
      </c>
      <c r="W88" s="107">
        <v>0</v>
      </c>
      <c r="X88" s="107">
        <v>0</v>
      </c>
      <c r="Y88" s="38">
        <f t="shared" si="15"/>
        <v>0.03</v>
      </c>
      <c r="Z88" s="22">
        <v>15932</v>
      </c>
      <c r="AA88" s="12">
        <f t="shared" si="21"/>
        <v>16410</v>
      </c>
      <c r="AB88" s="419">
        <f>+AA88/Z88-1</f>
        <v>3.0002510670348981E-2</v>
      </c>
      <c r="AC88" s="419">
        <v>0</v>
      </c>
    </row>
    <row r="89" spans="1:29" ht="18" customHeight="1" x14ac:dyDescent="0.25">
      <c r="A89" s="15" t="s">
        <v>3</v>
      </c>
      <c r="B89" s="11" t="s">
        <v>7</v>
      </c>
      <c r="C89" s="11" t="s">
        <v>13</v>
      </c>
      <c r="D89" s="11" t="s">
        <v>5</v>
      </c>
      <c r="E89" s="11" t="s">
        <v>14</v>
      </c>
      <c r="F89" s="11" t="s">
        <v>52</v>
      </c>
      <c r="G89" s="27" t="s">
        <v>6</v>
      </c>
      <c r="H89" s="38">
        <f t="shared" si="22"/>
        <v>0.03</v>
      </c>
      <c r="I89" s="39">
        <f t="shared" si="22"/>
        <v>0</v>
      </c>
      <c r="J89" s="39">
        <f t="shared" si="22"/>
        <v>0</v>
      </c>
      <c r="K89" s="39">
        <f t="shared" si="22"/>
        <v>0</v>
      </c>
      <c r="L89" s="40">
        <f t="shared" si="22"/>
        <v>0</v>
      </c>
      <c r="M89" s="22">
        <v>28249</v>
      </c>
      <c r="N89" s="23">
        <f t="shared" si="20"/>
        <v>29096</v>
      </c>
      <c r="O89" s="123">
        <f t="shared" si="16"/>
        <v>29096</v>
      </c>
      <c r="P89" s="12">
        <f t="shared" si="17"/>
        <v>29096</v>
      </c>
      <c r="Q89" s="12">
        <f t="shared" si="18"/>
        <v>29096</v>
      </c>
      <c r="R89" s="23">
        <f t="shared" si="19"/>
        <v>29096</v>
      </c>
      <c r="S89" s="107">
        <f>+S88</f>
        <v>3.0002510670348981E-2</v>
      </c>
      <c r="T89" s="107">
        <f>+(N89-N88)/(M89-M88)-1</f>
        <v>2.995859381342858E-2</v>
      </c>
      <c r="U89" s="107">
        <f>+(O89-O88)/(N89-N88)-1</f>
        <v>0</v>
      </c>
      <c r="V89" s="107">
        <f>+(P89-P88)/(O89-O88)-1</f>
        <v>0</v>
      </c>
      <c r="W89" s="107">
        <f>+(Q89-Q88)/(P89-P88)-1</f>
        <v>0</v>
      </c>
      <c r="X89" s="107">
        <f>+(R89-R88)/(Q89-Q88)-1</f>
        <v>0</v>
      </c>
      <c r="Y89" s="38">
        <f t="shared" si="15"/>
        <v>0.03</v>
      </c>
      <c r="Z89" s="22">
        <v>28249</v>
      </c>
      <c r="AA89" s="12">
        <f t="shared" si="21"/>
        <v>29096</v>
      </c>
      <c r="AB89" s="419">
        <f>+AB88</f>
        <v>3.0002510670348981E-2</v>
      </c>
      <c r="AC89" s="419">
        <f>+(AA89-AA88)/(Z89-Z88)-1</f>
        <v>2.995859381342858E-2</v>
      </c>
    </row>
    <row r="90" spans="1:29" ht="18" customHeight="1" x14ac:dyDescent="0.25">
      <c r="A90" s="15" t="s">
        <v>3</v>
      </c>
      <c r="B90" s="11" t="s">
        <v>16</v>
      </c>
      <c r="C90" s="11" t="s">
        <v>13</v>
      </c>
      <c r="D90" s="11" t="s">
        <v>3</v>
      </c>
      <c r="E90" s="11" t="s">
        <v>14</v>
      </c>
      <c r="F90" s="11" t="s">
        <v>14</v>
      </c>
      <c r="G90" s="27" t="s">
        <v>4</v>
      </c>
      <c r="H90" s="38">
        <f t="shared" si="22"/>
        <v>0.03</v>
      </c>
      <c r="I90" s="39">
        <f t="shared" si="22"/>
        <v>0</v>
      </c>
      <c r="J90" s="39">
        <f t="shared" si="22"/>
        <v>0</v>
      </c>
      <c r="K90" s="39">
        <f t="shared" si="22"/>
        <v>0</v>
      </c>
      <c r="L90" s="40">
        <f t="shared" si="22"/>
        <v>0</v>
      </c>
      <c r="M90" s="22">
        <v>15932</v>
      </c>
      <c r="N90" s="23">
        <f t="shared" si="20"/>
        <v>16410</v>
      </c>
      <c r="O90" s="123">
        <f t="shared" si="16"/>
        <v>16410</v>
      </c>
      <c r="P90" s="12">
        <f t="shared" si="17"/>
        <v>16410</v>
      </c>
      <c r="Q90" s="12">
        <f t="shared" si="18"/>
        <v>16410</v>
      </c>
      <c r="R90" s="23">
        <f t="shared" si="19"/>
        <v>16410</v>
      </c>
      <c r="S90" s="107">
        <f>+N90/M90-1</f>
        <v>3.0002510670348981E-2</v>
      </c>
      <c r="T90" s="107">
        <v>0</v>
      </c>
      <c r="U90" s="107">
        <v>0</v>
      </c>
      <c r="V90" s="107">
        <v>0</v>
      </c>
      <c r="W90" s="107">
        <v>0</v>
      </c>
      <c r="X90" s="107">
        <v>0</v>
      </c>
      <c r="Y90" s="38">
        <f t="shared" si="15"/>
        <v>0.03</v>
      </c>
      <c r="Z90" s="22">
        <v>15932</v>
      </c>
      <c r="AA90" s="12">
        <f t="shared" si="21"/>
        <v>16410</v>
      </c>
      <c r="AB90" s="419">
        <f>+AA90/Z90-1</f>
        <v>3.0002510670348981E-2</v>
      </c>
      <c r="AC90" s="419">
        <v>0</v>
      </c>
    </row>
    <row r="91" spans="1:29" ht="18" customHeight="1" x14ac:dyDescent="0.25">
      <c r="A91" s="15" t="s">
        <v>3</v>
      </c>
      <c r="B91" s="11" t="s">
        <v>16</v>
      </c>
      <c r="C91" s="11" t="s">
        <v>13</v>
      </c>
      <c r="D91" s="11" t="s">
        <v>5</v>
      </c>
      <c r="E91" s="11" t="s">
        <v>14</v>
      </c>
      <c r="F91" s="11" t="s">
        <v>14</v>
      </c>
      <c r="G91" s="27" t="s">
        <v>6</v>
      </c>
      <c r="H91" s="38">
        <f t="shared" si="22"/>
        <v>0.03</v>
      </c>
      <c r="I91" s="39">
        <f t="shared" si="22"/>
        <v>0</v>
      </c>
      <c r="J91" s="39">
        <f t="shared" si="22"/>
        <v>0</v>
      </c>
      <c r="K91" s="39">
        <f t="shared" si="22"/>
        <v>0</v>
      </c>
      <c r="L91" s="40">
        <f t="shared" si="22"/>
        <v>0</v>
      </c>
      <c r="M91" s="22">
        <v>28249</v>
      </c>
      <c r="N91" s="23">
        <f t="shared" si="20"/>
        <v>29096</v>
      </c>
      <c r="O91" s="123">
        <f t="shared" si="16"/>
        <v>29096</v>
      </c>
      <c r="P91" s="12">
        <f t="shared" si="17"/>
        <v>29096</v>
      </c>
      <c r="Q91" s="12">
        <f t="shared" si="18"/>
        <v>29096</v>
      </c>
      <c r="R91" s="23">
        <f t="shared" si="19"/>
        <v>29096</v>
      </c>
      <c r="S91" s="107">
        <f>+S90</f>
        <v>3.0002510670348981E-2</v>
      </c>
      <c r="T91" s="107">
        <f>+(N91-N90)/(M91-M90)-1</f>
        <v>2.995859381342858E-2</v>
      </c>
      <c r="U91" s="107">
        <f>+(O91-O90)/(N91-N90)-1</f>
        <v>0</v>
      </c>
      <c r="V91" s="107">
        <f>+(P91-P90)/(O91-O90)-1</f>
        <v>0</v>
      </c>
      <c r="W91" s="107">
        <f>+(Q91-Q90)/(P91-P90)-1</f>
        <v>0</v>
      </c>
      <c r="X91" s="107">
        <f>+(R91-R90)/(Q91-Q90)-1</f>
        <v>0</v>
      </c>
      <c r="Y91" s="38">
        <f t="shared" si="15"/>
        <v>0.03</v>
      </c>
      <c r="Z91" s="22">
        <v>28249</v>
      </c>
      <c r="AA91" s="12">
        <f t="shared" si="21"/>
        <v>29096</v>
      </c>
      <c r="AB91" s="419">
        <f>+AB90</f>
        <v>3.0002510670348981E-2</v>
      </c>
      <c r="AC91" s="419">
        <f>+(AA91-AA90)/(Z91-Z90)-1</f>
        <v>2.995859381342858E-2</v>
      </c>
    </row>
    <row r="92" spans="1:29" ht="18" customHeight="1" x14ac:dyDescent="0.25">
      <c r="A92" s="15" t="s">
        <v>3</v>
      </c>
      <c r="B92" s="11" t="s">
        <v>15</v>
      </c>
      <c r="C92" s="11" t="s">
        <v>16</v>
      </c>
      <c r="D92" s="11" t="s">
        <v>3</v>
      </c>
      <c r="E92" s="11" t="s">
        <v>36</v>
      </c>
      <c r="F92" s="11" t="s">
        <v>75</v>
      </c>
      <c r="G92" s="27" t="s">
        <v>4</v>
      </c>
      <c r="H92" s="35">
        <v>0</v>
      </c>
      <c r="I92" s="36"/>
      <c r="J92" s="36"/>
      <c r="K92" s="36"/>
      <c r="L92" s="37"/>
      <c r="M92" s="22">
        <v>21918</v>
      </c>
      <c r="N92" s="23">
        <f t="shared" si="20"/>
        <v>21918</v>
      </c>
      <c r="O92" s="123">
        <f t="shared" si="16"/>
        <v>21918</v>
      </c>
      <c r="P92" s="12">
        <f t="shared" si="17"/>
        <v>21918</v>
      </c>
      <c r="Q92" s="12">
        <f t="shared" si="18"/>
        <v>21918</v>
      </c>
      <c r="R92" s="23">
        <f t="shared" si="19"/>
        <v>21918</v>
      </c>
      <c r="S92" s="107">
        <f>+N92/M92-1</f>
        <v>0</v>
      </c>
      <c r="T92" s="107">
        <v>0</v>
      </c>
      <c r="U92" s="107">
        <v>0</v>
      </c>
      <c r="V92" s="107">
        <v>0</v>
      </c>
      <c r="W92" s="107">
        <v>0</v>
      </c>
      <c r="X92" s="107">
        <v>0</v>
      </c>
      <c r="Y92" s="38">
        <f t="shared" si="15"/>
        <v>0</v>
      </c>
      <c r="Z92" s="22">
        <v>21918</v>
      </c>
      <c r="AA92" s="12">
        <f t="shared" si="21"/>
        <v>21918</v>
      </c>
      <c r="AB92" s="419">
        <f>+AA92/Z92-1</f>
        <v>0</v>
      </c>
      <c r="AC92" s="419">
        <v>0</v>
      </c>
    </row>
    <row r="93" spans="1:29" ht="18" customHeight="1" x14ac:dyDescent="0.25">
      <c r="A93" s="15" t="s">
        <v>3</v>
      </c>
      <c r="B93" s="11" t="s">
        <v>15</v>
      </c>
      <c r="C93" s="11" t="s">
        <v>16</v>
      </c>
      <c r="D93" s="11" t="s">
        <v>5</v>
      </c>
      <c r="E93" s="11" t="s">
        <v>36</v>
      </c>
      <c r="F93" s="11" t="s">
        <v>75</v>
      </c>
      <c r="G93" s="27" t="s">
        <v>6</v>
      </c>
      <c r="H93" s="35">
        <v>0</v>
      </c>
      <c r="I93" s="36"/>
      <c r="J93" s="36"/>
      <c r="K93" s="36"/>
      <c r="L93" s="37"/>
      <c r="M93" s="22">
        <v>27337</v>
      </c>
      <c r="N93" s="23">
        <f t="shared" si="20"/>
        <v>27337</v>
      </c>
      <c r="O93" s="123">
        <f t="shared" si="16"/>
        <v>27337</v>
      </c>
      <c r="P93" s="12">
        <f t="shared" si="17"/>
        <v>27337</v>
      </c>
      <c r="Q93" s="12">
        <f t="shared" si="18"/>
        <v>27337</v>
      </c>
      <c r="R93" s="23">
        <f t="shared" si="19"/>
        <v>27337</v>
      </c>
      <c r="S93" s="107">
        <f>+S92</f>
        <v>0</v>
      </c>
      <c r="T93" s="107">
        <f>+(N93-N92)/(M93-M92)-1</f>
        <v>0</v>
      </c>
      <c r="U93" s="107">
        <f>+(O93-O92)/(N93-N92)-1</f>
        <v>0</v>
      </c>
      <c r="V93" s="107">
        <f>+(P93-P92)/(O93-O92)-1</f>
        <v>0</v>
      </c>
      <c r="W93" s="107">
        <f>+(Q93-Q92)/(P93-P92)-1</f>
        <v>0</v>
      </c>
      <c r="X93" s="107">
        <f>+(R93-R92)/(Q93-Q92)-1</f>
        <v>0</v>
      </c>
      <c r="Y93" s="38">
        <f t="shared" si="15"/>
        <v>0</v>
      </c>
      <c r="Z93" s="22">
        <v>27337</v>
      </c>
      <c r="AA93" s="12">
        <f t="shared" si="21"/>
        <v>27337</v>
      </c>
      <c r="AB93" s="419">
        <f>+AB92</f>
        <v>0</v>
      </c>
      <c r="AC93" s="419">
        <f>+(AA93-AA92)/(Z93-Z92)-1</f>
        <v>0</v>
      </c>
    </row>
    <row r="94" spans="1:29" ht="18" customHeight="1" x14ac:dyDescent="0.25">
      <c r="A94" s="15" t="s">
        <v>3</v>
      </c>
      <c r="B94" s="11" t="s">
        <v>24</v>
      </c>
      <c r="C94" s="11" t="s">
        <v>16</v>
      </c>
      <c r="D94" s="11" t="s">
        <v>3</v>
      </c>
      <c r="E94" s="11" t="s">
        <v>36</v>
      </c>
      <c r="F94" s="11" t="s">
        <v>76</v>
      </c>
      <c r="G94" s="27" t="s">
        <v>4</v>
      </c>
      <c r="H94" s="35">
        <v>0</v>
      </c>
      <c r="I94" s="36"/>
      <c r="J94" s="36"/>
      <c r="K94" s="36"/>
      <c r="L94" s="37"/>
      <c r="M94" s="22">
        <v>21700</v>
      </c>
      <c r="N94" s="23">
        <f t="shared" si="20"/>
        <v>21700</v>
      </c>
      <c r="O94" s="123">
        <f t="shared" si="16"/>
        <v>21700</v>
      </c>
      <c r="P94" s="12">
        <f t="shared" si="17"/>
        <v>21700</v>
      </c>
      <c r="Q94" s="12">
        <f t="shared" si="18"/>
        <v>21700</v>
      </c>
      <c r="R94" s="23">
        <f t="shared" si="19"/>
        <v>21700</v>
      </c>
      <c r="S94" s="107">
        <f>+N94/M94-1</f>
        <v>0</v>
      </c>
      <c r="T94" s="107">
        <v>0</v>
      </c>
      <c r="U94" s="107">
        <v>0</v>
      </c>
      <c r="V94" s="107">
        <v>0</v>
      </c>
      <c r="W94" s="107">
        <v>0</v>
      </c>
      <c r="X94" s="107">
        <v>0</v>
      </c>
      <c r="Y94" s="38">
        <f t="shared" si="15"/>
        <v>0</v>
      </c>
      <c r="Z94" s="22">
        <v>21700</v>
      </c>
      <c r="AA94" s="12">
        <f t="shared" si="21"/>
        <v>21700</v>
      </c>
      <c r="AB94" s="419">
        <f>+AA94/Z94-1</f>
        <v>0</v>
      </c>
      <c r="AC94" s="419">
        <v>0</v>
      </c>
    </row>
    <row r="95" spans="1:29" ht="18" customHeight="1" x14ac:dyDescent="0.25">
      <c r="A95" s="15" t="s">
        <v>3</v>
      </c>
      <c r="B95" s="11" t="s">
        <v>24</v>
      </c>
      <c r="C95" s="11" t="s">
        <v>16</v>
      </c>
      <c r="D95" s="11" t="s">
        <v>5</v>
      </c>
      <c r="E95" s="11" t="s">
        <v>36</v>
      </c>
      <c r="F95" s="11" t="s">
        <v>76</v>
      </c>
      <c r="G95" s="27" t="s">
        <v>6</v>
      </c>
      <c r="H95" s="35">
        <v>0</v>
      </c>
      <c r="I95" s="36"/>
      <c r="J95" s="36"/>
      <c r="K95" s="36"/>
      <c r="L95" s="37"/>
      <c r="M95" s="22">
        <v>27337</v>
      </c>
      <c r="N95" s="23">
        <f t="shared" si="20"/>
        <v>27337</v>
      </c>
      <c r="O95" s="123">
        <f t="shared" si="16"/>
        <v>27337</v>
      </c>
      <c r="P95" s="12">
        <f t="shared" si="17"/>
        <v>27337</v>
      </c>
      <c r="Q95" s="12">
        <f t="shared" si="18"/>
        <v>27337</v>
      </c>
      <c r="R95" s="23">
        <f t="shared" si="19"/>
        <v>27337</v>
      </c>
      <c r="S95" s="107">
        <f>+S94</f>
        <v>0</v>
      </c>
      <c r="T95" s="107">
        <f>+(N95-N94)/(M95-M94)-1</f>
        <v>0</v>
      </c>
      <c r="U95" s="107">
        <f>+(O95-O94)/(N95-N94)-1</f>
        <v>0</v>
      </c>
      <c r="V95" s="107">
        <f>+(P95-P94)/(O95-O94)-1</f>
        <v>0</v>
      </c>
      <c r="W95" s="107">
        <f>+(Q95-Q94)/(P95-P94)-1</f>
        <v>0</v>
      </c>
      <c r="X95" s="107">
        <f>+(R95-R94)/(Q95-Q94)-1</f>
        <v>0</v>
      </c>
      <c r="Y95" s="38">
        <f t="shared" si="15"/>
        <v>0</v>
      </c>
      <c r="Z95" s="22">
        <v>27337</v>
      </c>
      <c r="AA95" s="12">
        <f t="shared" si="21"/>
        <v>27337</v>
      </c>
      <c r="AB95" s="419">
        <f>+AB94</f>
        <v>0</v>
      </c>
      <c r="AC95" s="419">
        <f>+(AA95-AA94)/(Z95-Z94)-1</f>
        <v>0</v>
      </c>
    </row>
    <row r="96" spans="1:29" ht="18" customHeight="1" x14ac:dyDescent="0.25">
      <c r="A96" s="15" t="s">
        <v>3</v>
      </c>
      <c r="B96" s="11" t="s">
        <v>18</v>
      </c>
      <c r="C96" s="11" t="s">
        <v>24</v>
      </c>
      <c r="D96" s="11" t="s">
        <v>3</v>
      </c>
      <c r="E96" s="11" t="s">
        <v>50</v>
      </c>
      <c r="F96" s="11" t="s">
        <v>97</v>
      </c>
      <c r="G96" s="27" t="s">
        <v>4</v>
      </c>
      <c r="H96" s="38">
        <f t="shared" ref="H96:L97" si="23">+H86</f>
        <v>0</v>
      </c>
      <c r="I96" s="39">
        <f t="shared" si="23"/>
        <v>0</v>
      </c>
      <c r="J96" s="39">
        <f t="shared" si="23"/>
        <v>0</v>
      </c>
      <c r="K96" s="39">
        <f t="shared" si="23"/>
        <v>0</v>
      </c>
      <c r="L96" s="40">
        <f t="shared" si="23"/>
        <v>0</v>
      </c>
      <c r="M96" s="22">
        <v>15126</v>
      </c>
      <c r="N96" s="23">
        <f t="shared" si="20"/>
        <v>15126</v>
      </c>
      <c r="O96" s="123">
        <f t="shared" si="16"/>
        <v>15126</v>
      </c>
      <c r="P96" s="12">
        <f t="shared" si="17"/>
        <v>15126</v>
      </c>
      <c r="Q96" s="12">
        <f t="shared" si="18"/>
        <v>15126</v>
      </c>
      <c r="R96" s="23">
        <f t="shared" si="19"/>
        <v>15126</v>
      </c>
      <c r="S96" s="107">
        <f>+N96/M96-1</f>
        <v>0</v>
      </c>
      <c r="T96" s="107">
        <v>0</v>
      </c>
      <c r="U96" s="107">
        <v>0</v>
      </c>
      <c r="V96" s="107">
        <v>0</v>
      </c>
      <c r="W96" s="107">
        <v>0</v>
      </c>
      <c r="X96" s="107">
        <v>0</v>
      </c>
      <c r="Y96" s="38">
        <f t="shared" si="15"/>
        <v>0</v>
      </c>
      <c r="Z96" s="22">
        <v>15126</v>
      </c>
      <c r="AA96" s="12">
        <f t="shared" si="21"/>
        <v>15126</v>
      </c>
      <c r="AB96" s="419">
        <f>+AA96/Z96-1</f>
        <v>0</v>
      </c>
      <c r="AC96" s="419">
        <v>0</v>
      </c>
    </row>
    <row r="97" spans="1:29" ht="18" customHeight="1" x14ac:dyDescent="0.25">
      <c r="A97" s="15" t="s">
        <v>3</v>
      </c>
      <c r="B97" s="11" t="s">
        <v>18</v>
      </c>
      <c r="C97" s="11" t="s">
        <v>24</v>
      </c>
      <c r="D97" s="11" t="s">
        <v>5</v>
      </c>
      <c r="E97" s="11" t="s">
        <v>50</v>
      </c>
      <c r="F97" s="11" t="s">
        <v>97</v>
      </c>
      <c r="G97" s="27" t="s">
        <v>6</v>
      </c>
      <c r="H97" s="38">
        <f t="shared" si="23"/>
        <v>0</v>
      </c>
      <c r="I97" s="39">
        <f t="shared" si="23"/>
        <v>0</v>
      </c>
      <c r="J97" s="39">
        <f t="shared" si="23"/>
        <v>0</v>
      </c>
      <c r="K97" s="39">
        <f t="shared" si="23"/>
        <v>0</v>
      </c>
      <c r="L97" s="40">
        <f t="shared" si="23"/>
        <v>0</v>
      </c>
      <c r="M97" s="22">
        <v>26863</v>
      </c>
      <c r="N97" s="23">
        <f t="shared" si="20"/>
        <v>26863</v>
      </c>
      <c r="O97" s="123">
        <f t="shared" si="16"/>
        <v>26863</v>
      </c>
      <c r="P97" s="12">
        <f t="shared" si="17"/>
        <v>26863</v>
      </c>
      <c r="Q97" s="12">
        <f t="shared" si="18"/>
        <v>26863</v>
      </c>
      <c r="R97" s="23">
        <f t="shared" si="19"/>
        <v>26863</v>
      </c>
      <c r="S97" s="107">
        <f>+S96</f>
        <v>0</v>
      </c>
      <c r="T97" s="107">
        <f>+(N97-N96)/(M97-M96)-1</f>
        <v>0</v>
      </c>
      <c r="U97" s="107">
        <f>+(O97-O96)/(N97-N96)-1</f>
        <v>0</v>
      </c>
      <c r="V97" s="107">
        <f>+(P97-P96)/(O97-O96)-1</f>
        <v>0</v>
      </c>
      <c r="W97" s="107">
        <f>+(Q97-Q96)/(P97-P96)-1</f>
        <v>0</v>
      </c>
      <c r="X97" s="107">
        <f>+(R97-R96)/(Q97-Q96)-1</f>
        <v>0</v>
      </c>
      <c r="Y97" s="38">
        <f t="shared" si="15"/>
        <v>0</v>
      </c>
      <c r="Z97" s="22">
        <v>26863</v>
      </c>
      <c r="AA97" s="12">
        <f t="shared" si="21"/>
        <v>26863</v>
      </c>
      <c r="AB97" s="419">
        <f>+AB96</f>
        <v>0</v>
      </c>
      <c r="AC97" s="419">
        <f>+(AA97-AA96)/(Z97-Z96)-1</f>
        <v>0</v>
      </c>
    </row>
    <row r="98" spans="1:29" ht="18" customHeight="1" x14ac:dyDescent="0.25">
      <c r="A98" s="15" t="s">
        <v>5</v>
      </c>
      <c r="B98" s="11" t="s">
        <v>1</v>
      </c>
      <c r="C98" s="11" t="s">
        <v>1</v>
      </c>
      <c r="D98" s="11" t="s">
        <v>3</v>
      </c>
      <c r="E98" s="11" t="s">
        <v>2</v>
      </c>
      <c r="F98" s="11" t="s">
        <v>2</v>
      </c>
      <c r="G98" s="27" t="s">
        <v>4</v>
      </c>
      <c r="H98" s="38">
        <f t="shared" ref="H98:L109" si="24">+H4</f>
        <v>-0.10525</v>
      </c>
      <c r="I98" s="39">
        <f t="shared" si="24"/>
        <v>0</v>
      </c>
      <c r="J98" s="39">
        <f t="shared" si="24"/>
        <v>0</v>
      </c>
      <c r="K98" s="39">
        <f t="shared" si="24"/>
        <v>0</v>
      </c>
      <c r="L98" s="40">
        <f t="shared" si="24"/>
        <v>0</v>
      </c>
      <c r="M98" s="22">
        <v>10203</v>
      </c>
      <c r="N98" s="23">
        <f t="shared" si="20"/>
        <v>9129</v>
      </c>
      <c r="O98" s="123">
        <f t="shared" si="16"/>
        <v>9129</v>
      </c>
      <c r="P98" s="12">
        <f t="shared" si="17"/>
        <v>9129</v>
      </c>
      <c r="Q98" s="12">
        <f t="shared" si="18"/>
        <v>9129</v>
      </c>
      <c r="R98" s="23">
        <f t="shared" si="19"/>
        <v>9129</v>
      </c>
      <c r="S98" s="107">
        <f>+N98/M98-1</f>
        <v>-0.10526315789473684</v>
      </c>
      <c r="T98" s="107">
        <v>0</v>
      </c>
      <c r="U98" s="107">
        <v>0</v>
      </c>
      <c r="V98" s="107">
        <v>0</v>
      </c>
      <c r="W98" s="107">
        <v>0</v>
      </c>
      <c r="X98" s="107">
        <v>0</v>
      </c>
      <c r="Y98" s="38">
        <v>0</v>
      </c>
      <c r="Z98" s="22">
        <v>10203</v>
      </c>
      <c r="AA98" s="12">
        <f t="shared" si="21"/>
        <v>10203</v>
      </c>
      <c r="AB98" s="419">
        <f>+AA98/Z98-1</f>
        <v>0</v>
      </c>
      <c r="AC98" s="419">
        <v>0</v>
      </c>
    </row>
    <row r="99" spans="1:29" ht="18" customHeight="1" x14ac:dyDescent="0.25">
      <c r="A99" s="15" t="s">
        <v>5</v>
      </c>
      <c r="B99" s="11" t="s">
        <v>1</v>
      </c>
      <c r="C99" s="11" t="s">
        <v>1</v>
      </c>
      <c r="D99" s="11" t="s">
        <v>5</v>
      </c>
      <c r="E99" s="11" t="s">
        <v>2</v>
      </c>
      <c r="F99" s="11" t="s">
        <v>2</v>
      </c>
      <c r="G99" s="27" t="s">
        <v>6</v>
      </c>
      <c r="H99" s="38">
        <f t="shared" si="24"/>
        <v>0.02</v>
      </c>
      <c r="I99" s="39">
        <f t="shared" si="24"/>
        <v>0</v>
      </c>
      <c r="J99" s="39">
        <f t="shared" si="24"/>
        <v>0</v>
      </c>
      <c r="K99" s="39">
        <f t="shared" si="24"/>
        <v>0</v>
      </c>
      <c r="L99" s="40">
        <f t="shared" si="24"/>
        <v>0</v>
      </c>
      <c r="M99" s="22">
        <v>31584</v>
      </c>
      <c r="N99" s="23">
        <f t="shared" si="20"/>
        <v>32216</v>
      </c>
      <c r="O99" s="123">
        <f t="shared" si="16"/>
        <v>32216</v>
      </c>
      <c r="P99" s="12">
        <f t="shared" si="17"/>
        <v>32216</v>
      </c>
      <c r="Q99" s="12">
        <f t="shared" si="18"/>
        <v>32216</v>
      </c>
      <c r="R99" s="23">
        <f t="shared" si="19"/>
        <v>32216</v>
      </c>
      <c r="S99" s="107">
        <f>+S98</f>
        <v>-0.10526315789473684</v>
      </c>
      <c r="T99" s="107">
        <f>+(N99-N98)/(M99-M98)-1</f>
        <v>7.9790468172676654E-2</v>
      </c>
      <c r="U99" s="107">
        <f>+(O99-O98)/(N99-N98)-1</f>
        <v>0</v>
      </c>
      <c r="V99" s="107">
        <f>+(P99-P98)/(O99-O98)-1</f>
        <v>0</v>
      </c>
      <c r="W99" s="107">
        <f>+(Q99-Q98)/(P99-P98)-1</f>
        <v>0</v>
      </c>
      <c r="X99" s="107">
        <f>+(R99-R98)/(Q99-Q98)-1</f>
        <v>0</v>
      </c>
      <c r="Y99" s="38">
        <f t="shared" si="15"/>
        <v>0.02</v>
      </c>
      <c r="Z99" s="22">
        <v>31584</v>
      </c>
      <c r="AA99" s="12">
        <f t="shared" si="21"/>
        <v>32216</v>
      </c>
      <c r="AB99" s="419">
        <f>+AB98</f>
        <v>0</v>
      </c>
      <c r="AC99" s="419">
        <f>+(AA99-AA98)/(Z99-Z98)-1</f>
        <v>2.9558954211683197E-2</v>
      </c>
    </row>
    <row r="100" spans="1:29" ht="18" customHeight="1" x14ac:dyDescent="0.25">
      <c r="A100" s="15" t="s">
        <v>5</v>
      </c>
      <c r="B100" s="11" t="s">
        <v>8</v>
      </c>
      <c r="C100" s="11" t="s">
        <v>1</v>
      </c>
      <c r="D100" s="11" t="s">
        <v>3</v>
      </c>
      <c r="E100" s="11" t="s">
        <v>2</v>
      </c>
      <c r="F100" s="11" t="s">
        <v>51</v>
      </c>
      <c r="G100" s="27" t="s">
        <v>4</v>
      </c>
      <c r="H100" s="38">
        <f t="shared" si="24"/>
        <v>-0.10525</v>
      </c>
      <c r="I100" s="39">
        <f t="shared" si="24"/>
        <v>0</v>
      </c>
      <c r="J100" s="39">
        <f t="shared" si="24"/>
        <v>0</v>
      </c>
      <c r="K100" s="39">
        <f t="shared" si="24"/>
        <v>0</v>
      </c>
      <c r="L100" s="40">
        <f t="shared" si="24"/>
        <v>0</v>
      </c>
      <c r="M100" s="22">
        <v>10203</v>
      </c>
      <c r="N100" s="23">
        <f t="shared" si="20"/>
        <v>9129</v>
      </c>
      <c r="O100" s="123">
        <f t="shared" si="16"/>
        <v>9129</v>
      </c>
      <c r="P100" s="12">
        <f t="shared" si="17"/>
        <v>9129</v>
      </c>
      <c r="Q100" s="12">
        <f t="shared" si="18"/>
        <v>9129</v>
      </c>
      <c r="R100" s="23">
        <f t="shared" si="19"/>
        <v>9129</v>
      </c>
      <c r="S100" s="107">
        <f>+N100/M100-1</f>
        <v>-0.10526315789473684</v>
      </c>
      <c r="T100" s="107">
        <v>0</v>
      </c>
      <c r="U100" s="107">
        <v>0</v>
      </c>
      <c r="V100" s="107">
        <v>0</v>
      </c>
      <c r="W100" s="107">
        <v>0</v>
      </c>
      <c r="X100" s="107">
        <v>0</v>
      </c>
      <c r="Y100" s="38">
        <v>0</v>
      </c>
      <c r="Z100" s="22">
        <v>10203</v>
      </c>
      <c r="AA100" s="12">
        <f t="shared" si="21"/>
        <v>10203</v>
      </c>
      <c r="AB100" s="419">
        <f>+AA100/Z100-1</f>
        <v>0</v>
      </c>
      <c r="AC100" s="419">
        <v>0</v>
      </c>
    </row>
    <row r="101" spans="1:29" ht="18" customHeight="1" x14ac:dyDescent="0.25">
      <c r="A101" s="15" t="s">
        <v>5</v>
      </c>
      <c r="B101" s="11" t="s">
        <v>8</v>
      </c>
      <c r="C101" s="11" t="s">
        <v>1</v>
      </c>
      <c r="D101" s="11" t="s">
        <v>5</v>
      </c>
      <c r="E101" s="11" t="s">
        <v>2</v>
      </c>
      <c r="F101" s="11" t="s">
        <v>51</v>
      </c>
      <c r="G101" s="27" t="s">
        <v>6</v>
      </c>
      <c r="H101" s="38">
        <f t="shared" si="24"/>
        <v>0.02</v>
      </c>
      <c r="I101" s="39">
        <f t="shared" si="24"/>
        <v>0</v>
      </c>
      <c r="J101" s="39">
        <f t="shared" si="24"/>
        <v>0</v>
      </c>
      <c r="K101" s="39">
        <f t="shared" si="24"/>
        <v>0</v>
      </c>
      <c r="L101" s="40">
        <f t="shared" si="24"/>
        <v>0</v>
      </c>
      <c r="M101" s="22">
        <v>31584</v>
      </c>
      <c r="N101" s="23">
        <f t="shared" si="20"/>
        <v>32216</v>
      </c>
      <c r="O101" s="123">
        <f t="shared" si="16"/>
        <v>32216</v>
      </c>
      <c r="P101" s="12">
        <f t="shared" si="17"/>
        <v>32216</v>
      </c>
      <c r="Q101" s="12">
        <f t="shared" si="18"/>
        <v>32216</v>
      </c>
      <c r="R101" s="23">
        <f t="shared" si="19"/>
        <v>32216</v>
      </c>
      <c r="S101" s="107">
        <f>+S100</f>
        <v>-0.10526315789473684</v>
      </c>
      <c r="T101" s="107">
        <f>+(N101-N100)/(M101-M100)-1</f>
        <v>7.9790468172676654E-2</v>
      </c>
      <c r="U101" s="107">
        <f>+(O101-O100)/(N101-N100)-1</f>
        <v>0</v>
      </c>
      <c r="V101" s="107">
        <f>+(P101-P100)/(O101-O100)-1</f>
        <v>0</v>
      </c>
      <c r="W101" s="107">
        <f>+(Q101-Q100)/(P101-P100)-1</f>
        <v>0</v>
      </c>
      <c r="X101" s="107">
        <f>+(R101-R100)/(Q101-Q100)-1</f>
        <v>0</v>
      </c>
      <c r="Y101" s="38">
        <f t="shared" si="15"/>
        <v>0.02</v>
      </c>
      <c r="Z101" s="22">
        <v>31584</v>
      </c>
      <c r="AA101" s="12">
        <f t="shared" si="21"/>
        <v>32216</v>
      </c>
      <c r="AB101" s="419">
        <f>+AB100</f>
        <v>0</v>
      </c>
      <c r="AC101" s="419">
        <f>+(AA101-AA100)/(Z101-Z100)-1</f>
        <v>2.9558954211683197E-2</v>
      </c>
    </row>
    <row r="102" spans="1:29" ht="18" customHeight="1" x14ac:dyDescent="0.25">
      <c r="A102" s="15" t="s">
        <v>5</v>
      </c>
      <c r="B102" s="11" t="s">
        <v>13</v>
      </c>
      <c r="C102" s="11" t="s">
        <v>8</v>
      </c>
      <c r="D102" s="11" t="s">
        <v>3</v>
      </c>
      <c r="E102" s="11" t="s">
        <v>9</v>
      </c>
      <c r="F102" s="11" t="s">
        <v>9</v>
      </c>
      <c r="G102" s="27" t="s">
        <v>4</v>
      </c>
      <c r="H102" s="38">
        <f t="shared" si="24"/>
        <v>0</v>
      </c>
      <c r="I102" s="39">
        <f t="shared" si="24"/>
        <v>0</v>
      </c>
      <c r="J102" s="39">
        <f t="shared" si="24"/>
        <v>0</v>
      </c>
      <c r="K102" s="39">
        <f t="shared" si="24"/>
        <v>0</v>
      </c>
      <c r="L102" s="40">
        <f t="shared" si="24"/>
        <v>0</v>
      </c>
      <c r="M102" s="22">
        <v>14751</v>
      </c>
      <c r="N102" s="23">
        <f t="shared" si="20"/>
        <v>14751</v>
      </c>
      <c r="O102" s="123">
        <f t="shared" si="16"/>
        <v>14751</v>
      </c>
      <c r="P102" s="12">
        <f t="shared" si="17"/>
        <v>14751</v>
      </c>
      <c r="Q102" s="12">
        <f t="shared" si="18"/>
        <v>14751</v>
      </c>
      <c r="R102" s="23">
        <f t="shared" si="19"/>
        <v>14751</v>
      </c>
      <c r="S102" s="107">
        <f>+N102/M102-1</f>
        <v>0</v>
      </c>
      <c r="T102" s="107">
        <v>0</v>
      </c>
      <c r="U102" s="107">
        <v>0</v>
      </c>
      <c r="V102" s="107">
        <v>0</v>
      </c>
      <c r="W102" s="107">
        <v>0</v>
      </c>
      <c r="X102" s="107">
        <v>0</v>
      </c>
      <c r="Y102" s="38">
        <f t="shared" si="15"/>
        <v>0</v>
      </c>
      <c r="Z102" s="22">
        <v>14751</v>
      </c>
      <c r="AA102" s="12">
        <f t="shared" si="21"/>
        <v>14751</v>
      </c>
      <c r="AB102" s="419">
        <f>+AA102/Z102-1</f>
        <v>0</v>
      </c>
      <c r="AC102" s="419">
        <v>0</v>
      </c>
    </row>
    <row r="103" spans="1:29" ht="18" customHeight="1" x14ac:dyDescent="0.25">
      <c r="A103" s="15" t="s">
        <v>5</v>
      </c>
      <c r="B103" s="11" t="s">
        <v>13</v>
      </c>
      <c r="C103" s="11" t="s">
        <v>8</v>
      </c>
      <c r="D103" s="11" t="s">
        <v>5</v>
      </c>
      <c r="E103" s="11" t="s">
        <v>9</v>
      </c>
      <c r="F103" s="11" t="s">
        <v>9</v>
      </c>
      <c r="G103" s="27" t="s">
        <v>6</v>
      </c>
      <c r="H103" s="38">
        <f t="shared" si="24"/>
        <v>0</v>
      </c>
      <c r="I103" s="39">
        <f t="shared" si="24"/>
        <v>0</v>
      </c>
      <c r="J103" s="39">
        <f t="shared" si="24"/>
        <v>0</v>
      </c>
      <c r="K103" s="39">
        <f t="shared" si="24"/>
        <v>0</v>
      </c>
      <c r="L103" s="40">
        <f t="shared" si="24"/>
        <v>0</v>
      </c>
      <c r="M103" s="22">
        <v>26301</v>
      </c>
      <c r="N103" s="23">
        <f t="shared" si="20"/>
        <v>26301</v>
      </c>
      <c r="O103" s="123">
        <f t="shared" si="16"/>
        <v>26301</v>
      </c>
      <c r="P103" s="12">
        <f t="shared" si="17"/>
        <v>26301</v>
      </c>
      <c r="Q103" s="12">
        <f t="shared" si="18"/>
        <v>26301</v>
      </c>
      <c r="R103" s="23">
        <f t="shared" si="19"/>
        <v>26301</v>
      </c>
      <c r="S103" s="107">
        <f>+S102</f>
        <v>0</v>
      </c>
      <c r="T103" s="107">
        <f>+(N103-N102)/(M103-M102)-1</f>
        <v>0</v>
      </c>
      <c r="U103" s="107">
        <f>+(O103-O102)/(N103-N102)-1</f>
        <v>0</v>
      </c>
      <c r="V103" s="107">
        <f>+(P103-P102)/(O103-O102)-1</f>
        <v>0</v>
      </c>
      <c r="W103" s="107">
        <f>+(Q103-Q102)/(P103-P102)-1</f>
        <v>0</v>
      </c>
      <c r="X103" s="107">
        <f>+(R103-R102)/(Q103-Q102)-1</f>
        <v>0</v>
      </c>
      <c r="Y103" s="38">
        <f t="shared" si="15"/>
        <v>0</v>
      </c>
      <c r="Z103" s="22">
        <v>26301</v>
      </c>
      <c r="AA103" s="12">
        <f t="shared" si="21"/>
        <v>26301</v>
      </c>
      <c r="AB103" s="419">
        <f>+AB102</f>
        <v>0</v>
      </c>
      <c r="AC103" s="419">
        <f>+(AA103-AA102)/(Z103-Z102)-1</f>
        <v>0</v>
      </c>
    </row>
    <row r="104" spans="1:29" ht="18" customHeight="1" x14ac:dyDescent="0.25">
      <c r="A104" s="15" t="s">
        <v>5</v>
      </c>
      <c r="B104" s="11" t="s">
        <v>10</v>
      </c>
      <c r="C104" s="11" t="s">
        <v>7</v>
      </c>
      <c r="D104" s="11" t="s">
        <v>3</v>
      </c>
      <c r="E104" s="11" t="s">
        <v>11</v>
      </c>
      <c r="F104" s="11" t="s">
        <v>11</v>
      </c>
      <c r="G104" s="27" t="s">
        <v>4</v>
      </c>
      <c r="H104" s="38">
        <f t="shared" si="24"/>
        <v>0</v>
      </c>
      <c r="I104" s="39">
        <f t="shared" si="24"/>
        <v>0</v>
      </c>
      <c r="J104" s="39">
        <f t="shared" si="24"/>
        <v>0</v>
      </c>
      <c r="K104" s="39">
        <f t="shared" si="24"/>
        <v>0</v>
      </c>
      <c r="L104" s="40">
        <f t="shared" si="24"/>
        <v>0</v>
      </c>
      <c r="M104" s="22">
        <v>15126</v>
      </c>
      <c r="N104" s="23">
        <f t="shared" si="20"/>
        <v>15126</v>
      </c>
      <c r="O104" s="123">
        <f t="shared" si="16"/>
        <v>15126</v>
      </c>
      <c r="P104" s="12">
        <f t="shared" si="17"/>
        <v>15126</v>
      </c>
      <c r="Q104" s="12">
        <f t="shared" si="18"/>
        <v>15126</v>
      </c>
      <c r="R104" s="23">
        <f t="shared" si="19"/>
        <v>15126</v>
      </c>
      <c r="S104" s="107">
        <f>+N104/M104-1</f>
        <v>0</v>
      </c>
      <c r="T104" s="107">
        <v>0</v>
      </c>
      <c r="U104" s="107">
        <v>0</v>
      </c>
      <c r="V104" s="107">
        <v>0</v>
      </c>
      <c r="W104" s="107">
        <v>0</v>
      </c>
      <c r="X104" s="107">
        <v>0</v>
      </c>
      <c r="Y104" s="38">
        <f t="shared" si="15"/>
        <v>0</v>
      </c>
      <c r="Z104" s="22">
        <v>15126</v>
      </c>
      <c r="AA104" s="12">
        <f t="shared" si="21"/>
        <v>15126</v>
      </c>
      <c r="AB104" s="419">
        <f>+AA104/Z104-1</f>
        <v>0</v>
      </c>
      <c r="AC104" s="419">
        <v>0</v>
      </c>
    </row>
    <row r="105" spans="1:29" ht="18" customHeight="1" x14ac:dyDescent="0.25">
      <c r="A105" s="15" t="s">
        <v>5</v>
      </c>
      <c r="B105" s="11" t="s">
        <v>10</v>
      </c>
      <c r="C105" s="11" t="s">
        <v>7</v>
      </c>
      <c r="D105" s="11" t="s">
        <v>5</v>
      </c>
      <c r="E105" s="11" t="s">
        <v>11</v>
      </c>
      <c r="F105" s="11" t="s">
        <v>11</v>
      </c>
      <c r="G105" s="27" t="s">
        <v>6</v>
      </c>
      <c r="H105" s="38">
        <f t="shared" si="24"/>
        <v>0</v>
      </c>
      <c r="I105" s="39">
        <f t="shared" si="24"/>
        <v>0</v>
      </c>
      <c r="J105" s="39">
        <f t="shared" si="24"/>
        <v>0</v>
      </c>
      <c r="K105" s="39">
        <f t="shared" si="24"/>
        <v>0</v>
      </c>
      <c r="L105" s="40">
        <f t="shared" si="24"/>
        <v>0</v>
      </c>
      <c r="M105" s="22">
        <v>26863</v>
      </c>
      <c r="N105" s="23">
        <f t="shared" si="20"/>
        <v>26863</v>
      </c>
      <c r="O105" s="123">
        <f t="shared" si="16"/>
        <v>26863</v>
      </c>
      <c r="P105" s="12">
        <f t="shared" si="17"/>
        <v>26863</v>
      </c>
      <c r="Q105" s="12">
        <f t="shared" si="18"/>
        <v>26863</v>
      </c>
      <c r="R105" s="23">
        <f t="shared" si="19"/>
        <v>26863</v>
      </c>
      <c r="S105" s="107">
        <f>+S104</f>
        <v>0</v>
      </c>
      <c r="T105" s="107">
        <f>+(N105-N104)/(M105-M104)-1</f>
        <v>0</v>
      </c>
      <c r="U105" s="107">
        <f>+(O105-O104)/(N105-N104)-1</f>
        <v>0</v>
      </c>
      <c r="V105" s="107">
        <f>+(P105-P104)/(O105-O104)-1</f>
        <v>0</v>
      </c>
      <c r="W105" s="107">
        <f>+(Q105-Q104)/(P105-P104)-1</f>
        <v>0</v>
      </c>
      <c r="X105" s="107">
        <f>+(R105-R104)/(Q105-Q104)-1</f>
        <v>0</v>
      </c>
      <c r="Y105" s="38">
        <f t="shared" si="15"/>
        <v>0</v>
      </c>
      <c r="Z105" s="22">
        <v>26863</v>
      </c>
      <c r="AA105" s="12">
        <f t="shared" si="21"/>
        <v>26863</v>
      </c>
      <c r="AB105" s="419">
        <f>+AB104</f>
        <v>0</v>
      </c>
      <c r="AC105" s="419">
        <f>+(AA105-AA104)/(Z105-Z104)-1</f>
        <v>0</v>
      </c>
    </row>
    <row r="106" spans="1:29" ht="18" customHeight="1" x14ac:dyDescent="0.25">
      <c r="A106" s="15" t="s">
        <v>5</v>
      </c>
      <c r="B106" s="11" t="s">
        <v>7</v>
      </c>
      <c r="C106" s="11" t="s">
        <v>13</v>
      </c>
      <c r="D106" s="11" t="s">
        <v>3</v>
      </c>
      <c r="E106" s="11" t="s">
        <v>14</v>
      </c>
      <c r="F106" s="11" t="s">
        <v>52</v>
      </c>
      <c r="G106" s="27" t="s">
        <v>4</v>
      </c>
      <c r="H106" s="38">
        <f t="shared" si="24"/>
        <v>0.03</v>
      </c>
      <c r="I106" s="39">
        <f t="shared" si="24"/>
        <v>0</v>
      </c>
      <c r="J106" s="39">
        <f t="shared" si="24"/>
        <v>0</v>
      </c>
      <c r="K106" s="39">
        <f t="shared" si="24"/>
        <v>0</v>
      </c>
      <c r="L106" s="40">
        <f t="shared" si="24"/>
        <v>0</v>
      </c>
      <c r="M106" s="22">
        <v>15932</v>
      </c>
      <c r="N106" s="23">
        <f t="shared" si="20"/>
        <v>16410</v>
      </c>
      <c r="O106" s="123">
        <f t="shared" si="16"/>
        <v>16410</v>
      </c>
      <c r="P106" s="12">
        <f t="shared" si="17"/>
        <v>16410</v>
      </c>
      <c r="Q106" s="12">
        <f t="shared" si="18"/>
        <v>16410</v>
      </c>
      <c r="R106" s="23">
        <f t="shared" si="19"/>
        <v>16410</v>
      </c>
      <c r="S106" s="107">
        <f>+N106/M106-1</f>
        <v>3.0002510670348981E-2</v>
      </c>
      <c r="T106" s="107">
        <v>0</v>
      </c>
      <c r="U106" s="107">
        <v>0</v>
      </c>
      <c r="V106" s="107">
        <v>0</v>
      </c>
      <c r="W106" s="107">
        <v>0</v>
      </c>
      <c r="X106" s="107">
        <v>0</v>
      </c>
      <c r="Y106" s="38">
        <f t="shared" si="15"/>
        <v>0.03</v>
      </c>
      <c r="Z106" s="22">
        <v>15932</v>
      </c>
      <c r="AA106" s="12">
        <f t="shared" si="21"/>
        <v>16410</v>
      </c>
      <c r="AB106" s="419">
        <f>+AA106/Z106-1</f>
        <v>3.0002510670348981E-2</v>
      </c>
      <c r="AC106" s="419">
        <v>0</v>
      </c>
    </row>
    <row r="107" spans="1:29" ht="18" customHeight="1" x14ac:dyDescent="0.25">
      <c r="A107" s="15" t="s">
        <v>5</v>
      </c>
      <c r="B107" s="11" t="s">
        <v>7</v>
      </c>
      <c r="C107" s="11" t="s">
        <v>13</v>
      </c>
      <c r="D107" s="11" t="s">
        <v>5</v>
      </c>
      <c r="E107" s="11" t="s">
        <v>14</v>
      </c>
      <c r="F107" s="11" t="s">
        <v>52</v>
      </c>
      <c r="G107" s="27" t="s">
        <v>6</v>
      </c>
      <c r="H107" s="38">
        <f t="shared" si="24"/>
        <v>0.03</v>
      </c>
      <c r="I107" s="39">
        <f t="shared" si="24"/>
        <v>0</v>
      </c>
      <c r="J107" s="39">
        <f t="shared" si="24"/>
        <v>0</v>
      </c>
      <c r="K107" s="39">
        <f t="shared" si="24"/>
        <v>0</v>
      </c>
      <c r="L107" s="40">
        <f t="shared" si="24"/>
        <v>0</v>
      </c>
      <c r="M107" s="22">
        <v>28249</v>
      </c>
      <c r="N107" s="23">
        <f t="shared" si="20"/>
        <v>29096</v>
      </c>
      <c r="O107" s="123">
        <f t="shared" si="16"/>
        <v>29096</v>
      </c>
      <c r="P107" s="12">
        <f t="shared" si="17"/>
        <v>29096</v>
      </c>
      <c r="Q107" s="12">
        <f t="shared" si="18"/>
        <v>29096</v>
      </c>
      <c r="R107" s="23">
        <f t="shared" si="19"/>
        <v>29096</v>
      </c>
      <c r="S107" s="107">
        <f>+S106</f>
        <v>3.0002510670348981E-2</v>
      </c>
      <c r="T107" s="107">
        <f>+(N107-N106)/(M107-M106)-1</f>
        <v>2.995859381342858E-2</v>
      </c>
      <c r="U107" s="107">
        <f>+(O107-O106)/(N107-N106)-1</f>
        <v>0</v>
      </c>
      <c r="V107" s="107">
        <f>+(P107-P106)/(O107-O106)-1</f>
        <v>0</v>
      </c>
      <c r="W107" s="107">
        <f>+(Q107-Q106)/(P107-P106)-1</f>
        <v>0</v>
      </c>
      <c r="X107" s="107">
        <f>+(R107-R106)/(Q107-Q106)-1</f>
        <v>0</v>
      </c>
      <c r="Y107" s="38">
        <f t="shared" si="15"/>
        <v>0.03</v>
      </c>
      <c r="Z107" s="22">
        <v>28249</v>
      </c>
      <c r="AA107" s="12">
        <f t="shared" si="21"/>
        <v>29096</v>
      </c>
      <c r="AB107" s="419">
        <f>+AB106</f>
        <v>3.0002510670348981E-2</v>
      </c>
      <c r="AC107" s="419">
        <f>+(AA107-AA106)/(Z107-Z106)-1</f>
        <v>2.995859381342858E-2</v>
      </c>
    </row>
    <row r="108" spans="1:29" ht="18" customHeight="1" x14ac:dyDescent="0.25">
      <c r="A108" s="15" t="s">
        <v>5</v>
      </c>
      <c r="B108" s="11" t="s">
        <v>16</v>
      </c>
      <c r="C108" s="11" t="s">
        <v>13</v>
      </c>
      <c r="D108" s="11" t="s">
        <v>3</v>
      </c>
      <c r="E108" s="11" t="s">
        <v>14</v>
      </c>
      <c r="F108" s="11" t="s">
        <v>14</v>
      </c>
      <c r="G108" s="27" t="s">
        <v>4</v>
      </c>
      <c r="H108" s="38">
        <f t="shared" si="24"/>
        <v>0.03</v>
      </c>
      <c r="I108" s="39">
        <f t="shared" si="24"/>
        <v>0</v>
      </c>
      <c r="J108" s="39">
        <f t="shared" si="24"/>
        <v>0</v>
      </c>
      <c r="K108" s="39">
        <f t="shared" si="24"/>
        <v>0</v>
      </c>
      <c r="L108" s="40">
        <f t="shared" si="24"/>
        <v>0</v>
      </c>
      <c r="M108" s="22">
        <v>15932</v>
      </c>
      <c r="N108" s="23">
        <f t="shared" si="20"/>
        <v>16410</v>
      </c>
      <c r="O108" s="123">
        <f t="shared" ref="O108:O115" si="25">+ROUND(N108*(1+I108),0)</f>
        <v>16410</v>
      </c>
      <c r="P108" s="12">
        <f t="shared" ref="P108:P115" si="26">+ROUND(O108*(1+J108),0)</f>
        <v>16410</v>
      </c>
      <c r="Q108" s="12">
        <f t="shared" ref="Q108:Q115" si="27">+ROUND(P108*(1+K108),0)</f>
        <v>16410</v>
      </c>
      <c r="R108" s="23">
        <f t="shared" ref="R108:R115" si="28">+ROUND(Q108*(1+L108),0)</f>
        <v>16410</v>
      </c>
      <c r="S108" s="107">
        <f>+N108/M108-1</f>
        <v>3.0002510670348981E-2</v>
      </c>
      <c r="T108" s="107">
        <v>0</v>
      </c>
      <c r="U108" s="107">
        <v>0</v>
      </c>
      <c r="V108" s="107">
        <v>0</v>
      </c>
      <c r="W108" s="107">
        <v>0</v>
      </c>
      <c r="X108" s="107">
        <v>0</v>
      </c>
      <c r="Y108" s="38">
        <f t="shared" si="15"/>
        <v>0.03</v>
      </c>
      <c r="Z108" s="22">
        <v>15932</v>
      </c>
      <c r="AA108" s="12">
        <f t="shared" si="21"/>
        <v>16410</v>
      </c>
      <c r="AB108" s="419">
        <f>+AA108/Z108-1</f>
        <v>3.0002510670348981E-2</v>
      </c>
      <c r="AC108" s="419">
        <v>0</v>
      </c>
    </row>
    <row r="109" spans="1:29" ht="18" customHeight="1" x14ac:dyDescent="0.25">
      <c r="A109" s="15" t="s">
        <v>5</v>
      </c>
      <c r="B109" s="11" t="s">
        <v>16</v>
      </c>
      <c r="C109" s="11" t="s">
        <v>13</v>
      </c>
      <c r="D109" s="11" t="s">
        <v>5</v>
      </c>
      <c r="E109" s="11" t="s">
        <v>14</v>
      </c>
      <c r="F109" s="11" t="s">
        <v>14</v>
      </c>
      <c r="G109" s="27" t="s">
        <v>6</v>
      </c>
      <c r="H109" s="38">
        <f t="shared" si="24"/>
        <v>0.03</v>
      </c>
      <c r="I109" s="39">
        <f t="shared" si="24"/>
        <v>0</v>
      </c>
      <c r="J109" s="39">
        <f t="shared" si="24"/>
        <v>0</v>
      </c>
      <c r="K109" s="39">
        <f t="shared" si="24"/>
        <v>0</v>
      </c>
      <c r="L109" s="40">
        <f t="shared" si="24"/>
        <v>0</v>
      </c>
      <c r="M109" s="22">
        <v>28249</v>
      </c>
      <c r="N109" s="23">
        <f t="shared" si="20"/>
        <v>29096</v>
      </c>
      <c r="O109" s="123">
        <f t="shared" si="25"/>
        <v>29096</v>
      </c>
      <c r="P109" s="12">
        <f t="shared" si="26"/>
        <v>29096</v>
      </c>
      <c r="Q109" s="12">
        <f t="shared" si="27"/>
        <v>29096</v>
      </c>
      <c r="R109" s="23">
        <f t="shared" si="28"/>
        <v>29096</v>
      </c>
      <c r="S109" s="107">
        <f>+S108</f>
        <v>3.0002510670348981E-2</v>
      </c>
      <c r="T109" s="107">
        <f>+(N109-N108)/(M109-M108)-1</f>
        <v>2.995859381342858E-2</v>
      </c>
      <c r="U109" s="107">
        <f>+(O109-O108)/(N109-N108)-1</f>
        <v>0</v>
      </c>
      <c r="V109" s="107">
        <f>+(P109-P108)/(O109-O108)-1</f>
        <v>0</v>
      </c>
      <c r="W109" s="107">
        <f>+(Q109-Q108)/(P109-P108)-1</f>
        <v>0</v>
      </c>
      <c r="X109" s="107">
        <f>+(R109-R108)/(Q109-Q108)-1</f>
        <v>0</v>
      </c>
      <c r="Y109" s="38">
        <f t="shared" si="15"/>
        <v>0.03</v>
      </c>
      <c r="Z109" s="22">
        <v>28249</v>
      </c>
      <c r="AA109" s="12">
        <f t="shared" si="21"/>
        <v>29096</v>
      </c>
      <c r="AB109" s="419">
        <f>+AB108</f>
        <v>3.0002510670348981E-2</v>
      </c>
      <c r="AC109" s="419">
        <f>+(AA109-AA108)/(Z109-Z108)-1</f>
        <v>2.995859381342858E-2</v>
      </c>
    </row>
    <row r="110" spans="1:29" ht="18" customHeight="1" x14ac:dyDescent="0.25">
      <c r="A110" s="15" t="s">
        <v>5</v>
      </c>
      <c r="B110" s="11" t="s">
        <v>15</v>
      </c>
      <c r="C110" s="11" t="s">
        <v>16</v>
      </c>
      <c r="D110" s="11" t="s">
        <v>3</v>
      </c>
      <c r="E110" s="11" t="s">
        <v>36</v>
      </c>
      <c r="F110" s="11" t="s">
        <v>75</v>
      </c>
      <c r="G110" s="27" t="s">
        <v>4</v>
      </c>
      <c r="H110" s="35">
        <v>0.01</v>
      </c>
      <c r="I110" s="36"/>
      <c r="J110" s="36"/>
      <c r="K110" s="36"/>
      <c r="L110" s="37"/>
      <c r="M110" s="22">
        <v>19715</v>
      </c>
      <c r="N110" s="23">
        <f t="shared" ref="N110:N115" si="29">+ROUND(M110*(1+H110),0)</f>
        <v>19912</v>
      </c>
      <c r="O110" s="123">
        <f t="shared" si="25"/>
        <v>19912</v>
      </c>
      <c r="P110" s="12">
        <f t="shared" si="26"/>
        <v>19912</v>
      </c>
      <c r="Q110" s="12">
        <f t="shared" si="27"/>
        <v>19912</v>
      </c>
      <c r="R110" s="23">
        <f t="shared" si="28"/>
        <v>19912</v>
      </c>
      <c r="S110" s="107">
        <f>+N110/M110-1</f>
        <v>9.9923915800153029E-3</v>
      </c>
      <c r="T110" s="107">
        <v>0</v>
      </c>
      <c r="U110" s="107">
        <v>0</v>
      </c>
      <c r="V110" s="107">
        <v>0</v>
      </c>
      <c r="W110" s="107">
        <v>0</v>
      </c>
      <c r="X110" s="107">
        <v>0</v>
      </c>
      <c r="Y110" s="38">
        <f t="shared" si="15"/>
        <v>0.01</v>
      </c>
      <c r="Z110" s="22">
        <v>19715</v>
      </c>
      <c r="AA110" s="12">
        <f t="shared" ref="AA110:AA115" si="30">+ROUND(Z110*(1+Y110),0)</f>
        <v>19912</v>
      </c>
      <c r="AB110" s="419">
        <f>+AA110/Z110-1</f>
        <v>9.9923915800153029E-3</v>
      </c>
      <c r="AC110" s="419">
        <v>0</v>
      </c>
    </row>
    <row r="111" spans="1:29" ht="18" customHeight="1" x14ac:dyDescent="0.25">
      <c r="A111" s="15" t="s">
        <v>5</v>
      </c>
      <c r="B111" s="11" t="s">
        <v>15</v>
      </c>
      <c r="C111" s="11" t="s">
        <v>16</v>
      </c>
      <c r="D111" s="11" t="s">
        <v>5</v>
      </c>
      <c r="E111" s="11" t="s">
        <v>36</v>
      </c>
      <c r="F111" s="11" t="s">
        <v>75</v>
      </c>
      <c r="G111" s="27" t="s">
        <v>6</v>
      </c>
      <c r="H111" s="35">
        <v>0.01</v>
      </c>
      <c r="I111" s="36"/>
      <c r="J111" s="36"/>
      <c r="K111" s="36"/>
      <c r="L111" s="37"/>
      <c r="M111" s="22">
        <v>32644</v>
      </c>
      <c r="N111" s="23">
        <f t="shared" si="29"/>
        <v>32970</v>
      </c>
      <c r="O111" s="123">
        <f t="shared" si="25"/>
        <v>32970</v>
      </c>
      <c r="P111" s="12">
        <f t="shared" si="26"/>
        <v>32970</v>
      </c>
      <c r="Q111" s="12">
        <f t="shared" si="27"/>
        <v>32970</v>
      </c>
      <c r="R111" s="23">
        <f t="shared" si="28"/>
        <v>32970</v>
      </c>
      <c r="S111" s="107">
        <f>+S110</f>
        <v>9.9923915800153029E-3</v>
      </c>
      <c r="T111" s="107">
        <f>+(N111-N110)/(M111-M110)-1</f>
        <v>9.9775698043158556E-3</v>
      </c>
      <c r="U111" s="107">
        <f>+(O111-O110)/(N111-N110)-1</f>
        <v>0</v>
      </c>
      <c r="V111" s="107">
        <f>+(P111-P110)/(O111-O110)-1</f>
        <v>0</v>
      </c>
      <c r="W111" s="107">
        <f>+(Q111-Q110)/(P111-P110)-1</f>
        <v>0</v>
      </c>
      <c r="X111" s="107">
        <f>+(R111-R110)/(Q111-Q110)-1</f>
        <v>0</v>
      </c>
      <c r="Y111" s="38">
        <f t="shared" si="15"/>
        <v>0.01</v>
      </c>
      <c r="Z111" s="22">
        <v>32644</v>
      </c>
      <c r="AA111" s="12">
        <f t="shared" si="30"/>
        <v>32970</v>
      </c>
      <c r="AB111" s="419">
        <f>+AB110</f>
        <v>9.9923915800153029E-3</v>
      </c>
      <c r="AC111" s="419">
        <f>+(AA111-AA110)/(Z111-Z110)-1</f>
        <v>9.9775698043158556E-3</v>
      </c>
    </row>
    <row r="112" spans="1:29" ht="18" customHeight="1" x14ac:dyDescent="0.25">
      <c r="A112" s="15" t="s">
        <v>5</v>
      </c>
      <c r="B112" s="11" t="s">
        <v>24</v>
      </c>
      <c r="C112" s="11" t="s">
        <v>16</v>
      </c>
      <c r="D112" s="11" t="s">
        <v>3</v>
      </c>
      <c r="E112" s="11" t="s">
        <v>36</v>
      </c>
      <c r="F112" s="11" t="s">
        <v>76</v>
      </c>
      <c r="G112" s="27" t="s">
        <v>4</v>
      </c>
      <c r="H112" s="35">
        <v>0.01</v>
      </c>
      <c r="I112" s="36"/>
      <c r="J112" s="36"/>
      <c r="K112" s="36"/>
      <c r="L112" s="37"/>
      <c r="M112" s="22">
        <v>19520</v>
      </c>
      <c r="N112" s="23">
        <f t="shared" si="29"/>
        <v>19715</v>
      </c>
      <c r="O112" s="123">
        <f t="shared" si="25"/>
        <v>19715</v>
      </c>
      <c r="P112" s="12">
        <f t="shared" si="26"/>
        <v>19715</v>
      </c>
      <c r="Q112" s="12">
        <f t="shared" si="27"/>
        <v>19715</v>
      </c>
      <c r="R112" s="23">
        <f t="shared" si="28"/>
        <v>19715</v>
      </c>
      <c r="S112" s="107">
        <f>+N112/M112-1</f>
        <v>9.9897540983606703E-3</v>
      </c>
      <c r="T112" s="107">
        <v>0</v>
      </c>
      <c r="U112" s="107">
        <v>0</v>
      </c>
      <c r="V112" s="107">
        <v>0</v>
      </c>
      <c r="W112" s="107">
        <v>0</v>
      </c>
      <c r="X112" s="107">
        <v>0</v>
      </c>
      <c r="Y112" s="38">
        <f t="shared" si="15"/>
        <v>0.01</v>
      </c>
      <c r="Z112" s="22">
        <v>19520</v>
      </c>
      <c r="AA112" s="12">
        <f t="shared" si="30"/>
        <v>19715</v>
      </c>
      <c r="AB112" s="419">
        <f>+AA112/Z112-1</f>
        <v>9.9897540983606703E-3</v>
      </c>
      <c r="AC112" s="419">
        <v>0</v>
      </c>
    </row>
    <row r="113" spans="1:29" ht="18" customHeight="1" x14ac:dyDescent="0.25">
      <c r="A113" s="15" t="s">
        <v>5</v>
      </c>
      <c r="B113" s="11" t="s">
        <v>24</v>
      </c>
      <c r="C113" s="11" t="s">
        <v>16</v>
      </c>
      <c r="D113" s="11" t="s">
        <v>5</v>
      </c>
      <c r="E113" s="11" t="s">
        <v>36</v>
      </c>
      <c r="F113" s="11" t="s">
        <v>76</v>
      </c>
      <c r="G113" s="27" t="s">
        <v>6</v>
      </c>
      <c r="H113" s="35">
        <v>0.01</v>
      </c>
      <c r="I113" s="36"/>
      <c r="J113" s="36"/>
      <c r="K113" s="36"/>
      <c r="L113" s="37"/>
      <c r="M113" s="22">
        <v>32320</v>
      </c>
      <c r="N113" s="23">
        <f t="shared" si="29"/>
        <v>32643</v>
      </c>
      <c r="O113" s="123">
        <f t="shared" si="25"/>
        <v>32643</v>
      </c>
      <c r="P113" s="12">
        <f t="shared" si="26"/>
        <v>32643</v>
      </c>
      <c r="Q113" s="12">
        <f t="shared" si="27"/>
        <v>32643</v>
      </c>
      <c r="R113" s="23">
        <f t="shared" si="28"/>
        <v>32643</v>
      </c>
      <c r="S113" s="107">
        <f>+S112</f>
        <v>9.9897540983606703E-3</v>
      </c>
      <c r="T113" s="107">
        <f>+(N113-N112)/(M113-M112)-1</f>
        <v>1.0000000000000009E-2</v>
      </c>
      <c r="U113" s="107">
        <f>+(O113-O112)/(N113-N112)-1</f>
        <v>0</v>
      </c>
      <c r="V113" s="107">
        <f>+(P113-P112)/(O113-O112)-1</f>
        <v>0</v>
      </c>
      <c r="W113" s="107">
        <f>+(Q113-Q112)/(P113-P112)-1</f>
        <v>0</v>
      </c>
      <c r="X113" s="107">
        <f>+(R113-R112)/(Q113-Q112)-1</f>
        <v>0</v>
      </c>
      <c r="Y113" s="38">
        <f t="shared" si="15"/>
        <v>0.01</v>
      </c>
      <c r="Z113" s="22">
        <v>32320</v>
      </c>
      <c r="AA113" s="12">
        <f t="shared" si="30"/>
        <v>32643</v>
      </c>
      <c r="AB113" s="419">
        <f>+AB112</f>
        <v>9.9897540983606703E-3</v>
      </c>
      <c r="AC113" s="419">
        <f>+(AA113-AA112)/(Z113-Z112)-1</f>
        <v>1.0000000000000009E-2</v>
      </c>
    </row>
    <row r="114" spans="1:29" ht="18" customHeight="1" x14ac:dyDescent="0.25">
      <c r="A114" s="15" t="s">
        <v>5</v>
      </c>
      <c r="B114" s="11" t="s">
        <v>18</v>
      </c>
      <c r="C114" s="11" t="s">
        <v>24</v>
      </c>
      <c r="D114" s="11" t="s">
        <v>3</v>
      </c>
      <c r="E114" s="11" t="s">
        <v>50</v>
      </c>
      <c r="F114" s="11" t="s">
        <v>97</v>
      </c>
      <c r="G114" s="27" t="s">
        <v>4</v>
      </c>
      <c r="H114" s="38">
        <f t="shared" ref="H114:L115" si="31">+H104</f>
        <v>0</v>
      </c>
      <c r="I114" s="39">
        <f t="shared" si="31"/>
        <v>0</v>
      </c>
      <c r="J114" s="39">
        <f t="shared" si="31"/>
        <v>0</v>
      </c>
      <c r="K114" s="39">
        <f t="shared" si="31"/>
        <v>0</v>
      </c>
      <c r="L114" s="40">
        <f t="shared" si="31"/>
        <v>0</v>
      </c>
      <c r="M114" s="22">
        <v>15126</v>
      </c>
      <c r="N114" s="23">
        <f t="shared" si="29"/>
        <v>15126</v>
      </c>
      <c r="O114" s="123">
        <f t="shared" si="25"/>
        <v>15126</v>
      </c>
      <c r="P114" s="12">
        <f t="shared" si="26"/>
        <v>15126</v>
      </c>
      <c r="Q114" s="12">
        <f t="shared" si="27"/>
        <v>15126</v>
      </c>
      <c r="R114" s="23">
        <f t="shared" si="28"/>
        <v>15126</v>
      </c>
      <c r="S114" s="107">
        <f>+N114/M114-1</f>
        <v>0</v>
      </c>
      <c r="T114" s="107">
        <v>0</v>
      </c>
      <c r="U114" s="107">
        <v>0</v>
      </c>
      <c r="V114" s="107">
        <v>0</v>
      </c>
      <c r="W114" s="107">
        <v>0</v>
      </c>
      <c r="X114" s="107">
        <v>0</v>
      </c>
      <c r="Y114" s="38">
        <f t="shared" si="15"/>
        <v>0</v>
      </c>
      <c r="Z114" s="22">
        <v>15126</v>
      </c>
      <c r="AA114" s="12">
        <f t="shared" si="30"/>
        <v>15126</v>
      </c>
      <c r="AB114" s="419">
        <f>+AA114/Z114-1</f>
        <v>0</v>
      </c>
      <c r="AC114" s="419">
        <v>0</v>
      </c>
    </row>
    <row r="115" spans="1:29" ht="18" customHeight="1" thickBot="1" x14ac:dyDescent="0.3">
      <c r="A115" s="16" t="s">
        <v>5</v>
      </c>
      <c r="B115" s="17" t="s">
        <v>18</v>
      </c>
      <c r="C115" s="17" t="s">
        <v>24</v>
      </c>
      <c r="D115" s="17" t="s">
        <v>5</v>
      </c>
      <c r="E115" s="17" t="s">
        <v>50</v>
      </c>
      <c r="F115" s="17" t="s">
        <v>97</v>
      </c>
      <c r="G115" s="28" t="s">
        <v>6</v>
      </c>
      <c r="H115" s="41">
        <f t="shared" si="31"/>
        <v>0</v>
      </c>
      <c r="I115" s="42">
        <f t="shared" si="31"/>
        <v>0</v>
      </c>
      <c r="J115" s="42">
        <f t="shared" si="31"/>
        <v>0</v>
      </c>
      <c r="K115" s="42">
        <f t="shared" si="31"/>
        <v>0</v>
      </c>
      <c r="L115" s="43">
        <f t="shared" si="31"/>
        <v>0</v>
      </c>
      <c r="M115" s="24">
        <v>26863</v>
      </c>
      <c r="N115" s="25">
        <f t="shared" si="29"/>
        <v>26863</v>
      </c>
      <c r="O115" s="124">
        <f t="shared" si="25"/>
        <v>26863</v>
      </c>
      <c r="P115" s="18">
        <f t="shared" si="26"/>
        <v>26863</v>
      </c>
      <c r="Q115" s="18">
        <f t="shared" si="27"/>
        <v>26863</v>
      </c>
      <c r="R115" s="25">
        <f t="shared" si="28"/>
        <v>26863</v>
      </c>
      <c r="S115" s="108">
        <f>+S114</f>
        <v>0</v>
      </c>
      <c r="T115" s="108">
        <f>+(N115-N114)/(M115-M114)-1</f>
        <v>0</v>
      </c>
      <c r="U115" s="108">
        <f>+(O115-O114)/(N115-N114)-1</f>
        <v>0</v>
      </c>
      <c r="V115" s="108">
        <f>+(P115-P114)/(O115-O114)-1</f>
        <v>0</v>
      </c>
      <c r="W115" s="108">
        <f>+(Q115-Q114)/(P115-P114)-1</f>
        <v>0</v>
      </c>
      <c r="X115" s="108">
        <f>+(R115-R114)/(Q115-Q114)-1</f>
        <v>0</v>
      </c>
      <c r="Y115" s="41">
        <f t="shared" si="15"/>
        <v>0</v>
      </c>
      <c r="Z115" s="24">
        <v>26863</v>
      </c>
      <c r="AA115" s="18">
        <f t="shared" si="30"/>
        <v>26863</v>
      </c>
      <c r="AB115" s="420">
        <f>+AB114</f>
        <v>0</v>
      </c>
      <c r="AC115" s="420">
        <f>+(AA115-AA114)/(Z115-Z114)-1</f>
        <v>0</v>
      </c>
    </row>
    <row r="116" spans="1:29" ht="15.75" thickTop="1" x14ac:dyDescent="0.25"/>
  </sheetData>
  <mergeCells count="11">
    <mergeCell ref="F1:N1"/>
    <mergeCell ref="Z2:AA2"/>
    <mergeCell ref="D2:D3"/>
    <mergeCell ref="A2:A3"/>
    <mergeCell ref="B2:B3"/>
    <mergeCell ref="C2:C3"/>
    <mergeCell ref="H2:L2"/>
    <mergeCell ref="E2:E3"/>
    <mergeCell ref="F2:F3"/>
    <mergeCell ref="G2:G3"/>
    <mergeCell ref="M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69"/>
  <sheetViews>
    <sheetView showGridLines="0" topLeftCell="E1" workbookViewId="0">
      <selection activeCell="E1" sqref="E1:O1"/>
    </sheetView>
  </sheetViews>
  <sheetFormatPr defaultColWidth="25.140625" defaultRowHeight="15" x14ac:dyDescent="0.25"/>
  <cols>
    <col min="1" max="1" width="14.140625" style="4" customWidth="1"/>
    <col min="2" max="2" width="6.42578125" style="4" hidden="1" customWidth="1"/>
    <col min="3" max="3" width="6.85546875" style="4" hidden="1" customWidth="1"/>
    <col min="4" max="4" width="4.7109375" style="4" hidden="1" customWidth="1"/>
    <col min="5" max="5" width="19.140625" style="4" customWidth="1"/>
    <col min="6" max="6" width="38.42578125" style="4" customWidth="1"/>
    <col min="7" max="7" width="16.7109375" style="4" customWidth="1"/>
    <col min="8" max="8" width="10.42578125" style="117" hidden="1" customWidth="1"/>
    <col min="9" max="12" width="10.42578125" style="44" hidden="1" customWidth="1"/>
    <col min="13" max="15" width="10.42578125" style="6" customWidth="1"/>
    <col min="16" max="19" width="10.42578125" style="6" hidden="1" customWidth="1"/>
    <col min="20" max="23" width="10.42578125" style="7" hidden="1" customWidth="1"/>
    <col min="24" max="16384" width="25.140625" style="4"/>
  </cols>
  <sheetData>
    <row r="1" spans="1:23" ht="15.75" thickBot="1" x14ac:dyDescent="0.3">
      <c r="E1" s="478" t="s">
        <v>350</v>
      </c>
      <c r="F1" s="478"/>
      <c r="G1" s="478"/>
      <c r="H1" s="478"/>
      <c r="I1" s="478"/>
      <c r="J1" s="478"/>
      <c r="K1" s="478"/>
      <c r="L1" s="478"/>
      <c r="M1" s="478"/>
      <c r="N1" s="478"/>
      <c r="O1" s="478"/>
    </row>
    <row r="2" spans="1:23" s="104" customFormat="1" ht="63" customHeight="1" thickTop="1" x14ac:dyDescent="0.25">
      <c r="A2" s="470" t="s">
        <v>100</v>
      </c>
      <c r="B2" s="468" t="s">
        <v>101</v>
      </c>
      <c r="C2" s="468" t="s">
        <v>102</v>
      </c>
      <c r="D2" s="468" t="s">
        <v>103</v>
      </c>
      <c r="E2" s="468" t="s">
        <v>104</v>
      </c>
      <c r="F2" s="468" t="s">
        <v>105</v>
      </c>
      <c r="G2" s="475" t="s">
        <v>106</v>
      </c>
      <c r="H2" s="472" t="s">
        <v>98</v>
      </c>
      <c r="I2" s="473"/>
      <c r="J2" s="473"/>
      <c r="K2" s="473"/>
      <c r="L2" s="474"/>
      <c r="M2" s="466" t="s">
        <v>114</v>
      </c>
      <c r="N2" s="467"/>
      <c r="O2" s="477"/>
      <c r="P2" s="119"/>
      <c r="Q2" s="119"/>
      <c r="R2" s="119"/>
      <c r="S2" s="120"/>
      <c r="T2" s="109"/>
      <c r="U2" s="109"/>
      <c r="V2" s="109"/>
      <c r="W2" s="110"/>
    </row>
    <row r="3" spans="1:23" s="5" customFormat="1" ht="53.25" customHeight="1" thickBot="1" x14ac:dyDescent="0.3">
      <c r="A3" s="479"/>
      <c r="B3" s="480"/>
      <c r="C3" s="480"/>
      <c r="D3" s="480"/>
      <c r="E3" s="480"/>
      <c r="F3" s="480"/>
      <c r="G3" s="489"/>
      <c r="H3" s="423" t="s">
        <v>107</v>
      </c>
      <c r="I3" s="424" t="s">
        <v>108</v>
      </c>
      <c r="J3" s="424" t="s">
        <v>109</v>
      </c>
      <c r="K3" s="424" t="s">
        <v>110</v>
      </c>
      <c r="L3" s="425" t="s">
        <v>111</v>
      </c>
      <c r="M3" s="426" t="s">
        <v>112</v>
      </c>
      <c r="N3" s="427" t="s">
        <v>170</v>
      </c>
      <c r="O3" s="428" t="s">
        <v>107</v>
      </c>
      <c r="P3" s="121" t="s">
        <v>108</v>
      </c>
      <c r="Q3" s="8" t="s">
        <v>109</v>
      </c>
      <c r="R3" s="8" t="s">
        <v>110</v>
      </c>
      <c r="S3" s="13" t="s">
        <v>111</v>
      </c>
      <c r="T3" s="105" t="s">
        <v>108</v>
      </c>
      <c r="U3" s="105" t="s">
        <v>109</v>
      </c>
      <c r="V3" s="105" t="s">
        <v>110</v>
      </c>
      <c r="W3" s="105" t="s">
        <v>111</v>
      </c>
    </row>
    <row r="4" spans="1:23" ht="18" customHeight="1" thickTop="1" x14ac:dyDescent="0.25">
      <c r="A4" s="481" t="s">
        <v>332</v>
      </c>
      <c r="B4" s="429" t="s">
        <v>1</v>
      </c>
      <c r="C4" s="429" t="s">
        <v>1</v>
      </c>
      <c r="D4" s="429" t="s">
        <v>3</v>
      </c>
      <c r="E4" s="429" t="s">
        <v>2</v>
      </c>
      <c r="F4" s="429" t="s">
        <v>2</v>
      </c>
      <c r="G4" s="430" t="s">
        <v>4</v>
      </c>
      <c r="H4" s="431">
        <f>IF(M4&gt;0,O4/M4-1,0)</f>
        <v>5.2757997377279597E-3</v>
      </c>
      <c r="I4" s="432"/>
      <c r="J4" s="432"/>
      <c r="K4" s="432"/>
      <c r="L4" s="433"/>
      <c r="M4" s="434">
        <v>18954.472302063699</v>
      </c>
      <c r="N4" s="435">
        <v>100</v>
      </c>
      <c r="O4" s="436">
        <f>+M4+N4</f>
        <v>19054.472302063699</v>
      </c>
      <c r="P4" s="122">
        <f t="shared" ref="P4:P35" si="0">+ROUND(O4*(1+I4),0)</f>
        <v>19054</v>
      </c>
      <c r="Q4" s="10">
        <f t="shared" ref="Q4:Q35" si="1">+ROUND(P4*(1+J4),0)</f>
        <v>19054</v>
      </c>
      <c r="R4" s="10">
        <f t="shared" ref="R4:R35" si="2">+ROUND(Q4*(1+K4),0)</f>
        <v>19054</v>
      </c>
      <c r="S4" s="21">
        <f t="shared" ref="S4:S35" si="3">+ROUND(R4*(1+L4),0)</f>
        <v>19054</v>
      </c>
      <c r="T4" s="106">
        <v>0</v>
      </c>
      <c r="U4" s="106">
        <v>0</v>
      </c>
      <c r="V4" s="106">
        <v>0</v>
      </c>
      <c r="W4" s="106">
        <v>0</v>
      </c>
    </row>
    <row r="5" spans="1:23" ht="18" customHeight="1" x14ac:dyDescent="0.25">
      <c r="A5" s="482"/>
      <c r="B5" s="11" t="s">
        <v>1</v>
      </c>
      <c r="C5" s="11" t="s">
        <v>1</v>
      </c>
      <c r="D5" s="11" t="s">
        <v>5</v>
      </c>
      <c r="E5" s="11" t="s">
        <v>2</v>
      </c>
      <c r="F5" s="11" t="s">
        <v>2</v>
      </c>
      <c r="G5" s="27" t="s">
        <v>6</v>
      </c>
      <c r="H5" s="38">
        <f t="shared" ref="H5:H68" si="4">IF(M5&gt;0,O5/M5-1,0)</f>
        <v>1.8791067641980463E-2</v>
      </c>
      <c r="I5" s="36"/>
      <c r="J5" s="36"/>
      <c r="K5" s="36"/>
      <c r="L5" s="37"/>
      <c r="M5" s="112">
        <v>7982.5161006227399</v>
      </c>
      <c r="N5" s="127">
        <v>150</v>
      </c>
      <c r="O5" s="125">
        <f t="shared" ref="O5:O68" si="5">+M5+N5</f>
        <v>8132.5161006227399</v>
      </c>
      <c r="P5" s="123">
        <f t="shared" si="0"/>
        <v>8133</v>
      </c>
      <c r="Q5" s="12">
        <f t="shared" si="1"/>
        <v>8133</v>
      </c>
      <c r="R5" s="12">
        <f t="shared" si="2"/>
        <v>8133</v>
      </c>
      <c r="S5" s="23">
        <f t="shared" si="3"/>
        <v>8133</v>
      </c>
      <c r="T5" s="107">
        <f>+(P5-P4)/(O5-O4)-1</f>
        <v>-8.754855113168869E-5</v>
      </c>
      <c r="U5" s="107">
        <f>+(Q5-Q4)/(P5-P4)-1</f>
        <v>0</v>
      </c>
      <c r="V5" s="107">
        <f>+(R5-R4)/(Q5-Q4)-1</f>
        <v>0</v>
      </c>
      <c r="W5" s="107">
        <f>+(S5-S4)/(R5-R4)-1</f>
        <v>0</v>
      </c>
    </row>
    <row r="6" spans="1:23" ht="18" customHeight="1" x14ac:dyDescent="0.25">
      <c r="A6" s="482"/>
      <c r="B6" s="11" t="s">
        <v>8</v>
      </c>
      <c r="C6" s="11" t="s">
        <v>1</v>
      </c>
      <c r="D6" s="11" t="s">
        <v>3</v>
      </c>
      <c r="E6" s="11" t="s">
        <v>2</v>
      </c>
      <c r="F6" s="11" t="s">
        <v>51</v>
      </c>
      <c r="G6" s="27" t="s">
        <v>4</v>
      </c>
      <c r="H6" s="38">
        <f t="shared" si="4"/>
        <v>0</v>
      </c>
      <c r="I6" s="39">
        <f t="shared" ref="I6:L7" si="6">+I4</f>
        <v>0</v>
      </c>
      <c r="J6" s="39">
        <f t="shared" si="6"/>
        <v>0</v>
      </c>
      <c r="K6" s="39">
        <f t="shared" si="6"/>
        <v>0</v>
      </c>
      <c r="L6" s="40">
        <f t="shared" si="6"/>
        <v>0</v>
      </c>
      <c r="M6" s="112">
        <v>117.39890577889</v>
      </c>
      <c r="N6" s="127">
        <v>0</v>
      </c>
      <c r="O6" s="125">
        <f t="shared" si="5"/>
        <v>117.39890577889</v>
      </c>
      <c r="P6" s="123">
        <f t="shared" si="0"/>
        <v>117</v>
      </c>
      <c r="Q6" s="12">
        <f t="shared" si="1"/>
        <v>117</v>
      </c>
      <c r="R6" s="12">
        <f t="shared" si="2"/>
        <v>117</v>
      </c>
      <c r="S6" s="23">
        <f t="shared" si="3"/>
        <v>117</v>
      </c>
      <c r="T6" s="107">
        <v>0</v>
      </c>
      <c r="U6" s="107">
        <v>0</v>
      </c>
      <c r="V6" s="107">
        <v>0</v>
      </c>
      <c r="W6" s="107">
        <v>0</v>
      </c>
    </row>
    <row r="7" spans="1:23" ht="18" customHeight="1" x14ac:dyDescent="0.25">
      <c r="A7" s="482"/>
      <c r="B7" s="11" t="s">
        <v>8</v>
      </c>
      <c r="C7" s="11" t="s">
        <v>1</v>
      </c>
      <c r="D7" s="11" t="s">
        <v>5</v>
      </c>
      <c r="E7" s="11" t="s">
        <v>2</v>
      </c>
      <c r="F7" s="11" t="s">
        <v>51</v>
      </c>
      <c r="G7" s="27" t="s">
        <v>6</v>
      </c>
      <c r="H7" s="38">
        <f t="shared" si="4"/>
        <v>0</v>
      </c>
      <c r="I7" s="39">
        <f t="shared" si="6"/>
        <v>0</v>
      </c>
      <c r="J7" s="39">
        <f t="shared" si="6"/>
        <v>0</v>
      </c>
      <c r="K7" s="39">
        <f t="shared" si="6"/>
        <v>0</v>
      </c>
      <c r="L7" s="40">
        <f t="shared" si="6"/>
        <v>0</v>
      </c>
      <c r="M7" s="112">
        <v>13.190896911045</v>
      </c>
      <c r="N7" s="127">
        <v>0</v>
      </c>
      <c r="O7" s="125">
        <f t="shared" si="5"/>
        <v>13.190896911045</v>
      </c>
      <c r="P7" s="123">
        <f t="shared" si="0"/>
        <v>13</v>
      </c>
      <c r="Q7" s="12">
        <f t="shared" si="1"/>
        <v>13</v>
      </c>
      <c r="R7" s="12">
        <f t="shared" si="2"/>
        <v>13</v>
      </c>
      <c r="S7" s="23">
        <f t="shared" si="3"/>
        <v>13</v>
      </c>
      <c r="T7" s="107">
        <f>+(P7-P6)/(O7-O6)-1</f>
        <v>-1.9960929117145421E-3</v>
      </c>
      <c r="U7" s="107">
        <f>+(Q7-Q6)/(P7-P6)-1</f>
        <v>0</v>
      </c>
      <c r="V7" s="107">
        <f>+(R7-R6)/(Q7-Q6)-1</f>
        <v>0</v>
      </c>
      <c r="W7" s="107">
        <f>+(S7-S6)/(R7-R6)-1</f>
        <v>0</v>
      </c>
    </row>
    <row r="8" spans="1:23" ht="18" customHeight="1" x14ac:dyDescent="0.25">
      <c r="A8" s="482"/>
      <c r="B8" s="11" t="s">
        <v>13</v>
      </c>
      <c r="C8" s="11" t="s">
        <v>8</v>
      </c>
      <c r="D8" s="11" t="s">
        <v>3</v>
      </c>
      <c r="E8" s="11" t="s">
        <v>9</v>
      </c>
      <c r="F8" s="11" t="s">
        <v>9</v>
      </c>
      <c r="G8" s="27" t="s">
        <v>4</v>
      </c>
      <c r="H8" s="38">
        <f t="shared" si="4"/>
        <v>0</v>
      </c>
      <c r="I8" s="36"/>
      <c r="J8" s="36"/>
      <c r="K8" s="36"/>
      <c r="L8" s="37"/>
      <c r="M8" s="112">
        <v>855.02113685670099</v>
      </c>
      <c r="N8" s="127">
        <v>0</v>
      </c>
      <c r="O8" s="125">
        <f t="shared" si="5"/>
        <v>855.02113685670099</v>
      </c>
      <c r="P8" s="123">
        <f t="shared" si="0"/>
        <v>855</v>
      </c>
      <c r="Q8" s="12">
        <f t="shared" si="1"/>
        <v>855</v>
      </c>
      <c r="R8" s="12">
        <f t="shared" si="2"/>
        <v>855</v>
      </c>
      <c r="S8" s="23">
        <f t="shared" si="3"/>
        <v>855</v>
      </c>
      <c r="T8" s="107">
        <v>0</v>
      </c>
      <c r="U8" s="107">
        <v>0</v>
      </c>
      <c r="V8" s="107">
        <v>0</v>
      </c>
      <c r="W8" s="107">
        <v>0</v>
      </c>
    </row>
    <row r="9" spans="1:23" ht="18" customHeight="1" x14ac:dyDescent="0.25">
      <c r="A9" s="482"/>
      <c r="B9" s="11" t="s">
        <v>13</v>
      </c>
      <c r="C9" s="11" t="s">
        <v>8</v>
      </c>
      <c r="D9" s="11" t="s">
        <v>5</v>
      </c>
      <c r="E9" s="11" t="s">
        <v>9</v>
      </c>
      <c r="F9" s="11" t="s">
        <v>9</v>
      </c>
      <c r="G9" s="27" t="s">
        <v>6</v>
      </c>
      <c r="H9" s="38">
        <f t="shared" si="4"/>
        <v>0</v>
      </c>
      <c r="I9" s="36"/>
      <c r="J9" s="36"/>
      <c r="K9" s="36"/>
      <c r="L9" s="37"/>
      <c r="M9" s="112">
        <v>2146.4276774873902</v>
      </c>
      <c r="N9" s="127">
        <v>0</v>
      </c>
      <c r="O9" s="125">
        <f t="shared" si="5"/>
        <v>2146.4276774873902</v>
      </c>
      <c r="P9" s="123">
        <f t="shared" si="0"/>
        <v>2146</v>
      </c>
      <c r="Q9" s="12">
        <f t="shared" si="1"/>
        <v>2146</v>
      </c>
      <c r="R9" s="12">
        <f t="shared" si="2"/>
        <v>2146</v>
      </c>
      <c r="S9" s="23">
        <f t="shared" si="3"/>
        <v>2146</v>
      </c>
      <c r="T9" s="107">
        <f>+(P9-P8)/(O9-O8)-1</f>
        <v>-3.1480453125976027E-4</v>
      </c>
      <c r="U9" s="107">
        <f>+(Q9-Q8)/(P9-P8)-1</f>
        <v>0</v>
      </c>
      <c r="V9" s="107">
        <f>+(R9-R8)/(Q9-Q8)-1</f>
        <v>0</v>
      </c>
      <c r="W9" s="107">
        <f>+(S9-S8)/(R9-R8)-1</f>
        <v>0</v>
      </c>
    </row>
    <row r="10" spans="1:23" ht="18" customHeight="1" x14ac:dyDescent="0.25">
      <c r="A10" s="482"/>
      <c r="B10" s="11" t="s">
        <v>10</v>
      </c>
      <c r="C10" s="11" t="s">
        <v>7</v>
      </c>
      <c r="D10" s="11" t="s">
        <v>3</v>
      </c>
      <c r="E10" s="11" t="s">
        <v>11</v>
      </c>
      <c r="F10" s="11" t="s">
        <v>11</v>
      </c>
      <c r="G10" s="27" t="s">
        <v>4</v>
      </c>
      <c r="H10" s="38">
        <f t="shared" si="4"/>
        <v>0</v>
      </c>
      <c r="I10" s="36"/>
      <c r="J10" s="36"/>
      <c r="K10" s="36"/>
      <c r="L10" s="37"/>
      <c r="M10" s="112">
        <v>96.216342277454402</v>
      </c>
      <c r="N10" s="127">
        <v>0</v>
      </c>
      <c r="O10" s="125">
        <f t="shared" si="5"/>
        <v>96.216342277454402</v>
      </c>
      <c r="P10" s="123">
        <f t="shared" si="0"/>
        <v>96</v>
      </c>
      <c r="Q10" s="12">
        <f t="shared" si="1"/>
        <v>96</v>
      </c>
      <c r="R10" s="12">
        <f t="shared" si="2"/>
        <v>96</v>
      </c>
      <c r="S10" s="23">
        <f t="shared" si="3"/>
        <v>96</v>
      </c>
      <c r="T10" s="107">
        <v>0</v>
      </c>
      <c r="U10" s="107">
        <v>0</v>
      </c>
      <c r="V10" s="107">
        <v>0</v>
      </c>
      <c r="W10" s="107">
        <v>0</v>
      </c>
    </row>
    <row r="11" spans="1:23" ht="18" customHeight="1" x14ac:dyDescent="0.25">
      <c r="A11" s="482"/>
      <c r="B11" s="11" t="s">
        <v>10</v>
      </c>
      <c r="C11" s="11" t="s">
        <v>7</v>
      </c>
      <c r="D11" s="11" t="s">
        <v>5</v>
      </c>
      <c r="E11" s="11" t="s">
        <v>11</v>
      </c>
      <c r="F11" s="11" t="s">
        <v>11</v>
      </c>
      <c r="G11" s="27" t="s">
        <v>6</v>
      </c>
      <c r="H11" s="38">
        <f t="shared" si="4"/>
        <v>0</v>
      </c>
      <c r="I11" s="36"/>
      <c r="J11" s="36"/>
      <c r="K11" s="36"/>
      <c r="L11" s="37"/>
      <c r="M11" s="112">
        <v>68.832847388375498</v>
      </c>
      <c r="N11" s="127">
        <v>0</v>
      </c>
      <c r="O11" s="125">
        <f t="shared" si="5"/>
        <v>68.832847388375498</v>
      </c>
      <c r="P11" s="123">
        <f t="shared" si="0"/>
        <v>69</v>
      </c>
      <c r="Q11" s="12">
        <f t="shared" si="1"/>
        <v>69</v>
      </c>
      <c r="R11" s="12">
        <f t="shared" si="2"/>
        <v>69</v>
      </c>
      <c r="S11" s="23">
        <f t="shared" si="3"/>
        <v>69</v>
      </c>
      <c r="T11" s="107">
        <f>+(P11-P10)/(O11-O10)-1</f>
        <v>-1.4004599874205548E-2</v>
      </c>
      <c r="U11" s="107">
        <f>+(Q11-Q10)/(P11-P10)-1</f>
        <v>0</v>
      </c>
      <c r="V11" s="107">
        <f>+(R11-R10)/(Q11-Q10)-1</f>
        <v>0</v>
      </c>
      <c r="W11" s="107">
        <f>+(S11-S10)/(R11-R10)-1</f>
        <v>0</v>
      </c>
    </row>
    <row r="12" spans="1:23" ht="18" customHeight="1" x14ac:dyDescent="0.25">
      <c r="A12" s="482"/>
      <c r="B12" s="11" t="s">
        <v>7</v>
      </c>
      <c r="C12" s="11" t="s">
        <v>13</v>
      </c>
      <c r="D12" s="11" t="s">
        <v>3</v>
      </c>
      <c r="E12" s="11" t="s">
        <v>14</v>
      </c>
      <c r="F12" s="11" t="s">
        <v>52</v>
      </c>
      <c r="G12" s="27" t="s">
        <v>4</v>
      </c>
      <c r="H12" s="38">
        <f t="shared" si="4"/>
        <v>0</v>
      </c>
      <c r="I12" s="39">
        <f t="shared" ref="I12:L13" si="7">+I14</f>
        <v>0</v>
      </c>
      <c r="J12" s="39">
        <f t="shared" si="7"/>
        <v>0</v>
      </c>
      <c r="K12" s="39">
        <f t="shared" si="7"/>
        <v>0</v>
      </c>
      <c r="L12" s="40">
        <f t="shared" si="7"/>
        <v>0</v>
      </c>
      <c r="M12" s="112">
        <v>3.8997671110910899</v>
      </c>
      <c r="N12" s="127">
        <v>0</v>
      </c>
      <c r="O12" s="125">
        <f t="shared" si="5"/>
        <v>3.8997671110910899</v>
      </c>
      <c r="P12" s="123">
        <f t="shared" si="0"/>
        <v>4</v>
      </c>
      <c r="Q12" s="12">
        <f t="shared" si="1"/>
        <v>4</v>
      </c>
      <c r="R12" s="12">
        <f t="shared" si="2"/>
        <v>4</v>
      </c>
      <c r="S12" s="23">
        <f t="shared" si="3"/>
        <v>4</v>
      </c>
      <c r="T12" s="107">
        <v>0</v>
      </c>
      <c r="U12" s="107">
        <v>0</v>
      </c>
      <c r="V12" s="107">
        <v>0</v>
      </c>
      <c r="W12" s="107">
        <v>0</v>
      </c>
    </row>
    <row r="13" spans="1:23" ht="18" customHeight="1" x14ac:dyDescent="0.25">
      <c r="A13" s="482"/>
      <c r="B13" s="11" t="s">
        <v>7</v>
      </c>
      <c r="C13" s="11" t="s">
        <v>13</v>
      </c>
      <c r="D13" s="11" t="s">
        <v>5</v>
      </c>
      <c r="E13" s="11" t="s">
        <v>14</v>
      </c>
      <c r="F13" s="11" t="s">
        <v>52</v>
      </c>
      <c r="G13" s="27" t="s">
        <v>6</v>
      </c>
      <c r="H13" s="38">
        <f t="shared" si="4"/>
        <v>0</v>
      </c>
      <c r="I13" s="39">
        <f t="shared" si="7"/>
        <v>0</v>
      </c>
      <c r="J13" s="39">
        <f t="shared" si="7"/>
        <v>0</v>
      </c>
      <c r="K13" s="39">
        <f t="shared" si="7"/>
        <v>0</v>
      </c>
      <c r="L13" s="40">
        <f t="shared" si="7"/>
        <v>0</v>
      </c>
      <c r="M13" s="112">
        <v>2.70333266665244</v>
      </c>
      <c r="N13" s="127">
        <v>0</v>
      </c>
      <c r="O13" s="125">
        <f t="shared" si="5"/>
        <v>2.70333266665244</v>
      </c>
      <c r="P13" s="123">
        <f t="shared" si="0"/>
        <v>3</v>
      </c>
      <c r="Q13" s="12">
        <f t="shared" si="1"/>
        <v>3</v>
      </c>
      <c r="R13" s="12">
        <f t="shared" si="2"/>
        <v>3</v>
      </c>
      <c r="S13" s="23">
        <f t="shared" si="3"/>
        <v>3</v>
      </c>
      <c r="T13" s="107">
        <f>+(P13-P12)/(O13-O12)-1</f>
        <v>-0.16418320732216474</v>
      </c>
      <c r="U13" s="107">
        <f>+(Q13-Q12)/(P13-P12)-1</f>
        <v>0</v>
      </c>
      <c r="V13" s="107">
        <f>+(R13-R12)/(Q13-Q12)-1</f>
        <v>0</v>
      </c>
      <c r="W13" s="107">
        <f>+(S13-S12)/(R13-R12)-1</f>
        <v>0</v>
      </c>
    </row>
    <row r="14" spans="1:23" ht="18" customHeight="1" x14ac:dyDescent="0.25">
      <c r="A14" s="482"/>
      <c r="B14" s="11" t="s">
        <v>16</v>
      </c>
      <c r="C14" s="11" t="s">
        <v>13</v>
      </c>
      <c r="D14" s="11" t="s">
        <v>3</v>
      </c>
      <c r="E14" s="11" t="s">
        <v>14</v>
      </c>
      <c r="F14" s="11" t="s">
        <v>14</v>
      </c>
      <c r="G14" s="27" t="s">
        <v>4</v>
      </c>
      <c r="H14" s="38">
        <f t="shared" si="4"/>
        <v>0</v>
      </c>
      <c r="I14" s="36"/>
      <c r="J14" s="36"/>
      <c r="K14" s="36"/>
      <c r="L14" s="37"/>
      <c r="M14" s="112">
        <v>251.51916879739099</v>
      </c>
      <c r="N14" s="127">
        <v>0</v>
      </c>
      <c r="O14" s="125">
        <f t="shared" si="5"/>
        <v>251.51916879739099</v>
      </c>
      <c r="P14" s="123">
        <f t="shared" si="0"/>
        <v>252</v>
      </c>
      <c r="Q14" s="12">
        <f t="shared" si="1"/>
        <v>252</v>
      </c>
      <c r="R14" s="12">
        <f t="shared" si="2"/>
        <v>252</v>
      </c>
      <c r="S14" s="23">
        <f t="shared" si="3"/>
        <v>252</v>
      </c>
      <c r="T14" s="107">
        <v>0</v>
      </c>
      <c r="U14" s="107">
        <v>0</v>
      </c>
      <c r="V14" s="107">
        <v>0</v>
      </c>
      <c r="W14" s="107">
        <v>0</v>
      </c>
    </row>
    <row r="15" spans="1:23" ht="18" customHeight="1" x14ac:dyDescent="0.25">
      <c r="A15" s="482"/>
      <c r="B15" s="11" t="s">
        <v>16</v>
      </c>
      <c r="C15" s="11" t="s">
        <v>13</v>
      </c>
      <c r="D15" s="11" t="s">
        <v>5</v>
      </c>
      <c r="E15" s="11" t="s">
        <v>14</v>
      </c>
      <c r="F15" s="11" t="s">
        <v>14</v>
      </c>
      <c r="G15" s="27" t="s">
        <v>6</v>
      </c>
      <c r="H15" s="38">
        <f t="shared" si="4"/>
        <v>0</v>
      </c>
      <c r="I15" s="36"/>
      <c r="J15" s="36"/>
      <c r="K15" s="36"/>
      <c r="L15" s="37"/>
      <c r="M15" s="112">
        <v>931.65973368175798</v>
      </c>
      <c r="N15" s="127">
        <v>0</v>
      </c>
      <c r="O15" s="125">
        <f t="shared" si="5"/>
        <v>931.65973368175798</v>
      </c>
      <c r="P15" s="123">
        <f t="shared" si="0"/>
        <v>932</v>
      </c>
      <c r="Q15" s="12">
        <f t="shared" si="1"/>
        <v>932</v>
      </c>
      <c r="R15" s="12">
        <f t="shared" si="2"/>
        <v>932</v>
      </c>
      <c r="S15" s="23">
        <f t="shared" si="3"/>
        <v>932</v>
      </c>
      <c r="T15" s="107">
        <f>+(P15-P14)/(O15-O14)-1</f>
        <v>-2.0667034378529792E-4</v>
      </c>
      <c r="U15" s="107">
        <f>+(Q15-Q14)/(P15-P14)-1</f>
        <v>0</v>
      </c>
      <c r="V15" s="107">
        <f>+(R15-R14)/(Q15-Q14)-1</f>
        <v>0</v>
      </c>
      <c r="W15" s="107">
        <f>+(S15-S14)/(R15-R14)-1</f>
        <v>0</v>
      </c>
    </row>
    <row r="16" spans="1:23" ht="18" customHeight="1" x14ac:dyDescent="0.25">
      <c r="A16" s="482"/>
      <c r="B16" s="11" t="s">
        <v>47</v>
      </c>
      <c r="C16" s="11" t="s">
        <v>16</v>
      </c>
      <c r="D16" s="11" t="s">
        <v>3</v>
      </c>
      <c r="E16" s="11" t="s">
        <v>17</v>
      </c>
      <c r="F16" s="11" t="s">
        <v>53</v>
      </c>
      <c r="G16" s="27" t="s">
        <v>4</v>
      </c>
      <c r="H16" s="38">
        <f t="shared" si="4"/>
        <v>0</v>
      </c>
      <c r="I16" s="36"/>
      <c r="J16" s="36"/>
      <c r="K16" s="36"/>
      <c r="L16" s="37"/>
      <c r="M16" s="112">
        <v>146.43536024887999</v>
      </c>
      <c r="N16" s="127">
        <v>0</v>
      </c>
      <c r="O16" s="125">
        <f t="shared" si="5"/>
        <v>146.43536024887999</v>
      </c>
      <c r="P16" s="123">
        <f t="shared" si="0"/>
        <v>146</v>
      </c>
      <c r="Q16" s="12">
        <f t="shared" si="1"/>
        <v>146</v>
      </c>
      <c r="R16" s="12">
        <f t="shared" si="2"/>
        <v>146</v>
      </c>
      <c r="S16" s="23">
        <f t="shared" si="3"/>
        <v>146</v>
      </c>
      <c r="T16" s="107">
        <v>0</v>
      </c>
      <c r="U16" s="107">
        <v>0</v>
      </c>
      <c r="V16" s="107">
        <v>0</v>
      </c>
      <c r="W16" s="107">
        <v>0</v>
      </c>
    </row>
    <row r="17" spans="1:23" ht="18" customHeight="1" x14ac:dyDescent="0.25">
      <c r="A17" s="482"/>
      <c r="B17" s="11" t="s">
        <v>47</v>
      </c>
      <c r="C17" s="11" t="s">
        <v>16</v>
      </c>
      <c r="D17" s="11" t="s">
        <v>5</v>
      </c>
      <c r="E17" s="11" t="s">
        <v>17</v>
      </c>
      <c r="F17" s="11" t="s">
        <v>53</v>
      </c>
      <c r="G17" s="27" t="s">
        <v>6</v>
      </c>
      <c r="H17" s="38">
        <f t="shared" si="4"/>
        <v>0</v>
      </c>
      <c r="I17" s="36"/>
      <c r="J17" s="36"/>
      <c r="K17" s="36"/>
      <c r="L17" s="37"/>
      <c r="M17" s="112">
        <v>332.822979941759</v>
      </c>
      <c r="N17" s="127">
        <v>0</v>
      </c>
      <c r="O17" s="125">
        <f t="shared" si="5"/>
        <v>332.822979941759</v>
      </c>
      <c r="P17" s="123">
        <f t="shared" si="0"/>
        <v>333</v>
      </c>
      <c r="Q17" s="12">
        <f t="shared" si="1"/>
        <v>333</v>
      </c>
      <c r="R17" s="12">
        <f t="shared" si="2"/>
        <v>333</v>
      </c>
      <c r="S17" s="23">
        <f t="shared" si="3"/>
        <v>333</v>
      </c>
      <c r="T17" s="107">
        <f>+(P17-P16)/(O17-O16)-1</f>
        <v>3.2855202943737893E-3</v>
      </c>
      <c r="U17" s="107">
        <f>+(Q17-Q16)/(P17-P16)-1</f>
        <v>0</v>
      </c>
      <c r="V17" s="107">
        <f>+(R17-R16)/(Q17-Q16)-1</f>
        <v>0</v>
      </c>
      <c r="W17" s="107">
        <f>+(S17-S16)/(R17-R16)-1</f>
        <v>0</v>
      </c>
    </row>
    <row r="18" spans="1:23" ht="18" customHeight="1" x14ac:dyDescent="0.25">
      <c r="A18" s="482"/>
      <c r="B18" s="11" t="s">
        <v>54</v>
      </c>
      <c r="C18" s="11" t="s">
        <v>16</v>
      </c>
      <c r="D18" s="11" t="s">
        <v>3</v>
      </c>
      <c r="E18" s="11" t="s">
        <v>17</v>
      </c>
      <c r="F18" s="11" t="s">
        <v>55</v>
      </c>
      <c r="G18" s="27" t="s">
        <v>4</v>
      </c>
      <c r="H18" s="38">
        <f t="shared" si="4"/>
        <v>0</v>
      </c>
      <c r="I18" s="36"/>
      <c r="J18" s="36"/>
      <c r="K18" s="36"/>
      <c r="L18" s="37"/>
      <c r="M18" s="112">
        <v>14.7137724998206</v>
      </c>
      <c r="N18" s="127">
        <v>0</v>
      </c>
      <c r="O18" s="125">
        <f t="shared" si="5"/>
        <v>14.7137724998206</v>
      </c>
      <c r="P18" s="123">
        <f t="shared" si="0"/>
        <v>15</v>
      </c>
      <c r="Q18" s="12">
        <f t="shared" si="1"/>
        <v>15</v>
      </c>
      <c r="R18" s="12">
        <f t="shared" si="2"/>
        <v>15</v>
      </c>
      <c r="S18" s="23">
        <f t="shared" si="3"/>
        <v>15</v>
      </c>
      <c r="T18" s="107">
        <v>0</v>
      </c>
      <c r="U18" s="107">
        <v>0</v>
      </c>
      <c r="V18" s="107">
        <v>0</v>
      </c>
      <c r="W18" s="107">
        <v>0</v>
      </c>
    </row>
    <row r="19" spans="1:23" ht="18" customHeight="1" x14ac:dyDescent="0.25">
      <c r="A19" s="482"/>
      <c r="B19" s="11" t="s">
        <v>54</v>
      </c>
      <c r="C19" s="11" t="s">
        <v>16</v>
      </c>
      <c r="D19" s="11" t="s">
        <v>5</v>
      </c>
      <c r="E19" s="11" t="s">
        <v>17</v>
      </c>
      <c r="F19" s="11" t="s">
        <v>55</v>
      </c>
      <c r="G19" s="27" t="s">
        <v>6</v>
      </c>
      <c r="H19" s="38">
        <f t="shared" si="4"/>
        <v>0</v>
      </c>
      <c r="I19" s="36"/>
      <c r="J19" s="36"/>
      <c r="K19" s="36"/>
      <c r="L19" s="37"/>
      <c r="M19" s="112">
        <v>9.8182370443354703</v>
      </c>
      <c r="N19" s="127">
        <v>0</v>
      </c>
      <c r="O19" s="125">
        <f t="shared" si="5"/>
        <v>9.8182370443354703</v>
      </c>
      <c r="P19" s="123">
        <f t="shared" si="0"/>
        <v>10</v>
      </c>
      <c r="Q19" s="12">
        <f t="shared" si="1"/>
        <v>10</v>
      </c>
      <c r="R19" s="12">
        <f t="shared" si="2"/>
        <v>10</v>
      </c>
      <c r="S19" s="23">
        <f t="shared" si="3"/>
        <v>10</v>
      </c>
      <c r="T19" s="107">
        <f>+(P19-P18)/(O19-O18)-1</f>
        <v>2.1338737195299995E-2</v>
      </c>
      <c r="U19" s="107">
        <f>+(Q19-Q18)/(P19-P18)-1</f>
        <v>0</v>
      </c>
      <c r="V19" s="107">
        <f>+(R19-R18)/(Q19-Q18)-1</f>
        <v>0</v>
      </c>
      <c r="W19" s="107">
        <f>+(S19-S18)/(R19-R18)-1</f>
        <v>0</v>
      </c>
    </row>
    <row r="20" spans="1:23" ht="18" customHeight="1" x14ac:dyDescent="0.25">
      <c r="A20" s="482"/>
      <c r="B20" s="11" t="s">
        <v>31</v>
      </c>
      <c r="C20" s="11" t="s">
        <v>12</v>
      </c>
      <c r="D20" s="11" t="s">
        <v>3</v>
      </c>
      <c r="E20" s="11" t="s">
        <v>19</v>
      </c>
      <c r="F20" s="11" t="s">
        <v>56</v>
      </c>
      <c r="G20" s="27" t="s">
        <v>4</v>
      </c>
      <c r="H20" s="38">
        <f t="shared" si="4"/>
        <v>0</v>
      </c>
      <c r="I20" s="36"/>
      <c r="J20" s="36"/>
      <c r="K20" s="36"/>
      <c r="L20" s="37"/>
      <c r="M20" s="112">
        <v>330.12867185360199</v>
      </c>
      <c r="N20" s="127">
        <v>0</v>
      </c>
      <c r="O20" s="125">
        <f t="shared" si="5"/>
        <v>330.12867185360199</v>
      </c>
      <c r="P20" s="123">
        <f t="shared" si="0"/>
        <v>330</v>
      </c>
      <c r="Q20" s="12">
        <f t="shared" si="1"/>
        <v>330</v>
      </c>
      <c r="R20" s="12">
        <f t="shared" si="2"/>
        <v>330</v>
      </c>
      <c r="S20" s="23">
        <f t="shared" si="3"/>
        <v>330</v>
      </c>
      <c r="T20" s="107">
        <v>0</v>
      </c>
      <c r="U20" s="107">
        <v>0</v>
      </c>
      <c r="V20" s="107">
        <v>0</v>
      </c>
      <c r="W20" s="107">
        <v>0</v>
      </c>
    </row>
    <row r="21" spans="1:23" ht="18" customHeight="1" x14ac:dyDescent="0.25">
      <c r="A21" s="482"/>
      <c r="B21" s="11" t="s">
        <v>31</v>
      </c>
      <c r="C21" s="11" t="s">
        <v>12</v>
      </c>
      <c r="D21" s="11" t="s">
        <v>5</v>
      </c>
      <c r="E21" s="11" t="s">
        <v>19</v>
      </c>
      <c r="F21" s="11" t="s">
        <v>56</v>
      </c>
      <c r="G21" s="27" t="s">
        <v>6</v>
      </c>
      <c r="H21" s="38">
        <f t="shared" si="4"/>
        <v>0</v>
      </c>
      <c r="I21" s="36"/>
      <c r="J21" s="36"/>
      <c r="K21" s="36"/>
      <c r="L21" s="37"/>
      <c r="M21" s="112">
        <v>88.103417165904901</v>
      </c>
      <c r="N21" s="127">
        <v>0</v>
      </c>
      <c r="O21" s="125">
        <f t="shared" si="5"/>
        <v>88.103417165904901</v>
      </c>
      <c r="P21" s="123">
        <f t="shared" si="0"/>
        <v>88</v>
      </c>
      <c r="Q21" s="12">
        <f t="shared" si="1"/>
        <v>88</v>
      </c>
      <c r="R21" s="12">
        <f t="shared" si="2"/>
        <v>88</v>
      </c>
      <c r="S21" s="23">
        <f t="shared" si="3"/>
        <v>88</v>
      </c>
      <c r="T21" s="107">
        <f>+(P21-P20)/(O21-O20)-1</f>
        <v>-1.0434732412401004E-4</v>
      </c>
      <c r="U21" s="107">
        <f>+(Q21-Q20)/(P21-P20)-1</f>
        <v>0</v>
      </c>
      <c r="V21" s="107">
        <f>+(R21-R20)/(Q21-Q20)-1</f>
        <v>0</v>
      </c>
      <c r="W21" s="107">
        <f>+(S21-S20)/(R21-R20)-1</f>
        <v>0</v>
      </c>
    </row>
    <row r="22" spans="1:23" ht="18" customHeight="1" x14ac:dyDescent="0.25">
      <c r="A22" s="482"/>
      <c r="B22" s="11" t="s">
        <v>57</v>
      </c>
      <c r="C22" s="11" t="s">
        <v>12</v>
      </c>
      <c r="D22" s="11" t="s">
        <v>3</v>
      </c>
      <c r="E22" s="11" t="s">
        <v>19</v>
      </c>
      <c r="F22" s="11" t="s">
        <v>58</v>
      </c>
      <c r="G22" s="27" t="s">
        <v>4</v>
      </c>
      <c r="H22" s="38">
        <f t="shared" si="4"/>
        <v>0</v>
      </c>
      <c r="I22" s="36"/>
      <c r="J22" s="36"/>
      <c r="K22" s="36"/>
      <c r="L22" s="37"/>
      <c r="M22" s="112">
        <v>122.13317516639199</v>
      </c>
      <c r="N22" s="127">
        <v>0</v>
      </c>
      <c r="O22" s="125">
        <f t="shared" si="5"/>
        <v>122.13317516639199</v>
      </c>
      <c r="P22" s="123">
        <f t="shared" si="0"/>
        <v>122</v>
      </c>
      <c r="Q22" s="12">
        <f t="shared" si="1"/>
        <v>122</v>
      </c>
      <c r="R22" s="12">
        <f t="shared" si="2"/>
        <v>122</v>
      </c>
      <c r="S22" s="23">
        <f t="shared" si="3"/>
        <v>122</v>
      </c>
      <c r="T22" s="107">
        <v>0</v>
      </c>
      <c r="U22" s="107">
        <v>0</v>
      </c>
      <c r="V22" s="107">
        <v>0</v>
      </c>
      <c r="W22" s="107">
        <v>0</v>
      </c>
    </row>
    <row r="23" spans="1:23" ht="18" customHeight="1" x14ac:dyDescent="0.25">
      <c r="A23" s="482"/>
      <c r="B23" s="11" t="s">
        <v>57</v>
      </c>
      <c r="C23" s="11" t="s">
        <v>12</v>
      </c>
      <c r="D23" s="11" t="s">
        <v>5</v>
      </c>
      <c r="E23" s="11" t="s">
        <v>19</v>
      </c>
      <c r="F23" s="11" t="s">
        <v>58</v>
      </c>
      <c r="G23" s="27" t="s">
        <v>6</v>
      </c>
      <c r="H23" s="38">
        <f t="shared" si="4"/>
        <v>0</v>
      </c>
      <c r="I23" s="36"/>
      <c r="J23" s="36"/>
      <c r="K23" s="36"/>
      <c r="L23" s="37"/>
      <c r="M23" s="112">
        <v>90.127293333105001</v>
      </c>
      <c r="N23" s="127">
        <v>0</v>
      </c>
      <c r="O23" s="125">
        <f t="shared" si="5"/>
        <v>90.127293333105001</v>
      </c>
      <c r="P23" s="123">
        <f t="shared" si="0"/>
        <v>90</v>
      </c>
      <c r="Q23" s="12">
        <f t="shared" si="1"/>
        <v>90</v>
      </c>
      <c r="R23" s="12">
        <f t="shared" si="2"/>
        <v>90</v>
      </c>
      <c r="S23" s="23">
        <f t="shared" si="3"/>
        <v>90</v>
      </c>
      <c r="T23" s="107">
        <f>+(P23-P22)/(O23-O22)-1</f>
        <v>-1.8377351130738351E-4</v>
      </c>
      <c r="U23" s="107">
        <f>+(Q23-Q22)/(P23-P22)-1</f>
        <v>0</v>
      </c>
      <c r="V23" s="107">
        <f>+(R23-R22)/(Q23-Q22)-1</f>
        <v>0</v>
      </c>
      <c r="W23" s="107">
        <f>+(S23-S22)/(R23-R22)-1</f>
        <v>0</v>
      </c>
    </row>
    <row r="24" spans="1:23" ht="18" customHeight="1" x14ac:dyDescent="0.25">
      <c r="A24" s="482"/>
      <c r="B24" s="11" t="s">
        <v>41</v>
      </c>
      <c r="C24" s="11" t="s">
        <v>15</v>
      </c>
      <c r="D24" s="11" t="s">
        <v>3</v>
      </c>
      <c r="E24" s="11" t="s">
        <v>22</v>
      </c>
      <c r="F24" s="11" t="s">
        <v>59</v>
      </c>
      <c r="G24" s="27" t="s">
        <v>4</v>
      </c>
      <c r="H24" s="38">
        <f t="shared" si="4"/>
        <v>0</v>
      </c>
      <c r="I24" s="36"/>
      <c r="J24" s="36"/>
      <c r="K24" s="36"/>
      <c r="L24" s="37"/>
      <c r="M24" s="112">
        <v>227.31430373215599</v>
      </c>
      <c r="N24" s="127">
        <v>0</v>
      </c>
      <c r="O24" s="125">
        <f t="shared" si="5"/>
        <v>227.31430373215599</v>
      </c>
      <c r="P24" s="123">
        <f t="shared" si="0"/>
        <v>227</v>
      </c>
      <c r="Q24" s="12">
        <f t="shared" si="1"/>
        <v>227</v>
      </c>
      <c r="R24" s="12">
        <f t="shared" si="2"/>
        <v>227</v>
      </c>
      <c r="S24" s="23">
        <f t="shared" si="3"/>
        <v>227</v>
      </c>
      <c r="T24" s="107">
        <v>0</v>
      </c>
      <c r="U24" s="107">
        <v>0</v>
      </c>
      <c r="V24" s="107">
        <v>0</v>
      </c>
      <c r="W24" s="107">
        <v>0</v>
      </c>
    </row>
    <row r="25" spans="1:23" ht="18" customHeight="1" x14ac:dyDescent="0.25">
      <c r="A25" s="482"/>
      <c r="B25" s="11" t="s">
        <v>41</v>
      </c>
      <c r="C25" s="11" t="s">
        <v>15</v>
      </c>
      <c r="D25" s="11" t="s">
        <v>5</v>
      </c>
      <c r="E25" s="11" t="s">
        <v>22</v>
      </c>
      <c r="F25" s="11" t="s">
        <v>59</v>
      </c>
      <c r="G25" s="27" t="s">
        <v>6</v>
      </c>
      <c r="H25" s="38">
        <f t="shared" si="4"/>
        <v>0</v>
      </c>
      <c r="I25" s="36"/>
      <c r="J25" s="36"/>
      <c r="K25" s="36"/>
      <c r="L25" s="37"/>
      <c r="M25" s="112">
        <v>102.758176732753</v>
      </c>
      <c r="N25" s="127">
        <v>0</v>
      </c>
      <c r="O25" s="125">
        <f t="shared" si="5"/>
        <v>102.758176732753</v>
      </c>
      <c r="P25" s="123">
        <f t="shared" si="0"/>
        <v>103</v>
      </c>
      <c r="Q25" s="12">
        <f t="shared" si="1"/>
        <v>103</v>
      </c>
      <c r="R25" s="12">
        <f t="shared" si="2"/>
        <v>103</v>
      </c>
      <c r="S25" s="23">
        <f t="shared" si="3"/>
        <v>103</v>
      </c>
      <c r="T25" s="107">
        <f>+(P25-P24)/(O25-O24)-1</f>
        <v>-4.4648706795905602E-3</v>
      </c>
      <c r="U25" s="107">
        <f>+(Q25-Q24)/(P25-P24)-1</f>
        <v>0</v>
      </c>
      <c r="V25" s="107">
        <f>+(R25-R24)/(Q25-Q24)-1</f>
        <v>0</v>
      </c>
      <c r="W25" s="107">
        <f>+(S25-S24)/(R25-R24)-1</f>
        <v>0</v>
      </c>
    </row>
    <row r="26" spans="1:23" ht="18" customHeight="1" x14ac:dyDescent="0.25">
      <c r="A26" s="482"/>
      <c r="B26" s="11" t="s">
        <v>60</v>
      </c>
      <c r="C26" s="11" t="s">
        <v>24</v>
      </c>
      <c r="D26" s="11" t="s">
        <v>3</v>
      </c>
      <c r="E26" s="11" t="s">
        <v>25</v>
      </c>
      <c r="F26" s="11" t="s">
        <v>61</v>
      </c>
      <c r="G26" s="27" t="s">
        <v>4</v>
      </c>
      <c r="H26" s="38">
        <f t="shared" si="4"/>
        <v>0</v>
      </c>
      <c r="I26" s="36"/>
      <c r="J26" s="36"/>
      <c r="K26" s="36"/>
      <c r="L26" s="37"/>
      <c r="M26" s="112">
        <v>118.957556998719</v>
      </c>
      <c r="N26" s="127">
        <v>0</v>
      </c>
      <c r="O26" s="125">
        <f t="shared" si="5"/>
        <v>118.957556998719</v>
      </c>
      <c r="P26" s="123">
        <f t="shared" si="0"/>
        <v>119</v>
      </c>
      <c r="Q26" s="12">
        <f t="shared" si="1"/>
        <v>119</v>
      </c>
      <c r="R26" s="12">
        <f t="shared" si="2"/>
        <v>119</v>
      </c>
      <c r="S26" s="23">
        <f t="shared" si="3"/>
        <v>119</v>
      </c>
      <c r="T26" s="107">
        <v>0</v>
      </c>
      <c r="U26" s="107">
        <v>0</v>
      </c>
      <c r="V26" s="107">
        <v>0</v>
      </c>
      <c r="W26" s="107">
        <v>0</v>
      </c>
    </row>
    <row r="27" spans="1:23" ht="18" customHeight="1" x14ac:dyDescent="0.25">
      <c r="A27" s="482"/>
      <c r="B27" s="11" t="s">
        <v>60</v>
      </c>
      <c r="C27" s="11" t="s">
        <v>24</v>
      </c>
      <c r="D27" s="11" t="s">
        <v>5</v>
      </c>
      <c r="E27" s="11" t="s">
        <v>25</v>
      </c>
      <c r="F27" s="11" t="s">
        <v>61</v>
      </c>
      <c r="G27" s="27" t="s">
        <v>6</v>
      </c>
      <c r="H27" s="38">
        <f t="shared" si="4"/>
        <v>0</v>
      </c>
      <c r="I27" s="36"/>
      <c r="J27" s="36"/>
      <c r="K27" s="36"/>
      <c r="L27" s="37"/>
      <c r="M27" s="112">
        <v>197.34850104713499</v>
      </c>
      <c r="N27" s="127">
        <v>0</v>
      </c>
      <c r="O27" s="125">
        <f t="shared" si="5"/>
        <v>197.34850104713499</v>
      </c>
      <c r="P27" s="123">
        <f t="shared" si="0"/>
        <v>197</v>
      </c>
      <c r="Q27" s="12">
        <f t="shared" si="1"/>
        <v>197</v>
      </c>
      <c r="R27" s="12">
        <f t="shared" si="2"/>
        <v>197</v>
      </c>
      <c r="S27" s="23">
        <f t="shared" si="3"/>
        <v>197</v>
      </c>
      <c r="T27" s="107">
        <f>+(P27-P26)/(O27-O26)-1</f>
        <v>-4.9871072884966061E-3</v>
      </c>
      <c r="U27" s="107">
        <f>+(Q27-Q26)/(P27-P26)-1</f>
        <v>0</v>
      </c>
      <c r="V27" s="107">
        <f>+(R27-R26)/(Q27-Q26)-1</f>
        <v>0</v>
      </c>
      <c r="W27" s="107">
        <f>+(S27-S26)/(R27-R26)-1</f>
        <v>0</v>
      </c>
    </row>
    <row r="28" spans="1:23" ht="18" customHeight="1" x14ac:dyDescent="0.25">
      <c r="A28" s="482"/>
      <c r="B28" s="11" t="s">
        <v>62</v>
      </c>
      <c r="C28" s="11" t="s">
        <v>24</v>
      </c>
      <c r="D28" s="11" t="s">
        <v>3</v>
      </c>
      <c r="E28" s="11" t="s">
        <v>25</v>
      </c>
      <c r="F28" s="11" t="s">
        <v>63</v>
      </c>
      <c r="G28" s="27" t="s">
        <v>4</v>
      </c>
      <c r="H28" s="38">
        <f t="shared" si="4"/>
        <v>0</v>
      </c>
      <c r="I28" s="36"/>
      <c r="J28" s="36"/>
      <c r="K28" s="36"/>
      <c r="L28" s="37"/>
      <c r="M28" s="112">
        <v>4.8589519999722297</v>
      </c>
      <c r="N28" s="127">
        <v>0</v>
      </c>
      <c r="O28" s="125">
        <f t="shared" si="5"/>
        <v>4.8589519999722297</v>
      </c>
      <c r="P28" s="123">
        <f t="shared" si="0"/>
        <v>5</v>
      </c>
      <c r="Q28" s="12">
        <f t="shared" si="1"/>
        <v>5</v>
      </c>
      <c r="R28" s="12">
        <f t="shared" si="2"/>
        <v>5</v>
      </c>
      <c r="S28" s="23">
        <f t="shared" si="3"/>
        <v>5</v>
      </c>
      <c r="T28" s="107">
        <v>0</v>
      </c>
      <c r="U28" s="107">
        <v>0</v>
      </c>
      <c r="V28" s="107">
        <v>0</v>
      </c>
      <c r="W28" s="107">
        <v>0</v>
      </c>
    </row>
    <row r="29" spans="1:23" ht="18" customHeight="1" x14ac:dyDescent="0.25">
      <c r="A29" s="482"/>
      <c r="B29" s="11" t="s">
        <v>62</v>
      </c>
      <c r="C29" s="11" t="s">
        <v>24</v>
      </c>
      <c r="D29" s="11" t="s">
        <v>5</v>
      </c>
      <c r="E29" s="11" t="s">
        <v>25</v>
      </c>
      <c r="F29" s="11" t="s">
        <v>63</v>
      </c>
      <c r="G29" s="27" t="s">
        <v>6</v>
      </c>
      <c r="H29" s="38">
        <f t="shared" si="4"/>
        <v>0</v>
      </c>
      <c r="I29" s="36"/>
      <c r="J29" s="36"/>
      <c r="K29" s="36"/>
      <c r="L29" s="37"/>
      <c r="M29" s="112">
        <v>15.2897505554691</v>
      </c>
      <c r="N29" s="127">
        <v>0</v>
      </c>
      <c r="O29" s="125">
        <f t="shared" si="5"/>
        <v>15.2897505554691</v>
      </c>
      <c r="P29" s="123">
        <f t="shared" si="0"/>
        <v>15</v>
      </c>
      <c r="Q29" s="12">
        <f t="shared" si="1"/>
        <v>15</v>
      </c>
      <c r="R29" s="12">
        <f t="shared" si="2"/>
        <v>15</v>
      </c>
      <c r="S29" s="23">
        <f t="shared" si="3"/>
        <v>15</v>
      </c>
      <c r="T29" s="107">
        <f>+(P29-P28)/(O29-O28)-1</f>
        <v>-4.1300630359681012E-2</v>
      </c>
      <c r="U29" s="107">
        <f>+(Q29-Q28)/(P29-P28)-1</f>
        <v>0</v>
      </c>
      <c r="V29" s="107">
        <f>+(R29-R28)/(Q29-Q28)-1</f>
        <v>0</v>
      </c>
      <c r="W29" s="107">
        <f>+(S29-S28)/(R29-R28)-1</f>
        <v>0</v>
      </c>
    </row>
    <row r="30" spans="1:23" ht="18" customHeight="1" x14ac:dyDescent="0.25">
      <c r="A30" s="482"/>
      <c r="B30" s="11" t="s">
        <v>26</v>
      </c>
      <c r="C30" s="11" t="s">
        <v>18</v>
      </c>
      <c r="D30" s="11" t="s">
        <v>3</v>
      </c>
      <c r="E30" s="11" t="s">
        <v>27</v>
      </c>
      <c r="F30" s="11" t="s">
        <v>64</v>
      </c>
      <c r="G30" s="27" t="s">
        <v>4</v>
      </c>
      <c r="H30" s="38">
        <f t="shared" si="4"/>
        <v>0</v>
      </c>
      <c r="I30" s="36"/>
      <c r="J30" s="36"/>
      <c r="K30" s="36"/>
      <c r="L30" s="37"/>
      <c r="M30" s="112">
        <v>63.828208570985701</v>
      </c>
      <c r="N30" s="127">
        <v>0</v>
      </c>
      <c r="O30" s="125">
        <f t="shared" si="5"/>
        <v>63.828208570985701</v>
      </c>
      <c r="P30" s="123">
        <f t="shared" si="0"/>
        <v>64</v>
      </c>
      <c r="Q30" s="12">
        <f t="shared" si="1"/>
        <v>64</v>
      </c>
      <c r="R30" s="12">
        <f t="shared" si="2"/>
        <v>64</v>
      </c>
      <c r="S30" s="23">
        <f t="shared" si="3"/>
        <v>64</v>
      </c>
      <c r="T30" s="107">
        <v>0</v>
      </c>
      <c r="U30" s="107">
        <v>0</v>
      </c>
      <c r="V30" s="107">
        <v>0</v>
      </c>
      <c r="W30" s="107">
        <v>0</v>
      </c>
    </row>
    <row r="31" spans="1:23" ht="18" customHeight="1" x14ac:dyDescent="0.25">
      <c r="A31" s="482"/>
      <c r="B31" s="11" t="s">
        <v>26</v>
      </c>
      <c r="C31" s="11" t="s">
        <v>18</v>
      </c>
      <c r="D31" s="11" t="s">
        <v>5</v>
      </c>
      <c r="E31" s="11" t="s">
        <v>27</v>
      </c>
      <c r="F31" s="11" t="s">
        <v>64</v>
      </c>
      <c r="G31" s="27" t="s">
        <v>6</v>
      </c>
      <c r="H31" s="38">
        <f t="shared" si="4"/>
        <v>0</v>
      </c>
      <c r="I31" s="36"/>
      <c r="J31" s="36"/>
      <c r="K31" s="36"/>
      <c r="L31" s="37"/>
      <c r="M31" s="112">
        <v>99.680463375633494</v>
      </c>
      <c r="N31" s="127">
        <v>0</v>
      </c>
      <c r="O31" s="125">
        <f t="shared" si="5"/>
        <v>99.680463375633494</v>
      </c>
      <c r="P31" s="123">
        <f t="shared" si="0"/>
        <v>100</v>
      </c>
      <c r="Q31" s="12">
        <f t="shared" si="1"/>
        <v>100</v>
      </c>
      <c r="R31" s="12">
        <f t="shared" si="2"/>
        <v>100</v>
      </c>
      <c r="S31" s="23">
        <f t="shared" si="3"/>
        <v>100</v>
      </c>
      <c r="T31" s="107">
        <f>+(P31-P30)/(O31-O30)-1</f>
        <v>4.1209457022226559E-3</v>
      </c>
      <c r="U31" s="107">
        <f>+(Q31-Q30)/(P31-P30)-1</f>
        <v>0</v>
      </c>
      <c r="V31" s="107">
        <f>+(R31-R30)/(Q31-Q30)-1</f>
        <v>0</v>
      </c>
      <c r="W31" s="107">
        <f>+(S31-S30)/(R31-R30)-1</f>
        <v>0</v>
      </c>
    </row>
    <row r="32" spans="1:23" ht="18" customHeight="1" x14ac:dyDescent="0.25">
      <c r="A32" s="482"/>
      <c r="B32" s="11" t="s">
        <v>38</v>
      </c>
      <c r="C32" s="11" t="s">
        <v>18</v>
      </c>
      <c r="D32" s="11" t="s">
        <v>3</v>
      </c>
      <c r="E32" s="11" t="s">
        <v>27</v>
      </c>
      <c r="F32" s="11" t="s">
        <v>65</v>
      </c>
      <c r="G32" s="27" t="s">
        <v>4</v>
      </c>
      <c r="H32" s="38">
        <f t="shared" si="4"/>
        <v>0</v>
      </c>
      <c r="I32" s="36"/>
      <c r="J32" s="36"/>
      <c r="K32" s="36"/>
      <c r="L32" s="37"/>
      <c r="M32" s="112">
        <v>39.608056899780699</v>
      </c>
      <c r="N32" s="127">
        <v>0</v>
      </c>
      <c r="O32" s="125">
        <f t="shared" si="5"/>
        <v>39.608056899780699</v>
      </c>
      <c r="P32" s="123">
        <f t="shared" si="0"/>
        <v>40</v>
      </c>
      <c r="Q32" s="12">
        <f t="shared" si="1"/>
        <v>40</v>
      </c>
      <c r="R32" s="12">
        <f t="shared" si="2"/>
        <v>40</v>
      </c>
      <c r="S32" s="23">
        <f t="shared" si="3"/>
        <v>40</v>
      </c>
      <c r="T32" s="107">
        <v>0</v>
      </c>
      <c r="U32" s="107">
        <v>0</v>
      </c>
      <c r="V32" s="107">
        <v>0</v>
      </c>
      <c r="W32" s="107">
        <v>0</v>
      </c>
    </row>
    <row r="33" spans="1:23" ht="18" customHeight="1" x14ac:dyDescent="0.25">
      <c r="A33" s="482"/>
      <c r="B33" s="11" t="s">
        <v>38</v>
      </c>
      <c r="C33" s="11" t="s">
        <v>18</v>
      </c>
      <c r="D33" s="11" t="s">
        <v>5</v>
      </c>
      <c r="E33" s="11" t="s">
        <v>27</v>
      </c>
      <c r="F33" s="11" t="s">
        <v>65</v>
      </c>
      <c r="G33" s="27" t="s">
        <v>6</v>
      </c>
      <c r="H33" s="38">
        <f t="shared" si="4"/>
        <v>0</v>
      </c>
      <c r="I33" s="36"/>
      <c r="J33" s="36"/>
      <c r="K33" s="36"/>
      <c r="L33" s="37"/>
      <c r="M33" s="112">
        <v>36.902446844165603</v>
      </c>
      <c r="N33" s="127">
        <v>0</v>
      </c>
      <c r="O33" s="125">
        <f t="shared" si="5"/>
        <v>36.902446844165603</v>
      </c>
      <c r="P33" s="123">
        <f t="shared" si="0"/>
        <v>37</v>
      </c>
      <c r="Q33" s="12">
        <f t="shared" si="1"/>
        <v>37</v>
      </c>
      <c r="R33" s="12">
        <f t="shared" si="2"/>
        <v>37</v>
      </c>
      <c r="S33" s="23">
        <f t="shared" si="3"/>
        <v>37</v>
      </c>
      <c r="T33" s="107">
        <f>+(P33-P32)/(O33-O32)-1</f>
        <v>0.10880723324262509</v>
      </c>
      <c r="U33" s="107">
        <f>+(Q33-Q32)/(P33-P32)-1</f>
        <v>0</v>
      </c>
      <c r="V33" s="107">
        <f>+(R33-R32)/(Q33-Q32)-1</f>
        <v>0</v>
      </c>
      <c r="W33" s="107">
        <f>+(S33-S32)/(R33-R32)-1</f>
        <v>0</v>
      </c>
    </row>
    <row r="34" spans="1:23" ht="18" customHeight="1" x14ac:dyDescent="0.25">
      <c r="A34" s="482"/>
      <c r="B34" s="11" t="s">
        <v>21</v>
      </c>
      <c r="C34" s="11" t="s">
        <v>29</v>
      </c>
      <c r="D34" s="11" t="s">
        <v>3</v>
      </c>
      <c r="E34" s="11" t="s">
        <v>30</v>
      </c>
      <c r="F34" s="11" t="s">
        <v>66</v>
      </c>
      <c r="G34" s="27" t="s">
        <v>4</v>
      </c>
      <c r="H34" s="38">
        <f t="shared" si="4"/>
        <v>0</v>
      </c>
      <c r="I34" s="36"/>
      <c r="J34" s="36"/>
      <c r="K34" s="36"/>
      <c r="L34" s="37"/>
      <c r="M34" s="112">
        <v>98.279961666940494</v>
      </c>
      <c r="N34" s="127">
        <v>0</v>
      </c>
      <c r="O34" s="125">
        <f t="shared" si="5"/>
        <v>98.279961666940494</v>
      </c>
      <c r="P34" s="123">
        <f t="shared" si="0"/>
        <v>98</v>
      </c>
      <c r="Q34" s="12">
        <f t="shared" si="1"/>
        <v>98</v>
      </c>
      <c r="R34" s="12">
        <f t="shared" si="2"/>
        <v>98</v>
      </c>
      <c r="S34" s="23">
        <f t="shared" si="3"/>
        <v>98</v>
      </c>
      <c r="T34" s="107">
        <v>0</v>
      </c>
      <c r="U34" s="107">
        <v>0</v>
      </c>
      <c r="V34" s="107">
        <v>0</v>
      </c>
      <c r="W34" s="107">
        <v>0</v>
      </c>
    </row>
    <row r="35" spans="1:23" ht="18" customHeight="1" x14ac:dyDescent="0.25">
      <c r="A35" s="482"/>
      <c r="B35" s="11" t="s">
        <v>21</v>
      </c>
      <c r="C35" s="11" t="s">
        <v>29</v>
      </c>
      <c r="D35" s="11" t="s">
        <v>5</v>
      </c>
      <c r="E35" s="11" t="s">
        <v>30</v>
      </c>
      <c r="F35" s="11" t="s">
        <v>66</v>
      </c>
      <c r="G35" s="27" t="s">
        <v>6</v>
      </c>
      <c r="H35" s="38">
        <f t="shared" si="4"/>
        <v>0</v>
      </c>
      <c r="I35" s="36"/>
      <c r="J35" s="36"/>
      <c r="K35" s="36"/>
      <c r="L35" s="37"/>
      <c r="M35" s="112">
        <v>121.07415676694799</v>
      </c>
      <c r="N35" s="127">
        <v>0</v>
      </c>
      <c r="O35" s="125">
        <f t="shared" si="5"/>
        <v>121.07415676694799</v>
      </c>
      <c r="P35" s="123">
        <f t="shared" si="0"/>
        <v>121</v>
      </c>
      <c r="Q35" s="12">
        <f t="shared" si="1"/>
        <v>121</v>
      </c>
      <c r="R35" s="12">
        <f t="shared" si="2"/>
        <v>121</v>
      </c>
      <c r="S35" s="23">
        <f t="shared" si="3"/>
        <v>121</v>
      </c>
      <c r="T35" s="107">
        <f>+(P35-P34)/(O35-O34)-1</f>
        <v>9.0288294493203747E-3</v>
      </c>
      <c r="U35" s="107">
        <f>+(Q35-Q34)/(P35-P34)-1</f>
        <v>0</v>
      </c>
      <c r="V35" s="107">
        <f>+(R35-R34)/(Q35-Q34)-1</f>
        <v>0</v>
      </c>
      <c r="W35" s="107">
        <f>+(S35-S34)/(R35-R34)-1</f>
        <v>0</v>
      </c>
    </row>
    <row r="36" spans="1:23" ht="18" customHeight="1" x14ac:dyDescent="0.25">
      <c r="A36" s="482"/>
      <c r="B36" s="11" t="s">
        <v>37</v>
      </c>
      <c r="C36" s="11" t="s">
        <v>29</v>
      </c>
      <c r="D36" s="11" t="s">
        <v>3</v>
      </c>
      <c r="E36" s="11" t="s">
        <v>30</v>
      </c>
      <c r="F36" s="11" t="s">
        <v>67</v>
      </c>
      <c r="G36" s="27" t="s">
        <v>4</v>
      </c>
      <c r="H36" s="38">
        <f t="shared" si="4"/>
        <v>0</v>
      </c>
      <c r="I36" s="36"/>
      <c r="J36" s="36"/>
      <c r="K36" s="36"/>
      <c r="L36" s="37"/>
      <c r="M36" s="112">
        <v>63.448812777856801</v>
      </c>
      <c r="N36" s="127">
        <v>0</v>
      </c>
      <c r="O36" s="125">
        <f t="shared" si="5"/>
        <v>63.448812777856801</v>
      </c>
      <c r="P36" s="123">
        <f t="shared" ref="P36:P67" si="8">+ROUND(O36*(1+I36),0)</f>
        <v>63</v>
      </c>
      <c r="Q36" s="12">
        <f t="shared" ref="Q36:Q67" si="9">+ROUND(P36*(1+J36),0)</f>
        <v>63</v>
      </c>
      <c r="R36" s="12">
        <f t="shared" ref="R36:R67" si="10">+ROUND(Q36*(1+K36),0)</f>
        <v>63</v>
      </c>
      <c r="S36" s="23">
        <f t="shared" ref="S36:S67" si="11">+ROUND(R36*(1+L36),0)</f>
        <v>63</v>
      </c>
      <c r="T36" s="107">
        <v>0</v>
      </c>
      <c r="U36" s="107">
        <v>0</v>
      </c>
      <c r="V36" s="107">
        <v>0</v>
      </c>
      <c r="W36" s="107">
        <v>0</v>
      </c>
    </row>
    <row r="37" spans="1:23" ht="18" customHeight="1" x14ac:dyDescent="0.25">
      <c r="A37" s="482"/>
      <c r="B37" s="11" t="s">
        <v>37</v>
      </c>
      <c r="C37" s="11" t="s">
        <v>29</v>
      </c>
      <c r="D37" s="11" t="s">
        <v>5</v>
      </c>
      <c r="E37" s="11" t="s">
        <v>30</v>
      </c>
      <c r="F37" s="11" t="s">
        <v>67</v>
      </c>
      <c r="G37" s="27" t="s">
        <v>6</v>
      </c>
      <c r="H37" s="38">
        <f t="shared" si="4"/>
        <v>0</v>
      </c>
      <c r="I37" s="36"/>
      <c r="J37" s="36"/>
      <c r="K37" s="36"/>
      <c r="L37" s="37"/>
      <c r="M37" s="112">
        <v>129.745700600178</v>
      </c>
      <c r="N37" s="127">
        <v>0</v>
      </c>
      <c r="O37" s="125">
        <f t="shared" si="5"/>
        <v>129.745700600178</v>
      </c>
      <c r="P37" s="123">
        <f t="shared" si="8"/>
        <v>130</v>
      </c>
      <c r="Q37" s="12">
        <f t="shared" si="9"/>
        <v>130</v>
      </c>
      <c r="R37" s="12">
        <f t="shared" si="10"/>
        <v>130</v>
      </c>
      <c r="S37" s="23">
        <f t="shared" si="11"/>
        <v>130</v>
      </c>
      <c r="T37" s="107">
        <f>+(P37-P36)/(O37-O36)-1</f>
        <v>1.0605508052854207E-2</v>
      </c>
      <c r="U37" s="107">
        <f>+(Q37-Q36)/(P37-P36)-1</f>
        <v>0</v>
      </c>
      <c r="V37" s="107">
        <f>+(R37-R36)/(Q37-Q36)-1</f>
        <v>0</v>
      </c>
      <c r="W37" s="107">
        <f>+(S37-S36)/(R37-R36)-1</f>
        <v>0</v>
      </c>
    </row>
    <row r="38" spans="1:23" ht="18" customHeight="1" x14ac:dyDescent="0.25">
      <c r="A38" s="482"/>
      <c r="B38" s="11" t="s">
        <v>68</v>
      </c>
      <c r="C38" s="11" t="s">
        <v>32</v>
      </c>
      <c r="D38" s="11" t="s">
        <v>3</v>
      </c>
      <c r="E38" s="11" t="s">
        <v>33</v>
      </c>
      <c r="F38" s="11" t="s">
        <v>69</v>
      </c>
      <c r="G38" s="27" t="s">
        <v>4</v>
      </c>
      <c r="H38" s="38">
        <f t="shared" si="4"/>
        <v>0</v>
      </c>
      <c r="I38" s="36"/>
      <c r="J38" s="36"/>
      <c r="K38" s="36"/>
      <c r="L38" s="37"/>
      <c r="M38" s="112">
        <v>5.8109747110630003</v>
      </c>
      <c r="N38" s="127">
        <v>0</v>
      </c>
      <c r="O38" s="125">
        <f t="shared" si="5"/>
        <v>5.8109747110630003</v>
      </c>
      <c r="P38" s="123">
        <f t="shared" si="8"/>
        <v>6</v>
      </c>
      <c r="Q38" s="12">
        <f t="shared" si="9"/>
        <v>6</v>
      </c>
      <c r="R38" s="12">
        <f t="shared" si="10"/>
        <v>6</v>
      </c>
      <c r="S38" s="23">
        <f t="shared" si="11"/>
        <v>6</v>
      </c>
      <c r="T38" s="107">
        <v>0</v>
      </c>
      <c r="U38" s="107">
        <v>0</v>
      </c>
      <c r="V38" s="107">
        <v>0</v>
      </c>
      <c r="W38" s="107">
        <v>0</v>
      </c>
    </row>
    <row r="39" spans="1:23" ht="18" customHeight="1" x14ac:dyDescent="0.25">
      <c r="A39" s="482"/>
      <c r="B39" s="11" t="s">
        <v>68</v>
      </c>
      <c r="C39" s="11" t="s">
        <v>32</v>
      </c>
      <c r="D39" s="11" t="s">
        <v>5</v>
      </c>
      <c r="E39" s="11" t="s">
        <v>33</v>
      </c>
      <c r="F39" s="11" t="s">
        <v>69</v>
      </c>
      <c r="G39" s="27" t="s">
        <v>6</v>
      </c>
      <c r="H39" s="38">
        <f t="shared" si="4"/>
        <v>0</v>
      </c>
      <c r="I39" s="36"/>
      <c r="J39" s="36"/>
      <c r="K39" s="36"/>
      <c r="L39" s="37"/>
      <c r="M39" s="112">
        <v>25.638404899652901</v>
      </c>
      <c r="N39" s="127">
        <v>0</v>
      </c>
      <c r="O39" s="125">
        <f t="shared" si="5"/>
        <v>25.638404899652901</v>
      </c>
      <c r="P39" s="123">
        <f t="shared" si="8"/>
        <v>26</v>
      </c>
      <c r="Q39" s="12">
        <f t="shared" si="9"/>
        <v>26</v>
      </c>
      <c r="R39" s="12">
        <f t="shared" si="10"/>
        <v>26</v>
      </c>
      <c r="S39" s="23">
        <f t="shared" si="11"/>
        <v>26</v>
      </c>
      <c r="T39" s="107">
        <f>+(P39-P38)/(O39-O38)-1</f>
        <v>8.7035894096556543E-3</v>
      </c>
      <c r="U39" s="107">
        <f>+(Q39-Q38)/(P39-P38)-1</f>
        <v>0</v>
      </c>
      <c r="V39" s="107">
        <f>+(R39-R38)/(Q39-Q38)-1</f>
        <v>0</v>
      </c>
      <c r="W39" s="107">
        <f>+(S39-S38)/(R39-R38)-1</f>
        <v>0</v>
      </c>
    </row>
    <row r="40" spans="1:23" ht="18" customHeight="1" x14ac:dyDescent="0.25">
      <c r="A40" s="482"/>
      <c r="B40" s="11" t="s">
        <v>70</v>
      </c>
      <c r="C40" s="11" t="s">
        <v>32</v>
      </c>
      <c r="D40" s="11" t="s">
        <v>3</v>
      </c>
      <c r="E40" s="11" t="s">
        <v>33</v>
      </c>
      <c r="F40" s="11" t="s">
        <v>71</v>
      </c>
      <c r="G40" s="27" t="s">
        <v>4</v>
      </c>
      <c r="H40" s="38">
        <f t="shared" si="4"/>
        <v>0</v>
      </c>
      <c r="I40" s="36"/>
      <c r="J40" s="36"/>
      <c r="K40" s="36"/>
      <c r="L40" s="37"/>
      <c r="M40" s="112">
        <v>8.3648425777241098</v>
      </c>
      <c r="N40" s="127">
        <v>0</v>
      </c>
      <c r="O40" s="125">
        <f t="shared" si="5"/>
        <v>8.3648425777241098</v>
      </c>
      <c r="P40" s="123">
        <f t="shared" si="8"/>
        <v>8</v>
      </c>
      <c r="Q40" s="12">
        <f t="shared" si="9"/>
        <v>8</v>
      </c>
      <c r="R40" s="12">
        <f t="shared" si="10"/>
        <v>8</v>
      </c>
      <c r="S40" s="23">
        <f t="shared" si="11"/>
        <v>8</v>
      </c>
      <c r="T40" s="107">
        <v>0</v>
      </c>
      <c r="U40" s="107">
        <v>0</v>
      </c>
      <c r="V40" s="107">
        <v>0</v>
      </c>
      <c r="W40" s="107">
        <v>0</v>
      </c>
    </row>
    <row r="41" spans="1:23" ht="18" customHeight="1" x14ac:dyDescent="0.25">
      <c r="A41" s="482"/>
      <c r="B41" s="11" t="s">
        <v>70</v>
      </c>
      <c r="C41" s="11" t="s">
        <v>32</v>
      </c>
      <c r="D41" s="11" t="s">
        <v>5</v>
      </c>
      <c r="E41" s="11" t="s">
        <v>33</v>
      </c>
      <c r="F41" s="11" t="s">
        <v>71</v>
      </c>
      <c r="G41" s="27" t="s">
        <v>6</v>
      </c>
      <c r="H41" s="38">
        <f t="shared" si="4"/>
        <v>0</v>
      </c>
      <c r="I41" s="36"/>
      <c r="J41" s="36"/>
      <c r="K41" s="36"/>
      <c r="L41" s="37"/>
      <c r="M41" s="112">
        <v>26.708226744203099</v>
      </c>
      <c r="N41" s="127">
        <v>0</v>
      </c>
      <c r="O41" s="125">
        <f t="shared" si="5"/>
        <v>26.708226744203099</v>
      </c>
      <c r="P41" s="123">
        <f t="shared" si="8"/>
        <v>27</v>
      </c>
      <c r="Q41" s="12">
        <f t="shared" si="9"/>
        <v>27</v>
      </c>
      <c r="R41" s="12">
        <f t="shared" si="10"/>
        <v>27</v>
      </c>
      <c r="S41" s="23">
        <f t="shared" si="11"/>
        <v>27</v>
      </c>
      <c r="T41" s="107">
        <f>+(P41-P40)/(O41-O40)-1</f>
        <v>3.5795784875994663E-2</v>
      </c>
      <c r="U41" s="107">
        <f>+(Q41-Q40)/(P41-P40)-1</f>
        <v>0</v>
      </c>
      <c r="V41" s="107">
        <f>+(R41-R40)/(Q41-Q40)-1</f>
        <v>0</v>
      </c>
      <c r="W41" s="107">
        <f>+(S41-S40)/(R41-R40)-1</f>
        <v>0</v>
      </c>
    </row>
    <row r="42" spans="1:23" ht="18" customHeight="1" x14ac:dyDescent="0.25">
      <c r="A42" s="482"/>
      <c r="B42" s="11" t="s">
        <v>72</v>
      </c>
      <c r="C42" s="11" t="s">
        <v>32</v>
      </c>
      <c r="D42" s="11" t="s">
        <v>3</v>
      </c>
      <c r="E42" s="11" t="s">
        <v>33</v>
      </c>
      <c r="F42" s="11" t="s">
        <v>73</v>
      </c>
      <c r="G42" s="27" t="s">
        <v>4</v>
      </c>
      <c r="H42" s="38">
        <f t="shared" si="4"/>
        <v>0</v>
      </c>
      <c r="I42" s="36"/>
      <c r="J42" s="36"/>
      <c r="K42" s="36"/>
      <c r="L42" s="37"/>
      <c r="M42" s="112">
        <v>25.760754133288899</v>
      </c>
      <c r="N42" s="127">
        <v>0</v>
      </c>
      <c r="O42" s="125">
        <f t="shared" si="5"/>
        <v>25.760754133288899</v>
      </c>
      <c r="P42" s="123">
        <f t="shared" si="8"/>
        <v>26</v>
      </c>
      <c r="Q42" s="12">
        <f t="shared" si="9"/>
        <v>26</v>
      </c>
      <c r="R42" s="12">
        <f t="shared" si="10"/>
        <v>26</v>
      </c>
      <c r="S42" s="23">
        <f t="shared" si="11"/>
        <v>26</v>
      </c>
      <c r="T42" s="107">
        <v>0</v>
      </c>
      <c r="U42" s="107">
        <v>0</v>
      </c>
      <c r="V42" s="107">
        <v>0</v>
      </c>
      <c r="W42" s="107">
        <v>0</v>
      </c>
    </row>
    <row r="43" spans="1:23" ht="18" customHeight="1" x14ac:dyDescent="0.25">
      <c r="A43" s="482"/>
      <c r="B43" s="11" t="s">
        <v>72</v>
      </c>
      <c r="C43" s="11" t="s">
        <v>32</v>
      </c>
      <c r="D43" s="11" t="s">
        <v>5</v>
      </c>
      <c r="E43" s="11" t="s">
        <v>33</v>
      </c>
      <c r="F43" s="11" t="s">
        <v>73</v>
      </c>
      <c r="G43" s="27" t="s">
        <v>6</v>
      </c>
      <c r="H43" s="38">
        <f t="shared" si="4"/>
        <v>0</v>
      </c>
      <c r="I43" s="36"/>
      <c r="J43" s="36"/>
      <c r="K43" s="36"/>
      <c r="L43" s="37"/>
      <c r="M43" s="112">
        <v>1.1195809999999999</v>
      </c>
      <c r="N43" s="127">
        <v>0</v>
      </c>
      <c r="O43" s="125">
        <f t="shared" si="5"/>
        <v>1.1195809999999999</v>
      </c>
      <c r="P43" s="123">
        <f t="shared" si="8"/>
        <v>1</v>
      </c>
      <c r="Q43" s="12">
        <f t="shared" si="9"/>
        <v>1</v>
      </c>
      <c r="R43" s="12">
        <f t="shared" si="10"/>
        <v>1</v>
      </c>
      <c r="S43" s="23">
        <f t="shared" si="11"/>
        <v>1</v>
      </c>
      <c r="T43" s="107">
        <f>+(P43-P42)/(O43-O42)-1</f>
        <v>1.4562085367045619E-2</v>
      </c>
      <c r="U43" s="107">
        <f>+(Q43-Q42)/(P43-P42)-1</f>
        <v>0</v>
      </c>
      <c r="V43" s="107">
        <f>+(R43-R42)/(Q43-Q42)-1</f>
        <v>0</v>
      </c>
      <c r="W43" s="107">
        <f>+(S43-S42)/(R43-R42)-1</f>
        <v>0</v>
      </c>
    </row>
    <row r="44" spans="1:23" ht="18" customHeight="1" x14ac:dyDescent="0.25">
      <c r="A44" s="482"/>
      <c r="B44" s="11"/>
      <c r="C44" s="115" t="s">
        <v>32</v>
      </c>
      <c r="D44" s="11" t="s">
        <v>3</v>
      </c>
      <c r="E44" s="11" t="s">
        <v>33</v>
      </c>
      <c r="F44" s="11" t="s">
        <v>135</v>
      </c>
      <c r="G44" s="27" t="s">
        <v>4</v>
      </c>
      <c r="H44" s="45"/>
      <c r="I44" s="36"/>
      <c r="J44" s="36"/>
      <c r="K44" s="36"/>
      <c r="L44" s="37"/>
      <c r="M44" s="112">
        <v>0</v>
      </c>
      <c r="N44" s="127">
        <v>4</v>
      </c>
      <c r="O44" s="125">
        <f t="shared" si="5"/>
        <v>4</v>
      </c>
      <c r="P44" s="123">
        <f t="shared" si="8"/>
        <v>4</v>
      </c>
      <c r="Q44" s="12">
        <f t="shared" si="9"/>
        <v>4</v>
      </c>
      <c r="R44" s="12">
        <f t="shared" si="10"/>
        <v>4</v>
      </c>
      <c r="S44" s="23">
        <f t="shared" si="11"/>
        <v>4</v>
      </c>
      <c r="T44" s="107">
        <v>0</v>
      </c>
      <c r="U44" s="107">
        <v>0</v>
      </c>
      <c r="V44" s="107">
        <v>0</v>
      </c>
      <c r="W44" s="107">
        <v>0</v>
      </c>
    </row>
    <row r="45" spans="1:23" ht="18" customHeight="1" x14ac:dyDescent="0.25">
      <c r="A45" s="482"/>
      <c r="B45" s="11"/>
      <c r="C45" s="115" t="s">
        <v>32</v>
      </c>
      <c r="D45" s="11" t="s">
        <v>5</v>
      </c>
      <c r="E45" s="11" t="s">
        <v>33</v>
      </c>
      <c r="F45" s="11" t="s">
        <v>135</v>
      </c>
      <c r="G45" s="27" t="s">
        <v>6</v>
      </c>
      <c r="H45" s="45"/>
      <c r="I45" s="36"/>
      <c r="J45" s="36"/>
      <c r="K45" s="36"/>
      <c r="L45" s="37"/>
      <c r="M45" s="112">
        <v>0</v>
      </c>
      <c r="N45" s="127">
        <v>4</v>
      </c>
      <c r="O45" s="125">
        <f t="shared" si="5"/>
        <v>4</v>
      </c>
      <c r="P45" s="123">
        <f t="shared" si="8"/>
        <v>4</v>
      </c>
      <c r="Q45" s="12">
        <f t="shared" si="9"/>
        <v>4</v>
      </c>
      <c r="R45" s="12">
        <f t="shared" si="10"/>
        <v>4</v>
      </c>
      <c r="S45" s="23">
        <f t="shared" si="11"/>
        <v>4</v>
      </c>
      <c r="T45" s="107" t="e">
        <f>+(P45-P44)/(O45-O44)-1</f>
        <v>#DIV/0!</v>
      </c>
      <c r="U45" s="107" t="e">
        <f>+(Q45-Q44)/(P45-P44)-1</f>
        <v>#DIV/0!</v>
      </c>
      <c r="V45" s="107" t="e">
        <f>+(R45-R44)/(Q45-Q44)-1</f>
        <v>#DIV/0!</v>
      </c>
      <c r="W45" s="107" t="e">
        <f>+(S45-S44)/(R45-R44)-1</f>
        <v>#DIV/0!</v>
      </c>
    </row>
    <row r="46" spans="1:23" ht="18" customHeight="1" x14ac:dyDescent="0.25">
      <c r="A46" s="482"/>
      <c r="B46" s="11" t="s">
        <v>12</v>
      </c>
      <c r="C46" s="11" t="s">
        <v>21</v>
      </c>
      <c r="D46" s="11" t="s">
        <v>3</v>
      </c>
      <c r="E46" s="11" t="s">
        <v>35</v>
      </c>
      <c r="F46" s="11" t="s">
        <v>74</v>
      </c>
      <c r="G46" s="27" t="s">
        <v>4</v>
      </c>
      <c r="H46" s="38">
        <f t="shared" si="4"/>
        <v>0</v>
      </c>
      <c r="I46" s="36"/>
      <c r="J46" s="36"/>
      <c r="K46" s="36"/>
      <c r="L46" s="37"/>
      <c r="M46" s="112">
        <v>209.08699266184399</v>
      </c>
      <c r="N46" s="127">
        <v>0</v>
      </c>
      <c r="O46" s="125">
        <f t="shared" si="5"/>
        <v>209.08699266184399</v>
      </c>
      <c r="P46" s="123">
        <f t="shared" si="8"/>
        <v>209</v>
      </c>
      <c r="Q46" s="12">
        <f t="shared" si="9"/>
        <v>209</v>
      </c>
      <c r="R46" s="12">
        <f t="shared" si="10"/>
        <v>209</v>
      </c>
      <c r="S46" s="23">
        <f t="shared" si="11"/>
        <v>209</v>
      </c>
      <c r="T46" s="107">
        <v>0</v>
      </c>
      <c r="U46" s="107">
        <v>0</v>
      </c>
      <c r="V46" s="107">
        <v>0</v>
      </c>
      <c r="W46" s="107">
        <v>0</v>
      </c>
    </row>
    <row r="47" spans="1:23" ht="18" customHeight="1" x14ac:dyDescent="0.25">
      <c r="A47" s="482"/>
      <c r="B47" s="11" t="s">
        <v>12</v>
      </c>
      <c r="C47" s="11" t="s">
        <v>21</v>
      </c>
      <c r="D47" s="11" t="s">
        <v>5</v>
      </c>
      <c r="E47" s="11" t="s">
        <v>35</v>
      </c>
      <c r="F47" s="11" t="s">
        <v>74</v>
      </c>
      <c r="G47" s="27" t="s">
        <v>6</v>
      </c>
      <c r="H47" s="38">
        <f t="shared" si="4"/>
        <v>0</v>
      </c>
      <c r="I47" s="36"/>
      <c r="J47" s="36"/>
      <c r="K47" s="36"/>
      <c r="L47" s="37"/>
      <c r="M47" s="112">
        <v>204.69038381721001</v>
      </c>
      <c r="N47" s="127">
        <v>0</v>
      </c>
      <c r="O47" s="125">
        <f t="shared" si="5"/>
        <v>204.69038381721001</v>
      </c>
      <c r="P47" s="123">
        <f t="shared" si="8"/>
        <v>205</v>
      </c>
      <c r="Q47" s="12">
        <f t="shared" si="9"/>
        <v>205</v>
      </c>
      <c r="R47" s="12">
        <f t="shared" si="10"/>
        <v>205</v>
      </c>
      <c r="S47" s="23">
        <f t="shared" si="11"/>
        <v>205</v>
      </c>
      <c r="T47" s="107">
        <f>+(P47-P46)/(O47-O46)-1</f>
        <v>-9.020789855300515E-2</v>
      </c>
      <c r="U47" s="107">
        <f>+(Q47-Q46)/(P47-P46)-1</f>
        <v>0</v>
      </c>
      <c r="V47" s="107">
        <f>+(R47-R46)/(Q47-Q46)-1</f>
        <v>0</v>
      </c>
      <c r="W47" s="107">
        <f>+(S47-S46)/(R47-R46)-1</f>
        <v>0</v>
      </c>
    </row>
    <row r="48" spans="1:23" ht="18" customHeight="1" x14ac:dyDescent="0.25">
      <c r="A48" s="482"/>
      <c r="B48" s="11" t="s">
        <v>80</v>
      </c>
      <c r="C48" s="11" t="s">
        <v>23</v>
      </c>
      <c r="D48" s="11" t="s">
        <v>3</v>
      </c>
      <c r="E48" s="11" t="s">
        <v>43</v>
      </c>
      <c r="F48" s="11" t="s">
        <v>81</v>
      </c>
      <c r="G48" s="27" t="s">
        <v>4</v>
      </c>
      <c r="H48" s="38">
        <f t="shared" si="4"/>
        <v>0</v>
      </c>
      <c r="I48" s="36"/>
      <c r="J48" s="36"/>
      <c r="K48" s="36"/>
      <c r="L48" s="37"/>
      <c r="M48" s="112">
        <v>73.151185766722094</v>
      </c>
      <c r="N48" s="127">
        <v>0</v>
      </c>
      <c r="O48" s="125">
        <f t="shared" si="5"/>
        <v>73.151185766722094</v>
      </c>
      <c r="P48" s="123">
        <f t="shared" si="8"/>
        <v>73</v>
      </c>
      <c r="Q48" s="12">
        <f t="shared" si="9"/>
        <v>73</v>
      </c>
      <c r="R48" s="12">
        <f t="shared" si="10"/>
        <v>73</v>
      </c>
      <c r="S48" s="23">
        <f t="shared" si="11"/>
        <v>73</v>
      </c>
      <c r="T48" s="107">
        <v>0</v>
      </c>
      <c r="U48" s="107">
        <v>0</v>
      </c>
      <c r="V48" s="107">
        <v>0</v>
      </c>
      <c r="W48" s="107">
        <v>0</v>
      </c>
    </row>
    <row r="49" spans="1:23" ht="18" customHeight="1" x14ac:dyDescent="0.25">
      <c r="A49" s="482"/>
      <c r="B49" s="11" t="s">
        <v>80</v>
      </c>
      <c r="C49" s="11" t="s">
        <v>23</v>
      </c>
      <c r="D49" s="11" t="s">
        <v>5</v>
      </c>
      <c r="E49" s="11" t="s">
        <v>43</v>
      </c>
      <c r="F49" s="11" t="s">
        <v>81</v>
      </c>
      <c r="G49" s="27" t="s">
        <v>6</v>
      </c>
      <c r="H49" s="38">
        <f t="shared" si="4"/>
        <v>0</v>
      </c>
      <c r="I49" s="36"/>
      <c r="J49" s="36"/>
      <c r="K49" s="36"/>
      <c r="L49" s="37"/>
      <c r="M49" s="112">
        <v>19.325209600045302</v>
      </c>
      <c r="N49" s="127">
        <v>0</v>
      </c>
      <c r="O49" s="125">
        <f t="shared" si="5"/>
        <v>19.325209600045302</v>
      </c>
      <c r="P49" s="123">
        <f t="shared" si="8"/>
        <v>19</v>
      </c>
      <c r="Q49" s="12">
        <f t="shared" si="9"/>
        <v>19</v>
      </c>
      <c r="R49" s="12">
        <f t="shared" si="10"/>
        <v>19</v>
      </c>
      <c r="S49" s="23">
        <f t="shared" si="11"/>
        <v>19</v>
      </c>
      <c r="T49" s="107">
        <f>+(P49-P48)/(O49-O48)-1</f>
        <v>3.2330827179858357E-3</v>
      </c>
      <c r="U49" s="107">
        <f>+(Q49-Q48)/(P49-P48)-1</f>
        <v>0</v>
      </c>
      <c r="V49" s="107">
        <f>+(R49-R48)/(Q49-Q48)-1</f>
        <v>0</v>
      </c>
      <c r="W49" s="107">
        <f>+(S49-S48)/(R49-R48)-1</f>
        <v>0</v>
      </c>
    </row>
    <row r="50" spans="1:23" ht="18" customHeight="1" x14ac:dyDescent="0.25">
      <c r="A50" s="482"/>
      <c r="B50" s="11" t="s">
        <v>32</v>
      </c>
      <c r="C50" s="11" t="s">
        <v>44</v>
      </c>
      <c r="D50" s="11" t="s">
        <v>3</v>
      </c>
      <c r="E50" s="11" t="s">
        <v>45</v>
      </c>
      <c r="F50" s="11" t="s">
        <v>82</v>
      </c>
      <c r="G50" s="27" t="s">
        <v>4</v>
      </c>
      <c r="H50" s="38">
        <f t="shared" si="4"/>
        <v>0</v>
      </c>
      <c r="I50" s="36"/>
      <c r="J50" s="36"/>
      <c r="K50" s="36"/>
      <c r="L50" s="37"/>
      <c r="M50" s="112">
        <v>550.39808841054298</v>
      </c>
      <c r="N50" s="127">
        <v>0</v>
      </c>
      <c r="O50" s="125">
        <f t="shared" si="5"/>
        <v>550.39808841054298</v>
      </c>
      <c r="P50" s="123">
        <f t="shared" si="8"/>
        <v>550</v>
      </c>
      <c r="Q50" s="12">
        <f t="shared" si="9"/>
        <v>550</v>
      </c>
      <c r="R50" s="12">
        <f t="shared" si="10"/>
        <v>550</v>
      </c>
      <c r="S50" s="23">
        <f t="shared" si="11"/>
        <v>550</v>
      </c>
      <c r="T50" s="107">
        <v>0</v>
      </c>
      <c r="U50" s="107">
        <v>0</v>
      </c>
      <c r="V50" s="107">
        <v>0</v>
      </c>
      <c r="W50" s="107">
        <v>0</v>
      </c>
    </row>
    <row r="51" spans="1:23" ht="18" customHeight="1" x14ac:dyDescent="0.25">
      <c r="A51" s="482"/>
      <c r="B51" s="11" t="s">
        <v>32</v>
      </c>
      <c r="C51" s="11" t="s">
        <v>44</v>
      </c>
      <c r="D51" s="11" t="s">
        <v>5</v>
      </c>
      <c r="E51" s="11" t="s">
        <v>45</v>
      </c>
      <c r="F51" s="11" t="s">
        <v>82</v>
      </c>
      <c r="G51" s="27" t="s">
        <v>6</v>
      </c>
      <c r="H51" s="38">
        <f t="shared" si="4"/>
        <v>0</v>
      </c>
      <c r="I51" s="36"/>
      <c r="J51" s="36"/>
      <c r="K51" s="36"/>
      <c r="L51" s="37"/>
      <c r="M51" s="112">
        <v>90.468096766357206</v>
      </c>
      <c r="N51" s="127">
        <v>0</v>
      </c>
      <c r="O51" s="125">
        <f t="shared" si="5"/>
        <v>90.468096766357206</v>
      </c>
      <c r="P51" s="123">
        <f t="shared" si="8"/>
        <v>90</v>
      </c>
      <c r="Q51" s="12">
        <f t="shared" si="9"/>
        <v>90</v>
      </c>
      <c r="R51" s="12">
        <f t="shared" si="10"/>
        <v>90</v>
      </c>
      <c r="S51" s="23">
        <f t="shared" si="11"/>
        <v>90</v>
      </c>
      <c r="T51" s="107">
        <f>+(P51-P50)/(O51-O50)-1</f>
        <v>1.5221524381137108E-4</v>
      </c>
      <c r="U51" s="107">
        <f>+(Q51-Q50)/(P51-P50)-1</f>
        <v>0</v>
      </c>
      <c r="V51" s="107">
        <f>+(R51-R50)/(Q51-Q50)-1</f>
        <v>0</v>
      </c>
      <c r="W51" s="107">
        <f>+(S51-S50)/(R51-R50)-1</f>
        <v>0</v>
      </c>
    </row>
    <row r="52" spans="1:23" ht="18" customHeight="1" x14ac:dyDescent="0.25">
      <c r="A52" s="482"/>
      <c r="B52" s="11" t="s">
        <v>15</v>
      </c>
      <c r="C52" s="11" t="s">
        <v>26</v>
      </c>
      <c r="D52" s="11" t="s">
        <v>3</v>
      </c>
      <c r="E52" s="11" t="s">
        <v>36</v>
      </c>
      <c r="F52" s="11" t="s">
        <v>75</v>
      </c>
      <c r="G52" s="27" t="s">
        <v>4</v>
      </c>
      <c r="H52" s="38">
        <f t="shared" si="4"/>
        <v>0</v>
      </c>
      <c r="I52" s="36"/>
      <c r="J52" s="36"/>
      <c r="K52" s="36"/>
      <c r="L52" s="37"/>
      <c r="M52" s="112">
        <v>52.228318999930899</v>
      </c>
      <c r="N52" s="127">
        <v>0</v>
      </c>
      <c r="O52" s="125">
        <f t="shared" si="5"/>
        <v>52.228318999930899</v>
      </c>
      <c r="P52" s="123">
        <f t="shared" si="8"/>
        <v>52</v>
      </c>
      <c r="Q52" s="12">
        <f t="shared" si="9"/>
        <v>52</v>
      </c>
      <c r="R52" s="12">
        <f t="shared" si="10"/>
        <v>52</v>
      </c>
      <c r="S52" s="23">
        <f t="shared" si="11"/>
        <v>52</v>
      </c>
      <c r="T52" s="107">
        <v>0</v>
      </c>
      <c r="U52" s="107">
        <v>0</v>
      </c>
      <c r="V52" s="107">
        <v>0</v>
      </c>
      <c r="W52" s="107">
        <v>0</v>
      </c>
    </row>
    <row r="53" spans="1:23" ht="18" customHeight="1" x14ac:dyDescent="0.25">
      <c r="A53" s="482"/>
      <c r="B53" s="11" t="s">
        <v>15</v>
      </c>
      <c r="C53" s="11" t="s">
        <v>26</v>
      </c>
      <c r="D53" s="11" t="s">
        <v>5</v>
      </c>
      <c r="E53" s="11" t="s">
        <v>36</v>
      </c>
      <c r="F53" s="11" t="s">
        <v>75</v>
      </c>
      <c r="G53" s="27" t="s">
        <v>6</v>
      </c>
      <c r="H53" s="38">
        <f t="shared" si="4"/>
        <v>0</v>
      </c>
      <c r="I53" s="36"/>
      <c r="J53" s="36"/>
      <c r="K53" s="36"/>
      <c r="L53" s="37"/>
      <c r="M53" s="112">
        <v>111.262124533245</v>
      </c>
      <c r="N53" s="127">
        <v>0</v>
      </c>
      <c r="O53" s="125">
        <f t="shared" si="5"/>
        <v>111.262124533245</v>
      </c>
      <c r="P53" s="123">
        <f t="shared" si="8"/>
        <v>111</v>
      </c>
      <c r="Q53" s="12">
        <f t="shared" si="9"/>
        <v>111</v>
      </c>
      <c r="R53" s="12">
        <f t="shared" si="10"/>
        <v>111</v>
      </c>
      <c r="S53" s="23">
        <f t="shared" si="11"/>
        <v>111</v>
      </c>
      <c r="T53" s="107">
        <f>+(P53-P52)/(O53-O52)-1</f>
        <v>-5.7264702840520432E-4</v>
      </c>
      <c r="U53" s="107">
        <f>+(Q53-Q52)/(P53-P52)-1</f>
        <v>0</v>
      </c>
      <c r="V53" s="107">
        <f>+(R53-R52)/(Q53-Q52)-1</f>
        <v>0</v>
      </c>
      <c r="W53" s="107">
        <f>+(S53-S52)/(R53-R52)-1</f>
        <v>0</v>
      </c>
    </row>
    <row r="54" spans="1:23" ht="18" customHeight="1" x14ac:dyDescent="0.25">
      <c r="A54" s="482"/>
      <c r="B54" s="11" t="s">
        <v>24</v>
      </c>
      <c r="C54" s="11" t="s">
        <v>26</v>
      </c>
      <c r="D54" s="11" t="s">
        <v>3</v>
      </c>
      <c r="E54" s="11" t="s">
        <v>36</v>
      </c>
      <c r="F54" s="11" t="s">
        <v>76</v>
      </c>
      <c r="G54" s="27" t="s">
        <v>4</v>
      </c>
      <c r="H54" s="38">
        <f t="shared" si="4"/>
        <v>0</v>
      </c>
      <c r="I54" s="36"/>
      <c r="J54" s="36"/>
      <c r="K54" s="36"/>
      <c r="L54" s="37"/>
      <c r="M54" s="112">
        <v>64.860953732009705</v>
      </c>
      <c r="N54" s="127">
        <v>0</v>
      </c>
      <c r="O54" s="125">
        <f t="shared" si="5"/>
        <v>64.860953732009705</v>
      </c>
      <c r="P54" s="123">
        <f t="shared" si="8"/>
        <v>65</v>
      </c>
      <c r="Q54" s="12">
        <f t="shared" si="9"/>
        <v>65</v>
      </c>
      <c r="R54" s="12">
        <f t="shared" si="10"/>
        <v>65</v>
      </c>
      <c r="S54" s="23">
        <f t="shared" si="11"/>
        <v>65</v>
      </c>
      <c r="T54" s="107">
        <v>0</v>
      </c>
      <c r="U54" s="107">
        <v>0</v>
      </c>
      <c r="V54" s="107">
        <v>0</v>
      </c>
      <c r="W54" s="107">
        <v>0</v>
      </c>
    </row>
    <row r="55" spans="1:23" ht="18" customHeight="1" x14ac:dyDescent="0.25">
      <c r="A55" s="482"/>
      <c r="B55" s="11" t="s">
        <v>24</v>
      </c>
      <c r="C55" s="11" t="s">
        <v>26</v>
      </c>
      <c r="D55" s="11" t="s">
        <v>5</v>
      </c>
      <c r="E55" s="11" t="s">
        <v>36</v>
      </c>
      <c r="F55" s="11" t="s">
        <v>76</v>
      </c>
      <c r="G55" s="27" t="s">
        <v>6</v>
      </c>
      <c r="H55" s="38">
        <f t="shared" si="4"/>
        <v>0</v>
      </c>
      <c r="I55" s="36"/>
      <c r="J55" s="36"/>
      <c r="K55" s="36"/>
      <c r="L55" s="37"/>
      <c r="M55" s="112">
        <v>131.94877079724799</v>
      </c>
      <c r="N55" s="127">
        <v>0</v>
      </c>
      <c r="O55" s="125">
        <f t="shared" si="5"/>
        <v>131.94877079724799</v>
      </c>
      <c r="P55" s="123">
        <f t="shared" si="8"/>
        <v>132</v>
      </c>
      <c r="Q55" s="12">
        <f t="shared" si="9"/>
        <v>132</v>
      </c>
      <c r="R55" s="12">
        <f t="shared" si="10"/>
        <v>132</v>
      </c>
      <c r="S55" s="23">
        <f t="shared" si="11"/>
        <v>132</v>
      </c>
      <c r="T55" s="107">
        <f>+(P55-P54)/(O55-O54)-1</f>
        <v>-1.3089867740500027E-3</v>
      </c>
      <c r="U55" s="107">
        <f>+(Q55-Q54)/(P55-P54)-1</f>
        <v>0</v>
      </c>
      <c r="V55" s="107">
        <f>+(R55-R54)/(Q55-Q54)-1</f>
        <v>0</v>
      </c>
      <c r="W55" s="107">
        <f>+(S55-S54)/(R55-R54)-1</f>
        <v>0</v>
      </c>
    </row>
    <row r="56" spans="1:23" ht="18" customHeight="1" x14ac:dyDescent="0.25">
      <c r="A56" s="482"/>
      <c r="B56" s="11" t="s">
        <v>29</v>
      </c>
      <c r="C56" s="11" t="s">
        <v>38</v>
      </c>
      <c r="D56" s="11" t="s">
        <v>3</v>
      </c>
      <c r="E56" s="11" t="s">
        <v>39</v>
      </c>
      <c r="F56" s="11" t="s">
        <v>39</v>
      </c>
      <c r="G56" s="27" t="s">
        <v>4</v>
      </c>
      <c r="H56" s="38">
        <f t="shared" si="4"/>
        <v>0</v>
      </c>
      <c r="I56" s="36"/>
      <c r="J56" s="36"/>
      <c r="K56" s="36"/>
      <c r="L56" s="37"/>
      <c r="M56" s="112">
        <v>498.99942999830103</v>
      </c>
      <c r="N56" s="127">
        <v>0</v>
      </c>
      <c r="O56" s="125">
        <f t="shared" si="5"/>
        <v>498.99942999830103</v>
      </c>
      <c r="P56" s="123">
        <f t="shared" si="8"/>
        <v>499</v>
      </c>
      <c r="Q56" s="12">
        <f t="shared" si="9"/>
        <v>499</v>
      </c>
      <c r="R56" s="12">
        <f t="shared" si="10"/>
        <v>499</v>
      </c>
      <c r="S56" s="23">
        <f t="shared" si="11"/>
        <v>499</v>
      </c>
      <c r="T56" s="107">
        <v>0</v>
      </c>
      <c r="U56" s="107">
        <v>0</v>
      </c>
      <c r="V56" s="107">
        <v>0</v>
      </c>
      <c r="W56" s="107">
        <v>0</v>
      </c>
    </row>
    <row r="57" spans="1:23" ht="18" customHeight="1" x14ac:dyDescent="0.25">
      <c r="A57" s="482"/>
      <c r="B57" s="11" t="s">
        <v>29</v>
      </c>
      <c r="C57" s="11" t="s">
        <v>38</v>
      </c>
      <c r="D57" s="11" t="s">
        <v>5</v>
      </c>
      <c r="E57" s="11" t="s">
        <v>39</v>
      </c>
      <c r="F57" s="11" t="s">
        <v>39</v>
      </c>
      <c r="G57" s="27" t="s">
        <v>6</v>
      </c>
      <c r="H57" s="38">
        <f t="shared" si="4"/>
        <v>0</v>
      </c>
      <c r="I57" s="36"/>
      <c r="J57" s="36"/>
      <c r="K57" s="36"/>
      <c r="L57" s="37"/>
      <c r="M57" s="112">
        <v>226.83927893269299</v>
      </c>
      <c r="N57" s="127">
        <v>0</v>
      </c>
      <c r="O57" s="125">
        <f t="shared" si="5"/>
        <v>226.83927893269299</v>
      </c>
      <c r="P57" s="123">
        <f t="shared" si="8"/>
        <v>227</v>
      </c>
      <c r="Q57" s="12">
        <f t="shared" si="9"/>
        <v>227</v>
      </c>
      <c r="R57" s="12">
        <f t="shared" si="10"/>
        <v>227</v>
      </c>
      <c r="S57" s="23">
        <f t="shared" si="11"/>
        <v>227</v>
      </c>
      <c r="T57" s="107">
        <f>+(P57-P56)/(O57-O56)-1</f>
        <v>-5.8844421191339702E-4</v>
      </c>
      <c r="U57" s="107">
        <f>+(Q57-Q56)/(P57-P56)-1</f>
        <v>0</v>
      </c>
      <c r="V57" s="107">
        <f>+(R57-R56)/(Q57-Q56)-1</f>
        <v>0</v>
      </c>
      <c r="W57" s="107">
        <f>+(S57-S56)/(R57-R56)-1</f>
        <v>0</v>
      </c>
    </row>
    <row r="58" spans="1:23" ht="18" customHeight="1" x14ac:dyDescent="0.25">
      <c r="A58" s="482"/>
      <c r="B58" s="11" t="s">
        <v>77</v>
      </c>
      <c r="C58" s="11" t="s">
        <v>41</v>
      </c>
      <c r="D58" s="11" t="s">
        <v>3</v>
      </c>
      <c r="E58" s="11" t="s">
        <v>42</v>
      </c>
      <c r="F58" s="11" t="s">
        <v>78</v>
      </c>
      <c r="G58" s="27" t="s">
        <v>4</v>
      </c>
      <c r="H58" s="38">
        <f t="shared" si="4"/>
        <v>0</v>
      </c>
      <c r="I58" s="36"/>
      <c r="J58" s="36"/>
      <c r="K58" s="36"/>
      <c r="L58" s="37"/>
      <c r="M58" s="112">
        <v>17.488931866648599</v>
      </c>
      <c r="N58" s="127">
        <v>0</v>
      </c>
      <c r="O58" s="125">
        <f t="shared" si="5"/>
        <v>17.488931866648599</v>
      </c>
      <c r="P58" s="123">
        <f t="shared" si="8"/>
        <v>17</v>
      </c>
      <c r="Q58" s="12">
        <f t="shared" si="9"/>
        <v>17</v>
      </c>
      <c r="R58" s="12">
        <f t="shared" si="10"/>
        <v>17</v>
      </c>
      <c r="S58" s="23">
        <f t="shared" si="11"/>
        <v>17</v>
      </c>
      <c r="T58" s="107">
        <v>0</v>
      </c>
      <c r="U58" s="107">
        <v>0</v>
      </c>
      <c r="V58" s="107">
        <v>0</v>
      </c>
      <c r="W58" s="107">
        <v>0</v>
      </c>
    </row>
    <row r="59" spans="1:23" ht="18" customHeight="1" x14ac:dyDescent="0.25">
      <c r="A59" s="482"/>
      <c r="B59" s="11" t="s">
        <v>77</v>
      </c>
      <c r="C59" s="11" t="s">
        <v>41</v>
      </c>
      <c r="D59" s="11" t="s">
        <v>5</v>
      </c>
      <c r="E59" s="11" t="s">
        <v>42</v>
      </c>
      <c r="F59" s="11" t="s">
        <v>78</v>
      </c>
      <c r="G59" s="27" t="s">
        <v>6</v>
      </c>
      <c r="H59" s="38">
        <f t="shared" si="4"/>
        <v>0</v>
      </c>
      <c r="I59" s="36"/>
      <c r="J59" s="36"/>
      <c r="K59" s="36"/>
      <c r="L59" s="37"/>
      <c r="M59" s="112">
        <v>57.844972177701997</v>
      </c>
      <c r="N59" s="127">
        <v>0</v>
      </c>
      <c r="O59" s="125">
        <f t="shared" si="5"/>
        <v>57.844972177701997</v>
      </c>
      <c r="P59" s="123">
        <f t="shared" si="8"/>
        <v>58</v>
      </c>
      <c r="Q59" s="12">
        <f t="shared" si="9"/>
        <v>58</v>
      </c>
      <c r="R59" s="12">
        <f t="shared" si="10"/>
        <v>58</v>
      </c>
      <c r="S59" s="23">
        <f t="shared" si="11"/>
        <v>58</v>
      </c>
      <c r="T59" s="107">
        <f>+(P59-P58)/(O59-O58)-1</f>
        <v>1.5956959205688515E-2</v>
      </c>
      <c r="U59" s="107">
        <f>+(Q59-Q58)/(P59-P58)-1</f>
        <v>0</v>
      </c>
      <c r="V59" s="107">
        <f>+(R59-R58)/(Q59-Q58)-1</f>
        <v>0</v>
      </c>
      <c r="W59" s="107">
        <f>+(S59-S58)/(R59-R58)-1</f>
        <v>0</v>
      </c>
    </row>
    <row r="60" spans="1:23" ht="18" customHeight="1" x14ac:dyDescent="0.25">
      <c r="A60" s="482"/>
      <c r="B60" s="11" t="s">
        <v>40</v>
      </c>
      <c r="C60" s="11" t="s">
        <v>41</v>
      </c>
      <c r="D60" s="11" t="s">
        <v>3</v>
      </c>
      <c r="E60" s="11" t="s">
        <v>42</v>
      </c>
      <c r="F60" s="11" t="s">
        <v>79</v>
      </c>
      <c r="G60" s="27" t="s">
        <v>4</v>
      </c>
      <c r="H60" s="38">
        <f t="shared" si="4"/>
        <v>0</v>
      </c>
      <c r="I60" s="36"/>
      <c r="J60" s="36"/>
      <c r="K60" s="36"/>
      <c r="L60" s="37"/>
      <c r="M60" s="112"/>
      <c r="N60" s="127">
        <v>0</v>
      </c>
      <c r="O60" s="125">
        <f t="shared" si="5"/>
        <v>0</v>
      </c>
      <c r="P60" s="123">
        <f t="shared" si="8"/>
        <v>0</v>
      </c>
      <c r="Q60" s="12">
        <f t="shared" si="9"/>
        <v>0</v>
      </c>
      <c r="R60" s="12">
        <f t="shared" si="10"/>
        <v>0</v>
      </c>
      <c r="S60" s="23">
        <f t="shared" si="11"/>
        <v>0</v>
      </c>
      <c r="T60" s="107">
        <v>0</v>
      </c>
      <c r="U60" s="107">
        <v>0</v>
      </c>
      <c r="V60" s="107">
        <v>0</v>
      </c>
      <c r="W60" s="107">
        <v>0</v>
      </c>
    </row>
    <row r="61" spans="1:23" ht="18" customHeight="1" x14ac:dyDescent="0.25">
      <c r="A61" s="482"/>
      <c r="B61" s="11" t="s">
        <v>40</v>
      </c>
      <c r="C61" s="11" t="s">
        <v>41</v>
      </c>
      <c r="D61" s="11" t="s">
        <v>5</v>
      </c>
      <c r="E61" s="11" t="s">
        <v>42</v>
      </c>
      <c r="F61" s="11" t="s">
        <v>79</v>
      </c>
      <c r="G61" s="27" t="s">
        <v>6</v>
      </c>
      <c r="H61" s="38">
        <f t="shared" si="4"/>
        <v>0</v>
      </c>
      <c r="I61" s="36"/>
      <c r="J61" s="36"/>
      <c r="K61" s="36"/>
      <c r="L61" s="37"/>
      <c r="M61" s="112">
        <v>15.7274893666702</v>
      </c>
      <c r="N61" s="127">
        <v>0</v>
      </c>
      <c r="O61" s="125">
        <f t="shared" si="5"/>
        <v>15.7274893666702</v>
      </c>
      <c r="P61" s="123">
        <f t="shared" si="8"/>
        <v>16</v>
      </c>
      <c r="Q61" s="12">
        <f t="shared" si="9"/>
        <v>16</v>
      </c>
      <c r="R61" s="12">
        <f t="shared" si="10"/>
        <v>16</v>
      </c>
      <c r="S61" s="23">
        <f t="shared" si="11"/>
        <v>16</v>
      </c>
      <c r="T61" s="107">
        <f>+(P61-P60)/(O61-O60)-1</f>
        <v>1.7327027027422837E-2</v>
      </c>
      <c r="U61" s="107">
        <f>+(Q61-Q60)/(P61-P60)-1</f>
        <v>0</v>
      </c>
      <c r="V61" s="107">
        <f>+(R61-R60)/(Q61-Q60)-1</f>
        <v>0</v>
      </c>
      <c r="W61" s="107">
        <f>+(S61-S60)/(R61-R60)-1</f>
        <v>0</v>
      </c>
    </row>
    <row r="62" spans="1:23" ht="18" customHeight="1" x14ac:dyDescent="0.25">
      <c r="A62" s="482"/>
      <c r="B62" s="11" t="s">
        <v>20</v>
      </c>
      <c r="C62" s="11" t="s">
        <v>28</v>
      </c>
      <c r="D62" s="11" t="s">
        <v>3</v>
      </c>
      <c r="E62" s="11" t="s">
        <v>46</v>
      </c>
      <c r="F62" s="11" t="s">
        <v>83</v>
      </c>
      <c r="G62" s="27" t="s">
        <v>4</v>
      </c>
      <c r="H62" s="38">
        <f t="shared" si="4"/>
        <v>0</v>
      </c>
      <c r="I62" s="36"/>
      <c r="J62" s="36"/>
      <c r="K62" s="36"/>
      <c r="L62" s="37"/>
      <c r="M62" s="112">
        <v>868.91287832959404</v>
      </c>
      <c r="N62" s="127">
        <v>0</v>
      </c>
      <c r="O62" s="125">
        <f t="shared" si="5"/>
        <v>868.91287832959404</v>
      </c>
      <c r="P62" s="123">
        <f t="shared" si="8"/>
        <v>869</v>
      </c>
      <c r="Q62" s="12">
        <f t="shared" si="9"/>
        <v>869</v>
      </c>
      <c r="R62" s="12">
        <f t="shared" si="10"/>
        <v>869</v>
      </c>
      <c r="S62" s="23">
        <f t="shared" si="11"/>
        <v>869</v>
      </c>
      <c r="T62" s="107">
        <v>0</v>
      </c>
      <c r="U62" s="107">
        <v>0</v>
      </c>
      <c r="V62" s="107">
        <v>0</v>
      </c>
      <c r="W62" s="107">
        <v>0</v>
      </c>
    </row>
    <row r="63" spans="1:23" ht="18" customHeight="1" x14ac:dyDescent="0.25">
      <c r="A63" s="482"/>
      <c r="B63" s="11" t="s">
        <v>20</v>
      </c>
      <c r="C63" s="11" t="s">
        <v>28</v>
      </c>
      <c r="D63" s="11" t="s">
        <v>5</v>
      </c>
      <c r="E63" s="11" t="s">
        <v>46</v>
      </c>
      <c r="F63" s="11" t="s">
        <v>83</v>
      </c>
      <c r="G63" s="27" t="s">
        <v>6</v>
      </c>
      <c r="H63" s="38">
        <f t="shared" si="4"/>
        <v>0</v>
      </c>
      <c r="I63" s="36"/>
      <c r="J63" s="36"/>
      <c r="K63" s="36"/>
      <c r="L63" s="37"/>
      <c r="M63" s="112">
        <v>581.20044915340702</v>
      </c>
      <c r="N63" s="127">
        <v>0</v>
      </c>
      <c r="O63" s="125">
        <f t="shared" si="5"/>
        <v>581.20044915340702</v>
      </c>
      <c r="P63" s="123">
        <f t="shared" si="8"/>
        <v>581</v>
      </c>
      <c r="Q63" s="12">
        <f t="shared" si="9"/>
        <v>581</v>
      </c>
      <c r="R63" s="12">
        <f t="shared" si="10"/>
        <v>581</v>
      </c>
      <c r="S63" s="23">
        <f t="shared" si="11"/>
        <v>581</v>
      </c>
      <c r="T63" s="107">
        <f>+(P63-P62)/(O63-O62)-1</f>
        <v>9.9950782326785337E-4</v>
      </c>
      <c r="U63" s="107">
        <f>+(Q63-Q62)/(P63-P62)-1</f>
        <v>0</v>
      </c>
      <c r="V63" s="107">
        <f>+(R63-R62)/(Q63-Q62)-1</f>
        <v>0</v>
      </c>
      <c r="W63" s="107">
        <f>+(S63-S62)/(R63-R62)-1</f>
        <v>0</v>
      </c>
    </row>
    <row r="64" spans="1:23" ht="18" customHeight="1" x14ac:dyDescent="0.25">
      <c r="A64" s="482"/>
      <c r="B64" s="11" t="s">
        <v>44</v>
      </c>
      <c r="C64" s="11" t="s">
        <v>47</v>
      </c>
      <c r="D64" s="11" t="s">
        <v>3</v>
      </c>
      <c r="E64" s="11" t="s">
        <v>48</v>
      </c>
      <c r="F64" s="11" t="s">
        <v>84</v>
      </c>
      <c r="G64" s="27" t="s">
        <v>4</v>
      </c>
      <c r="H64" s="38">
        <f t="shared" si="4"/>
        <v>0</v>
      </c>
      <c r="I64" s="36"/>
      <c r="J64" s="36"/>
      <c r="K64" s="36"/>
      <c r="L64" s="37"/>
      <c r="M64" s="112">
        <v>122.61688506647199</v>
      </c>
      <c r="N64" s="127">
        <v>0</v>
      </c>
      <c r="O64" s="125">
        <f t="shared" si="5"/>
        <v>122.61688506647199</v>
      </c>
      <c r="P64" s="123">
        <f t="shared" si="8"/>
        <v>123</v>
      </c>
      <c r="Q64" s="12">
        <f t="shared" si="9"/>
        <v>123</v>
      </c>
      <c r="R64" s="12">
        <f t="shared" si="10"/>
        <v>123</v>
      </c>
      <c r="S64" s="23">
        <f t="shared" si="11"/>
        <v>123</v>
      </c>
      <c r="T64" s="107">
        <v>0</v>
      </c>
      <c r="U64" s="107">
        <v>0</v>
      </c>
      <c r="V64" s="107">
        <v>0</v>
      </c>
      <c r="W64" s="107">
        <v>0</v>
      </c>
    </row>
    <row r="65" spans="1:26" ht="18" customHeight="1" x14ac:dyDescent="0.25">
      <c r="A65" s="482"/>
      <c r="B65" s="11" t="s">
        <v>44</v>
      </c>
      <c r="C65" s="11" t="s">
        <v>47</v>
      </c>
      <c r="D65" s="11" t="s">
        <v>5</v>
      </c>
      <c r="E65" s="11" t="s">
        <v>48</v>
      </c>
      <c r="F65" s="11" t="s">
        <v>84</v>
      </c>
      <c r="G65" s="27" t="s">
        <v>6</v>
      </c>
      <c r="H65" s="38">
        <f t="shared" si="4"/>
        <v>0</v>
      </c>
      <c r="I65" s="36"/>
      <c r="J65" s="36"/>
      <c r="K65" s="36"/>
      <c r="L65" s="37"/>
      <c r="M65" s="112">
        <v>16.712520355516599</v>
      </c>
      <c r="N65" s="127">
        <v>0</v>
      </c>
      <c r="O65" s="125">
        <f t="shared" si="5"/>
        <v>16.712520355516599</v>
      </c>
      <c r="P65" s="123">
        <f t="shared" si="8"/>
        <v>17</v>
      </c>
      <c r="Q65" s="12">
        <f t="shared" si="9"/>
        <v>17</v>
      </c>
      <c r="R65" s="12">
        <f t="shared" si="10"/>
        <v>17</v>
      </c>
      <c r="S65" s="23">
        <f t="shared" si="11"/>
        <v>17</v>
      </c>
      <c r="T65" s="107">
        <f>+(P65-P64)/(O65-O64)-1</f>
        <v>9.0303444343975414E-4</v>
      </c>
      <c r="U65" s="107">
        <f>+(Q65-Q64)/(P65-P64)-1</f>
        <v>0</v>
      </c>
      <c r="V65" s="107">
        <f>+(R65-R64)/(Q65-Q64)-1</f>
        <v>0</v>
      </c>
      <c r="W65" s="107">
        <f>+(S65-S64)/(R65-R64)-1</f>
        <v>0</v>
      </c>
    </row>
    <row r="66" spans="1:26" ht="18" customHeight="1" x14ac:dyDescent="0.25">
      <c r="A66" s="482"/>
      <c r="B66" s="11" t="s">
        <v>28</v>
      </c>
      <c r="C66" s="11" t="s">
        <v>47</v>
      </c>
      <c r="D66" s="11" t="s">
        <v>3</v>
      </c>
      <c r="E66" s="11" t="s">
        <v>48</v>
      </c>
      <c r="F66" s="11" t="s">
        <v>85</v>
      </c>
      <c r="G66" s="27" t="s">
        <v>4</v>
      </c>
      <c r="H66" s="38">
        <f t="shared" si="4"/>
        <v>0</v>
      </c>
      <c r="I66" s="36"/>
      <c r="J66" s="36"/>
      <c r="K66" s="36"/>
      <c r="L66" s="37"/>
      <c r="M66" s="112">
        <v>96.923515032597805</v>
      </c>
      <c r="N66" s="127">
        <v>0</v>
      </c>
      <c r="O66" s="125">
        <f t="shared" si="5"/>
        <v>96.923515032597805</v>
      </c>
      <c r="P66" s="123">
        <f t="shared" si="8"/>
        <v>97</v>
      </c>
      <c r="Q66" s="12">
        <f t="shared" si="9"/>
        <v>97</v>
      </c>
      <c r="R66" s="12">
        <f t="shared" si="10"/>
        <v>97</v>
      </c>
      <c r="S66" s="23">
        <f t="shared" si="11"/>
        <v>97</v>
      </c>
      <c r="T66" s="107">
        <v>0</v>
      </c>
      <c r="U66" s="107">
        <v>0</v>
      </c>
      <c r="V66" s="107">
        <v>0</v>
      </c>
      <c r="W66" s="107">
        <v>0</v>
      </c>
    </row>
    <row r="67" spans="1:26" ht="18" customHeight="1" x14ac:dyDescent="0.25">
      <c r="A67" s="482"/>
      <c r="B67" s="11" t="s">
        <v>28</v>
      </c>
      <c r="C67" s="11" t="s">
        <v>47</v>
      </c>
      <c r="D67" s="11" t="s">
        <v>5</v>
      </c>
      <c r="E67" s="11" t="s">
        <v>48</v>
      </c>
      <c r="F67" s="11" t="s">
        <v>85</v>
      </c>
      <c r="G67" s="27" t="s">
        <v>6</v>
      </c>
      <c r="H67" s="38">
        <f t="shared" si="4"/>
        <v>0</v>
      </c>
      <c r="I67" s="36"/>
      <c r="J67" s="36"/>
      <c r="K67" s="36"/>
      <c r="L67" s="37"/>
      <c r="M67" s="112">
        <v>31.444462399759701</v>
      </c>
      <c r="N67" s="127">
        <v>0</v>
      </c>
      <c r="O67" s="125">
        <f t="shared" si="5"/>
        <v>31.444462399759701</v>
      </c>
      <c r="P67" s="123">
        <f t="shared" si="8"/>
        <v>31</v>
      </c>
      <c r="Q67" s="12">
        <f t="shared" si="9"/>
        <v>31</v>
      </c>
      <c r="R67" s="12">
        <f t="shared" si="10"/>
        <v>31</v>
      </c>
      <c r="S67" s="23">
        <f t="shared" si="11"/>
        <v>31</v>
      </c>
      <c r="T67" s="107">
        <f>+(P67-P66)/(O67-O66)-1</f>
        <v>7.955939284629121E-3</v>
      </c>
      <c r="U67" s="107">
        <f>+(Q67-Q66)/(P67-P66)-1</f>
        <v>0</v>
      </c>
      <c r="V67" s="107">
        <f>+(R67-R66)/(Q67-Q66)-1</f>
        <v>0</v>
      </c>
      <c r="W67" s="107">
        <f>+(S67-S66)/(R67-R66)-1</f>
        <v>0</v>
      </c>
    </row>
    <row r="68" spans="1:26" ht="18" customHeight="1" x14ac:dyDescent="0.25">
      <c r="A68" s="482"/>
      <c r="B68" s="11" t="s">
        <v>86</v>
      </c>
      <c r="C68" s="11" t="s">
        <v>47</v>
      </c>
      <c r="D68" s="11" t="s">
        <v>3</v>
      </c>
      <c r="E68" s="11" t="s">
        <v>48</v>
      </c>
      <c r="F68" s="11" t="s">
        <v>87</v>
      </c>
      <c r="G68" s="27" t="s">
        <v>4</v>
      </c>
      <c r="H68" s="38">
        <f t="shared" si="4"/>
        <v>0</v>
      </c>
      <c r="I68" s="36"/>
      <c r="J68" s="36"/>
      <c r="K68" s="36"/>
      <c r="L68" s="37"/>
      <c r="M68" s="112">
        <v>104.81440059637499</v>
      </c>
      <c r="N68" s="127">
        <v>0</v>
      </c>
      <c r="O68" s="125">
        <f t="shared" si="5"/>
        <v>104.81440059637499</v>
      </c>
      <c r="P68" s="123">
        <f t="shared" ref="P68:P99" si="12">+ROUND(O68*(1+I68),0)</f>
        <v>105</v>
      </c>
      <c r="Q68" s="12">
        <f t="shared" ref="Q68:Q99" si="13">+ROUND(P68*(1+J68),0)</f>
        <v>105</v>
      </c>
      <c r="R68" s="12">
        <f t="shared" ref="R68:R99" si="14">+ROUND(Q68*(1+K68),0)</f>
        <v>105</v>
      </c>
      <c r="S68" s="23">
        <f t="shared" ref="S68:S99" si="15">+ROUND(R68*(1+L68),0)</f>
        <v>105</v>
      </c>
      <c r="T68" s="107">
        <v>0</v>
      </c>
      <c r="U68" s="107">
        <v>0</v>
      </c>
      <c r="V68" s="107">
        <v>0</v>
      </c>
      <c r="W68" s="107">
        <v>0</v>
      </c>
    </row>
    <row r="69" spans="1:26" ht="18" customHeight="1" x14ac:dyDescent="0.25">
      <c r="A69" s="482"/>
      <c r="B69" s="11" t="s">
        <v>86</v>
      </c>
      <c r="C69" s="11" t="s">
        <v>47</v>
      </c>
      <c r="D69" s="11" t="s">
        <v>5</v>
      </c>
      <c r="E69" s="11" t="s">
        <v>48</v>
      </c>
      <c r="F69" s="11" t="s">
        <v>87</v>
      </c>
      <c r="G69" s="27" t="s">
        <v>6</v>
      </c>
      <c r="H69" s="38">
        <f t="shared" ref="H69:H115" si="16">IF(M69&gt;0,O69/M69-1,0)</f>
        <v>0</v>
      </c>
      <c r="I69" s="36"/>
      <c r="J69" s="36"/>
      <c r="K69" s="36"/>
      <c r="L69" s="37"/>
      <c r="M69" s="112">
        <v>15.4885674661192</v>
      </c>
      <c r="N69" s="127">
        <v>0</v>
      </c>
      <c r="O69" s="125">
        <f t="shared" ref="O69:O115" si="17">+M69+N69</f>
        <v>15.4885674661192</v>
      </c>
      <c r="P69" s="123">
        <f t="shared" si="12"/>
        <v>15</v>
      </c>
      <c r="Q69" s="12">
        <f t="shared" si="13"/>
        <v>15</v>
      </c>
      <c r="R69" s="12">
        <f t="shared" si="14"/>
        <v>15</v>
      </c>
      <c r="S69" s="23">
        <f t="shared" si="15"/>
        <v>15</v>
      </c>
      <c r="T69" s="107">
        <f>+(P69-P68)/(O69-O68)-1</f>
        <v>7.5472777148477554E-3</v>
      </c>
      <c r="U69" s="107">
        <f>+(Q69-Q68)/(P69-P68)-1</f>
        <v>0</v>
      </c>
      <c r="V69" s="107">
        <f>+(R69-R68)/(Q69-Q68)-1</f>
        <v>0</v>
      </c>
      <c r="W69" s="107">
        <f>+(S69-S68)/(R69-R68)-1</f>
        <v>0</v>
      </c>
    </row>
    <row r="70" spans="1:26" ht="18" customHeight="1" x14ac:dyDescent="0.25">
      <c r="A70" s="482"/>
      <c r="B70" s="11" t="s">
        <v>88</v>
      </c>
      <c r="C70" s="11" t="s">
        <v>47</v>
      </c>
      <c r="D70" s="11" t="s">
        <v>3</v>
      </c>
      <c r="E70" s="11" t="s">
        <v>48</v>
      </c>
      <c r="F70" s="11" t="s">
        <v>89</v>
      </c>
      <c r="G70" s="27" t="s">
        <v>4</v>
      </c>
      <c r="H70" s="38">
        <f t="shared" si="16"/>
        <v>0</v>
      </c>
      <c r="I70" s="36"/>
      <c r="J70" s="36"/>
      <c r="K70" s="36"/>
      <c r="L70" s="37"/>
      <c r="M70" s="112">
        <v>105.238750396523</v>
      </c>
      <c r="N70" s="127">
        <v>0</v>
      </c>
      <c r="O70" s="125">
        <f t="shared" si="17"/>
        <v>105.238750396523</v>
      </c>
      <c r="P70" s="123">
        <f t="shared" si="12"/>
        <v>105</v>
      </c>
      <c r="Q70" s="12">
        <f t="shared" si="13"/>
        <v>105</v>
      </c>
      <c r="R70" s="12">
        <f t="shared" si="14"/>
        <v>105</v>
      </c>
      <c r="S70" s="23">
        <f t="shared" si="15"/>
        <v>105</v>
      </c>
      <c r="T70" s="107">
        <v>0</v>
      </c>
      <c r="U70" s="107">
        <v>0</v>
      </c>
      <c r="V70" s="107">
        <v>0</v>
      </c>
      <c r="W70" s="107">
        <v>0</v>
      </c>
    </row>
    <row r="71" spans="1:26" ht="18" customHeight="1" x14ac:dyDescent="0.25">
      <c r="A71" s="482"/>
      <c r="B71" s="11" t="s">
        <v>88</v>
      </c>
      <c r="C71" s="11" t="s">
        <v>47</v>
      </c>
      <c r="D71" s="11" t="s">
        <v>5</v>
      </c>
      <c r="E71" s="11" t="s">
        <v>48</v>
      </c>
      <c r="F71" s="11" t="s">
        <v>89</v>
      </c>
      <c r="G71" s="27" t="s">
        <v>6</v>
      </c>
      <c r="H71" s="38">
        <f t="shared" si="16"/>
        <v>0</v>
      </c>
      <c r="I71" s="36"/>
      <c r="J71" s="36"/>
      <c r="K71" s="36"/>
      <c r="L71" s="37"/>
      <c r="M71" s="112">
        <v>6.10863759982976</v>
      </c>
      <c r="N71" s="127">
        <v>0</v>
      </c>
      <c r="O71" s="125">
        <f t="shared" si="17"/>
        <v>6.10863759982976</v>
      </c>
      <c r="P71" s="123">
        <f t="shared" si="12"/>
        <v>6</v>
      </c>
      <c r="Q71" s="12">
        <f t="shared" si="13"/>
        <v>6</v>
      </c>
      <c r="R71" s="12">
        <f t="shared" si="14"/>
        <v>6</v>
      </c>
      <c r="S71" s="23">
        <f t="shared" si="15"/>
        <v>6</v>
      </c>
      <c r="T71" s="107">
        <f>+(P71-P70)/(O71-O70)-1</f>
        <v>-1.3125456334351915E-3</v>
      </c>
      <c r="U71" s="107">
        <f>+(Q71-Q70)/(P71-P70)-1</f>
        <v>0</v>
      </c>
      <c r="V71" s="107">
        <f>+(R71-R70)/(Q71-Q70)-1</f>
        <v>0</v>
      </c>
      <c r="W71" s="107">
        <f>+(S71-S70)/(R71-R70)-1</f>
        <v>0</v>
      </c>
    </row>
    <row r="72" spans="1:26" ht="18" customHeight="1" x14ac:dyDescent="0.25">
      <c r="A72" s="482"/>
      <c r="B72" s="11" t="s">
        <v>34</v>
      </c>
      <c r="C72" s="11" t="s">
        <v>31</v>
      </c>
      <c r="D72" s="11" t="s">
        <v>3</v>
      </c>
      <c r="E72" s="11" t="s">
        <v>49</v>
      </c>
      <c r="F72" s="11" t="s">
        <v>90</v>
      </c>
      <c r="G72" s="27" t="s">
        <v>4</v>
      </c>
      <c r="H72" s="38">
        <f t="shared" si="16"/>
        <v>0</v>
      </c>
      <c r="I72" s="36"/>
      <c r="J72" s="36"/>
      <c r="K72" s="36"/>
      <c r="L72" s="37"/>
      <c r="M72" s="112">
        <v>7.3063547998941099</v>
      </c>
      <c r="N72" s="127">
        <v>0</v>
      </c>
      <c r="O72" s="125">
        <f t="shared" si="17"/>
        <v>7.3063547998941099</v>
      </c>
      <c r="P72" s="123">
        <f t="shared" si="12"/>
        <v>7</v>
      </c>
      <c r="Q72" s="12">
        <f t="shared" si="13"/>
        <v>7</v>
      </c>
      <c r="R72" s="12">
        <f t="shared" si="14"/>
        <v>7</v>
      </c>
      <c r="S72" s="23">
        <f t="shared" si="15"/>
        <v>7</v>
      </c>
      <c r="T72" s="107">
        <v>0</v>
      </c>
      <c r="U72" s="107">
        <v>0</v>
      </c>
      <c r="V72" s="107">
        <v>0</v>
      </c>
      <c r="W72" s="107">
        <v>0</v>
      </c>
    </row>
    <row r="73" spans="1:26" ht="18" customHeight="1" x14ac:dyDescent="0.25">
      <c r="A73" s="482"/>
      <c r="B73" s="11" t="s">
        <v>34</v>
      </c>
      <c r="C73" s="11" t="s">
        <v>31</v>
      </c>
      <c r="D73" s="11" t="s">
        <v>5</v>
      </c>
      <c r="E73" s="11" t="s">
        <v>49</v>
      </c>
      <c r="F73" s="11" t="s">
        <v>90</v>
      </c>
      <c r="G73" s="27" t="s">
        <v>6</v>
      </c>
      <c r="H73" s="38">
        <f t="shared" si="16"/>
        <v>0</v>
      </c>
      <c r="I73" s="36"/>
      <c r="J73" s="36"/>
      <c r="K73" s="36"/>
      <c r="L73" s="37"/>
      <c r="M73" s="112">
        <v>9.9321159999111508</v>
      </c>
      <c r="N73" s="127">
        <v>0</v>
      </c>
      <c r="O73" s="125">
        <f t="shared" si="17"/>
        <v>9.9321159999111508</v>
      </c>
      <c r="P73" s="123">
        <f t="shared" si="12"/>
        <v>10</v>
      </c>
      <c r="Q73" s="12">
        <f t="shared" si="13"/>
        <v>10</v>
      </c>
      <c r="R73" s="12">
        <f t="shared" si="14"/>
        <v>10</v>
      </c>
      <c r="S73" s="23">
        <f t="shared" si="15"/>
        <v>10</v>
      </c>
      <c r="T73" s="107">
        <f>+(P73-P72)/(O73-O72)-1</f>
        <v>0.14252583212080761</v>
      </c>
      <c r="U73" s="107">
        <f>+(Q73-Q72)/(P73-P72)-1</f>
        <v>0</v>
      </c>
      <c r="V73" s="107">
        <f>+(R73-R72)/(Q73-Q72)-1</f>
        <v>0</v>
      </c>
      <c r="W73" s="107">
        <f>+(S73-S72)/(R73-R72)-1</f>
        <v>0</v>
      </c>
    </row>
    <row r="74" spans="1:26" ht="18" customHeight="1" x14ac:dyDescent="0.25">
      <c r="A74" s="482"/>
      <c r="B74" s="11" t="s">
        <v>91</v>
      </c>
      <c r="C74" s="11" t="s">
        <v>31</v>
      </c>
      <c r="D74" s="11" t="s">
        <v>3</v>
      </c>
      <c r="E74" s="11" t="s">
        <v>49</v>
      </c>
      <c r="F74" s="11" t="s">
        <v>92</v>
      </c>
      <c r="G74" s="27" t="s">
        <v>4</v>
      </c>
      <c r="H74" s="38">
        <f t="shared" si="16"/>
        <v>0</v>
      </c>
      <c r="I74" s="36"/>
      <c r="J74" s="36"/>
      <c r="K74" s="36"/>
      <c r="L74" s="37"/>
      <c r="M74" s="112">
        <v>13.800892399731699</v>
      </c>
      <c r="N74" s="127">
        <v>0</v>
      </c>
      <c r="O74" s="125">
        <f t="shared" si="17"/>
        <v>13.800892399731699</v>
      </c>
      <c r="P74" s="123">
        <f t="shared" si="12"/>
        <v>14</v>
      </c>
      <c r="Q74" s="12">
        <f t="shared" si="13"/>
        <v>14</v>
      </c>
      <c r="R74" s="12">
        <f t="shared" si="14"/>
        <v>14</v>
      </c>
      <c r="S74" s="23">
        <f t="shared" si="15"/>
        <v>14</v>
      </c>
      <c r="T74" s="107">
        <v>0</v>
      </c>
      <c r="U74" s="107">
        <v>0</v>
      </c>
      <c r="V74" s="107">
        <v>0</v>
      </c>
      <c r="W74" s="107">
        <v>0</v>
      </c>
    </row>
    <row r="75" spans="1:26" ht="18" customHeight="1" x14ac:dyDescent="0.25">
      <c r="A75" s="482"/>
      <c r="B75" s="11" t="s">
        <v>91</v>
      </c>
      <c r="C75" s="11" t="s">
        <v>31</v>
      </c>
      <c r="D75" s="11" t="s">
        <v>5</v>
      </c>
      <c r="E75" s="11" t="s">
        <v>49</v>
      </c>
      <c r="F75" s="11" t="s">
        <v>92</v>
      </c>
      <c r="G75" s="27" t="s">
        <v>6</v>
      </c>
      <c r="H75" s="38">
        <f t="shared" si="16"/>
        <v>0</v>
      </c>
      <c r="I75" s="36"/>
      <c r="J75" s="36"/>
      <c r="K75" s="36"/>
      <c r="L75" s="37"/>
      <c r="M75" s="112">
        <v>22.148935999631899</v>
      </c>
      <c r="N75" s="127">
        <v>0</v>
      </c>
      <c r="O75" s="125">
        <f t="shared" si="17"/>
        <v>22.148935999631899</v>
      </c>
      <c r="P75" s="123">
        <f t="shared" si="12"/>
        <v>22</v>
      </c>
      <c r="Q75" s="12">
        <f t="shared" si="13"/>
        <v>22</v>
      </c>
      <c r="R75" s="12">
        <f t="shared" si="14"/>
        <v>22</v>
      </c>
      <c r="S75" s="23">
        <f t="shared" si="15"/>
        <v>22</v>
      </c>
      <c r="T75" s="107">
        <f>+(P75-P74)/(O75-O74)-1</f>
        <v>-4.1691636577504299E-2</v>
      </c>
      <c r="U75" s="107">
        <f>+(Q75-Q74)/(P75-P74)-1</f>
        <v>0</v>
      </c>
      <c r="V75" s="107">
        <f>+(R75-R74)/(Q75-Q74)-1</f>
        <v>0</v>
      </c>
      <c r="W75" s="107">
        <f>+(S75-S74)/(R75-R74)-1</f>
        <v>0</v>
      </c>
    </row>
    <row r="76" spans="1:26" ht="18" customHeight="1" x14ac:dyDescent="0.25">
      <c r="A76" s="482"/>
      <c r="B76" s="11" t="s">
        <v>93</v>
      </c>
      <c r="C76" s="11" t="s">
        <v>31</v>
      </c>
      <c r="D76" s="11" t="s">
        <v>3</v>
      </c>
      <c r="E76" s="11" t="s">
        <v>49</v>
      </c>
      <c r="F76" s="11" t="s">
        <v>94</v>
      </c>
      <c r="G76" s="27" t="s">
        <v>4</v>
      </c>
      <c r="H76" s="38">
        <f t="shared" si="16"/>
        <v>0</v>
      </c>
      <c r="I76" s="36"/>
      <c r="J76" s="36"/>
      <c r="K76" s="36"/>
      <c r="L76" s="37"/>
      <c r="M76" s="112">
        <v>5.01208879992235</v>
      </c>
      <c r="N76" s="127">
        <v>0</v>
      </c>
      <c r="O76" s="125">
        <f t="shared" si="17"/>
        <v>5.01208879992235</v>
      </c>
      <c r="P76" s="123">
        <f t="shared" si="12"/>
        <v>5</v>
      </c>
      <c r="Q76" s="12">
        <f t="shared" si="13"/>
        <v>5</v>
      </c>
      <c r="R76" s="12">
        <f t="shared" si="14"/>
        <v>5</v>
      </c>
      <c r="S76" s="23">
        <f t="shared" si="15"/>
        <v>5</v>
      </c>
      <c r="T76" s="107">
        <v>0</v>
      </c>
      <c r="U76" s="107">
        <v>0</v>
      </c>
      <c r="V76" s="107">
        <v>0</v>
      </c>
      <c r="W76" s="107">
        <v>0</v>
      </c>
    </row>
    <row r="77" spans="1:26" ht="18" customHeight="1" x14ac:dyDescent="0.25">
      <c r="A77" s="482"/>
      <c r="B77" s="11" t="s">
        <v>93</v>
      </c>
      <c r="C77" s="11" t="s">
        <v>31</v>
      </c>
      <c r="D77" s="11" t="s">
        <v>5</v>
      </c>
      <c r="E77" s="11" t="s">
        <v>49</v>
      </c>
      <c r="F77" s="11" t="s">
        <v>94</v>
      </c>
      <c r="G77" s="27" t="s">
        <v>6</v>
      </c>
      <c r="H77" s="38">
        <f t="shared" si="16"/>
        <v>0</v>
      </c>
      <c r="I77" s="36"/>
      <c r="J77" s="36"/>
      <c r="K77" s="36"/>
      <c r="L77" s="37"/>
      <c r="M77" s="112">
        <v>7.4252879999047998</v>
      </c>
      <c r="N77" s="127">
        <v>0</v>
      </c>
      <c r="O77" s="125">
        <f t="shared" si="17"/>
        <v>7.4252879999047998</v>
      </c>
      <c r="P77" s="123">
        <f t="shared" si="12"/>
        <v>7</v>
      </c>
      <c r="Q77" s="12">
        <f t="shared" si="13"/>
        <v>7</v>
      </c>
      <c r="R77" s="12">
        <f t="shared" si="14"/>
        <v>7</v>
      </c>
      <c r="S77" s="23">
        <f t="shared" si="15"/>
        <v>7</v>
      </c>
      <c r="T77" s="107">
        <f>+(P77-P76)/(O77-O76)-1</f>
        <v>-0.17122465480075366</v>
      </c>
      <c r="U77" s="107">
        <f>+(Q77-Q76)/(P77-P76)-1</f>
        <v>0</v>
      </c>
      <c r="V77" s="107">
        <f>+(R77-R76)/(Q77-Q76)-1</f>
        <v>0</v>
      </c>
      <c r="W77" s="107">
        <f>+(S77-S76)/(R77-R76)-1</f>
        <v>0</v>
      </c>
    </row>
    <row r="78" spans="1:26" ht="18" customHeight="1" x14ac:dyDescent="0.25">
      <c r="A78" s="482"/>
      <c r="B78" s="11" t="s">
        <v>95</v>
      </c>
      <c r="C78" s="11" t="s">
        <v>31</v>
      </c>
      <c r="D78" s="11" t="s">
        <v>3</v>
      </c>
      <c r="E78" s="11" t="s">
        <v>49</v>
      </c>
      <c r="F78" s="11" t="s">
        <v>96</v>
      </c>
      <c r="G78" s="27" t="s">
        <v>4</v>
      </c>
      <c r="H78" s="38">
        <f t="shared" si="16"/>
        <v>0</v>
      </c>
      <c r="I78" s="36"/>
      <c r="J78" s="36"/>
      <c r="K78" s="36"/>
      <c r="L78" s="37"/>
      <c r="M78" s="112">
        <v>4.69442119992235</v>
      </c>
      <c r="N78" s="127">
        <v>0</v>
      </c>
      <c r="O78" s="125">
        <f t="shared" si="17"/>
        <v>4.69442119992235</v>
      </c>
      <c r="P78" s="123">
        <f t="shared" si="12"/>
        <v>5</v>
      </c>
      <c r="Q78" s="12">
        <f t="shared" si="13"/>
        <v>5</v>
      </c>
      <c r="R78" s="12">
        <f t="shared" si="14"/>
        <v>5</v>
      </c>
      <c r="S78" s="23">
        <f t="shared" si="15"/>
        <v>5</v>
      </c>
      <c r="T78" s="107">
        <v>0</v>
      </c>
      <c r="U78" s="107">
        <v>0</v>
      </c>
      <c r="V78" s="107">
        <v>0</v>
      </c>
      <c r="W78" s="107">
        <v>0</v>
      </c>
    </row>
    <row r="79" spans="1:26" ht="18" customHeight="1" thickBot="1" x14ac:dyDescent="0.3">
      <c r="A79" s="483"/>
      <c r="B79" s="17" t="s">
        <v>95</v>
      </c>
      <c r="C79" s="17" t="s">
        <v>31</v>
      </c>
      <c r="D79" s="17" t="s">
        <v>5</v>
      </c>
      <c r="E79" s="17" t="s">
        <v>49</v>
      </c>
      <c r="F79" s="17" t="s">
        <v>96</v>
      </c>
      <c r="G79" s="28" t="s">
        <v>6</v>
      </c>
      <c r="H79" s="41">
        <f t="shared" si="16"/>
        <v>0</v>
      </c>
      <c r="I79" s="437"/>
      <c r="J79" s="437"/>
      <c r="K79" s="437"/>
      <c r="L79" s="438"/>
      <c r="M79" s="439">
        <v>12.280283999819099</v>
      </c>
      <c r="N79" s="440">
        <v>0</v>
      </c>
      <c r="O79" s="126">
        <f t="shared" si="17"/>
        <v>12.280283999819099</v>
      </c>
      <c r="P79" s="123">
        <f t="shared" si="12"/>
        <v>12</v>
      </c>
      <c r="Q79" s="12">
        <f t="shared" si="13"/>
        <v>12</v>
      </c>
      <c r="R79" s="12">
        <f t="shared" si="14"/>
        <v>12</v>
      </c>
      <c r="S79" s="23">
        <f t="shared" si="15"/>
        <v>12</v>
      </c>
      <c r="T79" s="107">
        <f>+(P79-P78)/(O79-O78)-1</f>
        <v>-7.7230872130290007E-2</v>
      </c>
      <c r="U79" s="107">
        <f>+(Q79-Q78)/(P79-P78)-1</f>
        <v>0</v>
      </c>
      <c r="V79" s="107">
        <f>+(R79-R78)/(Q79-Q78)-1</f>
        <v>0</v>
      </c>
      <c r="W79" s="107">
        <f>+(S79-S78)/(R79-R78)-1</f>
        <v>0</v>
      </c>
    </row>
    <row r="80" spans="1:26" ht="18" customHeight="1" thickTop="1" x14ac:dyDescent="0.25">
      <c r="A80" s="484" t="s">
        <v>310</v>
      </c>
      <c r="B80" s="429" t="s">
        <v>1</v>
      </c>
      <c r="C80" s="429" t="s">
        <v>1</v>
      </c>
      <c r="D80" s="429" t="s">
        <v>3</v>
      </c>
      <c r="E80" s="429" t="s">
        <v>2</v>
      </c>
      <c r="F80" s="429" t="s">
        <v>2</v>
      </c>
      <c r="G80" s="430" t="s">
        <v>4</v>
      </c>
      <c r="H80" s="431">
        <f t="shared" si="16"/>
        <v>5.0578073164152304E-2</v>
      </c>
      <c r="I80" s="441">
        <f>+I4</f>
        <v>0</v>
      </c>
      <c r="J80" s="441">
        <f>+J4</f>
        <v>0</v>
      </c>
      <c r="K80" s="441">
        <f>+K4</f>
        <v>0</v>
      </c>
      <c r="L80" s="442">
        <f>+L4</f>
        <v>0</v>
      </c>
      <c r="M80" s="434">
        <v>3657.7115027608502</v>
      </c>
      <c r="N80" s="435">
        <v>185</v>
      </c>
      <c r="O80" s="436">
        <f t="shared" si="17"/>
        <v>3842.7115027608502</v>
      </c>
      <c r="P80" s="123">
        <f t="shared" si="12"/>
        <v>3843</v>
      </c>
      <c r="Q80" s="12">
        <f t="shared" si="13"/>
        <v>3843</v>
      </c>
      <c r="R80" s="12">
        <f t="shared" si="14"/>
        <v>3843</v>
      </c>
      <c r="S80" s="23">
        <f t="shared" si="15"/>
        <v>3843</v>
      </c>
      <c r="T80" s="107">
        <v>0</v>
      </c>
      <c r="U80" s="107">
        <v>0</v>
      </c>
      <c r="V80" s="107">
        <v>0</v>
      </c>
      <c r="W80" s="107">
        <v>0</v>
      </c>
      <c r="X80"/>
      <c r="Y80"/>
      <c r="Z80"/>
    </row>
    <row r="81" spans="1:26" ht="18" customHeight="1" x14ac:dyDescent="0.25">
      <c r="A81" s="485"/>
      <c r="B81" s="11" t="s">
        <v>1</v>
      </c>
      <c r="C81" s="11" t="s">
        <v>1</v>
      </c>
      <c r="D81" s="11" t="s">
        <v>5</v>
      </c>
      <c r="E81" s="11" t="s">
        <v>2</v>
      </c>
      <c r="F81" s="11" t="s">
        <v>2</v>
      </c>
      <c r="G81" s="27" t="s">
        <v>6</v>
      </c>
      <c r="H81" s="38">
        <f t="shared" si="16"/>
        <v>5.0106643046978538E-2</v>
      </c>
      <c r="I81" s="39">
        <f t="shared" ref="I81:L91" si="18">+I5</f>
        <v>0</v>
      </c>
      <c r="J81" s="39">
        <f t="shared" si="18"/>
        <v>0</v>
      </c>
      <c r="K81" s="39">
        <f t="shared" si="18"/>
        <v>0</v>
      </c>
      <c r="L81" s="40">
        <f t="shared" si="18"/>
        <v>0</v>
      </c>
      <c r="M81" s="112">
        <v>439.06353852868199</v>
      </c>
      <c r="N81" s="127">
        <v>22</v>
      </c>
      <c r="O81" s="125">
        <f t="shared" si="17"/>
        <v>461.06353852868199</v>
      </c>
      <c r="P81" s="123">
        <f t="shared" si="12"/>
        <v>461</v>
      </c>
      <c r="Q81" s="12">
        <f t="shared" si="13"/>
        <v>461</v>
      </c>
      <c r="R81" s="12">
        <f t="shared" si="14"/>
        <v>461</v>
      </c>
      <c r="S81" s="23">
        <f t="shared" si="15"/>
        <v>461</v>
      </c>
      <c r="T81" s="107">
        <f>+(P81-P80)/(O81-O80)-1</f>
        <v>1.0410183778897242E-4</v>
      </c>
      <c r="U81" s="107">
        <f>+(Q81-Q80)/(P81-P80)-1</f>
        <v>0</v>
      </c>
      <c r="V81" s="107">
        <f>+(R81-R80)/(Q81-Q80)-1</f>
        <v>0</v>
      </c>
      <c r="W81" s="107">
        <f>+(S81-S80)/(R81-R80)-1</f>
        <v>0</v>
      </c>
      <c r="X81"/>
      <c r="Y81"/>
      <c r="Z81"/>
    </row>
    <row r="82" spans="1:26" ht="18" customHeight="1" x14ac:dyDescent="0.25">
      <c r="A82" s="485"/>
      <c r="B82" s="11" t="s">
        <v>8</v>
      </c>
      <c r="C82" s="11" t="s">
        <v>1</v>
      </c>
      <c r="D82" s="11" t="s">
        <v>3</v>
      </c>
      <c r="E82" s="11" t="s">
        <v>2</v>
      </c>
      <c r="F82" s="11" t="s">
        <v>51</v>
      </c>
      <c r="G82" s="27" t="s">
        <v>4</v>
      </c>
      <c r="H82" s="38">
        <f t="shared" si="16"/>
        <v>0</v>
      </c>
      <c r="I82" s="39">
        <f t="shared" si="18"/>
        <v>0</v>
      </c>
      <c r="J82" s="39">
        <f t="shared" si="18"/>
        <v>0</v>
      </c>
      <c r="K82" s="39">
        <f t="shared" si="18"/>
        <v>0</v>
      </c>
      <c r="L82" s="40">
        <f t="shared" si="18"/>
        <v>0</v>
      </c>
      <c r="M82" s="112">
        <v>151.23532319826299</v>
      </c>
      <c r="N82" s="127">
        <v>0</v>
      </c>
      <c r="O82" s="125">
        <f t="shared" si="17"/>
        <v>151.23532319826299</v>
      </c>
      <c r="P82" s="123">
        <f t="shared" si="12"/>
        <v>151</v>
      </c>
      <c r="Q82" s="12">
        <f t="shared" si="13"/>
        <v>151</v>
      </c>
      <c r="R82" s="12">
        <f t="shared" si="14"/>
        <v>151</v>
      </c>
      <c r="S82" s="23">
        <f t="shared" si="15"/>
        <v>151</v>
      </c>
      <c r="T82" s="107">
        <v>0</v>
      </c>
      <c r="U82" s="107">
        <v>0</v>
      </c>
      <c r="V82" s="107">
        <v>0</v>
      </c>
      <c r="W82" s="107">
        <v>0</v>
      </c>
      <c r="X82"/>
      <c r="Y82"/>
      <c r="Z82"/>
    </row>
    <row r="83" spans="1:26" ht="18" customHeight="1" x14ac:dyDescent="0.25">
      <c r="A83" s="485"/>
      <c r="B83" s="11" t="s">
        <v>8</v>
      </c>
      <c r="C83" s="11" t="s">
        <v>1</v>
      </c>
      <c r="D83" s="11" t="s">
        <v>5</v>
      </c>
      <c r="E83" s="11" t="s">
        <v>2</v>
      </c>
      <c r="F83" s="11" t="s">
        <v>51</v>
      </c>
      <c r="G83" s="27" t="s">
        <v>6</v>
      </c>
      <c r="H83" s="38">
        <f t="shared" si="16"/>
        <v>0</v>
      </c>
      <c r="I83" s="39">
        <f t="shared" si="18"/>
        <v>0</v>
      </c>
      <c r="J83" s="39">
        <f t="shared" si="18"/>
        <v>0</v>
      </c>
      <c r="K83" s="39">
        <f t="shared" si="18"/>
        <v>0</v>
      </c>
      <c r="L83" s="40">
        <f t="shared" si="18"/>
        <v>0</v>
      </c>
      <c r="M83" s="112">
        <v>7.1427577332367402</v>
      </c>
      <c r="N83" s="127">
        <v>0</v>
      </c>
      <c r="O83" s="125">
        <f t="shared" si="17"/>
        <v>7.1427577332367402</v>
      </c>
      <c r="P83" s="123">
        <f t="shared" si="12"/>
        <v>7</v>
      </c>
      <c r="Q83" s="12">
        <f t="shared" si="13"/>
        <v>7</v>
      </c>
      <c r="R83" s="12">
        <f t="shared" si="14"/>
        <v>7</v>
      </c>
      <c r="S83" s="23">
        <f t="shared" si="15"/>
        <v>7</v>
      </c>
      <c r="T83" s="107">
        <f>+(P83-P82)/(O83-O82)-1</f>
        <v>-6.4240278273552942E-4</v>
      </c>
      <c r="U83" s="107">
        <f>+(Q83-Q82)/(P83-P82)-1</f>
        <v>0</v>
      </c>
      <c r="V83" s="107">
        <f>+(R83-R82)/(Q83-Q82)-1</f>
        <v>0</v>
      </c>
      <c r="W83" s="107">
        <f>+(S83-S82)/(R83-R82)-1</f>
        <v>0</v>
      </c>
      <c r="X83"/>
      <c r="Y83"/>
      <c r="Z83"/>
    </row>
    <row r="84" spans="1:26" ht="18" customHeight="1" x14ac:dyDescent="0.25">
      <c r="A84" s="485"/>
      <c r="B84" s="11" t="s">
        <v>13</v>
      </c>
      <c r="C84" s="11" t="s">
        <v>8</v>
      </c>
      <c r="D84" s="11" t="s">
        <v>3</v>
      </c>
      <c r="E84" s="11" t="s">
        <v>9</v>
      </c>
      <c r="F84" s="11" t="s">
        <v>9</v>
      </c>
      <c r="G84" s="27" t="s">
        <v>4</v>
      </c>
      <c r="H84" s="38">
        <f t="shared" si="16"/>
        <v>0</v>
      </c>
      <c r="I84" s="39">
        <f t="shared" si="18"/>
        <v>0</v>
      </c>
      <c r="J84" s="39">
        <f t="shared" si="18"/>
        <v>0</v>
      </c>
      <c r="K84" s="39">
        <f t="shared" si="18"/>
        <v>0</v>
      </c>
      <c r="L84" s="40">
        <f t="shared" si="18"/>
        <v>0</v>
      </c>
      <c r="M84" s="112">
        <v>20.229609700056798</v>
      </c>
      <c r="N84" s="127">
        <v>0</v>
      </c>
      <c r="O84" s="125">
        <f t="shared" si="17"/>
        <v>20.229609700056798</v>
      </c>
      <c r="P84" s="123">
        <f t="shared" si="12"/>
        <v>20</v>
      </c>
      <c r="Q84" s="12">
        <f t="shared" si="13"/>
        <v>20</v>
      </c>
      <c r="R84" s="12">
        <f t="shared" si="14"/>
        <v>20</v>
      </c>
      <c r="S84" s="23">
        <f t="shared" si="15"/>
        <v>20</v>
      </c>
      <c r="T84" s="107">
        <v>0</v>
      </c>
      <c r="U84" s="107">
        <v>0</v>
      </c>
      <c r="V84" s="107">
        <v>0</v>
      </c>
      <c r="W84" s="107">
        <v>0</v>
      </c>
      <c r="X84"/>
      <c r="Y84"/>
      <c r="Z84"/>
    </row>
    <row r="85" spans="1:26" ht="18" customHeight="1" x14ac:dyDescent="0.25">
      <c r="A85" s="485"/>
      <c r="B85" s="11" t="s">
        <v>13</v>
      </c>
      <c r="C85" s="11" t="s">
        <v>8</v>
      </c>
      <c r="D85" s="11" t="s">
        <v>5</v>
      </c>
      <c r="E85" s="11" t="s">
        <v>9</v>
      </c>
      <c r="F85" s="11" t="s">
        <v>9</v>
      </c>
      <c r="G85" s="27" t="s">
        <v>6</v>
      </c>
      <c r="H85" s="38">
        <f t="shared" si="16"/>
        <v>0</v>
      </c>
      <c r="I85" s="39">
        <f t="shared" si="18"/>
        <v>0</v>
      </c>
      <c r="J85" s="39">
        <f t="shared" si="18"/>
        <v>0</v>
      </c>
      <c r="K85" s="39">
        <f t="shared" si="18"/>
        <v>0</v>
      </c>
      <c r="L85" s="40">
        <f t="shared" si="18"/>
        <v>0</v>
      </c>
      <c r="M85" s="112">
        <v>7.8230947889323001</v>
      </c>
      <c r="N85" s="127">
        <v>0</v>
      </c>
      <c r="O85" s="125">
        <f t="shared" si="17"/>
        <v>7.8230947889323001</v>
      </c>
      <c r="P85" s="123">
        <f t="shared" si="12"/>
        <v>8</v>
      </c>
      <c r="Q85" s="12">
        <f t="shared" si="13"/>
        <v>8</v>
      </c>
      <c r="R85" s="12">
        <f t="shared" si="14"/>
        <v>8</v>
      </c>
      <c r="S85" s="23">
        <f t="shared" si="15"/>
        <v>8</v>
      </c>
      <c r="T85" s="107">
        <f>+(P85-P84)/(O85-O84)-1</f>
        <v>-3.2766245318416543E-2</v>
      </c>
      <c r="U85" s="107">
        <f>+(Q85-Q84)/(P85-P84)-1</f>
        <v>0</v>
      </c>
      <c r="V85" s="107">
        <f>+(R85-R84)/(Q85-Q84)-1</f>
        <v>0</v>
      </c>
      <c r="W85" s="107">
        <f>+(S85-S84)/(R85-R84)-1</f>
        <v>0</v>
      </c>
      <c r="X85"/>
      <c r="Y85"/>
      <c r="Z85"/>
    </row>
    <row r="86" spans="1:26" ht="18" customHeight="1" x14ac:dyDescent="0.25">
      <c r="A86" s="485"/>
      <c r="B86" s="11" t="s">
        <v>10</v>
      </c>
      <c r="C86" s="11" t="s">
        <v>7</v>
      </c>
      <c r="D86" s="11" t="s">
        <v>3</v>
      </c>
      <c r="E86" s="11" t="s">
        <v>11</v>
      </c>
      <c r="F86" s="11" t="s">
        <v>11</v>
      </c>
      <c r="G86" s="27" t="s">
        <v>4</v>
      </c>
      <c r="H86" s="38">
        <f t="shared" si="16"/>
        <v>0</v>
      </c>
      <c r="I86" s="39">
        <f t="shared" si="18"/>
        <v>0</v>
      </c>
      <c r="J86" s="39">
        <f t="shared" si="18"/>
        <v>0</v>
      </c>
      <c r="K86" s="39">
        <f t="shared" si="18"/>
        <v>0</v>
      </c>
      <c r="L86" s="40">
        <f t="shared" si="18"/>
        <v>0</v>
      </c>
      <c r="M86" s="112">
        <v>127.88312023488</v>
      </c>
      <c r="N86" s="127">
        <v>0</v>
      </c>
      <c r="O86" s="125">
        <f t="shared" si="17"/>
        <v>127.88312023488</v>
      </c>
      <c r="P86" s="123">
        <f t="shared" si="12"/>
        <v>128</v>
      </c>
      <c r="Q86" s="12">
        <f t="shared" si="13"/>
        <v>128</v>
      </c>
      <c r="R86" s="12">
        <f t="shared" si="14"/>
        <v>128</v>
      </c>
      <c r="S86" s="23">
        <f t="shared" si="15"/>
        <v>128</v>
      </c>
      <c r="T86" s="107">
        <v>0</v>
      </c>
      <c r="U86" s="107">
        <v>0</v>
      </c>
      <c r="V86" s="107">
        <v>0</v>
      </c>
      <c r="W86" s="107">
        <v>0</v>
      </c>
      <c r="X86"/>
      <c r="Y86"/>
      <c r="Z86"/>
    </row>
    <row r="87" spans="1:26" ht="18" customHeight="1" x14ac:dyDescent="0.25">
      <c r="A87" s="485"/>
      <c r="B87" s="11" t="s">
        <v>10</v>
      </c>
      <c r="C87" s="11" t="s">
        <v>7</v>
      </c>
      <c r="D87" s="11" t="s">
        <v>5</v>
      </c>
      <c r="E87" s="11" t="s">
        <v>11</v>
      </c>
      <c r="F87" s="11" t="s">
        <v>11</v>
      </c>
      <c r="G87" s="27" t="s">
        <v>6</v>
      </c>
      <c r="H87" s="38">
        <f t="shared" si="16"/>
        <v>0</v>
      </c>
      <c r="I87" s="39">
        <f t="shared" si="18"/>
        <v>0</v>
      </c>
      <c r="J87" s="39">
        <f t="shared" si="18"/>
        <v>0</v>
      </c>
      <c r="K87" s="39">
        <f t="shared" si="18"/>
        <v>0</v>
      </c>
      <c r="L87" s="40">
        <f t="shared" si="18"/>
        <v>0</v>
      </c>
      <c r="M87" s="112">
        <v>9.8207870223449802</v>
      </c>
      <c r="N87" s="127">
        <v>0</v>
      </c>
      <c r="O87" s="125">
        <f t="shared" si="17"/>
        <v>9.8207870223449802</v>
      </c>
      <c r="P87" s="123">
        <f t="shared" si="12"/>
        <v>10</v>
      </c>
      <c r="Q87" s="12">
        <f t="shared" si="13"/>
        <v>10</v>
      </c>
      <c r="R87" s="12">
        <f t="shared" si="14"/>
        <v>10</v>
      </c>
      <c r="S87" s="23">
        <f t="shared" si="15"/>
        <v>10</v>
      </c>
      <c r="T87" s="107">
        <f>+(P87-P86)/(O87-O86)-1</f>
        <v>-5.2796866569460033E-4</v>
      </c>
      <c r="U87" s="107">
        <f>+(Q87-Q86)/(P87-P86)-1</f>
        <v>0</v>
      </c>
      <c r="V87" s="107">
        <f>+(R87-R86)/(Q87-Q86)-1</f>
        <v>0</v>
      </c>
      <c r="W87" s="107">
        <f>+(S87-S86)/(R87-R86)-1</f>
        <v>0</v>
      </c>
      <c r="X87"/>
      <c r="Y87"/>
      <c r="Z87"/>
    </row>
    <row r="88" spans="1:26" ht="18" customHeight="1" x14ac:dyDescent="0.25">
      <c r="A88" s="485"/>
      <c r="B88" s="11" t="s">
        <v>7</v>
      </c>
      <c r="C88" s="11" t="s">
        <v>13</v>
      </c>
      <c r="D88" s="11" t="s">
        <v>3</v>
      </c>
      <c r="E88" s="11" t="s">
        <v>14</v>
      </c>
      <c r="F88" s="11" t="s">
        <v>52</v>
      </c>
      <c r="G88" s="27" t="s">
        <v>4</v>
      </c>
      <c r="H88" s="38">
        <f t="shared" si="16"/>
        <v>0</v>
      </c>
      <c r="I88" s="39">
        <f t="shared" si="18"/>
        <v>0</v>
      </c>
      <c r="J88" s="39">
        <f t="shared" si="18"/>
        <v>0</v>
      </c>
      <c r="K88" s="39">
        <f t="shared" si="18"/>
        <v>0</v>
      </c>
      <c r="L88" s="40">
        <f t="shared" si="18"/>
        <v>0</v>
      </c>
      <c r="M88" s="112">
        <v>0.1795659555578</v>
      </c>
      <c r="N88" s="127">
        <v>0</v>
      </c>
      <c r="O88" s="125">
        <f t="shared" si="17"/>
        <v>0.1795659555578</v>
      </c>
      <c r="P88" s="123">
        <f t="shared" si="12"/>
        <v>0</v>
      </c>
      <c r="Q88" s="12">
        <f t="shared" si="13"/>
        <v>0</v>
      </c>
      <c r="R88" s="12">
        <f t="shared" si="14"/>
        <v>0</v>
      </c>
      <c r="S88" s="23">
        <f t="shared" si="15"/>
        <v>0</v>
      </c>
      <c r="T88" s="107">
        <v>0</v>
      </c>
      <c r="U88" s="107">
        <v>0</v>
      </c>
      <c r="V88" s="107">
        <v>0</v>
      </c>
      <c r="W88" s="107">
        <v>0</v>
      </c>
      <c r="X88"/>
      <c r="Y88"/>
      <c r="Z88"/>
    </row>
    <row r="89" spans="1:26" ht="18" customHeight="1" x14ac:dyDescent="0.25">
      <c r="A89" s="485"/>
      <c r="B89" s="11" t="s">
        <v>7</v>
      </c>
      <c r="C89" s="11" t="s">
        <v>13</v>
      </c>
      <c r="D89" s="11" t="s">
        <v>5</v>
      </c>
      <c r="E89" s="11" t="s">
        <v>14</v>
      </c>
      <c r="F89" s="11" t="s">
        <v>52</v>
      </c>
      <c r="G89" s="27" t="s">
        <v>6</v>
      </c>
      <c r="H89" s="38">
        <f t="shared" si="16"/>
        <v>0</v>
      </c>
      <c r="I89" s="39">
        <f t="shared" si="18"/>
        <v>0</v>
      </c>
      <c r="J89" s="39">
        <f t="shared" si="18"/>
        <v>0</v>
      </c>
      <c r="K89" s="39">
        <f t="shared" si="18"/>
        <v>0</v>
      </c>
      <c r="L89" s="40">
        <f t="shared" si="18"/>
        <v>0</v>
      </c>
      <c r="M89" s="112">
        <v>0.65555555556</v>
      </c>
      <c r="N89" s="127">
        <v>0</v>
      </c>
      <c r="O89" s="125">
        <f t="shared" si="17"/>
        <v>0.65555555556</v>
      </c>
      <c r="P89" s="123">
        <f t="shared" si="12"/>
        <v>1</v>
      </c>
      <c r="Q89" s="12">
        <f t="shared" si="13"/>
        <v>1</v>
      </c>
      <c r="R89" s="12">
        <f t="shared" si="14"/>
        <v>1</v>
      </c>
      <c r="S89" s="23">
        <f t="shared" si="15"/>
        <v>1</v>
      </c>
      <c r="T89" s="107">
        <f>+(P89-P88)/(O89-O88)-1</f>
        <v>1.1008862378408644</v>
      </c>
      <c r="U89" s="107">
        <f>+(Q89-Q88)/(P89-P88)-1</f>
        <v>0</v>
      </c>
      <c r="V89" s="107">
        <f>+(R89-R88)/(Q89-Q88)-1</f>
        <v>0</v>
      </c>
      <c r="W89" s="107">
        <f>+(S89-S88)/(R89-R88)-1</f>
        <v>0</v>
      </c>
      <c r="X89"/>
      <c r="Y89"/>
      <c r="Z89"/>
    </row>
    <row r="90" spans="1:26" ht="18" customHeight="1" x14ac:dyDescent="0.25">
      <c r="A90" s="485"/>
      <c r="B90" s="11" t="s">
        <v>16</v>
      </c>
      <c r="C90" s="11" t="s">
        <v>13</v>
      </c>
      <c r="D90" s="11" t="s">
        <v>3</v>
      </c>
      <c r="E90" s="11" t="s">
        <v>14</v>
      </c>
      <c r="F90" s="11" t="s">
        <v>14</v>
      </c>
      <c r="G90" s="27" t="s">
        <v>4</v>
      </c>
      <c r="H90" s="38">
        <f t="shared" si="16"/>
        <v>0</v>
      </c>
      <c r="I90" s="39">
        <f t="shared" si="18"/>
        <v>0</v>
      </c>
      <c r="J90" s="39">
        <f t="shared" si="18"/>
        <v>0</v>
      </c>
      <c r="K90" s="39">
        <f t="shared" si="18"/>
        <v>0</v>
      </c>
      <c r="L90" s="40">
        <f t="shared" si="18"/>
        <v>0</v>
      </c>
      <c r="M90" s="112"/>
      <c r="N90" s="127">
        <v>0</v>
      </c>
      <c r="O90" s="125">
        <f t="shared" si="17"/>
        <v>0</v>
      </c>
      <c r="P90" s="123">
        <f t="shared" si="12"/>
        <v>0</v>
      </c>
      <c r="Q90" s="12">
        <f t="shared" si="13"/>
        <v>0</v>
      </c>
      <c r="R90" s="12">
        <f t="shared" si="14"/>
        <v>0</v>
      </c>
      <c r="S90" s="23">
        <f t="shared" si="15"/>
        <v>0</v>
      </c>
      <c r="T90" s="107">
        <v>0</v>
      </c>
      <c r="U90" s="107">
        <v>0</v>
      </c>
      <c r="V90" s="107">
        <v>0</v>
      </c>
      <c r="W90" s="107">
        <v>0</v>
      </c>
      <c r="X90"/>
      <c r="Y90"/>
      <c r="Z90"/>
    </row>
    <row r="91" spans="1:26" ht="18" customHeight="1" x14ac:dyDescent="0.25">
      <c r="A91" s="485"/>
      <c r="B91" s="11" t="s">
        <v>16</v>
      </c>
      <c r="C91" s="11" t="s">
        <v>13</v>
      </c>
      <c r="D91" s="11" t="s">
        <v>5</v>
      </c>
      <c r="E91" s="11" t="s">
        <v>14</v>
      </c>
      <c r="F91" s="11" t="s">
        <v>14</v>
      </c>
      <c r="G91" s="27" t="s">
        <v>6</v>
      </c>
      <c r="H91" s="38">
        <f t="shared" si="16"/>
        <v>0</v>
      </c>
      <c r="I91" s="39">
        <f t="shared" si="18"/>
        <v>0</v>
      </c>
      <c r="J91" s="39">
        <f t="shared" si="18"/>
        <v>0</v>
      </c>
      <c r="K91" s="39">
        <f t="shared" si="18"/>
        <v>0</v>
      </c>
      <c r="L91" s="40">
        <f t="shared" si="18"/>
        <v>0</v>
      </c>
      <c r="M91" s="112"/>
      <c r="N91" s="127">
        <v>0</v>
      </c>
      <c r="O91" s="125">
        <f t="shared" si="17"/>
        <v>0</v>
      </c>
      <c r="P91" s="123">
        <f t="shared" si="12"/>
        <v>0</v>
      </c>
      <c r="Q91" s="12">
        <f t="shared" si="13"/>
        <v>0</v>
      </c>
      <c r="R91" s="12">
        <f t="shared" si="14"/>
        <v>0</v>
      </c>
      <c r="S91" s="23">
        <f t="shared" si="15"/>
        <v>0</v>
      </c>
      <c r="T91" s="107" t="e">
        <f>+(P91-P90)/(O91-O90)-1</f>
        <v>#DIV/0!</v>
      </c>
      <c r="U91" s="107" t="e">
        <f>+(Q91-Q90)/(P91-P90)-1</f>
        <v>#DIV/0!</v>
      </c>
      <c r="V91" s="107" t="e">
        <f>+(R91-R90)/(Q91-Q90)-1</f>
        <v>#DIV/0!</v>
      </c>
      <c r="W91" s="107" t="e">
        <f>+(S91-S90)/(R91-R90)-1</f>
        <v>#DIV/0!</v>
      </c>
      <c r="X91"/>
      <c r="Y91"/>
      <c r="Z91"/>
    </row>
    <row r="92" spans="1:26" ht="18" customHeight="1" x14ac:dyDescent="0.25">
      <c r="A92" s="485"/>
      <c r="B92" s="11" t="s">
        <v>15</v>
      </c>
      <c r="C92" s="11" t="s">
        <v>16</v>
      </c>
      <c r="D92" s="11" t="s">
        <v>3</v>
      </c>
      <c r="E92" s="11" t="s">
        <v>36</v>
      </c>
      <c r="F92" s="11" t="s">
        <v>75</v>
      </c>
      <c r="G92" s="27" t="s">
        <v>4</v>
      </c>
      <c r="H92" s="38">
        <f t="shared" si="16"/>
        <v>0</v>
      </c>
      <c r="I92" s="36"/>
      <c r="J92" s="36"/>
      <c r="K92" s="36"/>
      <c r="L92" s="37"/>
      <c r="M92" s="112">
        <v>43.644629465534798</v>
      </c>
      <c r="N92" s="127">
        <v>0</v>
      </c>
      <c r="O92" s="125">
        <f t="shared" si="17"/>
        <v>43.644629465534798</v>
      </c>
      <c r="P92" s="123">
        <f t="shared" si="12"/>
        <v>44</v>
      </c>
      <c r="Q92" s="12">
        <f t="shared" si="13"/>
        <v>44</v>
      </c>
      <c r="R92" s="12">
        <f t="shared" si="14"/>
        <v>44</v>
      </c>
      <c r="S92" s="23">
        <f t="shared" si="15"/>
        <v>44</v>
      </c>
      <c r="T92" s="107">
        <v>0</v>
      </c>
      <c r="U92" s="107">
        <v>0</v>
      </c>
      <c r="V92" s="107">
        <v>0</v>
      </c>
      <c r="W92" s="107">
        <v>0</v>
      </c>
      <c r="X92"/>
      <c r="Y92"/>
      <c r="Z92"/>
    </row>
    <row r="93" spans="1:26" ht="18" customHeight="1" x14ac:dyDescent="0.25">
      <c r="A93" s="485"/>
      <c r="B93" s="11" t="s">
        <v>15</v>
      </c>
      <c r="C93" s="11" t="s">
        <v>16</v>
      </c>
      <c r="D93" s="11" t="s">
        <v>5</v>
      </c>
      <c r="E93" s="11" t="s">
        <v>36</v>
      </c>
      <c r="F93" s="11" t="s">
        <v>75</v>
      </c>
      <c r="G93" s="27" t="s">
        <v>6</v>
      </c>
      <c r="H93" s="38">
        <f t="shared" si="16"/>
        <v>0</v>
      </c>
      <c r="I93" s="36"/>
      <c r="J93" s="36"/>
      <c r="K93" s="36"/>
      <c r="L93" s="37"/>
      <c r="M93" s="112">
        <v>7.8462886664614597</v>
      </c>
      <c r="N93" s="127">
        <v>0</v>
      </c>
      <c r="O93" s="125">
        <f t="shared" si="17"/>
        <v>7.8462886664614597</v>
      </c>
      <c r="P93" s="123">
        <f t="shared" si="12"/>
        <v>8</v>
      </c>
      <c r="Q93" s="12">
        <f t="shared" si="13"/>
        <v>8</v>
      </c>
      <c r="R93" s="12">
        <f t="shared" si="14"/>
        <v>8</v>
      </c>
      <c r="S93" s="23">
        <f t="shared" si="15"/>
        <v>8</v>
      </c>
      <c r="T93" s="107">
        <f>+(P93-P92)/(O93-O92)-1</f>
        <v>5.6331996518643734E-3</v>
      </c>
      <c r="U93" s="107">
        <f>+(Q93-Q92)/(P93-P92)-1</f>
        <v>0</v>
      </c>
      <c r="V93" s="107">
        <f>+(R93-R92)/(Q93-Q92)-1</f>
        <v>0</v>
      </c>
      <c r="W93" s="107">
        <f>+(S93-S92)/(R93-R92)-1</f>
        <v>0</v>
      </c>
      <c r="X93"/>
      <c r="Y93"/>
      <c r="Z93"/>
    </row>
    <row r="94" spans="1:26" ht="18" customHeight="1" x14ac:dyDescent="0.25">
      <c r="A94" s="485"/>
      <c r="B94" s="11" t="s">
        <v>24</v>
      </c>
      <c r="C94" s="11" t="s">
        <v>16</v>
      </c>
      <c r="D94" s="11" t="s">
        <v>3</v>
      </c>
      <c r="E94" s="11" t="s">
        <v>36</v>
      </c>
      <c r="F94" s="11" t="s">
        <v>76</v>
      </c>
      <c r="G94" s="27" t="s">
        <v>4</v>
      </c>
      <c r="H94" s="38">
        <f t="shared" si="16"/>
        <v>0</v>
      </c>
      <c r="I94" s="36"/>
      <c r="J94" s="36"/>
      <c r="K94" s="36"/>
      <c r="L94" s="37"/>
      <c r="M94" s="112">
        <v>55.115721398529097</v>
      </c>
      <c r="N94" s="127">
        <v>0</v>
      </c>
      <c r="O94" s="125">
        <f t="shared" si="17"/>
        <v>55.115721398529097</v>
      </c>
      <c r="P94" s="123">
        <f t="shared" si="12"/>
        <v>55</v>
      </c>
      <c r="Q94" s="12">
        <f t="shared" si="13"/>
        <v>55</v>
      </c>
      <c r="R94" s="12">
        <f t="shared" si="14"/>
        <v>55</v>
      </c>
      <c r="S94" s="23">
        <f t="shared" si="15"/>
        <v>55</v>
      </c>
      <c r="T94" s="107">
        <v>0</v>
      </c>
      <c r="U94" s="107">
        <v>0</v>
      </c>
      <c r="V94" s="107">
        <v>0</v>
      </c>
      <c r="W94" s="107">
        <v>0</v>
      </c>
      <c r="X94"/>
      <c r="Y94"/>
      <c r="Z94"/>
    </row>
    <row r="95" spans="1:26" ht="18" customHeight="1" x14ac:dyDescent="0.25">
      <c r="A95" s="485"/>
      <c r="B95" s="11" t="s">
        <v>24</v>
      </c>
      <c r="C95" s="11" t="s">
        <v>16</v>
      </c>
      <c r="D95" s="11" t="s">
        <v>5</v>
      </c>
      <c r="E95" s="11" t="s">
        <v>36</v>
      </c>
      <c r="F95" s="11" t="s">
        <v>76</v>
      </c>
      <c r="G95" s="27" t="s">
        <v>6</v>
      </c>
      <c r="H95" s="38">
        <f t="shared" si="16"/>
        <v>0</v>
      </c>
      <c r="I95" s="36"/>
      <c r="J95" s="36"/>
      <c r="K95" s="36"/>
      <c r="L95" s="37"/>
      <c r="M95" s="112">
        <v>3.1988715332307298</v>
      </c>
      <c r="N95" s="127">
        <v>0</v>
      </c>
      <c r="O95" s="125">
        <f t="shared" si="17"/>
        <v>3.1988715332307298</v>
      </c>
      <c r="P95" s="123">
        <f t="shared" si="12"/>
        <v>3</v>
      </c>
      <c r="Q95" s="12">
        <f t="shared" si="13"/>
        <v>3</v>
      </c>
      <c r="R95" s="12">
        <f t="shared" si="14"/>
        <v>3</v>
      </c>
      <c r="S95" s="23">
        <f t="shared" si="15"/>
        <v>3</v>
      </c>
      <c r="T95" s="107">
        <f>+(P95-P94)/(O95-O94)-1</f>
        <v>1.601602079428277E-3</v>
      </c>
      <c r="U95" s="107">
        <f>+(Q95-Q94)/(P95-P94)-1</f>
        <v>0</v>
      </c>
      <c r="V95" s="107">
        <f>+(R95-R94)/(Q95-Q94)-1</f>
        <v>0</v>
      </c>
      <c r="W95" s="107">
        <f>+(S95-S94)/(R95-R94)-1</f>
        <v>0</v>
      </c>
      <c r="X95"/>
      <c r="Y95"/>
      <c r="Z95"/>
    </row>
    <row r="96" spans="1:26" ht="18" customHeight="1" x14ac:dyDescent="0.25">
      <c r="A96" s="485"/>
      <c r="B96" s="11" t="s">
        <v>18</v>
      </c>
      <c r="C96" s="11" t="s">
        <v>24</v>
      </c>
      <c r="D96" s="11" t="s">
        <v>3</v>
      </c>
      <c r="E96" s="11" t="s">
        <v>50</v>
      </c>
      <c r="F96" s="11" t="s">
        <v>97</v>
      </c>
      <c r="G96" s="27" t="s">
        <v>4</v>
      </c>
      <c r="H96" s="38">
        <f t="shared" si="16"/>
        <v>0</v>
      </c>
      <c r="I96" s="39">
        <f t="shared" ref="I96:L97" si="19">+I86</f>
        <v>0</v>
      </c>
      <c r="J96" s="39">
        <f t="shared" si="19"/>
        <v>0</v>
      </c>
      <c r="K96" s="39">
        <f t="shared" si="19"/>
        <v>0</v>
      </c>
      <c r="L96" s="40">
        <f t="shared" si="19"/>
        <v>0</v>
      </c>
      <c r="M96" s="112">
        <v>24.8739839112623</v>
      </c>
      <c r="N96" s="127">
        <v>0</v>
      </c>
      <c r="O96" s="125">
        <f t="shared" si="17"/>
        <v>24.8739839112623</v>
      </c>
      <c r="P96" s="123">
        <f t="shared" si="12"/>
        <v>25</v>
      </c>
      <c r="Q96" s="12">
        <f t="shared" si="13"/>
        <v>25</v>
      </c>
      <c r="R96" s="12">
        <f t="shared" si="14"/>
        <v>25</v>
      </c>
      <c r="S96" s="23">
        <f t="shared" si="15"/>
        <v>25</v>
      </c>
      <c r="T96" s="107">
        <v>0</v>
      </c>
      <c r="U96" s="107">
        <v>0</v>
      </c>
      <c r="V96" s="107">
        <v>0</v>
      </c>
      <c r="W96" s="107">
        <v>0</v>
      </c>
      <c r="X96"/>
      <c r="Y96"/>
      <c r="Z96"/>
    </row>
    <row r="97" spans="1:26" ht="18" customHeight="1" thickBot="1" x14ac:dyDescent="0.3">
      <c r="A97" s="486"/>
      <c r="B97" s="17" t="s">
        <v>18</v>
      </c>
      <c r="C97" s="17" t="s">
        <v>24</v>
      </c>
      <c r="D97" s="17" t="s">
        <v>5</v>
      </c>
      <c r="E97" s="17" t="s">
        <v>50</v>
      </c>
      <c r="F97" s="17" t="s">
        <v>97</v>
      </c>
      <c r="G97" s="28" t="s">
        <v>6</v>
      </c>
      <c r="H97" s="41">
        <f t="shared" si="16"/>
        <v>0</v>
      </c>
      <c r="I97" s="42">
        <f t="shared" si="19"/>
        <v>0</v>
      </c>
      <c r="J97" s="42">
        <f t="shared" si="19"/>
        <v>0</v>
      </c>
      <c r="K97" s="42">
        <f t="shared" si="19"/>
        <v>0</v>
      </c>
      <c r="L97" s="43">
        <f t="shared" si="19"/>
        <v>0</v>
      </c>
      <c r="M97" s="439"/>
      <c r="N97" s="440">
        <v>0</v>
      </c>
      <c r="O97" s="126">
        <f t="shared" si="17"/>
        <v>0</v>
      </c>
      <c r="P97" s="123">
        <f t="shared" si="12"/>
        <v>0</v>
      </c>
      <c r="Q97" s="12">
        <f t="shared" si="13"/>
        <v>0</v>
      </c>
      <c r="R97" s="12">
        <f t="shared" si="14"/>
        <v>0</v>
      </c>
      <c r="S97" s="23">
        <f t="shared" si="15"/>
        <v>0</v>
      </c>
      <c r="T97" s="107">
        <f>+(P97-P96)/(O97-O96)-1</f>
        <v>5.0661803588545329E-3</v>
      </c>
      <c r="U97" s="107">
        <f>+(Q97-Q96)/(P97-P96)-1</f>
        <v>0</v>
      </c>
      <c r="V97" s="107">
        <f>+(R97-R96)/(Q97-Q96)-1</f>
        <v>0</v>
      </c>
      <c r="W97" s="107">
        <f>+(S97-S96)/(R97-R96)-1</f>
        <v>0</v>
      </c>
      <c r="X97"/>
      <c r="Y97"/>
      <c r="Z97"/>
    </row>
    <row r="98" spans="1:26" ht="18" customHeight="1" thickTop="1" x14ac:dyDescent="0.25">
      <c r="A98" s="484" t="s">
        <v>311</v>
      </c>
      <c r="B98" s="429" t="s">
        <v>1</v>
      </c>
      <c r="C98" s="429" t="s">
        <v>1</v>
      </c>
      <c r="D98" s="429" t="s">
        <v>3</v>
      </c>
      <c r="E98" s="429" t="s">
        <v>2</v>
      </c>
      <c r="F98" s="429" t="s">
        <v>2</v>
      </c>
      <c r="G98" s="430" t="s">
        <v>4</v>
      </c>
      <c r="H98" s="431">
        <f t="shared" si="16"/>
        <v>4.9966724449718392E-2</v>
      </c>
      <c r="I98" s="441">
        <f>+I4</f>
        <v>0</v>
      </c>
      <c r="J98" s="441">
        <f>+J4</f>
        <v>0</v>
      </c>
      <c r="K98" s="441">
        <f>+K4</f>
        <v>0</v>
      </c>
      <c r="L98" s="442">
        <f>+L4</f>
        <v>0</v>
      </c>
      <c r="M98" s="434">
        <v>3302.1976488781002</v>
      </c>
      <c r="N98" s="435">
        <v>165</v>
      </c>
      <c r="O98" s="436">
        <f t="shared" si="17"/>
        <v>3467.1976488781002</v>
      </c>
      <c r="P98" s="123">
        <f t="shared" si="12"/>
        <v>3467</v>
      </c>
      <c r="Q98" s="12">
        <f t="shared" si="13"/>
        <v>3467</v>
      </c>
      <c r="R98" s="12">
        <f t="shared" si="14"/>
        <v>3467</v>
      </c>
      <c r="S98" s="23">
        <f t="shared" si="15"/>
        <v>3467</v>
      </c>
      <c r="T98" s="107">
        <v>0</v>
      </c>
      <c r="U98" s="107">
        <v>0</v>
      </c>
      <c r="V98" s="107">
        <v>0</v>
      </c>
      <c r="W98" s="107">
        <v>0</v>
      </c>
      <c r="X98"/>
      <c r="Y98"/>
      <c r="Z98"/>
    </row>
    <row r="99" spans="1:26" ht="18" customHeight="1" x14ac:dyDescent="0.25">
      <c r="A99" s="487"/>
      <c r="B99" s="11" t="s">
        <v>1</v>
      </c>
      <c r="C99" s="11" t="s">
        <v>1</v>
      </c>
      <c r="D99" s="11" t="s">
        <v>5</v>
      </c>
      <c r="E99" s="11" t="s">
        <v>2</v>
      </c>
      <c r="F99" s="11" t="s">
        <v>2</v>
      </c>
      <c r="G99" s="27" t="s">
        <v>6</v>
      </c>
      <c r="H99" s="38">
        <f t="shared" si="16"/>
        <v>4.4538779162793585E-2</v>
      </c>
      <c r="I99" s="39">
        <f t="shared" ref="I99:L109" si="20">+I5</f>
        <v>0</v>
      </c>
      <c r="J99" s="39">
        <f t="shared" si="20"/>
        <v>0</v>
      </c>
      <c r="K99" s="39">
        <f t="shared" si="20"/>
        <v>0</v>
      </c>
      <c r="L99" s="40">
        <f t="shared" si="20"/>
        <v>0</v>
      </c>
      <c r="M99" s="112">
        <v>224.52344199756899</v>
      </c>
      <c r="N99" s="127">
        <v>10</v>
      </c>
      <c r="O99" s="125">
        <f t="shared" si="17"/>
        <v>234.52344199756899</v>
      </c>
      <c r="P99" s="123">
        <f t="shared" si="12"/>
        <v>235</v>
      </c>
      <c r="Q99" s="12">
        <f t="shared" si="13"/>
        <v>235</v>
      </c>
      <c r="R99" s="12">
        <f t="shared" si="14"/>
        <v>235</v>
      </c>
      <c r="S99" s="23">
        <f t="shared" si="15"/>
        <v>235</v>
      </c>
      <c r="T99" s="107">
        <f>+(P99-P98)/(O99-O98)-1</f>
        <v>-2.0856010763348198E-4</v>
      </c>
      <c r="U99" s="107">
        <f>+(Q99-Q98)/(P99-P98)-1</f>
        <v>0</v>
      </c>
      <c r="V99" s="107">
        <f>+(R99-R98)/(Q99-Q98)-1</f>
        <v>0</v>
      </c>
      <c r="W99" s="107">
        <f>+(S99-S98)/(R99-R98)-1</f>
        <v>0</v>
      </c>
      <c r="X99"/>
      <c r="Y99"/>
      <c r="Z99"/>
    </row>
    <row r="100" spans="1:26" ht="18" customHeight="1" x14ac:dyDescent="0.25">
      <c r="A100" s="487"/>
      <c r="B100" s="11" t="s">
        <v>8</v>
      </c>
      <c r="C100" s="11" t="s">
        <v>1</v>
      </c>
      <c r="D100" s="11" t="s">
        <v>3</v>
      </c>
      <c r="E100" s="11" t="s">
        <v>2</v>
      </c>
      <c r="F100" s="11" t="s">
        <v>51</v>
      </c>
      <c r="G100" s="27" t="s">
        <v>4</v>
      </c>
      <c r="H100" s="38">
        <f t="shared" si="16"/>
        <v>0</v>
      </c>
      <c r="I100" s="39">
        <f t="shared" si="20"/>
        <v>0</v>
      </c>
      <c r="J100" s="39">
        <f t="shared" si="20"/>
        <v>0</v>
      </c>
      <c r="K100" s="39">
        <f t="shared" si="20"/>
        <v>0</v>
      </c>
      <c r="L100" s="40">
        <f t="shared" si="20"/>
        <v>0</v>
      </c>
      <c r="M100" s="112">
        <v>67.862463954885499</v>
      </c>
      <c r="N100" s="127">
        <v>0</v>
      </c>
      <c r="O100" s="125">
        <f t="shared" si="17"/>
        <v>67.862463954885499</v>
      </c>
      <c r="P100" s="123">
        <f t="shared" ref="P100:P115" si="21">+ROUND(O100*(1+I100),0)</f>
        <v>68</v>
      </c>
      <c r="Q100" s="12">
        <f t="shared" ref="Q100:Q115" si="22">+ROUND(P100*(1+J100),0)</f>
        <v>68</v>
      </c>
      <c r="R100" s="12">
        <f t="shared" ref="R100:R115" si="23">+ROUND(Q100*(1+K100),0)</f>
        <v>68</v>
      </c>
      <c r="S100" s="23">
        <f t="shared" ref="S100:S115" si="24">+ROUND(R100*(1+L100),0)</f>
        <v>68</v>
      </c>
      <c r="T100" s="107">
        <v>0</v>
      </c>
      <c r="U100" s="107">
        <v>0</v>
      </c>
      <c r="V100" s="107">
        <v>0</v>
      </c>
      <c r="W100" s="107">
        <v>0</v>
      </c>
    </row>
    <row r="101" spans="1:26" ht="18" customHeight="1" x14ac:dyDescent="0.25">
      <c r="A101" s="487"/>
      <c r="B101" s="11" t="s">
        <v>8</v>
      </c>
      <c r="C101" s="11" t="s">
        <v>1</v>
      </c>
      <c r="D101" s="11" t="s">
        <v>5</v>
      </c>
      <c r="E101" s="11" t="s">
        <v>2</v>
      </c>
      <c r="F101" s="11" t="s">
        <v>51</v>
      </c>
      <c r="G101" s="27" t="s">
        <v>6</v>
      </c>
      <c r="H101" s="38">
        <f t="shared" si="16"/>
        <v>0</v>
      </c>
      <c r="I101" s="39">
        <f t="shared" si="20"/>
        <v>0</v>
      </c>
      <c r="J101" s="39">
        <f t="shared" si="20"/>
        <v>0</v>
      </c>
      <c r="K101" s="39">
        <f t="shared" si="20"/>
        <v>0</v>
      </c>
      <c r="L101" s="40">
        <f t="shared" si="20"/>
        <v>0</v>
      </c>
      <c r="M101" s="112">
        <v>11.9194459998699</v>
      </c>
      <c r="N101" s="127">
        <v>0</v>
      </c>
      <c r="O101" s="125">
        <f t="shared" si="17"/>
        <v>11.9194459998699</v>
      </c>
      <c r="P101" s="123">
        <f t="shared" si="21"/>
        <v>12</v>
      </c>
      <c r="Q101" s="12">
        <f t="shared" si="22"/>
        <v>12</v>
      </c>
      <c r="R101" s="12">
        <f t="shared" si="23"/>
        <v>12</v>
      </c>
      <c r="S101" s="23">
        <f t="shared" si="24"/>
        <v>12</v>
      </c>
      <c r="T101" s="107">
        <f>+(P101-P100)/(O101-O100)-1</f>
        <v>1.0185729527538712E-3</v>
      </c>
      <c r="U101" s="107">
        <f>+(Q101-Q100)/(P101-P100)-1</f>
        <v>0</v>
      </c>
      <c r="V101" s="107">
        <f>+(R101-R100)/(Q101-Q100)-1</f>
        <v>0</v>
      </c>
      <c r="W101" s="107">
        <f>+(S101-S100)/(R101-R100)-1</f>
        <v>0</v>
      </c>
    </row>
    <row r="102" spans="1:26" ht="18" customHeight="1" x14ac:dyDescent="0.25">
      <c r="A102" s="487"/>
      <c r="B102" s="11" t="s">
        <v>13</v>
      </c>
      <c r="C102" s="11" t="s">
        <v>8</v>
      </c>
      <c r="D102" s="11" t="s">
        <v>3</v>
      </c>
      <c r="E102" s="11" t="s">
        <v>9</v>
      </c>
      <c r="F102" s="11" t="s">
        <v>9</v>
      </c>
      <c r="G102" s="27" t="s">
        <v>4</v>
      </c>
      <c r="H102" s="38">
        <f t="shared" si="16"/>
        <v>0</v>
      </c>
      <c r="I102" s="39">
        <f t="shared" si="20"/>
        <v>0</v>
      </c>
      <c r="J102" s="39">
        <f t="shared" si="20"/>
        <v>0</v>
      </c>
      <c r="K102" s="39">
        <f t="shared" si="20"/>
        <v>0</v>
      </c>
      <c r="L102" s="40">
        <f t="shared" si="20"/>
        <v>0</v>
      </c>
      <c r="M102" s="112">
        <v>122.647381089682</v>
      </c>
      <c r="N102" s="127">
        <v>0</v>
      </c>
      <c r="O102" s="125">
        <f t="shared" si="17"/>
        <v>122.647381089682</v>
      </c>
      <c r="P102" s="123">
        <f t="shared" si="21"/>
        <v>123</v>
      </c>
      <c r="Q102" s="12">
        <f t="shared" si="22"/>
        <v>123</v>
      </c>
      <c r="R102" s="12">
        <f t="shared" si="23"/>
        <v>123</v>
      </c>
      <c r="S102" s="23">
        <f t="shared" si="24"/>
        <v>123</v>
      </c>
      <c r="T102" s="107">
        <v>0</v>
      </c>
      <c r="U102" s="107">
        <v>0</v>
      </c>
      <c r="V102" s="107">
        <v>0</v>
      </c>
      <c r="W102" s="107">
        <v>0</v>
      </c>
    </row>
    <row r="103" spans="1:26" ht="18" customHeight="1" x14ac:dyDescent="0.25">
      <c r="A103" s="487"/>
      <c r="B103" s="11" t="s">
        <v>13</v>
      </c>
      <c r="C103" s="11" t="s">
        <v>8</v>
      </c>
      <c r="D103" s="11" t="s">
        <v>5</v>
      </c>
      <c r="E103" s="11" t="s">
        <v>9</v>
      </c>
      <c r="F103" s="11" t="s">
        <v>9</v>
      </c>
      <c r="G103" s="27" t="s">
        <v>6</v>
      </c>
      <c r="H103" s="38">
        <f t="shared" si="16"/>
        <v>0</v>
      </c>
      <c r="I103" s="39">
        <f t="shared" si="20"/>
        <v>0</v>
      </c>
      <c r="J103" s="39">
        <f t="shared" si="20"/>
        <v>0</v>
      </c>
      <c r="K103" s="39">
        <f t="shared" si="20"/>
        <v>0</v>
      </c>
      <c r="L103" s="40">
        <f t="shared" si="20"/>
        <v>0</v>
      </c>
      <c r="M103" s="112">
        <v>6.52377635558706</v>
      </c>
      <c r="N103" s="127">
        <v>0</v>
      </c>
      <c r="O103" s="125">
        <f t="shared" si="17"/>
        <v>6.52377635558706</v>
      </c>
      <c r="P103" s="123">
        <f t="shared" si="21"/>
        <v>7</v>
      </c>
      <c r="Q103" s="12">
        <f t="shared" si="22"/>
        <v>7</v>
      </c>
      <c r="R103" s="12">
        <f t="shared" si="23"/>
        <v>7</v>
      </c>
      <c r="S103" s="23">
        <f t="shared" si="24"/>
        <v>7</v>
      </c>
      <c r="T103" s="107">
        <f>+(P103-P102)/(O103-O102)-1</f>
        <v>-1.064423847140894E-3</v>
      </c>
      <c r="U103" s="107">
        <f>+(Q103-Q102)/(P103-P102)-1</f>
        <v>0</v>
      </c>
      <c r="V103" s="107">
        <f>+(R103-R102)/(Q103-Q102)-1</f>
        <v>0</v>
      </c>
      <c r="W103" s="107">
        <f>+(S103-S102)/(R103-R102)-1</f>
        <v>0</v>
      </c>
    </row>
    <row r="104" spans="1:26" ht="18" customHeight="1" x14ac:dyDescent="0.25">
      <c r="A104" s="487"/>
      <c r="B104" s="11" t="s">
        <v>10</v>
      </c>
      <c r="C104" s="11" t="s">
        <v>7</v>
      </c>
      <c r="D104" s="11" t="s">
        <v>3</v>
      </c>
      <c r="E104" s="11" t="s">
        <v>11</v>
      </c>
      <c r="F104" s="11" t="s">
        <v>11</v>
      </c>
      <c r="G104" s="27" t="s">
        <v>4</v>
      </c>
      <c r="H104" s="38">
        <f t="shared" si="16"/>
        <v>0</v>
      </c>
      <c r="I104" s="39">
        <f t="shared" si="20"/>
        <v>0</v>
      </c>
      <c r="J104" s="39">
        <f t="shared" si="20"/>
        <v>0</v>
      </c>
      <c r="K104" s="39">
        <f t="shared" si="20"/>
        <v>0</v>
      </c>
      <c r="L104" s="40">
        <f t="shared" si="20"/>
        <v>0</v>
      </c>
      <c r="M104" s="112">
        <v>122.664666265869</v>
      </c>
      <c r="N104" s="127">
        <v>0</v>
      </c>
      <c r="O104" s="125">
        <f t="shared" si="17"/>
        <v>122.664666265869</v>
      </c>
      <c r="P104" s="123">
        <f t="shared" si="21"/>
        <v>123</v>
      </c>
      <c r="Q104" s="12">
        <f t="shared" si="22"/>
        <v>123</v>
      </c>
      <c r="R104" s="12">
        <f t="shared" si="23"/>
        <v>123</v>
      </c>
      <c r="S104" s="23">
        <f t="shared" si="24"/>
        <v>123</v>
      </c>
      <c r="T104" s="107">
        <v>0</v>
      </c>
      <c r="U104" s="107">
        <v>0</v>
      </c>
      <c r="V104" s="107">
        <v>0</v>
      </c>
      <c r="W104" s="107">
        <v>0</v>
      </c>
    </row>
    <row r="105" spans="1:26" ht="18" customHeight="1" x14ac:dyDescent="0.25">
      <c r="A105" s="487"/>
      <c r="B105" s="11" t="s">
        <v>10</v>
      </c>
      <c r="C105" s="11" t="s">
        <v>7</v>
      </c>
      <c r="D105" s="11" t="s">
        <v>5</v>
      </c>
      <c r="E105" s="11" t="s">
        <v>11</v>
      </c>
      <c r="F105" s="11" t="s">
        <v>11</v>
      </c>
      <c r="G105" s="27" t="s">
        <v>6</v>
      </c>
      <c r="H105" s="38">
        <f t="shared" si="16"/>
        <v>0</v>
      </c>
      <c r="I105" s="39">
        <f t="shared" si="20"/>
        <v>0</v>
      </c>
      <c r="J105" s="39">
        <f t="shared" si="20"/>
        <v>0</v>
      </c>
      <c r="K105" s="39">
        <f t="shared" si="20"/>
        <v>0</v>
      </c>
      <c r="L105" s="40">
        <f t="shared" si="20"/>
        <v>0</v>
      </c>
      <c r="M105" s="112">
        <v>5.8666419999595396</v>
      </c>
      <c r="N105" s="127">
        <v>0</v>
      </c>
      <c r="O105" s="125">
        <f t="shared" si="17"/>
        <v>5.8666419999595396</v>
      </c>
      <c r="P105" s="123">
        <f t="shared" si="21"/>
        <v>6</v>
      </c>
      <c r="Q105" s="12">
        <f t="shared" si="22"/>
        <v>6</v>
      </c>
      <c r="R105" s="12">
        <f t="shared" si="23"/>
        <v>6</v>
      </c>
      <c r="S105" s="23">
        <f t="shared" si="24"/>
        <v>6</v>
      </c>
      <c r="T105" s="107">
        <f>+(P105-P104)/(O105-O104)-1</f>
        <v>1.7292735503018353E-3</v>
      </c>
      <c r="U105" s="107">
        <f>+(Q105-Q104)/(P105-P104)-1</f>
        <v>0</v>
      </c>
      <c r="V105" s="107">
        <f>+(R105-R104)/(Q105-Q104)-1</f>
        <v>0</v>
      </c>
      <c r="W105" s="107">
        <f>+(S105-S104)/(R105-R104)-1</f>
        <v>0</v>
      </c>
    </row>
    <row r="106" spans="1:26" ht="18" customHeight="1" x14ac:dyDescent="0.25">
      <c r="A106" s="487"/>
      <c r="B106" s="11" t="s">
        <v>7</v>
      </c>
      <c r="C106" s="11" t="s">
        <v>13</v>
      </c>
      <c r="D106" s="11" t="s">
        <v>3</v>
      </c>
      <c r="E106" s="11" t="s">
        <v>14</v>
      </c>
      <c r="F106" s="11" t="s">
        <v>52</v>
      </c>
      <c r="G106" s="27" t="s">
        <v>4</v>
      </c>
      <c r="H106" s="38">
        <f t="shared" si="16"/>
        <v>0</v>
      </c>
      <c r="I106" s="39">
        <f t="shared" si="20"/>
        <v>0</v>
      </c>
      <c r="J106" s="39">
        <f t="shared" si="20"/>
        <v>0</v>
      </c>
      <c r="K106" s="39">
        <f t="shared" si="20"/>
        <v>0</v>
      </c>
      <c r="L106" s="40">
        <f t="shared" si="20"/>
        <v>0</v>
      </c>
      <c r="M106" s="112">
        <v>2.87183811111306</v>
      </c>
      <c r="N106" s="127">
        <v>0</v>
      </c>
      <c r="O106" s="125">
        <f t="shared" si="17"/>
        <v>2.87183811111306</v>
      </c>
      <c r="P106" s="123">
        <f t="shared" si="21"/>
        <v>3</v>
      </c>
      <c r="Q106" s="12">
        <f t="shared" si="22"/>
        <v>3</v>
      </c>
      <c r="R106" s="12">
        <f t="shared" si="23"/>
        <v>3</v>
      </c>
      <c r="S106" s="23">
        <f t="shared" si="24"/>
        <v>3</v>
      </c>
      <c r="T106" s="107">
        <v>0</v>
      </c>
      <c r="U106" s="107">
        <v>0</v>
      </c>
      <c r="V106" s="107">
        <v>0</v>
      </c>
      <c r="W106" s="107">
        <v>0</v>
      </c>
    </row>
    <row r="107" spans="1:26" ht="18" customHeight="1" x14ac:dyDescent="0.25">
      <c r="A107" s="487"/>
      <c r="B107" s="11" t="s">
        <v>7</v>
      </c>
      <c r="C107" s="11" t="s">
        <v>13</v>
      </c>
      <c r="D107" s="11" t="s">
        <v>5</v>
      </c>
      <c r="E107" s="11" t="s">
        <v>14</v>
      </c>
      <c r="F107" s="11" t="s">
        <v>52</v>
      </c>
      <c r="G107" s="27" t="s">
        <v>6</v>
      </c>
      <c r="H107" s="38">
        <f t="shared" si="16"/>
        <v>0</v>
      </c>
      <c r="I107" s="39">
        <f t="shared" si="20"/>
        <v>0</v>
      </c>
      <c r="J107" s="39">
        <f t="shared" si="20"/>
        <v>0</v>
      </c>
      <c r="K107" s="39">
        <f t="shared" si="20"/>
        <v>0</v>
      </c>
      <c r="L107" s="40">
        <f t="shared" si="20"/>
        <v>0</v>
      </c>
      <c r="M107" s="112"/>
      <c r="N107" s="127">
        <v>0</v>
      </c>
      <c r="O107" s="125">
        <f t="shared" si="17"/>
        <v>0</v>
      </c>
      <c r="P107" s="123">
        <f t="shared" si="21"/>
        <v>0</v>
      </c>
      <c r="Q107" s="12">
        <f t="shared" si="22"/>
        <v>0</v>
      </c>
      <c r="R107" s="12">
        <f t="shared" si="23"/>
        <v>0</v>
      </c>
      <c r="S107" s="23">
        <f t="shared" si="24"/>
        <v>0</v>
      </c>
      <c r="T107" s="107">
        <f>+(P107-P106)/(O107-O106)-1</f>
        <v>4.4627128664041393E-2</v>
      </c>
      <c r="U107" s="107">
        <f>+(Q107-Q106)/(P107-P106)-1</f>
        <v>0</v>
      </c>
      <c r="V107" s="107">
        <f>+(R107-R106)/(Q107-Q106)-1</f>
        <v>0</v>
      </c>
      <c r="W107" s="107">
        <f>+(S107-S106)/(R107-R106)-1</f>
        <v>0</v>
      </c>
    </row>
    <row r="108" spans="1:26" ht="18" customHeight="1" x14ac:dyDescent="0.25">
      <c r="A108" s="487"/>
      <c r="B108" s="11" t="s">
        <v>16</v>
      </c>
      <c r="C108" s="11" t="s">
        <v>13</v>
      </c>
      <c r="D108" s="11" t="s">
        <v>3</v>
      </c>
      <c r="E108" s="11" t="s">
        <v>14</v>
      </c>
      <c r="F108" s="11" t="s">
        <v>14</v>
      </c>
      <c r="G108" s="27" t="s">
        <v>4</v>
      </c>
      <c r="H108" s="38">
        <f t="shared" si="16"/>
        <v>0</v>
      </c>
      <c r="I108" s="39">
        <f t="shared" si="20"/>
        <v>0</v>
      </c>
      <c r="J108" s="39">
        <f t="shared" si="20"/>
        <v>0</v>
      </c>
      <c r="K108" s="39">
        <f t="shared" si="20"/>
        <v>0</v>
      </c>
      <c r="L108" s="40">
        <f t="shared" si="20"/>
        <v>0</v>
      </c>
      <c r="M108" s="112">
        <v>60.4838311338913</v>
      </c>
      <c r="N108" s="127">
        <v>0</v>
      </c>
      <c r="O108" s="125">
        <f t="shared" si="17"/>
        <v>60.4838311338913</v>
      </c>
      <c r="P108" s="123">
        <f t="shared" si="21"/>
        <v>60</v>
      </c>
      <c r="Q108" s="12">
        <f t="shared" si="22"/>
        <v>60</v>
      </c>
      <c r="R108" s="12">
        <f t="shared" si="23"/>
        <v>60</v>
      </c>
      <c r="S108" s="23">
        <f t="shared" si="24"/>
        <v>60</v>
      </c>
      <c r="T108" s="107">
        <v>0</v>
      </c>
      <c r="U108" s="107">
        <v>0</v>
      </c>
      <c r="V108" s="107">
        <v>0</v>
      </c>
      <c r="W108" s="107">
        <v>0</v>
      </c>
    </row>
    <row r="109" spans="1:26" ht="18" customHeight="1" x14ac:dyDescent="0.25">
      <c r="A109" s="487"/>
      <c r="B109" s="11" t="s">
        <v>16</v>
      </c>
      <c r="C109" s="11" t="s">
        <v>13</v>
      </c>
      <c r="D109" s="11" t="s">
        <v>5</v>
      </c>
      <c r="E109" s="11" t="s">
        <v>14</v>
      </c>
      <c r="F109" s="11" t="s">
        <v>14</v>
      </c>
      <c r="G109" s="27" t="s">
        <v>6</v>
      </c>
      <c r="H109" s="38">
        <f t="shared" si="16"/>
        <v>0</v>
      </c>
      <c r="I109" s="39">
        <f t="shared" si="20"/>
        <v>0</v>
      </c>
      <c r="J109" s="39">
        <f t="shared" si="20"/>
        <v>0</v>
      </c>
      <c r="K109" s="39">
        <f t="shared" si="20"/>
        <v>0</v>
      </c>
      <c r="L109" s="40">
        <f t="shared" si="20"/>
        <v>0</v>
      </c>
      <c r="M109" s="112">
        <v>92.494946401314905</v>
      </c>
      <c r="N109" s="127">
        <v>0</v>
      </c>
      <c r="O109" s="125">
        <f t="shared" si="17"/>
        <v>92.494946401314905</v>
      </c>
      <c r="P109" s="123">
        <f t="shared" si="21"/>
        <v>92</v>
      </c>
      <c r="Q109" s="12">
        <f t="shared" si="22"/>
        <v>92</v>
      </c>
      <c r="R109" s="12">
        <f t="shared" si="23"/>
        <v>92</v>
      </c>
      <c r="S109" s="23">
        <f t="shared" si="24"/>
        <v>92</v>
      </c>
      <c r="T109" s="107">
        <f>+(P109-P108)/(O109-O108)-1</f>
        <v>-3.4723149539617193E-4</v>
      </c>
      <c r="U109" s="107">
        <f>+(Q109-Q108)/(P109-P108)-1</f>
        <v>0</v>
      </c>
      <c r="V109" s="107">
        <f>+(R109-R108)/(Q109-Q108)-1</f>
        <v>0</v>
      </c>
      <c r="W109" s="107">
        <f>+(S109-S108)/(R109-R108)-1</f>
        <v>0</v>
      </c>
    </row>
    <row r="110" spans="1:26" ht="18" customHeight="1" x14ac:dyDescent="0.25">
      <c r="A110" s="487"/>
      <c r="B110" s="11" t="s">
        <v>15</v>
      </c>
      <c r="C110" s="11" t="s">
        <v>16</v>
      </c>
      <c r="D110" s="11" t="s">
        <v>3</v>
      </c>
      <c r="E110" s="11" t="s">
        <v>36</v>
      </c>
      <c r="F110" s="11" t="s">
        <v>75</v>
      </c>
      <c r="G110" s="27" t="s">
        <v>4</v>
      </c>
      <c r="H110" s="38">
        <f t="shared" si="16"/>
        <v>0</v>
      </c>
      <c r="I110" s="36"/>
      <c r="J110" s="36"/>
      <c r="K110" s="36"/>
      <c r="L110" s="37"/>
      <c r="M110" s="112">
        <v>20.472368399493401</v>
      </c>
      <c r="N110" s="127">
        <v>0</v>
      </c>
      <c r="O110" s="125">
        <f t="shared" si="17"/>
        <v>20.472368399493401</v>
      </c>
      <c r="P110" s="123">
        <f t="shared" si="21"/>
        <v>20</v>
      </c>
      <c r="Q110" s="12">
        <f t="shared" si="22"/>
        <v>20</v>
      </c>
      <c r="R110" s="12">
        <f t="shared" si="23"/>
        <v>20</v>
      </c>
      <c r="S110" s="23">
        <f t="shared" si="24"/>
        <v>20</v>
      </c>
      <c r="T110" s="107">
        <v>0</v>
      </c>
      <c r="U110" s="107">
        <v>0</v>
      </c>
      <c r="V110" s="107">
        <v>0</v>
      </c>
      <c r="W110" s="107">
        <v>0</v>
      </c>
    </row>
    <row r="111" spans="1:26" ht="18" customHeight="1" x14ac:dyDescent="0.25">
      <c r="A111" s="487"/>
      <c r="B111" s="11" t="s">
        <v>15</v>
      </c>
      <c r="C111" s="11" t="s">
        <v>16</v>
      </c>
      <c r="D111" s="11" t="s">
        <v>5</v>
      </c>
      <c r="E111" s="11" t="s">
        <v>36</v>
      </c>
      <c r="F111" s="11" t="s">
        <v>75</v>
      </c>
      <c r="G111" s="27" t="s">
        <v>6</v>
      </c>
      <c r="H111" s="38">
        <f t="shared" si="16"/>
        <v>0</v>
      </c>
      <c r="I111" s="36"/>
      <c r="J111" s="36"/>
      <c r="K111" s="36"/>
      <c r="L111" s="37"/>
      <c r="M111" s="112">
        <v>3.1111107999222201</v>
      </c>
      <c r="N111" s="127">
        <v>0</v>
      </c>
      <c r="O111" s="125">
        <f t="shared" si="17"/>
        <v>3.1111107999222201</v>
      </c>
      <c r="P111" s="123">
        <f t="shared" si="21"/>
        <v>3</v>
      </c>
      <c r="Q111" s="12">
        <f t="shared" si="22"/>
        <v>3</v>
      </c>
      <c r="R111" s="12">
        <f t="shared" si="23"/>
        <v>3</v>
      </c>
      <c r="S111" s="23">
        <f t="shared" si="24"/>
        <v>3</v>
      </c>
      <c r="T111" s="107">
        <f>+(P111-P110)/(O111-O110)-1</f>
        <v>-2.0808262160691982E-2</v>
      </c>
      <c r="U111" s="107">
        <f>+(Q111-Q110)/(P111-P110)-1</f>
        <v>0</v>
      </c>
      <c r="V111" s="107">
        <f>+(R111-R110)/(Q111-Q110)-1</f>
        <v>0</v>
      </c>
      <c r="W111" s="107">
        <f>+(S111-S110)/(R111-R110)-1</f>
        <v>0</v>
      </c>
    </row>
    <row r="112" spans="1:26" ht="18" customHeight="1" x14ac:dyDescent="0.25">
      <c r="A112" s="487"/>
      <c r="B112" s="11" t="s">
        <v>24</v>
      </c>
      <c r="C112" s="11" t="s">
        <v>16</v>
      </c>
      <c r="D112" s="11" t="s">
        <v>3</v>
      </c>
      <c r="E112" s="11" t="s">
        <v>36</v>
      </c>
      <c r="F112" s="11" t="s">
        <v>76</v>
      </c>
      <c r="G112" s="27" t="s">
        <v>4</v>
      </c>
      <c r="H112" s="38">
        <f t="shared" si="16"/>
        <v>0</v>
      </c>
      <c r="I112" s="36"/>
      <c r="J112" s="36"/>
      <c r="K112" s="36"/>
      <c r="L112" s="37"/>
      <c r="M112" s="112">
        <v>26.722070088232901</v>
      </c>
      <c r="N112" s="127">
        <v>0</v>
      </c>
      <c r="O112" s="125">
        <f t="shared" si="17"/>
        <v>26.722070088232901</v>
      </c>
      <c r="P112" s="123">
        <f t="shared" si="21"/>
        <v>27</v>
      </c>
      <c r="Q112" s="12">
        <f t="shared" si="22"/>
        <v>27</v>
      </c>
      <c r="R112" s="12">
        <f t="shared" si="23"/>
        <v>27</v>
      </c>
      <c r="S112" s="23">
        <f t="shared" si="24"/>
        <v>27</v>
      </c>
      <c r="T112" s="107">
        <v>0</v>
      </c>
      <c r="U112" s="107">
        <v>0</v>
      </c>
      <c r="V112" s="107">
        <v>0</v>
      </c>
      <c r="W112" s="107">
        <v>0</v>
      </c>
    </row>
    <row r="113" spans="1:23" ht="18" customHeight="1" x14ac:dyDescent="0.25">
      <c r="A113" s="487"/>
      <c r="B113" s="11" t="s">
        <v>24</v>
      </c>
      <c r="C113" s="11" t="s">
        <v>16</v>
      </c>
      <c r="D113" s="11" t="s">
        <v>5</v>
      </c>
      <c r="E113" s="11" t="s">
        <v>36</v>
      </c>
      <c r="F113" s="11" t="s">
        <v>76</v>
      </c>
      <c r="G113" s="27" t="s">
        <v>6</v>
      </c>
      <c r="H113" s="38">
        <f t="shared" si="16"/>
        <v>0</v>
      </c>
      <c r="I113" s="36"/>
      <c r="J113" s="36"/>
      <c r="K113" s="36"/>
      <c r="L113" s="37"/>
      <c r="M113" s="112"/>
      <c r="N113" s="127">
        <v>0</v>
      </c>
      <c r="O113" s="125">
        <f t="shared" si="17"/>
        <v>0</v>
      </c>
      <c r="P113" s="123">
        <f t="shared" si="21"/>
        <v>0</v>
      </c>
      <c r="Q113" s="12">
        <f t="shared" si="22"/>
        <v>0</v>
      </c>
      <c r="R113" s="12">
        <f t="shared" si="23"/>
        <v>0</v>
      </c>
      <c r="S113" s="23">
        <f t="shared" si="24"/>
        <v>0</v>
      </c>
      <c r="T113" s="107">
        <f>+(P113-P112)/(O113-O112)-1</f>
        <v>1.040076277209856E-2</v>
      </c>
      <c r="U113" s="107">
        <f>+(Q113-Q112)/(P113-P112)-1</f>
        <v>0</v>
      </c>
      <c r="V113" s="107">
        <f>+(R113-R112)/(Q113-Q112)-1</f>
        <v>0</v>
      </c>
      <c r="W113" s="107">
        <f>+(S113-S112)/(R113-R112)-1</f>
        <v>0</v>
      </c>
    </row>
    <row r="114" spans="1:23" ht="18" customHeight="1" x14ac:dyDescent="0.25">
      <c r="A114" s="487"/>
      <c r="B114" s="11" t="s">
        <v>18</v>
      </c>
      <c r="C114" s="11" t="s">
        <v>24</v>
      </c>
      <c r="D114" s="11" t="s">
        <v>3</v>
      </c>
      <c r="E114" s="11" t="s">
        <v>50</v>
      </c>
      <c r="F114" s="11" t="s">
        <v>97</v>
      </c>
      <c r="G114" s="27" t="s">
        <v>4</v>
      </c>
      <c r="H114" s="38">
        <f t="shared" si="16"/>
        <v>0</v>
      </c>
      <c r="I114" s="39">
        <f t="shared" ref="I114:L115" si="25">+I104</f>
        <v>0</v>
      </c>
      <c r="J114" s="39">
        <f t="shared" si="25"/>
        <v>0</v>
      </c>
      <c r="K114" s="39">
        <f t="shared" si="25"/>
        <v>0</v>
      </c>
      <c r="L114" s="40">
        <f t="shared" si="25"/>
        <v>0</v>
      </c>
      <c r="M114" s="113">
        <v>23.407628988889702</v>
      </c>
      <c r="N114" s="128">
        <v>0</v>
      </c>
      <c r="O114" s="125">
        <f t="shared" si="17"/>
        <v>23.407628988889702</v>
      </c>
      <c r="P114" s="123">
        <f t="shared" si="21"/>
        <v>23</v>
      </c>
      <c r="Q114" s="12">
        <f t="shared" si="22"/>
        <v>23</v>
      </c>
      <c r="R114" s="12">
        <f t="shared" si="23"/>
        <v>23</v>
      </c>
      <c r="S114" s="23">
        <f t="shared" si="24"/>
        <v>23</v>
      </c>
      <c r="T114" s="107">
        <v>0</v>
      </c>
      <c r="U114" s="107">
        <v>0</v>
      </c>
      <c r="V114" s="107">
        <v>0</v>
      </c>
      <c r="W114" s="107">
        <v>0</v>
      </c>
    </row>
    <row r="115" spans="1:23" ht="18" customHeight="1" thickBot="1" x14ac:dyDescent="0.3">
      <c r="A115" s="488"/>
      <c r="B115" s="17" t="s">
        <v>18</v>
      </c>
      <c r="C115" s="17" t="s">
        <v>24</v>
      </c>
      <c r="D115" s="17" t="s">
        <v>5</v>
      </c>
      <c r="E115" s="17" t="s">
        <v>50</v>
      </c>
      <c r="F115" s="17" t="s">
        <v>97</v>
      </c>
      <c r="G115" s="28" t="s">
        <v>6</v>
      </c>
      <c r="H115" s="41">
        <f t="shared" si="16"/>
        <v>0</v>
      </c>
      <c r="I115" s="42">
        <f t="shared" si="25"/>
        <v>0</v>
      </c>
      <c r="J115" s="42">
        <f t="shared" si="25"/>
        <v>0</v>
      </c>
      <c r="K115" s="42">
        <f t="shared" si="25"/>
        <v>0</v>
      </c>
      <c r="L115" s="43">
        <f t="shared" si="25"/>
        <v>0</v>
      </c>
      <c r="M115" s="114">
        <v>1.7606055999779899</v>
      </c>
      <c r="N115" s="129">
        <v>0</v>
      </c>
      <c r="O115" s="126">
        <f t="shared" si="17"/>
        <v>1.7606055999779899</v>
      </c>
      <c r="P115" s="124">
        <f t="shared" si="21"/>
        <v>2</v>
      </c>
      <c r="Q115" s="18">
        <f t="shared" si="22"/>
        <v>2</v>
      </c>
      <c r="R115" s="18">
        <f t="shared" si="23"/>
        <v>2</v>
      </c>
      <c r="S115" s="25">
        <f t="shared" si="24"/>
        <v>2</v>
      </c>
      <c r="T115" s="108">
        <f>+(P115-P114)/(O115-O114)-1</f>
        <v>-2.9889716349784101E-2</v>
      </c>
      <c r="U115" s="108">
        <f>+(Q115-Q114)/(P115-P114)-1</f>
        <v>0</v>
      </c>
      <c r="V115" s="108">
        <f>+(R115-R114)/(Q115-Q114)-1</f>
        <v>0</v>
      </c>
      <c r="W115" s="108">
        <f>+(S115-S114)/(R115-R114)-1</f>
        <v>0</v>
      </c>
    </row>
    <row r="116" spans="1:23" ht="15.75" thickTop="1" x14ac:dyDescent="0.25">
      <c r="O116" s="118"/>
    </row>
    <row r="117" spans="1:23" x14ac:dyDescent="0.25">
      <c r="O117" s="118"/>
    </row>
    <row r="118" spans="1:23" x14ac:dyDescent="0.25">
      <c r="O118" s="118"/>
    </row>
    <row r="119" spans="1:23" x14ac:dyDescent="0.25">
      <c r="O119" s="118"/>
    </row>
    <row r="120" spans="1:23" x14ac:dyDescent="0.25">
      <c r="O120" s="118"/>
    </row>
    <row r="121" spans="1:23" x14ac:dyDescent="0.25">
      <c r="O121" s="118"/>
    </row>
    <row r="122" spans="1:23" x14ac:dyDescent="0.25">
      <c r="O122" s="118"/>
    </row>
    <row r="123" spans="1:23" x14ac:dyDescent="0.25">
      <c r="O123" s="118"/>
    </row>
    <row r="124" spans="1:23" x14ac:dyDescent="0.25">
      <c r="O124" s="118"/>
    </row>
    <row r="125" spans="1:23" x14ac:dyDescent="0.25">
      <c r="O125" s="118"/>
    </row>
    <row r="126" spans="1:23" x14ac:dyDescent="0.25">
      <c r="O126" s="118"/>
    </row>
    <row r="127" spans="1:23" x14ac:dyDescent="0.25">
      <c r="O127" s="118"/>
    </row>
    <row r="128" spans="1:23" x14ac:dyDescent="0.25">
      <c r="O128" s="118"/>
    </row>
    <row r="129" spans="15:15" x14ac:dyDescent="0.25">
      <c r="O129" s="118"/>
    </row>
    <row r="130" spans="15:15" x14ac:dyDescent="0.25">
      <c r="O130" s="118"/>
    </row>
    <row r="131" spans="15:15" x14ac:dyDescent="0.25">
      <c r="O131" s="118"/>
    </row>
    <row r="132" spans="15:15" x14ac:dyDescent="0.25">
      <c r="O132" s="118"/>
    </row>
    <row r="133" spans="15:15" x14ac:dyDescent="0.25">
      <c r="O133" s="118"/>
    </row>
    <row r="134" spans="15:15" x14ac:dyDescent="0.25">
      <c r="O134" s="118"/>
    </row>
    <row r="135" spans="15:15" x14ac:dyDescent="0.25">
      <c r="O135" s="118"/>
    </row>
    <row r="136" spans="15:15" x14ac:dyDescent="0.25">
      <c r="O136" s="118"/>
    </row>
    <row r="137" spans="15:15" x14ac:dyDescent="0.25">
      <c r="O137" s="118"/>
    </row>
    <row r="138" spans="15:15" x14ac:dyDescent="0.25">
      <c r="O138" s="118"/>
    </row>
    <row r="139" spans="15:15" x14ac:dyDescent="0.25">
      <c r="O139" s="118"/>
    </row>
    <row r="140" spans="15:15" x14ac:dyDescent="0.25">
      <c r="O140" s="118"/>
    </row>
    <row r="141" spans="15:15" x14ac:dyDescent="0.25">
      <c r="O141" s="118"/>
    </row>
    <row r="142" spans="15:15" x14ac:dyDescent="0.25">
      <c r="O142" s="118"/>
    </row>
    <row r="143" spans="15:15" x14ac:dyDescent="0.25">
      <c r="O143" s="118"/>
    </row>
    <row r="144" spans="15:15" x14ac:dyDescent="0.25">
      <c r="O144" s="118"/>
    </row>
    <row r="145" spans="15:15" x14ac:dyDescent="0.25">
      <c r="O145" s="118"/>
    </row>
    <row r="146" spans="15:15" x14ac:dyDescent="0.25">
      <c r="O146" s="118"/>
    </row>
    <row r="147" spans="15:15" x14ac:dyDescent="0.25">
      <c r="O147" s="118"/>
    </row>
    <row r="148" spans="15:15" x14ac:dyDescent="0.25">
      <c r="O148" s="118"/>
    </row>
    <row r="149" spans="15:15" x14ac:dyDescent="0.25">
      <c r="O149" s="118"/>
    </row>
    <row r="150" spans="15:15" x14ac:dyDescent="0.25">
      <c r="O150" s="118"/>
    </row>
    <row r="151" spans="15:15" x14ac:dyDescent="0.25">
      <c r="O151" s="118"/>
    </row>
    <row r="152" spans="15:15" x14ac:dyDescent="0.25">
      <c r="O152" s="118"/>
    </row>
    <row r="153" spans="15:15" x14ac:dyDescent="0.25">
      <c r="O153" s="118"/>
    </row>
    <row r="154" spans="15:15" x14ac:dyDescent="0.25">
      <c r="O154" s="118"/>
    </row>
    <row r="155" spans="15:15" x14ac:dyDescent="0.25">
      <c r="O155" s="118"/>
    </row>
    <row r="156" spans="15:15" x14ac:dyDescent="0.25">
      <c r="O156" s="118"/>
    </row>
    <row r="157" spans="15:15" x14ac:dyDescent="0.25">
      <c r="O157" s="118"/>
    </row>
    <row r="158" spans="15:15" x14ac:dyDescent="0.25">
      <c r="O158" s="118"/>
    </row>
    <row r="159" spans="15:15" x14ac:dyDescent="0.25">
      <c r="O159" s="118"/>
    </row>
    <row r="160" spans="15:15" x14ac:dyDescent="0.25">
      <c r="O160" s="118"/>
    </row>
    <row r="161" spans="15:15" x14ac:dyDescent="0.25">
      <c r="O161" s="118"/>
    </row>
    <row r="162" spans="15:15" x14ac:dyDescent="0.25">
      <c r="O162" s="118"/>
    </row>
    <row r="163" spans="15:15" x14ac:dyDescent="0.25">
      <c r="O163" s="118"/>
    </row>
    <row r="164" spans="15:15" x14ac:dyDescent="0.25">
      <c r="O164" s="118"/>
    </row>
    <row r="165" spans="15:15" x14ac:dyDescent="0.25">
      <c r="O165" s="118"/>
    </row>
    <row r="166" spans="15:15" x14ac:dyDescent="0.25">
      <c r="O166" s="118"/>
    </row>
    <row r="167" spans="15:15" x14ac:dyDescent="0.25">
      <c r="O167" s="118"/>
    </row>
    <row r="168" spans="15:15" x14ac:dyDescent="0.25">
      <c r="O168" s="118"/>
    </row>
    <row r="169" spans="15:15" x14ac:dyDescent="0.25">
      <c r="O169" s="118"/>
    </row>
  </sheetData>
  <mergeCells count="13">
    <mergeCell ref="A4:A79"/>
    <mergeCell ref="A80:A97"/>
    <mergeCell ref="A98:A115"/>
    <mergeCell ref="G2:G3"/>
    <mergeCell ref="H2:L2"/>
    <mergeCell ref="E1:O1"/>
    <mergeCell ref="M2:O2"/>
    <mergeCell ref="A2:A3"/>
    <mergeCell ref="B2:B3"/>
    <mergeCell ref="C2:C3"/>
    <mergeCell ref="D2:D3"/>
    <mergeCell ref="E2:E3"/>
    <mergeCell ref="F2: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topLeftCell="G34" zoomScale="99" workbookViewId="0">
      <selection activeCell="U57" sqref="U57"/>
    </sheetView>
  </sheetViews>
  <sheetFormatPr defaultColWidth="8.85546875" defaultRowHeight="15" x14ac:dyDescent="0.25"/>
  <cols>
    <col min="6" max="6" width="44.140625" customWidth="1"/>
    <col min="7" max="7" width="13.42578125" customWidth="1"/>
    <col min="9" max="9" width="9.7109375" bestFit="1" customWidth="1"/>
    <col min="10" max="11" width="13.85546875" bestFit="1" customWidth="1"/>
    <col min="12" max="12" width="12.140625" bestFit="1" customWidth="1"/>
    <col min="13" max="15" width="12.140625" style="2" customWidth="1"/>
    <col min="16" max="17" width="12.85546875" bestFit="1" customWidth="1"/>
    <col min="18" max="18" width="13.85546875" bestFit="1" customWidth="1"/>
    <col min="19" max="19" width="11.28515625" customWidth="1"/>
    <col min="20" max="20" width="11.42578125" bestFit="1" customWidth="1"/>
    <col min="21" max="22" width="12.140625" bestFit="1" customWidth="1"/>
  </cols>
  <sheetData>
    <row r="1" spans="1:21" x14ac:dyDescent="0.25">
      <c r="A1" t="s">
        <v>300</v>
      </c>
    </row>
    <row r="2" spans="1:21" x14ac:dyDescent="0.25">
      <c r="A2" t="s">
        <v>100</v>
      </c>
      <c r="B2" t="s">
        <v>101</v>
      </c>
      <c r="C2" t="s">
        <v>102</v>
      </c>
      <c r="D2" t="s">
        <v>169</v>
      </c>
      <c r="E2" s="1" t="s">
        <v>103</v>
      </c>
      <c r="F2" s="1" t="s">
        <v>104</v>
      </c>
      <c r="G2" s="1" t="s">
        <v>105</v>
      </c>
      <c r="H2" s="1" t="s">
        <v>106</v>
      </c>
      <c r="I2" s="1" t="s">
        <v>114</v>
      </c>
      <c r="J2" s="1" t="s">
        <v>116</v>
      </c>
      <c r="K2" s="1" t="s">
        <v>115</v>
      </c>
      <c r="L2" s="1" t="s">
        <v>117</v>
      </c>
      <c r="M2" s="2" t="s">
        <v>131</v>
      </c>
      <c r="N2" s="2" t="s">
        <v>132</v>
      </c>
      <c r="O2" s="2" t="s">
        <v>133</v>
      </c>
      <c r="P2" s="1" t="s">
        <v>113</v>
      </c>
      <c r="Q2" s="1" t="s">
        <v>118</v>
      </c>
      <c r="R2" s="1" t="s">
        <v>119</v>
      </c>
      <c r="S2" s="1" t="s">
        <v>143</v>
      </c>
      <c r="T2" s="1" t="s">
        <v>144</v>
      </c>
    </row>
    <row r="3" spans="1:21" x14ac:dyDescent="0.25">
      <c r="A3" t="s">
        <v>0</v>
      </c>
      <c r="B3" t="s">
        <v>1</v>
      </c>
      <c r="C3" t="s">
        <v>1</v>
      </c>
      <c r="D3" t="s">
        <v>1</v>
      </c>
      <c r="E3" t="s">
        <v>3</v>
      </c>
      <c r="F3" t="s">
        <v>2</v>
      </c>
      <c r="G3" t="s">
        <v>2</v>
      </c>
      <c r="H3" t="s">
        <v>4</v>
      </c>
      <c r="I3" s="2">
        <v>18954.472302063699</v>
      </c>
      <c r="J3" s="2">
        <v>198565420.722518</v>
      </c>
      <c r="K3" s="2">
        <v>198565420.722518</v>
      </c>
      <c r="L3" s="2">
        <v>7942616.8289007302</v>
      </c>
      <c r="M3" s="2">
        <v>86173.827971378603</v>
      </c>
      <c r="N3" s="2">
        <v>855364.00787298195</v>
      </c>
      <c r="O3" s="2">
        <v>0</v>
      </c>
      <c r="P3" s="2">
        <v>941537.83584435994</v>
      </c>
      <c r="Q3" s="2">
        <v>9526831.5032823104</v>
      </c>
      <c r="R3" s="2">
        <v>180154434.55449101</v>
      </c>
      <c r="S3" s="2">
        <f>$U$3*I3</f>
        <v>13270973.782289898</v>
      </c>
      <c r="T3" s="3">
        <f t="shared" ref="T3:T42" si="0">+J3-L3-P3-Q3-S3</f>
        <v>166883460.7722007</v>
      </c>
      <c r="U3" s="46">
        <f>737*0.95</f>
        <v>700.15</v>
      </c>
    </row>
    <row r="4" spans="1:21" x14ac:dyDescent="0.25">
      <c r="A4" t="s">
        <v>0</v>
      </c>
      <c r="B4" t="s">
        <v>1</v>
      </c>
      <c r="C4" t="s">
        <v>1</v>
      </c>
      <c r="D4" t="s">
        <v>1</v>
      </c>
      <c r="E4" t="s">
        <v>5</v>
      </c>
      <c r="F4" t="s">
        <v>2</v>
      </c>
      <c r="G4" t="s">
        <v>2</v>
      </c>
      <c r="H4" t="s">
        <v>6</v>
      </c>
      <c r="I4" s="2">
        <v>7982.5161006227399</v>
      </c>
      <c r="J4" s="2">
        <v>248761230.208119</v>
      </c>
      <c r="K4" s="2">
        <v>80361969.413675502</v>
      </c>
      <c r="L4" s="2">
        <v>3214478.7765470198</v>
      </c>
      <c r="M4" s="2">
        <v>4297.8030755971804</v>
      </c>
      <c r="N4" s="2">
        <v>16310.4755388264</v>
      </c>
      <c r="O4" s="2">
        <v>22522.234554471801</v>
      </c>
      <c r="P4" s="2">
        <v>43130.513168895297</v>
      </c>
      <c r="Q4" s="2">
        <v>12277122.6814248</v>
      </c>
      <c r="R4" s="2">
        <v>233226498.23697901</v>
      </c>
      <c r="S4" s="2">
        <v>9000000</v>
      </c>
      <c r="T4" s="3">
        <f t="shared" si="0"/>
        <v>224226498.23697829</v>
      </c>
    </row>
    <row r="5" spans="1:21" x14ac:dyDescent="0.25">
      <c r="A5" t="s">
        <v>0</v>
      </c>
      <c r="B5" t="s">
        <v>8</v>
      </c>
      <c r="C5" t="s">
        <v>1</v>
      </c>
      <c r="D5" t="s">
        <v>1</v>
      </c>
      <c r="E5" t="s">
        <v>3</v>
      </c>
      <c r="F5" t="s">
        <v>51</v>
      </c>
      <c r="G5" t="s">
        <v>2</v>
      </c>
      <c r="H5" t="s">
        <v>4</v>
      </c>
      <c r="I5" s="2">
        <v>117.39890577889</v>
      </c>
      <c r="J5" s="2">
        <v>1233600.3224889501</v>
      </c>
      <c r="K5" s="2">
        <v>1233600.3224889501</v>
      </c>
      <c r="L5" s="2">
        <v>49344.012899558104</v>
      </c>
      <c r="M5" s="2">
        <v>0</v>
      </c>
      <c r="N5" s="2">
        <v>6787.6040171109498</v>
      </c>
      <c r="O5" s="2">
        <v>0</v>
      </c>
      <c r="P5" s="2">
        <v>6787.6040171109498</v>
      </c>
      <c r="Q5" s="2">
        <v>59212.815479469697</v>
      </c>
      <c r="R5" s="2">
        <v>1118255.8900928099</v>
      </c>
      <c r="S5" s="2">
        <f>$U$3*I5</f>
        <v>82196.843881089822</v>
      </c>
      <c r="T5" s="3">
        <f t="shared" si="0"/>
        <v>1036059.0462117215</v>
      </c>
    </row>
    <row r="6" spans="1:21" x14ac:dyDescent="0.25">
      <c r="A6" t="s">
        <v>0</v>
      </c>
      <c r="B6" t="s">
        <v>8</v>
      </c>
      <c r="C6" t="s">
        <v>1</v>
      </c>
      <c r="D6" t="s">
        <v>1</v>
      </c>
      <c r="E6" t="s">
        <v>5</v>
      </c>
      <c r="F6" t="s">
        <v>51</v>
      </c>
      <c r="G6" t="s">
        <v>2</v>
      </c>
      <c r="H6" t="s">
        <v>6</v>
      </c>
      <c r="I6" s="2">
        <v>13.190896911045</v>
      </c>
      <c r="J6" s="2">
        <v>445816.51162212697</v>
      </c>
      <c r="K6" s="2">
        <v>144015.57903415299</v>
      </c>
      <c r="L6" s="2">
        <v>5760.6231613661103</v>
      </c>
      <c r="M6" s="2">
        <v>0</v>
      </c>
      <c r="N6" s="2">
        <v>0</v>
      </c>
      <c r="O6" s="2">
        <v>0</v>
      </c>
      <c r="P6" s="2">
        <v>0</v>
      </c>
      <c r="Q6" s="2">
        <v>22002.7944230381</v>
      </c>
      <c r="R6" s="2">
        <v>418053.09403772303</v>
      </c>
      <c r="T6" s="3">
        <f t="shared" si="0"/>
        <v>418053.0940377228</v>
      </c>
    </row>
    <row r="7" spans="1:21" x14ac:dyDescent="0.25">
      <c r="A7" t="s">
        <v>0</v>
      </c>
      <c r="B7" t="s">
        <v>13</v>
      </c>
      <c r="C7" t="s">
        <v>8</v>
      </c>
      <c r="D7" s="102" t="s">
        <v>7</v>
      </c>
      <c r="E7" t="s">
        <v>3</v>
      </c>
      <c r="F7" t="s">
        <v>9</v>
      </c>
      <c r="G7" t="s">
        <v>9</v>
      </c>
      <c r="H7" t="s">
        <v>4</v>
      </c>
      <c r="I7" s="2">
        <v>855.02113685670099</v>
      </c>
      <c r="J7" s="2">
        <v>11563738.516017601</v>
      </c>
      <c r="K7" s="2">
        <v>11563738.516017601</v>
      </c>
      <c r="L7" s="2">
        <v>462549.54064070398</v>
      </c>
      <c r="M7" s="2">
        <v>9359.1312202289992</v>
      </c>
      <c r="N7" s="2">
        <v>4275516.1787826596</v>
      </c>
      <c r="O7" s="2">
        <v>0</v>
      </c>
      <c r="P7" s="2">
        <v>4284875.3100028904</v>
      </c>
      <c r="Q7" s="2">
        <v>554591.49220783298</v>
      </c>
      <c r="R7" s="2">
        <v>6261722.1731661698</v>
      </c>
      <c r="T7" s="3">
        <f t="shared" si="0"/>
        <v>6261722.1731661735</v>
      </c>
    </row>
    <row r="8" spans="1:21" x14ac:dyDescent="0.25">
      <c r="A8" t="s">
        <v>0</v>
      </c>
      <c r="B8" t="s">
        <v>13</v>
      </c>
      <c r="C8" t="s">
        <v>8</v>
      </c>
      <c r="D8" s="102" t="s">
        <v>7</v>
      </c>
      <c r="E8" t="s">
        <v>5</v>
      </c>
      <c r="F8" t="s">
        <v>9</v>
      </c>
      <c r="G8" t="s">
        <v>9</v>
      </c>
      <c r="H8" t="s">
        <v>6</v>
      </c>
      <c r="I8" s="2">
        <v>2146.4276774873902</v>
      </c>
      <c r="J8" s="2">
        <v>50113968.033094503</v>
      </c>
      <c r="K8" s="2">
        <v>28106108.608674198</v>
      </c>
      <c r="L8" s="2">
        <v>1124244.3443469701</v>
      </c>
      <c r="M8" s="2">
        <v>901330.73139266204</v>
      </c>
      <c r="N8" s="2">
        <v>13688304.269144</v>
      </c>
      <c r="O8" s="2">
        <v>19969997.615480799</v>
      </c>
      <c r="P8" s="2">
        <v>34559632.616017498</v>
      </c>
      <c r="Q8" s="2">
        <v>2404419.6478677499</v>
      </c>
      <c r="R8" s="2">
        <v>12025671.4248624</v>
      </c>
      <c r="T8" s="3">
        <f t="shared" si="0"/>
        <v>12025671.424862284</v>
      </c>
    </row>
    <row r="9" spans="1:21" x14ac:dyDescent="0.25">
      <c r="A9" t="s">
        <v>0</v>
      </c>
      <c r="B9" t="s">
        <v>10</v>
      </c>
      <c r="C9" t="s">
        <v>7</v>
      </c>
      <c r="D9" s="102" t="s">
        <v>10</v>
      </c>
      <c r="E9" t="s">
        <v>3</v>
      </c>
      <c r="F9" t="s">
        <v>11</v>
      </c>
      <c r="G9" t="s">
        <v>11</v>
      </c>
      <c r="H9" t="s">
        <v>4</v>
      </c>
      <c r="I9" s="2">
        <v>96.216342277454402</v>
      </c>
      <c r="J9" s="2">
        <v>1120920.72157535</v>
      </c>
      <c r="K9" s="2">
        <v>1120920.72157535</v>
      </c>
      <c r="L9" s="2">
        <v>44836.828863014103</v>
      </c>
      <c r="M9" s="2">
        <v>0</v>
      </c>
      <c r="N9" s="2">
        <v>112300.672744044</v>
      </c>
      <c r="O9" s="2">
        <v>0</v>
      </c>
      <c r="P9" s="2">
        <v>112300.672744044</v>
      </c>
      <c r="Q9" s="2">
        <v>53804.194635616899</v>
      </c>
      <c r="R9" s="2">
        <v>909979.02533267601</v>
      </c>
      <c r="T9" s="3">
        <f t="shared" si="0"/>
        <v>909979.0253326752</v>
      </c>
    </row>
    <row r="10" spans="1:21" x14ac:dyDescent="0.25">
      <c r="A10" t="s">
        <v>0</v>
      </c>
      <c r="B10" t="s">
        <v>10</v>
      </c>
      <c r="C10" t="s">
        <v>7</v>
      </c>
      <c r="D10" s="102" t="s">
        <v>10</v>
      </c>
      <c r="E10" t="s">
        <v>5</v>
      </c>
      <c r="F10" t="s">
        <v>11</v>
      </c>
      <c r="G10" t="s">
        <v>11</v>
      </c>
      <c r="H10" t="s">
        <v>6</v>
      </c>
      <c r="I10" s="2">
        <v>68.832847388375498</v>
      </c>
      <c r="J10" s="2">
        <v>1403713.14406548</v>
      </c>
      <c r="K10" s="2">
        <v>790404.65237811999</v>
      </c>
      <c r="L10" s="2">
        <v>31616.186095124802</v>
      </c>
      <c r="M10" s="2">
        <v>94945.325070939507</v>
      </c>
      <c r="N10" s="2">
        <v>149638.108387905</v>
      </c>
      <c r="O10" s="2">
        <v>254951.03009809199</v>
      </c>
      <c r="P10" s="2">
        <v>499534.463556937</v>
      </c>
      <c r="Q10" s="2">
        <v>63857.581644970902</v>
      </c>
      <c r="R10" s="2">
        <v>808704.91276844905</v>
      </c>
      <c r="T10" s="3">
        <f t="shared" si="0"/>
        <v>808704.91276844731</v>
      </c>
    </row>
    <row r="11" spans="1:21" x14ac:dyDescent="0.25">
      <c r="A11" t="s">
        <v>0</v>
      </c>
      <c r="B11" t="s">
        <v>7</v>
      </c>
      <c r="C11" t="s">
        <v>13</v>
      </c>
      <c r="D11" s="102" t="s">
        <v>12</v>
      </c>
      <c r="E11" t="s">
        <v>3</v>
      </c>
      <c r="F11" t="s">
        <v>52</v>
      </c>
      <c r="G11" t="s">
        <v>14</v>
      </c>
      <c r="H11" t="s">
        <v>4</v>
      </c>
      <c r="I11" s="2">
        <v>3.8997671110910899</v>
      </c>
      <c r="J11" s="2">
        <v>62105.986809983697</v>
      </c>
      <c r="K11" s="2">
        <v>62105.986809983697</v>
      </c>
      <c r="L11" s="2">
        <v>2484.2394723993498</v>
      </c>
      <c r="M11" s="2">
        <v>0</v>
      </c>
      <c r="N11" s="2">
        <v>0</v>
      </c>
      <c r="O11" s="2">
        <v>0</v>
      </c>
      <c r="P11" s="2">
        <v>0</v>
      </c>
      <c r="Q11" s="2">
        <v>2981.0873668792201</v>
      </c>
      <c r="R11" s="2">
        <v>56640.659970705201</v>
      </c>
      <c r="T11" s="3">
        <f t="shared" si="0"/>
        <v>56640.659970705128</v>
      </c>
    </row>
    <row r="12" spans="1:21" x14ac:dyDescent="0.25">
      <c r="A12" t="s">
        <v>0</v>
      </c>
      <c r="B12" t="s">
        <v>7</v>
      </c>
      <c r="C12" t="s">
        <v>13</v>
      </c>
      <c r="D12" s="102" t="s">
        <v>12</v>
      </c>
      <c r="E12" t="s">
        <v>5</v>
      </c>
      <c r="F12" t="s">
        <v>52</v>
      </c>
      <c r="G12" t="s">
        <v>14</v>
      </c>
      <c r="H12" t="s">
        <v>6</v>
      </c>
      <c r="I12" s="2">
        <v>2.70333266665244</v>
      </c>
      <c r="J12" s="2">
        <v>66921.544102445201</v>
      </c>
      <c r="K12" s="2">
        <v>37739.546695875499</v>
      </c>
      <c r="L12" s="2">
        <v>1509.5818678350199</v>
      </c>
      <c r="M12" s="2">
        <v>0</v>
      </c>
      <c r="N12" s="2">
        <v>0</v>
      </c>
      <c r="O12" s="2">
        <v>0</v>
      </c>
      <c r="P12" s="2">
        <v>0</v>
      </c>
      <c r="Q12" s="2">
        <v>3270.59811173051</v>
      </c>
      <c r="R12" s="2">
        <v>62141.364122879699</v>
      </c>
      <c r="T12" s="3">
        <f t="shared" si="0"/>
        <v>62141.36412287967</v>
      </c>
    </row>
    <row r="13" spans="1:21" x14ac:dyDescent="0.25">
      <c r="A13" t="s">
        <v>0</v>
      </c>
      <c r="B13" t="s">
        <v>16</v>
      </c>
      <c r="C13" t="s">
        <v>13</v>
      </c>
      <c r="D13" s="102" t="s">
        <v>12</v>
      </c>
      <c r="E13" t="s">
        <v>3</v>
      </c>
      <c r="F13" t="s">
        <v>14</v>
      </c>
      <c r="G13" t="s">
        <v>14</v>
      </c>
      <c r="H13" t="s">
        <v>4</v>
      </c>
      <c r="I13" s="2">
        <v>251.51916879739099</v>
      </c>
      <c r="J13" s="2">
        <v>3790043.7918742099</v>
      </c>
      <c r="K13" s="2">
        <v>3790043.7918742099</v>
      </c>
      <c r="L13" s="2">
        <v>151601.75167496901</v>
      </c>
      <c r="M13" s="2">
        <v>15311.324526539</v>
      </c>
      <c r="N13" s="2">
        <v>882979.63368086296</v>
      </c>
      <c r="O13" s="2">
        <v>0</v>
      </c>
      <c r="P13" s="2">
        <v>898290.95820740203</v>
      </c>
      <c r="Q13" s="2">
        <v>181156.53578363499</v>
      </c>
      <c r="R13" s="2">
        <v>2558994.5462082098</v>
      </c>
      <c r="T13" s="3">
        <f t="shared" si="0"/>
        <v>2558994.5462082038</v>
      </c>
    </row>
    <row r="14" spans="1:21" x14ac:dyDescent="0.25">
      <c r="A14" t="s">
        <v>0</v>
      </c>
      <c r="B14" t="s">
        <v>16</v>
      </c>
      <c r="C14" t="s">
        <v>13</v>
      </c>
      <c r="D14" s="102" t="s">
        <v>12</v>
      </c>
      <c r="E14" t="s">
        <v>5</v>
      </c>
      <c r="F14" t="s">
        <v>14</v>
      </c>
      <c r="G14" t="s">
        <v>14</v>
      </c>
      <c r="H14" t="s">
        <v>6</v>
      </c>
      <c r="I14" s="2">
        <v>931.65973368175798</v>
      </c>
      <c r="J14" s="2">
        <v>22789332.811051399</v>
      </c>
      <c r="K14" s="2">
        <v>12852767.376056399</v>
      </c>
      <c r="L14" s="2">
        <v>514110.69504225597</v>
      </c>
      <c r="M14" s="2">
        <v>261021.66881298201</v>
      </c>
      <c r="N14" s="2">
        <v>3109251.2906355299</v>
      </c>
      <c r="O14" s="2">
        <v>8765004.08487547</v>
      </c>
      <c r="P14" s="2">
        <v>12135277.044323999</v>
      </c>
      <c r="Q14" s="2">
        <v>1100710.0223598101</v>
      </c>
      <c r="R14" s="2">
        <v>9039235.0493253693</v>
      </c>
      <c r="T14" s="3">
        <f t="shared" si="0"/>
        <v>9039235.049325332</v>
      </c>
    </row>
    <row r="15" spans="1:21" x14ac:dyDescent="0.25">
      <c r="A15" t="s">
        <v>0</v>
      </c>
      <c r="B15" t="s">
        <v>47</v>
      </c>
      <c r="C15" t="s">
        <v>16</v>
      </c>
      <c r="D15" s="102" t="s">
        <v>15</v>
      </c>
      <c r="E15" t="s">
        <v>3</v>
      </c>
      <c r="F15" t="s">
        <v>53</v>
      </c>
      <c r="G15" t="s">
        <v>17</v>
      </c>
      <c r="H15" t="s">
        <v>4</v>
      </c>
      <c r="I15" s="2">
        <v>146.43536024887999</v>
      </c>
      <c r="J15" s="2">
        <v>1970249.18079025</v>
      </c>
      <c r="K15" s="2">
        <v>1970249.18079025</v>
      </c>
      <c r="L15" s="2">
        <v>78809.967231610193</v>
      </c>
      <c r="M15" s="2">
        <v>0</v>
      </c>
      <c r="N15" s="2">
        <v>402762.86085513199</v>
      </c>
      <c r="O15" s="2">
        <v>0</v>
      </c>
      <c r="P15" s="2">
        <v>402762.86085513199</v>
      </c>
      <c r="Q15" s="2">
        <v>94571.960677932206</v>
      </c>
      <c r="R15" s="2">
        <v>1394104.3920255799</v>
      </c>
      <c r="T15" s="3">
        <f t="shared" si="0"/>
        <v>1394104.3920255757</v>
      </c>
    </row>
    <row r="16" spans="1:21" x14ac:dyDescent="0.25">
      <c r="A16" t="s">
        <v>0</v>
      </c>
      <c r="B16" t="s">
        <v>47</v>
      </c>
      <c r="C16" t="s">
        <v>16</v>
      </c>
      <c r="D16" s="102" t="s">
        <v>15</v>
      </c>
      <c r="E16" t="s">
        <v>5</v>
      </c>
      <c r="F16" t="s">
        <v>53</v>
      </c>
      <c r="G16" t="s">
        <v>17</v>
      </c>
      <c r="H16" t="s">
        <v>6</v>
      </c>
      <c r="I16" s="2">
        <v>332.822979941759</v>
      </c>
      <c r="J16" s="2">
        <v>7122549.6898300601</v>
      </c>
      <c r="K16" s="2">
        <v>4010546.4207832799</v>
      </c>
      <c r="L16" s="2">
        <v>160421.85683133101</v>
      </c>
      <c r="M16" s="2">
        <v>61731.047832293298</v>
      </c>
      <c r="N16" s="2">
        <v>823620.57677203405</v>
      </c>
      <c r="O16" s="2">
        <v>2703292.6007957701</v>
      </c>
      <c r="P16" s="2">
        <v>3588644.2254001</v>
      </c>
      <c r="Q16" s="2">
        <v>345019.83925832203</v>
      </c>
      <c r="R16" s="2">
        <v>3028463.7683403101</v>
      </c>
      <c r="T16" s="3">
        <f t="shared" si="0"/>
        <v>3028463.7683403073</v>
      </c>
    </row>
    <row r="17" spans="1:20" x14ac:dyDescent="0.25">
      <c r="A17" t="s">
        <v>0</v>
      </c>
      <c r="B17" t="s">
        <v>54</v>
      </c>
      <c r="C17" t="s">
        <v>16</v>
      </c>
      <c r="D17" s="102" t="s">
        <v>15</v>
      </c>
      <c r="E17" t="s">
        <v>3</v>
      </c>
      <c r="F17" t="s">
        <v>55</v>
      </c>
      <c r="G17" t="s">
        <v>17</v>
      </c>
      <c r="H17" t="s">
        <v>4</v>
      </c>
      <c r="I17" s="2">
        <v>14.7137724998206</v>
      </c>
      <c r="J17" s="2">
        <v>228949.710870604</v>
      </c>
      <c r="K17" s="2">
        <v>228949.710870604</v>
      </c>
      <c r="L17" s="2">
        <v>9157.9884348241594</v>
      </c>
      <c r="M17" s="2">
        <v>0</v>
      </c>
      <c r="N17" s="2">
        <v>24640.1123040167</v>
      </c>
      <c r="O17" s="2">
        <v>0</v>
      </c>
      <c r="P17" s="2">
        <v>24640.1123040167</v>
      </c>
      <c r="Q17" s="2">
        <v>10989.586121789</v>
      </c>
      <c r="R17" s="2">
        <v>184162.024009974</v>
      </c>
      <c r="T17" s="3">
        <f t="shared" si="0"/>
        <v>184162.02400997415</v>
      </c>
    </row>
    <row r="18" spans="1:20" x14ac:dyDescent="0.25">
      <c r="A18" t="s">
        <v>0</v>
      </c>
      <c r="B18" t="s">
        <v>54</v>
      </c>
      <c r="C18" t="s">
        <v>16</v>
      </c>
      <c r="D18" s="102" t="s">
        <v>15</v>
      </c>
      <c r="E18" t="s">
        <v>5</v>
      </c>
      <c r="F18" t="s">
        <v>55</v>
      </c>
      <c r="G18" t="s">
        <v>17</v>
      </c>
      <c r="H18" t="s">
        <v>6</v>
      </c>
      <c r="I18" s="2">
        <v>9.8182370443354703</v>
      </c>
      <c r="J18" s="2">
        <v>263548.63884112402</v>
      </c>
      <c r="K18" s="2">
        <v>148402.886666782</v>
      </c>
      <c r="L18" s="2">
        <v>5936.11546667127</v>
      </c>
      <c r="M18" s="2">
        <v>0</v>
      </c>
      <c r="N18" s="2">
        <v>21092.0570800901</v>
      </c>
      <c r="O18" s="2">
        <v>16369.7529759394</v>
      </c>
      <c r="P18" s="2">
        <v>37461.810056029499</v>
      </c>
      <c r="Q18" s="2">
        <v>12880.6261687227</v>
      </c>
      <c r="R18" s="2">
        <v>207270.08714970099</v>
      </c>
      <c r="T18" s="3">
        <f t="shared" si="0"/>
        <v>207270.08714970056</v>
      </c>
    </row>
    <row r="19" spans="1:20" x14ac:dyDescent="0.25">
      <c r="A19" t="s">
        <v>0</v>
      </c>
      <c r="B19" t="s">
        <v>31</v>
      </c>
      <c r="C19" t="s">
        <v>12</v>
      </c>
      <c r="D19" s="102" t="s">
        <v>18</v>
      </c>
      <c r="E19" t="s">
        <v>3</v>
      </c>
      <c r="F19" t="s">
        <v>56</v>
      </c>
      <c r="G19" t="s">
        <v>19</v>
      </c>
      <c r="H19" t="s">
        <v>4</v>
      </c>
      <c r="I19" s="2">
        <v>330.12867185360199</v>
      </c>
      <c r="J19" s="2">
        <v>3594148.8131396999</v>
      </c>
      <c r="K19" s="2">
        <v>3594148.8131396999</v>
      </c>
      <c r="L19" s="2">
        <v>143765.95252558801</v>
      </c>
      <c r="M19" s="2">
        <v>0</v>
      </c>
      <c r="N19" s="2">
        <v>255592.74036507701</v>
      </c>
      <c r="O19" s="2">
        <v>0</v>
      </c>
      <c r="P19" s="2">
        <v>255592.74036507701</v>
      </c>
      <c r="Q19" s="2">
        <v>172519.14303070601</v>
      </c>
      <c r="R19" s="2">
        <v>3022270.9772183299</v>
      </c>
      <c r="T19" s="3">
        <f t="shared" si="0"/>
        <v>3022270.977218329</v>
      </c>
    </row>
    <row r="20" spans="1:20" x14ac:dyDescent="0.25">
      <c r="A20" t="s">
        <v>0</v>
      </c>
      <c r="B20" t="s">
        <v>31</v>
      </c>
      <c r="C20" t="s">
        <v>12</v>
      </c>
      <c r="D20" s="102" t="s">
        <v>18</v>
      </c>
      <c r="E20" t="s">
        <v>5</v>
      </c>
      <c r="F20" t="s">
        <v>56</v>
      </c>
      <c r="G20" t="s">
        <v>19</v>
      </c>
      <c r="H20" t="s">
        <v>6</v>
      </c>
      <c r="I20" s="2">
        <v>88.103417165904901</v>
      </c>
      <c r="J20" s="2">
        <v>1875182.2329408301</v>
      </c>
      <c r="K20" s="2">
        <v>1016683.49959578</v>
      </c>
      <c r="L20" s="2">
        <v>40667.339983831203</v>
      </c>
      <c r="M20" s="2">
        <v>58171.578057664301</v>
      </c>
      <c r="N20" s="2">
        <v>106817.34922976499</v>
      </c>
      <c r="O20" s="2">
        <v>300665.11226123001</v>
      </c>
      <c r="P20" s="2">
        <v>465654.03954865999</v>
      </c>
      <c r="Q20" s="2">
        <v>88817.165744966595</v>
      </c>
      <c r="R20" s="2">
        <v>1280043.68766337</v>
      </c>
      <c r="T20" s="3">
        <f t="shared" si="0"/>
        <v>1280043.6876633724</v>
      </c>
    </row>
    <row r="21" spans="1:20" x14ac:dyDescent="0.25">
      <c r="A21" t="s">
        <v>0</v>
      </c>
      <c r="B21" t="s">
        <v>57</v>
      </c>
      <c r="C21" t="s">
        <v>12</v>
      </c>
      <c r="D21" s="102" t="s">
        <v>18</v>
      </c>
      <c r="E21" t="s">
        <v>3</v>
      </c>
      <c r="F21" t="s">
        <v>58</v>
      </c>
      <c r="G21" t="s">
        <v>19</v>
      </c>
      <c r="H21" t="s">
        <v>4</v>
      </c>
      <c r="I21" s="2">
        <v>122.13317516639199</v>
      </c>
      <c r="J21" s="2">
        <v>1749683.4530350999</v>
      </c>
      <c r="K21" s="2">
        <v>1749683.4530350999</v>
      </c>
      <c r="L21" s="2">
        <v>69987.3381214041</v>
      </c>
      <c r="M21" s="2">
        <v>0</v>
      </c>
      <c r="N21" s="2">
        <v>506944.64692086697</v>
      </c>
      <c r="O21" s="2">
        <v>0</v>
      </c>
      <c r="P21" s="2">
        <v>506944.64692086697</v>
      </c>
      <c r="Q21" s="2">
        <v>83984.805745684906</v>
      </c>
      <c r="R21" s="2">
        <v>1088766.66224715</v>
      </c>
      <c r="T21" s="3">
        <f t="shared" si="0"/>
        <v>1088766.6622471437</v>
      </c>
    </row>
    <row r="22" spans="1:20" x14ac:dyDescent="0.25">
      <c r="A22" t="s">
        <v>0</v>
      </c>
      <c r="B22" t="s">
        <v>57</v>
      </c>
      <c r="C22" t="s">
        <v>12</v>
      </c>
      <c r="D22" s="102" t="s">
        <v>18</v>
      </c>
      <c r="E22" t="s">
        <v>5</v>
      </c>
      <c r="F22" t="s">
        <v>58</v>
      </c>
      <c r="G22" t="s">
        <v>19</v>
      </c>
      <c r="H22" t="s">
        <v>6</v>
      </c>
      <c r="I22" s="2">
        <v>90.127293333105001</v>
      </c>
      <c r="J22" s="2">
        <v>2307914.02268419</v>
      </c>
      <c r="K22" s="2">
        <v>1251309.5526652001</v>
      </c>
      <c r="L22" s="2">
        <v>50052.3821066081</v>
      </c>
      <c r="M22" s="2">
        <v>118718.475185267</v>
      </c>
      <c r="N22" s="2">
        <v>481084.02712397499</v>
      </c>
      <c r="O22" s="2">
        <v>891086.19471092604</v>
      </c>
      <c r="P22" s="2">
        <v>1490888.69702017</v>
      </c>
      <c r="Q22" s="2">
        <v>106957.158269616</v>
      </c>
      <c r="R22" s="2">
        <v>660015.78528780397</v>
      </c>
      <c r="T22" s="3">
        <f t="shared" si="0"/>
        <v>660015.7852877957</v>
      </c>
    </row>
    <row r="23" spans="1:20" x14ac:dyDescent="0.25">
      <c r="A23" t="s">
        <v>0</v>
      </c>
      <c r="B23" t="s">
        <v>41</v>
      </c>
      <c r="C23" t="s">
        <v>15</v>
      </c>
      <c r="D23" s="102" t="s">
        <v>21</v>
      </c>
      <c r="E23" t="s">
        <v>3</v>
      </c>
      <c r="F23" t="s">
        <v>59</v>
      </c>
      <c r="G23" t="s">
        <v>22</v>
      </c>
      <c r="H23" t="s">
        <v>4</v>
      </c>
      <c r="I23" s="2">
        <v>227.31430373215599</v>
      </c>
      <c r="J23" s="2">
        <v>2845120.7784460899</v>
      </c>
      <c r="K23" s="2">
        <v>2845120.7784460899</v>
      </c>
      <c r="L23" s="2">
        <v>113804.831137844</v>
      </c>
      <c r="M23" s="2">
        <v>0</v>
      </c>
      <c r="N23" s="2">
        <v>111879.755526066</v>
      </c>
      <c r="O23" s="2">
        <v>0</v>
      </c>
      <c r="P23" s="2">
        <v>111879.755526066</v>
      </c>
      <c r="Q23" s="2">
        <v>136565.79736541299</v>
      </c>
      <c r="R23" s="2">
        <v>2482870.39441677</v>
      </c>
      <c r="T23" s="3">
        <f t="shared" si="0"/>
        <v>2482870.3944167672</v>
      </c>
    </row>
    <row r="24" spans="1:20" x14ac:dyDescent="0.25">
      <c r="A24" t="s">
        <v>0</v>
      </c>
      <c r="B24" t="s">
        <v>41</v>
      </c>
      <c r="C24" t="s">
        <v>15</v>
      </c>
      <c r="D24" s="102" t="s">
        <v>21</v>
      </c>
      <c r="E24" t="s">
        <v>5</v>
      </c>
      <c r="F24" t="s">
        <v>59</v>
      </c>
      <c r="G24" t="s">
        <v>22</v>
      </c>
      <c r="H24" t="s">
        <v>6</v>
      </c>
      <c r="I24" s="2">
        <v>102.758176732753</v>
      </c>
      <c r="J24" s="2">
        <v>2183649.7827006001</v>
      </c>
      <c r="K24" s="2">
        <v>1277712.743363</v>
      </c>
      <c r="L24" s="2">
        <v>51108.509734520099</v>
      </c>
      <c r="M24" s="2">
        <v>0</v>
      </c>
      <c r="N24" s="2">
        <v>16710.746330249502</v>
      </c>
      <c r="O24" s="2">
        <v>71087.235084196102</v>
      </c>
      <c r="P24" s="2">
        <v>87797.981414445603</v>
      </c>
      <c r="Q24" s="2">
        <v>106627.063648304</v>
      </c>
      <c r="R24" s="2">
        <v>1938116.22790333</v>
      </c>
      <c r="T24" s="3">
        <f t="shared" si="0"/>
        <v>1938116.2279033302</v>
      </c>
    </row>
    <row r="25" spans="1:20" x14ac:dyDescent="0.25">
      <c r="A25" t="s">
        <v>0</v>
      </c>
      <c r="B25" t="s">
        <v>60</v>
      </c>
      <c r="C25" t="s">
        <v>24</v>
      </c>
      <c r="D25" s="102" t="s">
        <v>23</v>
      </c>
      <c r="E25" t="s">
        <v>3</v>
      </c>
      <c r="F25" t="s">
        <v>61</v>
      </c>
      <c r="G25" t="s">
        <v>25</v>
      </c>
      <c r="H25" t="s">
        <v>4</v>
      </c>
      <c r="I25" s="2">
        <v>118.957556998719</v>
      </c>
      <c r="J25" s="2">
        <v>1757702.83814966</v>
      </c>
      <c r="K25" s="2">
        <v>1757702.83814966</v>
      </c>
      <c r="L25" s="2">
        <v>70308.113525986293</v>
      </c>
      <c r="M25" s="2">
        <v>0</v>
      </c>
      <c r="N25" s="2">
        <v>338468.44128789299</v>
      </c>
      <c r="O25" s="2">
        <v>0</v>
      </c>
      <c r="P25" s="2">
        <v>338468.44128789299</v>
      </c>
      <c r="Q25" s="2">
        <v>84369.736231183502</v>
      </c>
      <c r="R25" s="2">
        <v>1264556.5471045901</v>
      </c>
      <c r="T25" s="3">
        <f t="shared" si="0"/>
        <v>1264556.5471045973</v>
      </c>
    </row>
    <row r="26" spans="1:20" x14ac:dyDescent="0.25">
      <c r="A26" t="s">
        <v>0</v>
      </c>
      <c r="B26" t="s">
        <v>60</v>
      </c>
      <c r="C26" t="s">
        <v>24</v>
      </c>
      <c r="D26" s="102" t="s">
        <v>23</v>
      </c>
      <c r="E26" t="s">
        <v>5</v>
      </c>
      <c r="F26" t="s">
        <v>61</v>
      </c>
      <c r="G26" t="s">
        <v>25</v>
      </c>
      <c r="H26" t="s">
        <v>6</v>
      </c>
      <c r="I26" s="2">
        <v>197.34850104713499</v>
      </c>
      <c r="J26" s="2">
        <v>4808447.2191716796</v>
      </c>
      <c r="K26" s="2">
        <v>2765003.3045673999</v>
      </c>
      <c r="L26" s="2">
        <v>110600.132182696</v>
      </c>
      <c r="M26" s="2">
        <v>26915.380664340399</v>
      </c>
      <c r="N26" s="2">
        <v>682678.636611277</v>
      </c>
      <c r="O26" s="2">
        <v>1809130.4906587801</v>
      </c>
      <c r="P26" s="2">
        <v>2518724.5079343999</v>
      </c>
      <c r="Q26" s="2">
        <v>233546.585316232</v>
      </c>
      <c r="R26" s="2">
        <v>1945575.99373835</v>
      </c>
      <c r="T26" s="3">
        <f t="shared" si="0"/>
        <v>1945575.9937383519</v>
      </c>
    </row>
    <row r="27" spans="1:20" x14ac:dyDescent="0.25">
      <c r="A27" t="s">
        <v>0</v>
      </c>
      <c r="B27" t="s">
        <v>62</v>
      </c>
      <c r="C27" t="s">
        <v>24</v>
      </c>
      <c r="D27" s="102" t="s">
        <v>23</v>
      </c>
      <c r="E27" t="s">
        <v>3</v>
      </c>
      <c r="F27" t="s">
        <v>63</v>
      </c>
      <c r="G27" t="s">
        <v>25</v>
      </c>
      <c r="H27" t="s">
        <v>4</v>
      </c>
      <c r="I27" s="2">
        <v>4.8589519999722297</v>
      </c>
      <c r="J27" s="2">
        <v>72704.516613452899</v>
      </c>
      <c r="K27" s="2">
        <v>72704.516613452899</v>
      </c>
      <c r="L27" s="2">
        <v>2908.1806645381198</v>
      </c>
      <c r="M27" s="2">
        <v>0</v>
      </c>
      <c r="N27" s="2">
        <v>52225.1865993174</v>
      </c>
      <c r="O27" s="2">
        <v>0</v>
      </c>
      <c r="P27" s="2">
        <v>52225.1865993174</v>
      </c>
      <c r="Q27" s="2">
        <v>3489.8167974457401</v>
      </c>
      <c r="R27" s="2">
        <v>14081.3325521516</v>
      </c>
      <c r="T27" s="3">
        <f t="shared" si="0"/>
        <v>14081.332552151645</v>
      </c>
    </row>
    <row r="28" spans="1:20" x14ac:dyDescent="0.25">
      <c r="A28" t="s">
        <v>0</v>
      </c>
      <c r="B28" t="s">
        <v>62</v>
      </c>
      <c r="C28" t="s">
        <v>24</v>
      </c>
      <c r="D28" s="102" t="s">
        <v>23</v>
      </c>
      <c r="E28" t="s">
        <v>5</v>
      </c>
      <c r="F28" t="s">
        <v>63</v>
      </c>
      <c r="G28" t="s">
        <v>25</v>
      </c>
      <c r="H28" t="s">
        <v>6</v>
      </c>
      <c r="I28" s="2">
        <v>15.2897505554691</v>
      </c>
      <c r="J28" s="2">
        <v>291269.93457972602</v>
      </c>
      <c r="K28" s="2">
        <v>167487.46296341499</v>
      </c>
      <c r="L28" s="2">
        <v>6699.4985185366004</v>
      </c>
      <c r="M28" s="2">
        <v>44860.2083294392</v>
      </c>
      <c r="N28" s="2">
        <v>94505.895304769496</v>
      </c>
      <c r="O28" s="2">
        <v>103119.807515819</v>
      </c>
      <c r="P28" s="2">
        <v>242485.911150028</v>
      </c>
      <c r="Q28" s="2">
        <v>11985.511386587499</v>
      </c>
      <c r="R28" s="2">
        <v>30099.013524574199</v>
      </c>
      <c r="T28" s="3">
        <f t="shared" si="0"/>
        <v>30099.013524573897</v>
      </c>
    </row>
    <row r="29" spans="1:20" x14ac:dyDescent="0.25">
      <c r="A29" t="s">
        <v>0</v>
      </c>
      <c r="B29" t="s">
        <v>26</v>
      </c>
      <c r="C29" t="s">
        <v>18</v>
      </c>
      <c r="D29" s="102" t="s">
        <v>26</v>
      </c>
      <c r="E29" t="s">
        <v>3</v>
      </c>
      <c r="F29" t="s">
        <v>64</v>
      </c>
      <c r="G29" t="s">
        <v>27</v>
      </c>
      <c r="H29" t="s">
        <v>4</v>
      </c>
      <c r="I29" s="2">
        <v>63.828208570985701</v>
      </c>
      <c r="J29" s="2">
        <v>761858.68858179497</v>
      </c>
      <c r="K29" s="2">
        <v>761858.68858179497</v>
      </c>
      <c r="L29" s="2">
        <v>30474.347543271801</v>
      </c>
      <c r="M29" s="2">
        <v>0</v>
      </c>
      <c r="N29" s="2">
        <v>66722.125747426297</v>
      </c>
      <c r="O29" s="2">
        <v>0</v>
      </c>
      <c r="P29" s="2">
        <v>66722.125747426297</v>
      </c>
      <c r="Q29" s="2">
        <v>36569.2170519262</v>
      </c>
      <c r="R29" s="2">
        <v>628092.99823917099</v>
      </c>
      <c r="T29" s="3">
        <f t="shared" si="0"/>
        <v>628092.99823917064</v>
      </c>
    </row>
    <row r="30" spans="1:20" x14ac:dyDescent="0.25">
      <c r="A30" t="s">
        <v>0</v>
      </c>
      <c r="B30" t="s">
        <v>26</v>
      </c>
      <c r="C30" t="s">
        <v>18</v>
      </c>
      <c r="D30" s="102" t="s">
        <v>26</v>
      </c>
      <c r="E30" t="s">
        <v>5</v>
      </c>
      <c r="F30" t="s">
        <v>64</v>
      </c>
      <c r="G30" t="s">
        <v>27</v>
      </c>
      <c r="H30" t="s">
        <v>6</v>
      </c>
      <c r="I30" s="2">
        <v>99.680463375633494</v>
      </c>
      <c r="J30" s="2">
        <v>2167983.8597772499</v>
      </c>
      <c r="K30" s="2">
        <v>1159003.8970572399</v>
      </c>
      <c r="L30" s="2">
        <v>46360.1558822894</v>
      </c>
      <c r="M30" s="2">
        <v>385255.68738801999</v>
      </c>
      <c r="N30" s="2">
        <v>173562.56535048201</v>
      </c>
      <c r="O30" s="2">
        <v>393381.48056875</v>
      </c>
      <c r="P30" s="2">
        <v>952199.73330725299</v>
      </c>
      <c r="Q30" s="2">
        <v>86818.400825347198</v>
      </c>
      <c r="R30" s="2">
        <v>1082605.5697623701</v>
      </c>
      <c r="T30" s="3">
        <f t="shared" si="0"/>
        <v>1082605.5697623603</v>
      </c>
    </row>
    <row r="31" spans="1:20" x14ac:dyDescent="0.25">
      <c r="A31" t="s">
        <v>0</v>
      </c>
      <c r="B31" t="s">
        <v>38</v>
      </c>
      <c r="C31" t="s">
        <v>18</v>
      </c>
      <c r="D31" s="102" t="s">
        <v>26</v>
      </c>
      <c r="E31" t="s">
        <v>3</v>
      </c>
      <c r="F31" t="s">
        <v>65</v>
      </c>
      <c r="G31" t="s">
        <v>27</v>
      </c>
      <c r="H31" t="s">
        <v>4</v>
      </c>
      <c r="I31" s="2">
        <v>39.608056899780699</v>
      </c>
      <c r="J31" s="2">
        <v>588325.946714474</v>
      </c>
      <c r="K31" s="2">
        <v>588325.946714474</v>
      </c>
      <c r="L31" s="2">
        <v>23533.037868578998</v>
      </c>
      <c r="M31" s="2">
        <v>0</v>
      </c>
      <c r="N31" s="2">
        <v>106855.59851627699</v>
      </c>
      <c r="O31" s="2">
        <v>0</v>
      </c>
      <c r="P31" s="2">
        <v>106855.59851627699</v>
      </c>
      <c r="Q31" s="2">
        <v>28239.645442294801</v>
      </c>
      <c r="R31" s="2">
        <v>429697.66488732299</v>
      </c>
      <c r="T31" s="3">
        <f t="shared" si="0"/>
        <v>429697.66488732316</v>
      </c>
    </row>
    <row r="32" spans="1:20" x14ac:dyDescent="0.25">
      <c r="A32" t="s">
        <v>0</v>
      </c>
      <c r="B32" t="s">
        <v>38</v>
      </c>
      <c r="C32" t="s">
        <v>18</v>
      </c>
      <c r="D32" s="102" t="s">
        <v>26</v>
      </c>
      <c r="E32" t="s">
        <v>5</v>
      </c>
      <c r="F32" t="s">
        <v>65</v>
      </c>
      <c r="G32" t="s">
        <v>27</v>
      </c>
      <c r="H32" t="s">
        <v>6</v>
      </c>
      <c r="I32" s="2">
        <v>36.902446844165603</v>
      </c>
      <c r="J32" s="2">
        <v>951747.27752518898</v>
      </c>
      <c r="K32" s="2">
        <v>494692.68563546101</v>
      </c>
      <c r="L32" s="2">
        <v>19787.707425418401</v>
      </c>
      <c r="M32" s="2">
        <v>92938.529538097093</v>
      </c>
      <c r="N32" s="2">
        <v>160898.94085327201</v>
      </c>
      <c r="O32" s="2">
        <v>303389.56880634301</v>
      </c>
      <c r="P32" s="2">
        <v>557227.03919771197</v>
      </c>
      <c r="Q32" s="2">
        <v>41951.052028083701</v>
      </c>
      <c r="R32" s="2">
        <v>332781.478873974</v>
      </c>
      <c r="T32" s="3">
        <f t="shared" si="0"/>
        <v>332781.47887397488</v>
      </c>
    </row>
    <row r="33" spans="1:22" x14ac:dyDescent="0.25">
      <c r="A33" t="s">
        <v>0</v>
      </c>
      <c r="B33" t="s">
        <v>21</v>
      </c>
      <c r="C33" t="s">
        <v>29</v>
      </c>
      <c r="D33" s="102" t="s">
        <v>28</v>
      </c>
      <c r="E33" t="s">
        <v>3</v>
      </c>
      <c r="F33" t="s">
        <v>66</v>
      </c>
      <c r="G33" t="s">
        <v>30</v>
      </c>
      <c r="H33" t="s">
        <v>4</v>
      </c>
      <c r="I33" s="2">
        <v>98.279961666940494</v>
      </c>
      <c r="J33" s="2">
        <v>1298161.3379792499</v>
      </c>
      <c r="K33" s="2">
        <v>1298161.3379792499</v>
      </c>
      <c r="L33" s="2">
        <v>51926.453519169998</v>
      </c>
      <c r="M33" s="2">
        <v>0</v>
      </c>
      <c r="N33" s="2">
        <v>13563.1537371211</v>
      </c>
      <c r="O33" s="2">
        <v>0</v>
      </c>
      <c r="P33" s="2">
        <v>13563.1537371211</v>
      </c>
      <c r="Q33" s="2">
        <v>62311.744223004098</v>
      </c>
      <c r="R33" s="2">
        <v>1170359.9864999601</v>
      </c>
      <c r="T33" s="3">
        <f t="shared" si="0"/>
        <v>1170359.9864999547</v>
      </c>
    </row>
    <row r="34" spans="1:22" x14ac:dyDescent="0.25">
      <c r="A34" t="s">
        <v>0</v>
      </c>
      <c r="B34" t="s">
        <v>21</v>
      </c>
      <c r="C34" t="s">
        <v>29</v>
      </c>
      <c r="D34" s="102" t="s">
        <v>28</v>
      </c>
      <c r="E34" t="s">
        <v>5</v>
      </c>
      <c r="F34" t="s">
        <v>66</v>
      </c>
      <c r="G34" t="s">
        <v>30</v>
      </c>
      <c r="H34" t="s">
        <v>6</v>
      </c>
      <c r="I34" s="2">
        <v>121.07415676694799</v>
      </c>
      <c r="J34" s="2">
        <v>3239367.7488024901</v>
      </c>
      <c r="K34" s="2">
        <v>1546319.3296684001</v>
      </c>
      <c r="L34" s="2">
        <v>61852.773186735802</v>
      </c>
      <c r="M34" s="2">
        <v>24992.2457114555</v>
      </c>
      <c r="N34" s="2">
        <v>41355.811614643899</v>
      </c>
      <c r="O34" s="2">
        <v>336364.28912979801</v>
      </c>
      <c r="P34" s="2">
        <v>402712.34645589802</v>
      </c>
      <c r="Q34" s="2">
        <v>157626.136495215</v>
      </c>
      <c r="R34" s="2">
        <v>2617176.4926646398</v>
      </c>
      <c r="T34" s="3">
        <f t="shared" si="0"/>
        <v>2617176.4926646412</v>
      </c>
    </row>
    <row r="35" spans="1:22" x14ac:dyDescent="0.25">
      <c r="A35" t="s">
        <v>0</v>
      </c>
      <c r="B35" t="s">
        <v>37</v>
      </c>
      <c r="C35" t="s">
        <v>29</v>
      </c>
      <c r="D35" s="102" t="s">
        <v>28</v>
      </c>
      <c r="E35" t="s">
        <v>3</v>
      </c>
      <c r="F35" t="s">
        <v>67</v>
      </c>
      <c r="G35" t="s">
        <v>30</v>
      </c>
      <c r="H35" t="s">
        <v>4</v>
      </c>
      <c r="I35" s="2">
        <v>63.448812777856801</v>
      </c>
      <c r="J35" s="2">
        <v>812462.18180515303</v>
      </c>
      <c r="K35" s="2">
        <v>812462.18180515303</v>
      </c>
      <c r="L35" s="2">
        <v>32498.487272206101</v>
      </c>
      <c r="M35" s="2">
        <v>5237.0833042094901</v>
      </c>
      <c r="N35" s="2">
        <v>35897.760817715702</v>
      </c>
      <c r="O35" s="2">
        <v>0</v>
      </c>
      <c r="P35" s="2">
        <v>41134.844121925198</v>
      </c>
      <c r="Q35" s="2">
        <v>38736.330561436902</v>
      </c>
      <c r="R35" s="2">
        <v>700092.51984958502</v>
      </c>
      <c r="T35" s="3">
        <f t="shared" si="0"/>
        <v>700092.51984958479</v>
      </c>
    </row>
    <row r="36" spans="1:22" x14ac:dyDescent="0.25">
      <c r="A36" t="s">
        <v>0</v>
      </c>
      <c r="B36" t="s">
        <v>37</v>
      </c>
      <c r="C36" t="s">
        <v>29</v>
      </c>
      <c r="D36" s="102" t="s">
        <v>28</v>
      </c>
      <c r="E36" t="s">
        <v>5</v>
      </c>
      <c r="F36" t="s">
        <v>67</v>
      </c>
      <c r="G36" t="s">
        <v>30</v>
      </c>
      <c r="H36" t="s">
        <v>6</v>
      </c>
      <c r="I36" s="2">
        <v>129.745700600178</v>
      </c>
      <c r="J36" s="2">
        <v>2772615.1857583602</v>
      </c>
      <c r="K36" s="2">
        <v>1564880.19630424</v>
      </c>
      <c r="L36" s="2">
        <v>62595.2078521695</v>
      </c>
      <c r="M36" s="2">
        <v>160255.68237540801</v>
      </c>
      <c r="N36" s="2">
        <v>22341.0475039335</v>
      </c>
      <c r="O36" s="2">
        <v>110256.330557436</v>
      </c>
      <c r="P36" s="2">
        <v>292853.060436778</v>
      </c>
      <c r="Q36" s="2">
        <v>127488.214776539</v>
      </c>
      <c r="R36" s="2">
        <v>2289678.7026928798</v>
      </c>
      <c r="T36" s="3">
        <f t="shared" si="0"/>
        <v>2289678.7026928742</v>
      </c>
    </row>
    <row r="37" spans="1:22" x14ac:dyDescent="0.25">
      <c r="A37" t="s">
        <v>0</v>
      </c>
      <c r="B37" t="s">
        <v>68</v>
      </c>
      <c r="C37" t="s">
        <v>32</v>
      </c>
      <c r="D37" s="102" t="s">
        <v>31</v>
      </c>
      <c r="E37" t="s">
        <v>3</v>
      </c>
      <c r="F37" t="s">
        <v>69</v>
      </c>
      <c r="G37" t="s">
        <v>33</v>
      </c>
      <c r="H37" t="s">
        <v>4</v>
      </c>
      <c r="I37" s="2">
        <v>5.8109747110630003</v>
      </c>
      <c r="J37" s="2">
        <v>98657.905907763095</v>
      </c>
      <c r="K37" s="2">
        <v>98657.905907763095</v>
      </c>
      <c r="L37" s="2">
        <v>3946.3162363105198</v>
      </c>
      <c r="M37" s="2">
        <v>0</v>
      </c>
      <c r="N37" s="2">
        <v>0</v>
      </c>
      <c r="O37" s="2">
        <v>0</v>
      </c>
      <c r="P37" s="2">
        <v>0</v>
      </c>
      <c r="Q37" s="2">
        <v>4735.5794835726301</v>
      </c>
      <c r="R37" s="2">
        <v>89976.010187880005</v>
      </c>
      <c r="T37" s="3">
        <f t="shared" si="0"/>
        <v>89976.010187879947</v>
      </c>
      <c r="U37" s="3"/>
      <c r="V37" s="3"/>
    </row>
    <row r="38" spans="1:22" x14ac:dyDescent="0.25">
      <c r="A38" t="s">
        <v>0</v>
      </c>
      <c r="B38" t="s">
        <v>68</v>
      </c>
      <c r="C38" t="s">
        <v>32</v>
      </c>
      <c r="D38" s="102" t="s">
        <v>31</v>
      </c>
      <c r="E38" t="s">
        <v>5</v>
      </c>
      <c r="F38" t="s">
        <v>69</v>
      </c>
      <c r="G38" t="s">
        <v>33</v>
      </c>
      <c r="H38" t="s">
        <v>6</v>
      </c>
      <c r="I38" s="2">
        <v>25.638404899652901</v>
      </c>
      <c r="J38" s="2">
        <v>652192.40915321896</v>
      </c>
      <c r="K38" s="2">
        <v>415791.417613281</v>
      </c>
      <c r="L38" s="2">
        <v>16631.6567045312</v>
      </c>
      <c r="M38" s="2">
        <v>0</v>
      </c>
      <c r="N38" s="2">
        <v>0</v>
      </c>
      <c r="O38" s="2">
        <v>0</v>
      </c>
      <c r="P38" s="2">
        <v>0</v>
      </c>
      <c r="Q38" s="2">
        <v>31778.0376224344</v>
      </c>
      <c r="R38" s="2">
        <v>603782.71482625301</v>
      </c>
      <c r="T38" s="3">
        <f t="shared" si="0"/>
        <v>603782.71482625336</v>
      </c>
      <c r="U38" s="2"/>
      <c r="V38" s="2"/>
    </row>
    <row r="39" spans="1:22" x14ac:dyDescent="0.25">
      <c r="A39" t="s">
        <v>0</v>
      </c>
      <c r="B39" t="s">
        <v>70</v>
      </c>
      <c r="C39" t="s">
        <v>32</v>
      </c>
      <c r="D39" s="102" t="s">
        <v>31</v>
      </c>
      <c r="E39" t="s">
        <v>3</v>
      </c>
      <c r="F39" t="s">
        <v>71</v>
      </c>
      <c r="G39" t="s">
        <v>33</v>
      </c>
      <c r="H39" t="s">
        <v>4</v>
      </c>
      <c r="I39" s="2">
        <v>8.3648425777241098</v>
      </c>
      <c r="J39" s="2">
        <v>178514.78260319799</v>
      </c>
      <c r="K39" s="2">
        <v>178514.78260319799</v>
      </c>
      <c r="L39" s="2">
        <v>7140.59130412791</v>
      </c>
      <c r="M39" s="2">
        <v>0</v>
      </c>
      <c r="N39" s="2">
        <v>0</v>
      </c>
      <c r="O39" s="2">
        <v>0</v>
      </c>
      <c r="P39" s="2">
        <v>0</v>
      </c>
      <c r="Q39" s="2">
        <v>8568.7095649534895</v>
      </c>
      <c r="R39" s="2">
        <v>162805.48173411601</v>
      </c>
      <c r="T39" s="3">
        <f t="shared" si="0"/>
        <v>162805.48173411659</v>
      </c>
    </row>
    <row r="40" spans="1:22" x14ac:dyDescent="0.25">
      <c r="A40" t="s">
        <v>0</v>
      </c>
      <c r="B40" t="s">
        <v>70</v>
      </c>
      <c r="C40" t="s">
        <v>32</v>
      </c>
      <c r="D40" s="102" t="s">
        <v>31</v>
      </c>
      <c r="E40" t="s">
        <v>5</v>
      </c>
      <c r="F40" t="s">
        <v>71</v>
      </c>
      <c r="G40" t="s">
        <v>33</v>
      </c>
      <c r="H40" t="s">
        <v>6</v>
      </c>
      <c r="I40" s="2">
        <v>26.708226744203099</v>
      </c>
      <c r="J40" s="2">
        <v>728142.86554606003</v>
      </c>
      <c r="K40" s="2">
        <v>464211.13465042697</v>
      </c>
      <c r="L40" s="2">
        <v>18568.445386017102</v>
      </c>
      <c r="M40" s="2">
        <v>0</v>
      </c>
      <c r="N40" s="2">
        <v>3684.4452034231599</v>
      </c>
      <c r="O40" s="2">
        <v>0</v>
      </c>
      <c r="P40" s="2">
        <v>3684.4452034231599</v>
      </c>
      <c r="Q40" s="2">
        <v>35478.721008002103</v>
      </c>
      <c r="R40" s="2">
        <v>670411.25394861703</v>
      </c>
      <c r="T40" s="3">
        <f t="shared" si="0"/>
        <v>670411.25394861773</v>
      </c>
    </row>
    <row r="41" spans="1:22" x14ac:dyDescent="0.25">
      <c r="A41" t="s">
        <v>0</v>
      </c>
      <c r="B41" t="s">
        <v>72</v>
      </c>
      <c r="C41" t="s">
        <v>32</v>
      </c>
      <c r="D41" s="102" t="s">
        <v>31</v>
      </c>
      <c r="E41" t="s">
        <v>3</v>
      </c>
      <c r="F41" t="s">
        <v>73</v>
      </c>
      <c r="G41" t="s">
        <v>33</v>
      </c>
      <c r="H41" t="s">
        <v>4</v>
      </c>
      <c r="I41" s="2">
        <v>25.760754133288899</v>
      </c>
      <c r="J41" s="2">
        <v>717118.74484103103</v>
      </c>
      <c r="K41" s="2">
        <v>717118.74484103103</v>
      </c>
      <c r="L41" s="2">
        <v>28684.7497936412</v>
      </c>
      <c r="M41" s="2">
        <v>0</v>
      </c>
      <c r="N41" s="2">
        <v>0</v>
      </c>
      <c r="O41" s="2">
        <v>0</v>
      </c>
      <c r="P41" s="2">
        <v>0</v>
      </c>
      <c r="Q41" s="2">
        <v>34421.699752369503</v>
      </c>
      <c r="R41" s="2">
        <v>654012.29529501998</v>
      </c>
      <c r="T41" s="3">
        <f t="shared" si="0"/>
        <v>654012.29529502033</v>
      </c>
    </row>
    <row r="42" spans="1:22" x14ac:dyDescent="0.25">
      <c r="A42" t="s">
        <v>0</v>
      </c>
      <c r="B42" t="s">
        <v>72</v>
      </c>
      <c r="C42" t="s">
        <v>32</v>
      </c>
      <c r="D42" s="102" t="s">
        <v>31</v>
      </c>
      <c r="E42" t="s">
        <v>5</v>
      </c>
      <c r="F42" t="s">
        <v>73</v>
      </c>
      <c r="G42" t="s">
        <v>33</v>
      </c>
      <c r="H42" t="s">
        <v>6</v>
      </c>
      <c r="I42" s="2">
        <v>1.1195809999999999</v>
      </c>
      <c r="J42" s="2">
        <v>41279.766318263799</v>
      </c>
      <c r="K42" s="2">
        <v>26313.748492870502</v>
      </c>
      <c r="L42" s="2">
        <v>1052.5499397148201</v>
      </c>
      <c r="M42" s="2">
        <v>0</v>
      </c>
      <c r="N42" s="2">
        <v>0</v>
      </c>
      <c r="O42" s="2">
        <v>0</v>
      </c>
      <c r="P42" s="2">
        <v>0</v>
      </c>
      <c r="Q42" s="2">
        <v>2011.3608189274501</v>
      </c>
      <c r="R42" s="2">
        <v>38215.855559621501</v>
      </c>
      <c r="T42" s="3">
        <f t="shared" si="0"/>
        <v>38215.855559621523</v>
      </c>
    </row>
    <row r="43" spans="1:22" ht="15.95" customHeight="1" x14ac:dyDescent="0.25">
      <c r="A43" t="s">
        <v>0</v>
      </c>
      <c r="B43" s="4"/>
      <c r="C43" s="4" t="s">
        <v>32</v>
      </c>
      <c r="D43" s="130" t="s">
        <v>31</v>
      </c>
      <c r="E43" s="4" t="s">
        <v>3</v>
      </c>
      <c r="F43" s="131" t="s">
        <v>135</v>
      </c>
      <c r="G43" s="4" t="s">
        <v>33</v>
      </c>
      <c r="H43" s="131" t="s">
        <v>4</v>
      </c>
      <c r="I43" s="118"/>
      <c r="J43" s="118"/>
      <c r="K43" s="2"/>
      <c r="L43" s="2"/>
      <c r="P43" s="2"/>
      <c r="Q43" s="2"/>
      <c r="R43" s="2"/>
      <c r="T43" s="3"/>
    </row>
    <row r="44" spans="1:22" ht="15.95" customHeight="1" x14ac:dyDescent="0.25">
      <c r="A44" t="s">
        <v>0</v>
      </c>
      <c r="B44" s="4"/>
      <c r="C44" s="4" t="s">
        <v>32</v>
      </c>
      <c r="D44" s="130" t="s">
        <v>31</v>
      </c>
      <c r="E44" s="4" t="s">
        <v>5</v>
      </c>
      <c r="F44" s="131" t="s">
        <v>135</v>
      </c>
      <c r="G44" s="4" t="s">
        <v>33</v>
      </c>
      <c r="H44" s="131" t="s">
        <v>6</v>
      </c>
      <c r="I44" s="118"/>
      <c r="J44" s="118"/>
      <c r="K44" s="2"/>
      <c r="L44" s="2"/>
      <c r="P44" s="2"/>
      <c r="Q44" s="2"/>
      <c r="R44" s="2"/>
      <c r="T44" s="3"/>
    </row>
    <row r="45" spans="1:22" x14ac:dyDescent="0.25">
      <c r="A45" t="s">
        <v>0</v>
      </c>
      <c r="B45" t="s">
        <v>12</v>
      </c>
      <c r="C45" t="s">
        <v>21</v>
      </c>
      <c r="D45" s="102" t="s">
        <v>34</v>
      </c>
      <c r="E45" t="s">
        <v>3</v>
      </c>
      <c r="F45" t="s">
        <v>74</v>
      </c>
      <c r="G45" t="s">
        <v>35</v>
      </c>
      <c r="H45" t="s">
        <v>4</v>
      </c>
      <c r="I45" s="2">
        <v>209.08699266184399</v>
      </c>
      <c r="J45" s="2">
        <v>3264377.7495643999</v>
      </c>
      <c r="K45" s="2">
        <v>3264377.7495643999</v>
      </c>
      <c r="L45" s="2">
        <v>130575.109982576</v>
      </c>
      <c r="M45" s="2">
        <v>0</v>
      </c>
      <c r="N45" s="2">
        <v>166652.12281312401</v>
      </c>
      <c r="O45" s="2">
        <v>0</v>
      </c>
      <c r="P45" s="2">
        <v>166652.12281312401</v>
      </c>
      <c r="Q45" s="2">
        <v>156690.13197909101</v>
      </c>
      <c r="R45" s="2">
        <v>2810460.3847896098</v>
      </c>
      <c r="T45" s="3">
        <f t="shared" ref="T45:T58" si="1">+J45-L45-P45-Q45-S45</f>
        <v>2810460.3847896084</v>
      </c>
    </row>
    <row r="46" spans="1:22" x14ac:dyDescent="0.25">
      <c r="A46" t="s">
        <v>0</v>
      </c>
      <c r="B46" t="s">
        <v>12</v>
      </c>
      <c r="C46" t="s">
        <v>21</v>
      </c>
      <c r="D46" s="102" t="s">
        <v>34</v>
      </c>
      <c r="E46" t="s">
        <v>5</v>
      </c>
      <c r="F46" t="s">
        <v>74</v>
      </c>
      <c r="G46" t="s">
        <v>35</v>
      </c>
      <c r="H46" t="s">
        <v>6</v>
      </c>
      <c r="I46" s="2">
        <v>204.69038381721001</v>
      </c>
      <c r="J46" s="2">
        <v>5383752.0949736498</v>
      </c>
      <c r="K46" s="2">
        <v>3015159.12714381</v>
      </c>
      <c r="L46" s="2">
        <v>120606.365085753</v>
      </c>
      <c r="M46" s="2">
        <v>0</v>
      </c>
      <c r="N46" s="2">
        <v>200989.38909360499</v>
      </c>
      <c r="O46" s="2">
        <v>1087646.4375034701</v>
      </c>
      <c r="P46" s="2">
        <v>1288635.8265970801</v>
      </c>
      <c r="Q46" s="2">
        <v>263157.286494395</v>
      </c>
      <c r="R46" s="2">
        <v>3711352.61679642</v>
      </c>
      <c r="T46" s="3">
        <f t="shared" si="1"/>
        <v>3711352.6167964218</v>
      </c>
    </row>
    <row r="47" spans="1:22" x14ac:dyDescent="0.25">
      <c r="A47" t="s">
        <v>0</v>
      </c>
      <c r="B47" t="s">
        <v>80</v>
      </c>
      <c r="C47" t="s">
        <v>23</v>
      </c>
      <c r="D47" s="102" t="s">
        <v>157</v>
      </c>
      <c r="E47" t="s">
        <v>3</v>
      </c>
      <c r="F47" t="s">
        <v>81</v>
      </c>
      <c r="G47" t="s">
        <v>43</v>
      </c>
      <c r="H47" t="s">
        <v>4</v>
      </c>
      <c r="I47" s="2">
        <v>73.151185766722094</v>
      </c>
      <c r="J47" s="2">
        <v>1714185.0876569799</v>
      </c>
      <c r="K47" s="2">
        <v>1714185.0876569799</v>
      </c>
      <c r="L47" s="2">
        <v>68567.403506279094</v>
      </c>
      <c r="M47" s="2">
        <v>0</v>
      </c>
      <c r="N47" s="2">
        <v>82386.100235465099</v>
      </c>
      <c r="O47" s="2">
        <v>0</v>
      </c>
      <c r="P47" s="2">
        <v>82386.100235465099</v>
      </c>
      <c r="Q47" s="2">
        <v>82280.884207534895</v>
      </c>
      <c r="R47" s="2">
        <v>1480950.6997076999</v>
      </c>
      <c r="T47" s="3">
        <f t="shared" si="1"/>
        <v>1480950.6997077011</v>
      </c>
    </row>
    <row r="48" spans="1:22" x14ac:dyDescent="0.25">
      <c r="A48" t="s">
        <v>0</v>
      </c>
      <c r="B48" t="s">
        <v>80</v>
      </c>
      <c r="C48" t="s">
        <v>23</v>
      </c>
      <c r="D48" s="102" t="s">
        <v>157</v>
      </c>
      <c r="E48" t="s">
        <v>5</v>
      </c>
      <c r="F48" t="s">
        <v>81</v>
      </c>
      <c r="G48" t="s">
        <v>43</v>
      </c>
      <c r="H48" t="s">
        <v>6</v>
      </c>
      <c r="I48" s="2">
        <v>19.325209600045302</v>
      </c>
      <c r="J48" s="2">
        <v>816460.40322599397</v>
      </c>
      <c r="K48" s="2">
        <v>456190.72801992501</v>
      </c>
      <c r="L48" s="2">
        <v>18247.629120796999</v>
      </c>
      <c r="M48" s="2">
        <v>88930.104640346806</v>
      </c>
      <c r="N48" s="2">
        <v>24658.010272436401</v>
      </c>
      <c r="O48" s="2">
        <v>150230.14318525599</v>
      </c>
      <c r="P48" s="2">
        <v>263818.25809803902</v>
      </c>
      <c r="Q48" s="2">
        <v>35464.133473242502</v>
      </c>
      <c r="R48" s="2">
        <v>498930.38253391499</v>
      </c>
      <c r="T48" s="3">
        <f t="shared" si="1"/>
        <v>498930.38253391546</v>
      </c>
    </row>
    <row r="49" spans="1:20" x14ac:dyDescent="0.25">
      <c r="A49" t="s">
        <v>0</v>
      </c>
      <c r="B49" t="s">
        <v>32</v>
      </c>
      <c r="C49" t="s">
        <v>44</v>
      </c>
      <c r="D49" s="102" t="s">
        <v>158</v>
      </c>
      <c r="E49" t="s">
        <v>3</v>
      </c>
      <c r="F49" t="s">
        <v>82</v>
      </c>
      <c r="G49" t="s">
        <v>45</v>
      </c>
      <c r="H49" t="s">
        <v>4</v>
      </c>
      <c r="I49" s="2">
        <v>550.39808841054298</v>
      </c>
      <c r="J49" s="2">
        <v>9644914.9064729698</v>
      </c>
      <c r="K49" s="2">
        <v>9644914.9064729698</v>
      </c>
      <c r="L49" s="2">
        <v>385796.59625891899</v>
      </c>
      <c r="M49" s="2">
        <v>901526.90848473995</v>
      </c>
      <c r="N49" s="2">
        <v>31242.641615161501</v>
      </c>
      <c r="O49" s="2">
        <v>0</v>
      </c>
      <c r="P49" s="2">
        <v>932769.55009990104</v>
      </c>
      <c r="Q49" s="2">
        <v>417879.57008646597</v>
      </c>
      <c r="R49" s="2">
        <v>7908469.1900276896</v>
      </c>
      <c r="T49" s="3">
        <f t="shared" si="1"/>
        <v>7908469.190027683</v>
      </c>
    </row>
    <row r="50" spans="1:20" x14ac:dyDescent="0.25">
      <c r="A50" t="s">
        <v>0</v>
      </c>
      <c r="B50" t="s">
        <v>32</v>
      </c>
      <c r="C50" t="s">
        <v>44</v>
      </c>
      <c r="D50" s="102" t="s">
        <v>158</v>
      </c>
      <c r="E50" t="s">
        <v>5</v>
      </c>
      <c r="F50" t="s">
        <v>82</v>
      </c>
      <c r="G50" t="s">
        <v>45</v>
      </c>
      <c r="H50" t="s">
        <v>6</v>
      </c>
      <c r="I50" s="2">
        <v>90.468096766357206</v>
      </c>
      <c r="J50" s="2">
        <v>2906255.78538534</v>
      </c>
      <c r="K50" s="2">
        <v>1619063.9805039701</v>
      </c>
      <c r="L50" s="2">
        <v>64762.559220158801</v>
      </c>
      <c r="M50" s="2">
        <v>334268.99318554602</v>
      </c>
      <c r="N50" s="2">
        <v>0</v>
      </c>
      <c r="O50" s="2">
        <v>390817.941120559</v>
      </c>
      <c r="P50" s="2">
        <v>725086.93430610502</v>
      </c>
      <c r="Q50" s="2">
        <v>125361.211648982</v>
      </c>
      <c r="R50" s="2">
        <v>1991045.0802100899</v>
      </c>
      <c r="T50" s="3">
        <f t="shared" si="1"/>
        <v>1991045.0802100939</v>
      </c>
    </row>
    <row r="51" spans="1:20" x14ac:dyDescent="0.25">
      <c r="A51" t="s">
        <v>0</v>
      </c>
      <c r="B51" t="s">
        <v>15</v>
      </c>
      <c r="C51" t="s">
        <v>26</v>
      </c>
      <c r="D51" s="102" t="s">
        <v>156</v>
      </c>
      <c r="E51" t="s">
        <v>3</v>
      </c>
      <c r="F51" t="s">
        <v>75</v>
      </c>
      <c r="G51" t="s">
        <v>36</v>
      </c>
      <c r="H51" t="s">
        <v>4</v>
      </c>
      <c r="I51" s="2">
        <v>52.228318999930899</v>
      </c>
      <c r="J51" s="2">
        <v>950068.87973862898</v>
      </c>
      <c r="K51" s="2">
        <v>950068.87973862898</v>
      </c>
      <c r="L51" s="2">
        <v>38002.755189545198</v>
      </c>
      <c r="M51" s="2">
        <v>0</v>
      </c>
      <c r="N51" s="2">
        <v>83422.767587987095</v>
      </c>
      <c r="O51" s="2">
        <v>0</v>
      </c>
      <c r="P51" s="2">
        <v>83422.767587987095</v>
      </c>
      <c r="Q51" s="2">
        <v>45603.306227454203</v>
      </c>
      <c r="R51" s="2">
        <v>783040.05073364195</v>
      </c>
      <c r="T51" s="3">
        <f t="shared" si="1"/>
        <v>783040.05073364242</v>
      </c>
    </row>
    <row r="52" spans="1:20" x14ac:dyDescent="0.25">
      <c r="A52" t="s">
        <v>0</v>
      </c>
      <c r="B52" t="s">
        <v>15</v>
      </c>
      <c r="C52" t="s">
        <v>26</v>
      </c>
      <c r="D52" s="102" t="s">
        <v>156</v>
      </c>
      <c r="E52" t="s">
        <v>5</v>
      </c>
      <c r="F52" t="s">
        <v>75</v>
      </c>
      <c r="G52" t="s">
        <v>36</v>
      </c>
      <c r="H52" t="s">
        <v>6</v>
      </c>
      <c r="I52" s="2">
        <v>111.262124533245</v>
      </c>
      <c r="J52" s="2">
        <v>2944768.5859476002</v>
      </c>
      <c r="K52" s="2">
        <v>2009532.29612746</v>
      </c>
      <c r="L52" s="2">
        <v>80381.291845098298</v>
      </c>
      <c r="M52" s="2">
        <v>0</v>
      </c>
      <c r="N52" s="2">
        <v>63313.600575763099</v>
      </c>
      <c r="O52" s="2">
        <v>345895.39569399302</v>
      </c>
      <c r="P52" s="2">
        <v>409208.99626975699</v>
      </c>
      <c r="Q52" s="2">
        <v>143219.36470512499</v>
      </c>
      <c r="R52" s="2">
        <v>2311958.9331276198</v>
      </c>
      <c r="T52" s="3">
        <f t="shared" si="1"/>
        <v>2311958.9331276203</v>
      </c>
    </row>
    <row r="53" spans="1:20" x14ac:dyDescent="0.25">
      <c r="A53" t="s">
        <v>0</v>
      </c>
      <c r="B53" t="s">
        <v>24</v>
      </c>
      <c r="C53" t="s">
        <v>26</v>
      </c>
      <c r="D53" s="102" t="s">
        <v>156</v>
      </c>
      <c r="E53" t="s">
        <v>3</v>
      </c>
      <c r="F53" t="s">
        <v>76</v>
      </c>
      <c r="G53" t="s">
        <v>36</v>
      </c>
      <c r="H53" t="s">
        <v>4</v>
      </c>
      <c r="I53" s="2">
        <v>64.860953732009705</v>
      </c>
      <c r="J53" s="2">
        <v>1241450.91686614</v>
      </c>
      <c r="K53" s="2">
        <v>1241450.91686614</v>
      </c>
      <c r="L53" s="2">
        <v>49658.0366746457</v>
      </c>
      <c r="M53" s="2">
        <v>0</v>
      </c>
      <c r="N53" s="2">
        <v>218670.25289073901</v>
      </c>
      <c r="O53" s="2">
        <v>0</v>
      </c>
      <c r="P53" s="2">
        <v>218670.25289073901</v>
      </c>
      <c r="Q53" s="2">
        <v>59589.644009574797</v>
      </c>
      <c r="R53" s="2">
        <v>913532.98329118302</v>
      </c>
      <c r="T53" s="3">
        <f t="shared" si="1"/>
        <v>913532.98329118046</v>
      </c>
    </row>
    <row r="54" spans="1:20" x14ac:dyDescent="0.25">
      <c r="A54" t="s">
        <v>0</v>
      </c>
      <c r="B54" t="s">
        <v>24</v>
      </c>
      <c r="C54" t="s">
        <v>26</v>
      </c>
      <c r="D54" s="102" t="s">
        <v>156</v>
      </c>
      <c r="E54" t="s">
        <v>5</v>
      </c>
      <c r="F54" t="s">
        <v>76</v>
      </c>
      <c r="G54" t="s">
        <v>36</v>
      </c>
      <c r="H54" t="s">
        <v>6</v>
      </c>
      <c r="I54" s="2">
        <v>131.94877079724799</v>
      </c>
      <c r="J54" s="2">
        <v>3601379.7829145999</v>
      </c>
      <c r="K54" s="2">
        <v>2457498.8116463101</v>
      </c>
      <c r="L54" s="2">
        <v>98299.952465852199</v>
      </c>
      <c r="M54" s="2">
        <v>0</v>
      </c>
      <c r="N54" s="2">
        <v>293161.71825070598</v>
      </c>
      <c r="O54" s="2">
        <v>392413.62469490798</v>
      </c>
      <c r="P54" s="2">
        <v>685575.34294561401</v>
      </c>
      <c r="Q54" s="2">
        <v>175153.99152243699</v>
      </c>
      <c r="R54" s="2">
        <v>2642350.4959806898</v>
      </c>
      <c r="T54" s="3">
        <f t="shared" si="1"/>
        <v>2642350.4959806968</v>
      </c>
    </row>
    <row r="55" spans="1:20" x14ac:dyDescent="0.25">
      <c r="A55" t="s">
        <v>0</v>
      </c>
      <c r="B55" t="s">
        <v>29</v>
      </c>
      <c r="C55" t="s">
        <v>38</v>
      </c>
      <c r="D55" s="102" t="s">
        <v>37</v>
      </c>
      <c r="E55" t="s">
        <v>3</v>
      </c>
      <c r="F55" t="s">
        <v>39</v>
      </c>
      <c r="G55" t="s">
        <v>39</v>
      </c>
      <c r="H55" t="s">
        <v>4</v>
      </c>
      <c r="I55" s="2">
        <v>498.99942999830103</v>
      </c>
      <c r="J55" s="2">
        <v>9684814.9957989994</v>
      </c>
      <c r="K55" s="2">
        <v>9684814.9957989994</v>
      </c>
      <c r="L55" s="2">
        <v>387392.59983195999</v>
      </c>
      <c r="M55" s="2">
        <v>71329.588878394294</v>
      </c>
      <c r="N55" s="2">
        <v>114044.868944241</v>
      </c>
      <c r="O55" s="2">
        <v>0</v>
      </c>
      <c r="P55" s="2">
        <v>185374.457822636</v>
      </c>
      <c r="Q55" s="2">
        <v>461304.64035443199</v>
      </c>
      <c r="R55" s="2">
        <v>8650743.2977899704</v>
      </c>
      <c r="T55" s="3">
        <f t="shared" si="1"/>
        <v>8650743.2977899723</v>
      </c>
    </row>
    <row r="56" spans="1:20" x14ac:dyDescent="0.25">
      <c r="A56" t="s">
        <v>0</v>
      </c>
      <c r="B56" t="s">
        <v>29</v>
      </c>
      <c r="C56" t="s">
        <v>38</v>
      </c>
      <c r="D56" s="102" t="s">
        <v>37</v>
      </c>
      <c r="E56" t="s">
        <v>5</v>
      </c>
      <c r="F56" t="s">
        <v>39</v>
      </c>
      <c r="G56" t="s">
        <v>39</v>
      </c>
      <c r="H56" t="s">
        <v>6</v>
      </c>
      <c r="I56" s="2">
        <v>226.83927893269299</v>
      </c>
      <c r="J56" s="2">
        <v>6212219.2826546598</v>
      </c>
      <c r="K56" s="2">
        <v>4365874.6869029701</v>
      </c>
      <c r="L56" s="2">
        <v>174634.98747611899</v>
      </c>
      <c r="M56" s="2">
        <v>37409.861820415797</v>
      </c>
      <c r="N56" s="2">
        <v>19833.373042640302</v>
      </c>
      <c r="O56" s="2">
        <v>247493.71868245001</v>
      </c>
      <c r="P56" s="2">
        <v>304736.953545506</v>
      </c>
      <c r="Q56" s="2">
        <v>300008.72166790598</v>
      </c>
      <c r="R56" s="2">
        <v>5432838.6199651202</v>
      </c>
      <c r="T56" s="3">
        <f t="shared" si="1"/>
        <v>5432838.6199651286</v>
      </c>
    </row>
    <row r="57" spans="1:20" x14ac:dyDescent="0.25">
      <c r="A57" t="s">
        <v>0</v>
      </c>
      <c r="B57" t="s">
        <v>77</v>
      </c>
      <c r="C57" t="s">
        <v>41</v>
      </c>
      <c r="D57" s="102" t="s">
        <v>40</v>
      </c>
      <c r="E57" t="s">
        <v>3</v>
      </c>
      <c r="F57" t="s">
        <v>78</v>
      </c>
      <c r="G57" t="s">
        <v>42</v>
      </c>
      <c r="H57" t="s">
        <v>4</v>
      </c>
      <c r="I57" s="2">
        <v>17.488931866648599</v>
      </c>
      <c r="J57" s="2">
        <v>247498.02465893899</v>
      </c>
      <c r="K57" s="2">
        <v>247498.02465893899</v>
      </c>
      <c r="L57" s="2">
        <v>9899.9209863575797</v>
      </c>
      <c r="M57" s="2">
        <v>0</v>
      </c>
      <c r="N57" s="2">
        <v>8535.3860086112709</v>
      </c>
      <c r="O57" s="2">
        <v>0</v>
      </c>
      <c r="P57" s="2">
        <v>8535.3860086112709</v>
      </c>
      <c r="Q57" s="2">
        <v>11879.9051836291</v>
      </c>
      <c r="R57" s="2">
        <v>217182.812480341</v>
      </c>
      <c r="T57" s="3">
        <f t="shared" si="1"/>
        <v>217182.81248034103</v>
      </c>
    </row>
    <row r="58" spans="1:20" x14ac:dyDescent="0.25">
      <c r="A58" t="s">
        <v>0</v>
      </c>
      <c r="B58" t="s">
        <v>77</v>
      </c>
      <c r="C58" t="s">
        <v>41</v>
      </c>
      <c r="D58" s="102" t="s">
        <v>40</v>
      </c>
      <c r="E58" t="s">
        <v>5</v>
      </c>
      <c r="F58" t="s">
        <v>78</v>
      </c>
      <c r="G58" t="s">
        <v>42</v>
      </c>
      <c r="H58" t="s">
        <v>6</v>
      </c>
      <c r="I58" s="2">
        <v>57.844972177701997</v>
      </c>
      <c r="J58" s="2">
        <v>1409448.4892186599</v>
      </c>
      <c r="K58" s="2">
        <v>776904.47703702201</v>
      </c>
      <c r="L58" s="2">
        <v>31076.179081480899</v>
      </c>
      <c r="M58" s="2">
        <v>110843.567731246</v>
      </c>
      <c r="N58" s="2">
        <v>0</v>
      </c>
      <c r="O58" s="2">
        <v>10946.708263677199</v>
      </c>
      <c r="P58" s="2">
        <v>121790.275994924</v>
      </c>
      <c r="Q58" s="2">
        <v>63376.437120296599</v>
      </c>
      <c r="R58" s="2">
        <v>1193205.59702196</v>
      </c>
      <c r="T58" s="3">
        <f t="shared" si="1"/>
        <v>1193205.5970219586</v>
      </c>
    </row>
    <row r="59" spans="1:20" x14ac:dyDescent="0.25">
      <c r="A59" t="s">
        <v>0</v>
      </c>
      <c r="B59" t="s">
        <v>40</v>
      </c>
      <c r="C59" t="s">
        <v>41</v>
      </c>
      <c r="D59" s="102" t="s">
        <v>40</v>
      </c>
      <c r="E59" t="s">
        <v>3</v>
      </c>
      <c r="F59" t="s">
        <v>79</v>
      </c>
      <c r="G59" t="s">
        <v>42</v>
      </c>
      <c r="H59" t="s">
        <v>4</v>
      </c>
      <c r="I59" s="2"/>
      <c r="J59" s="2"/>
      <c r="K59" s="2"/>
      <c r="L59" s="2"/>
      <c r="P59" s="2"/>
      <c r="Q59" s="2"/>
      <c r="R59" s="2"/>
      <c r="T59" s="3"/>
    </row>
    <row r="60" spans="1:20" x14ac:dyDescent="0.25">
      <c r="A60" t="s">
        <v>0</v>
      </c>
      <c r="B60" t="s">
        <v>40</v>
      </c>
      <c r="C60" t="s">
        <v>41</v>
      </c>
      <c r="D60" s="102" t="s">
        <v>40</v>
      </c>
      <c r="E60" t="s">
        <v>5</v>
      </c>
      <c r="F60" t="s">
        <v>79</v>
      </c>
      <c r="G60" t="s">
        <v>42</v>
      </c>
      <c r="H60" t="s">
        <v>6</v>
      </c>
      <c r="I60" s="2">
        <v>15.7274893666702</v>
      </c>
      <c r="J60" s="2">
        <v>508733.32822096703</v>
      </c>
      <c r="K60" s="2">
        <v>262570.41671089898</v>
      </c>
      <c r="L60" s="2">
        <v>10502.8166684359</v>
      </c>
      <c r="M60" s="2">
        <v>0</v>
      </c>
      <c r="N60" s="2">
        <v>0</v>
      </c>
      <c r="O60" s="2">
        <v>5899.72354535454</v>
      </c>
      <c r="P60" s="2">
        <v>5899.72354535454</v>
      </c>
      <c r="Q60" s="2">
        <v>24911.5255776265</v>
      </c>
      <c r="R60" s="2">
        <v>467419.26242955</v>
      </c>
      <c r="T60" s="3">
        <f t="shared" ref="T60:T88" si="2">+J60-L60-P60-Q60-S60</f>
        <v>467419.26242955012</v>
      </c>
    </row>
    <row r="61" spans="1:20" x14ac:dyDescent="0.25">
      <c r="A61" t="s">
        <v>0</v>
      </c>
      <c r="B61" t="s">
        <v>20</v>
      </c>
      <c r="C61" t="s">
        <v>28</v>
      </c>
      <c r="D61" s="102" t="s">
        <v>159</v>
      </c>
      <c r="E61" t="s">
        <v>3</v>
      </c>
      <c r="F61" t="s">
        <v>83</v>
      </c>
      <c r="G61" t="s">
        <v>46</v>
      </c>
      <c r="H61" t="s">
        <v>4</v>
      </c>
      <c r="I61" s="2">
        <v>868.91287832959404</v>
      </c>
      <c r="J61" s="2">
        <v>13979079.727414001</v>
      </c>
      <c r="K61" s="2">
        <v>13979079.727414001</v>
      </c>
      <c r="L61" s="2">
        <v>559163.18909655896</v>
      </c>
      <c r="M61" s="2">
        <v>0</v>
      </c>
      <c r="N61" s="2">
        <v>31603.966302809698</v>
      </c>
      <c r="O61" s="2">
        <v>0</v>
      </c>
      <c r="P61" s="2">
        <v>31603.966302809698</v>
      </c>
      <c r="Q61" s="2">
        <v>670995.826915871</v>
      </c>
      <c r="R61" s="2">
        <v>12717316.745098701</v>
      </c>
      <c r="T61" s="3">
        <f t="shared" si="2"/>
        <v>12717316.74509876</v>
      </c>
    </row>
    <row r="62" spans="1:20" x14ac:dyDescent="0.25">
      <c r="A62" t="s">
        <v>0</v>
      </c>
      <c r="B62" t="s">
        <v>20</v>
      </c>
      <c r="C62" t="s">
        <v>28</v>
      </c>
      <c r="D62" s="102" t="s">
        <v>159</v>
      </c>
      <c r="E62" t="s">
        <v>5</v>
      </c>
      <c r="F62" t="s">
        <v>83</v>
      </c>
      <c r="G62" t="s">
        <v>46</v>
      </c>
      <c r="H62" t="s">
        <v>6</v>
      </c>
      <c r="I62" s="2">
        <v>581.20044915340702</v>
      </c>
      <c r="J62" s="2">
        <v>17955166.628525</v>
      </c>
      <c r="K62" s="2">
        <v>9106754.4289481305</v>
      </c>
      <c r="L62" s="2">
        <v>364270.17715792498</v>
      </c>
      <c r="M62" s="2">
        <v>0</v>
      </c>
      <c r="N62" s="2">
        <v>31291.107290921602</v>
      </c>
      <c r="O62" s="2">
        <v>8330390.22578834</v>
      </c>
      <c r="P62" s="2">
        <v>8361681.3330792598</v>
      </c>
      <c r="Q62" s="2">
        <v>879544.82256835396</v>
      </c>
      <c r="R62" s="2">
        <v>8349670.2957194597</v>
      </c>
      <c r="T62" s="3">
        <f t="shared" si="2"/>
        <v>8349670.2957194624</v>
      </c>
    </row>
    <row r="63" spans="1:20" x14ac:dyDescent="0.25">
      <c r="A63" t="s">
        <v>0</v>
      </c>
      <c r="B63" t="s">
        <v>44</v>
      </c>
      <c r="C63" t="s">
        <v>47</v>
      </c>
      <c r="D63" s="102" t="s">
        <v>160</v>
      </c>
      <c r="E63" t="s">
        <v>3</v>
      </c>
      <c r="F63" t="s">
        <v>84</v>
      </c>
      <c r="G63" t="s">
        <v>48</v>
      </c>
      <c r="H63" t="s">
        <v>4</v>
      </c>
      <c r="I63" s="2">
        <v>122.61688506647199</v>
      </c>
      <c r="J63" s="2">
        <v>2047942.21278281</v>
      </c>
      <c r="K63" s="2">
        <v>2047942.21278281</v>
      </c>
      <c r="L63" s="2">
        <v>81917.688511312401</v>
      </c>
      <c r="M63" s="2">
        <v>0</v>
      </c>
      <c r="N63" s="2">
        <v>12117.540218084499</v>
      </c>
      <c r="O63" s="2">
        <v>0</v>
      </c>
      <c r="P63" s="2">
        <v>12117.540218084499</v>
      </c>
      <c r="Q63" s="2">
        <v>98301.226213574904</v>
      </c>
      <c r="R63" s="2">
        <v>1855605.7578398399</v>
      </c>
      <c r="T63" s="3">
        <f t="shared" si="2"/>
        <v>1855605.757839838</v>
      </c>
    </row>
    <row r="64" spans="1:20" x14ac:dyDescent="0.25">
      <c r="A64" t="s">
        <v>0</v>
      </c>
      <c r="B64" t="s">
        <v>44</v>
      </c>
      <c r="C64" t="s">
        <v>47</v>
      </c>
      <c r="D64" s="102" t="s">
        <v>160</v>
      </c>
      <c r="E64" t="s">
        <v>5</v>
      </c>
      <c r="F64" t="s">
        <v>84</v>
      </c>
      <c r="G64" t="s">
        <v>48</v>
      </c>
      <c r="H64" t="s">
        <v>6</v>
      </c>
      <c r="I64" s="2">
        <v>16.712520355516599</v>
      </c>
      <c r="J64" s="2">
        <v>441217.38965009799</v>
      </c>
      <c r="K64" s="2">
        <v>280251.27246143803</v>
      </c>
      <c r="L64" s="2">
        <v>11210.050898457501</v>
      </c>
      <c r="M64" s="2">
        <v>0</v>
      </c>
      <c r="N64" s="2">
        <v>0</v>
      </c>
      <c r="O64" s="2">
        <v>45990.31919676</v>
      </c>
      <c r="P64" s="2">
        <v>45990.31919676</v>
      </c>
      <c r="Q64" s="2">
        <v>21500.366937581999</v>
      </c>
      <c r="R64" s="2">
        <v>362516.65261729801</v>
      </c>
      <c r="T64" s="3">
        <f t="shared" si="2"/>
        <v>362516.65261729847</v>
      </c>
    </row>
    <row r="65" spans="1:20" x14ac:dyDescent="0.25">
      <c r="A65" t="s">
        <v>0</v>
      </c>
      <c r="B65" t="s">
        <v>28</v>
      </c>
      <c r="C65" t="s">
        <v>47</v>
      </c>
      <c r="D65" s="102" t="s">
        <v>160</v>
      </c>
      <c r="E65" t="s">
        <v>3</v>
      </c>
      <c r="F65" t="s">
        <v>85</v>
      </c>
      <c r="G65" t="s">
        <v>48</v>
      </c>
      <c r="H65" t="s">
        <v>4</v>
      </c>
      <c r="I65" s="2">
        <v>96.923515032597805</v>
      </c>
      <c r="J65" s="2">
        <v>1538986.15990188</v>
      </c>
      <c r="K65" s="2">
        <v>1538986.15990188</v>
      </c>
      <c r="L65" s="2">
        <v>61559.446396075</v>
      </c>
      <c r="M65" s="2">
        <v>0</v>
      </c>
      <c r="N65" s="2">
        <v>18177.001888604798</v>
      </c>
      <c r="O65" s="2">
        <v>0</v>
      </c>
      <c r="P65" s="2">
        <v>18177.001888604798</v>
      </c>
      <c r="Q65" s="2">
        <v>73871.33567529</v>
      </c>
      <c r="R65" s="2">
        <v>1385378.3759419101</v>
      </c>
      <c r="T65" s="3">
        <f t="shared" si="2"/>
        <v>1385378.3759419101</v>
      </c>
    </row>
    <row r="66" spans="1:20" x14ac:dyDescent="0.25">
      <c r="A66" t="s">
        <v>0</v>
      </c>
      <c r="B66" t="s">
        <v>28</v>
      </c>
      <c r="C66" t="s">
        <v>47</v>
      </c>
      <c r="D66" s="102" t="s">
        <v>160</v>
      </c>
      <c r="E66" t="s">
        <v>5</v>
      </c>
      <c r="F66" t="s">
        <v>85</v>
      </c>
      <c r="G66" t="s">
        <v>48</v>
      </c>
      <c r="H66" t="s">
        <v>6</v>
      </c>
      <c r="I66" s="2">
        <v>31.444462399759701</v>
      </c>
      <c r="J66" s="2">
        <v>777383.01985969604</v>
      </c>
      <c r="K66" s="2">
        <v>493776.05147967697</v>
      </c>
      <c r="L66" s="2">
        <v>19751.042059187101</v>
      </c>
      <c r="M66" s="2">
        <v>0</v>
      </c>
      <c r="N66" s="2">
        <v>0</v>
      </c>
      <c r="O66" s="2">
        <v>68985.478795139905</v>
      </c>
      <c r="P66" s="2">
        <v>68985.478795139905</v>
      </c>
      <c r="Q66" s="2">
        <v>37881.598890025503</v>
      </c>
      <c r="R66" s="2">
        <v>650764.90011534397</v>
      </c>
      <c r="T66" s="3">
        <f t="shared" si="2"/>
        <v>650764.90011534351</v>
      </c>
    </row>
    <row r="67" spans="1:20" x14ac:dyDescent="0.25">
      <c r="A67" t="s">
        <v>0</v>
      </c>
      <c r="B67" t="s">
        <v>86</v>
      </c>
      <c r="C67" t="s">
        <v>47</v>
      </c>
      <c r="D67" s="102" t="s">
        <v>160</v>
      </c>
      <c r="E67" t="s">
        <v>3</v>
      </c>
      <c r="F67" t="s">
        <v>87</v>
      </c>
      <c r="G67" t="s">
        <v>48</v>
      </c>
      <c r="H67" t="s">
        <v>4</v>
      </c>
      <c r="I67" s="2">
        <v>104.81440059637499</v>
      </c>
      <c r="J67" s="2">
        <v>1974940.1402879099</v>
      </c>
      <c r="K67" s="2">
        <v>1974940.1402879099</v>
      </c>
      <c r="L67" s="2">
        <v>78997.605611516294</v>
      </c>
      <c r="M67" s="2">
        <v>0</v>
      </c>
      <c r="N67" s="2">
        <v>0</v>
      </c>
      <c r="O67" s="2">
        <v>0</v>
      </c>
      <c r="P67" s="2">
        <v>0</v>
      </c>
      <c r="Q67" s="2">
        <v>94797.126733819605</v>
      </c>
      <c r="R67" s="2">
        <v>1801145.40794257</v>
      </c>
      <c r="T67" s="3">
        <f t="shared" si="2"/>
        <v>1801145.407942574</v>
      </c>
    </row>
    <row r="68" spans="1:20" x14ac:dyDescent="0.25">
      <c r="A68" t="s">
        <v>0</v>
      </c>
      <c r="B68" t="s">
        <v>86</v>
      </c>
      <c r="C68" t="s">
        <v>47</v>
      </c>
      <c r="D68" s="102" t="s">
        <v>160</v>
      </c>
      <c r="E68" t="s">
        <v>5</v>
      </c>
      <c r="F68" t="s">
        <v>87</v>
      </c>
      <c r="G68" t="s">
        <v>48</v>
      </c>
      <c r="H68" t="s">
        <v>6</v>
      </c>
      <c r="I68" s="2">
        <v>15.4885674661192</v>
      </c>
      <c r="J68" s="2">
        <v>441217.38965009799</v>
      </c>
      <c r="K68" s="2">
        <v>280209.54977683799</v>
      </c>
      <c r="L68" s="2">
        <v>11208.3819910735</v>
      </c>
      <c r="M68" s="2">
        <v>0</v>
      </c>
      <c r="N68" s="2">
        <v>0</v>
      </c>
      <c r="O68" s="2">
        <v>69003.359945682998</v>
      </c>
      <c r="P68" s="2">
        <v>69003.359945682998</v>
      </c>
      <c r="Q68" s="2">
        <v>21500.4503829512</v>
      </c>
      <c r="R68" s="2">
        <v>339505.19733038999</v>
      </c>
      <c r="T68" s="3">
        <f t="shared" si="2"/>
        <v>339505.19733039034</v>
      </c>
    </row>
    <row r="69" spans="1:20" x14ac:dyDescent="0.25">
      <c r="A69" t="s">
        <v>0</v>
      </c>
      <c r="B69" t="s">
        <v>88</v>
      </c>
      <c r="C69" t="s">
        <v>47</v>
      </c>
      <c r="D69" s="102" t="s">
        <v>160</v>
      </c>
      <c r="E69" t="s">
        <v>3</v>
      </c>
      <c r="F69" t="s">
        <v>89</v>
      </c>
      <c r="G69" t="s">
        <v>48</v>
      </c>
      <c r="H69" t="s">
        <v>4</v>
      </c>
      <c r="I69" s="2">
        <v>105.238750396523</v>
      </c>
      <c r="J69" s="2">
        <v>2020298.4576447101</v>
      </c>
      <c r="K69" s="2">
        <v>2020298.4576447101</v>
      </c>
      <c r="L69" s="2">
        <v>80811.938305788397</v>
      </c>
      <c r="M69" s="2">
        <v>0</v>
      </c>
      <c r="N69" s="2">
        <v>16800.038294591901</v>
      </c>
      <c r="O69" s="2">
        <v>0</v>
      </c>
      <c r="P69" s="2">
        <v>16800.038294591901</v>
      </c>
      <c r="Q69" s="2">
        <v>96974.325966946097</v>
      </c>
      <c r="R69" s="2">
        <v>1825712.1550773799</v>
      </c>
      <c r="T69" s="3">
        <f t="shared" si="2"/>
        <v>1825712.1550773836</v>
      </c>
    </row>
    <row r="70" spans="1:20" x14ac:dyDescent="0.25">
      <c r="A70" t="s">
        <v>0</v>
      </c>
      <c r="B70" t="s">
        <v>88</v>
      </c>
      <c r="C70" t="s">
        <v>47</v>
      </c>
      <c r="D70" s="102" t="s">
        <v>160</v>
      </c>
      <c r="E70" t="s">
        <v>5</v>
      </c>
      <c r="F70" t="s">
        <v>89</v>
      </c>
      <c r="G70" t="s">
        <v>48</v>
      </c>
      <c r="H70" t="s">
        <v>6</v>
      </c>
      <c r="I70" s="2">
        <v>6.10863759982976</v>
      </c>
      <c r="J70" s="2">
        <v>187476.542106273</v>
      </c>
      <c r="K70" s="2">
        <v>110060.031292271</v>
      </c>
      <c r="L70" s="2">
        <v>4402.4012516908397</v>
      </c>
      <c r="M70" s="2">
        <v>0</v>
      </c>
      <c r="N70" s="2">
        <v>0</v>
      </c>
      <c r="O70" s="2">
        <v>77416.511176729196</v>
      </c>
      <c r="P70" s="2">
        <v>77416.511176729196</v>
      </c>
      <c r="Q70" s="2">
        <v>9153.7070427291201</v>
      </c>
      <c r="R70" s="2">
        <v>96503.922635124196</v>
      </c>
      <c r="T70" s="3">
        <f t="shared" si="2"/>
        <v>96503.922635123847</v>
      </c>
    </row>
    <row r="71" spans="1:20" x14ac:dyDescent="0.25">
      <c r="A71" t="s">
        <v>0</v>
      </c>
      <c r="B71" t="s">
        <v>34</v>
      </c>
      <c r="C71" t="s">
        <v>31</v>
      </c>
      <c r="D71" s="102" t="s">
        <v>161</v>
      </c>
      <c r="E71" t="s">
        <v>3</v>
      </c>
      <c r="F71" t="s">
        <v>90</v>
      </c>
      <c r="G71" t="s">
        <v>49</v>
      </c>
      <c r="H71" t="s">
        <v>4</v>
      </c>
      <c r="I71" s="2">
        <v>7.3063547998941099</v>
      </c>
      <c r="J71" s="2">
        <v>104448.50126759001</v>
      </c>
      <c r="K71" s="2">
        <v>104448.50126759001</v>
      </c>
      <c r="L71" s="2">
        <v>4177.9400507035998</v>
      </c>
      <c r="M71" s="2">
        <v>0</v>
      </c>
      <c r="N71" s="2">
        <v>15024.057411235901</v>
      </c>
      <c r="O71" s="2">
        <v>0</v>
      </c>
      <c r="P71" s="2">
        <v>15024.057411235901</v>
      </c>
      <c r="Q71" s="2">
        <v>5013.52806084432</v>
      </c>
      <c r="R71" s="2">
        <v>80232.975744806099</v>
      </c>
      <c r="T71" s="3">
        <f t="shared" si="2"/>
        <v>80232.975744806186</v>
      </c>
    </row>
    <row r="72" spans="1:20" x14ac:dyDescent="0.25">
      <c r="A72" t="s">
        <v>0</v>
      </c>
      <c r="B72" t="s">
        <v>34</v>
      </c>
      <c r="C72" t="s">
        <v>31</v>
      </c>
      <c r="D72" s="102" t="s">
        <v>161</v>
      </c>
      <c r="E72" t="s">
        <v>5</v>
      </c>
      <c r="F72" t="s">
        <v>90</v>
      </c>
      <c r="G72" t="s">
        <v>49</v>
      </c>
      <c r="H72" t="s">
        <v>6</v>
      </c>
      <c r="I72" s="2">
        <v>9.9321159999111508</v>
      </c>
      <c r="J72" s="2">
        <v>268141.23340233002</v>
      </c>
      <c r="K72" s="2">
        <v>139568.76074446199</v>
      </c>
      <c r="L72" s="2">
        <v>5582.7504297784899</v>
      </c>
      <c r="M72" s="2">
        <v>52547.366573437597</v>
      </c>
      <c r="N72" s="2">
        <v>0</v>
      </c>
      <c r="O72" s="2">
        <v>20737.646379316298</v>
      </c>
      <c r="P72" s="2">
        <v>73285.012952753896</v>
      </c>
      <c r="Q72" s="2">
        <v>10500.5558199557</v>
      </c>
      <c r="R72" s="2">
        <v>178772.91419984101</v>
      </c>
      <c r="T72" s="3">
        <f t="shared" si="2"/>
        <v>178772.91419984194</v>
      </c>
    </row>
    <row r="73" spans="1:20" x14ac:dyDescent="0.25">
      <c r="A73" t="s">
        <v>0</v>
      </c>
      <c r="B73" t="s">
        <v>91</v>
      </c>
      <c r="C73" t="s">
        <v>31</v>
      </c>
      <c r="D73" s="102" t="s">
        <v>161</v>
      </c>
      <c r="E73" t="s">
        <v>3</v>
      </c>
      <c r="F73" t="s">
        <v>92</v>
      </c>
      <c r="G73" t="s">
        <v>49</v>
      </c>
      <c r="H73" t="s">
        <v>4</v>
      </c>
      <c r="I73" s="2">
        <v>13.800892399731699</v>
      </c>
      <c r="J73" s="2">
        <v>150181.75091360501</v>
      </c>
      <c r="K73" s="2">
        <v>150181.75091360501</v>
      </c>
      <c r="L73" s="2">
        <v>6007.2700365441997</v>
      </c>
      <c r="M73" s="2">
        <v>0</v>
      </c>
      <c r="N73" s="2">
        <v>0</v>
      </c>
      <c r="O73" s="2">
        <v>0</v>
      </c>
      <c r="P73" s="2">
        <v>0</v>
      </c>
      <c r="Q73" s="2">
        <v>7208.7240438530398</v>
      </c>
      <c r="R73" s="2">
        <v>136965.756833208</v>
      </c>
      <c r="T73" s="3">
        <f t="shared" si="2"/>
        <v>136965.75683320776</v>
      </c>
    </row>
    <row r="74" spans="1:20" x14ac:dyDescent="0.25">
      <c r="A74" t="s">
        <v>0</v>
      </c>
      <c r="B74" t="s">
        <v>91</v>
      </c>
      <c r="C74" t="s">
        <v>31</v>
      </c>
      <c r="D74" s="102" t="s">
        <v>161</v>
      </c>
      <c r="E74" t="s">
        <v>5</v>
      </c>
      <c r="F74" t="s">
        <v>92</v>
      </c>
      <c r="G74" t="s">
        <v>49</v>
      </c>
      <c r="H74" t="s">
        <v>6</v>
      </c>
      <c r="I74" s="2">
        <v>22.148935999631899</v>
      </c>
      <c r="J74" s="2">
        <v>455201.42354800302</v>
      </c>
      <c r="K74" s="2">
        <v>250753.47238308599</v>
      </c>
      <c r="L74" s="2">
        <v>10030.1388953235</v>
      </c>
      <c r="M74" s="2">
        <v>0</v>
      </c>
      <c r="N74" s="2">
        <v>0</v>
      </c>
      <c r="O74" s="2">
        <v>0</v>
      </c>
      <c r="P74" s="2">
        <v>0</v>
      </c>
      <c r="Q74" s="2">
        <v>22258.564232633998</v>
      </c>
      <c r="R74" s="2">
        <v>422912.72042004601</v>
      </c>
      <c r="T74" s="3">
        <f t="shared" si="2"/>
        <v>422912.72042004555</v>
      </c>
    </row>
    <row r="75" spans="1:20" x14ac:dyDescent="0.25">
      <c r="A75" t="s">
        <v>0</v>
      </c>
      <c r="B75" t="s">
        <v>93</v>
      </c>
      <c r="C75" t="s">
        <v>31</v>
      </c>
      <c r="D75" s="102" t="s">
        <v>161</v>
      </c>
      <c r="E75" t="s">
        <v>3</v>
      </c>
      <c r="F75" t="s">
        <v>94</v>
      </c>
      <c r="G75" t="s">
        <v>49</v>
      </c>
      <c r="H75" t="s">
        <v>4</v>
      </c>
      <c r="I75" s="2">
        <v>5.01208879992235</v>
      </c>
      <c r="J75" s="2">
        <v>55058.448780110499</v>
      </c>
      <c r="K75" s="2">
        <v>55058.448780110499</v>
      </c>
      <c r="L75" s="2">
        <v>2202.3379512044198</v>
      </c>
      <c r="M75" s="2">
        <v>0</v>
      </c>
      <c r="N75" s="2">
        <v>0</v>
      </c>
      <c r="O75" s="2">
        <v>0</v>
      </c>
      <c r="P75" s="2">
        <v>0</v>
      </c>
      <c r="Q75" s="2">
        <v>2642.8055414453002</v>
      </c>
      <c r="R75" s="2">
        <v>50213.305287460797</v>
      </c>
      <c r="T75" s="3">
        <f t="shared" si="2"/>
        <v>50213.305287460782</v>
      </c>
    </row>
    <row r="76" spans="1:20" x14ac:dyDescent="0.25">
      <c r="A76" t="s">
        <v>0</v>
      </c>
      <c r="B76" t="s">
        <v>93</v>
      </c>
      <c r="C76" t="s">
        <v>31</v>
      </c>
      <c r="D76" s="102" t="s">
        <v>161</v>
      </c>
      <c r="E76" t="s">
        <v>5</v>
      </c>
      <c r="F76" t="s">
        <v>94</v>
      </c>
      <c r="G76" t="s">
        <v>49</v>
      </c>
      <c r="H76" t="s">
        <v>6</v>
      </c>
      <c r="I76" s="2">
        <v>7.4252879999047998</v>
      </c>
      <c r="J76" s="2">
        <v>136173.43387511</v>
      </c>
      <c r="K76" s="2">
        <v>82497.303629192902</v>
      </c>
      <c r="L76" s="2">
        <v>3299.8921451677202</v>
      </c>
      <c r="M76" s="2">
        <v>0</v>
      </c>
      <c r="N76" s="2">
        <v>16499.460725838599</v>
      </c>
      <c r="O76" s="2">
        <v>0</v>
      </c>
      <c r="P76" s="2">
        <v>16499.460725838599</v>
      </c>
      <c r="Q76" s="2">
        <v>6643.6770864971204</v>
      </c>
      <c r="R76" s="2">
        <v>109730.40391760699</v>
      </c>
      <c r="T76" s="3">
        <f t="shared" si="2"/>
        <v>109730.40391760657</v>
      </c>
    </row>
    <row r="77" spans="1:20" x14ac:dyDescent="0.25">
      <c r="A77" t="s">
        <v>0</v>
      </c>
      <c r="B77" t="s">
        <v>95</v>
      </c>
      <c r="C77" t="s">
        <v>31</v>
      </c>
      <c r="D77" s="102" t="s">
        <v>161</v>
      </c>
      <c r="E77" t="s">
        <v>3</v>
      </c>
      <c r="F77" t="s">
        <v>96</v>
      </c>
      <c r="G77" t="s">
        <v>49</v>
      </c>
      <c r="H77" t="s">
        <v>4</v>
      </c>
      <c r="I77" s="2">
        <v>4.69442119992235</v>
      </c>
      <c r="J77" s="2">
        <v>68992.650156982403</v>
      </c>
      <c r="K77" s="2">
        <v>68992.650156982403</v>
      </c>
      <c r="L77" s="2">
        <v>2759.7060062792998</v>
      </c>
      <c r="M77" s="2">
        <v>0</v>
      </c>
      <c r="N77" s="2">
        <v>0</v>
      </c>
      <c r="O77" s="2">
        <v>0</v>
      </c>
      <c r="P77" s="2">
        <v>0</v>
      </c>
      <c r="Q77" s="2">
        <v>3311.6472075351498</v>
      </c>
      <c r="R77" s="2">
        <v>62921.296943167901</v>
      </c>
      <c r="T77" s="3">
        <f t="shared" si="2"/>
        <v>62921.296943167952</v>
      </c>
    </row>
    <row r="78" spans="1:20" x14ac:dyDescent="0.25">
      <c r="A78" t="s">
        <v>0</v>
      </c>
      <c r="B78" t="s">
        <v>95</v>
      </c>
      <c r="C78" t="s">
        <v>31</v>
      </c>
      <c r="D78" s="102" t="s">
        <v>161</v>
      </c>
      <c r="E78" t="s">
        <v>5</v>
      </c>
      <c r="F78" t="s">
        <v>96</v>
      </c>
      <c r="G78" t="s">
        <v>49</v>
      </c>
      <c r="H78" t="s">
        <v>6</v>
      </c>
      <c r="I78" s="2">
        <v>12.280283999819099</v>
      </c>
      <c r="J78" s="2">
        <v>242512.543243494</v>
      </c>
      <c r="K78" s="2">
        <v>187070.81393992601</v>
      </c>
      <c r="L78" s="2">
        <v>7482.8325575970202</v>
      </c>
      <c r="M78" s="2">
        <v>0</v>
      </c>
      <c r="N78" s="2">
        <v>0</v>
      </c>
      <c r="O78" s="2">
        <v>2370.9790130684601</v>
      </c>
      <c r="P78" s="2">
        <v>2370.9790130684601</v>
      </c>
      <c r="Q78" s="2">
        <v>11751.485534294799</v>
      </c>
      <c r="R78" s="2">
        <v>220907.246138533</v>
      </c>
      <c r="T78" s="3">
        <f t="shared" si="2"/>
        <v>220907.24613853372</v>
      </c>
    </row>
    <row r="79" spans="1:20" x14ac:dyDescent="0.25">
      <c r="A79" t="s">
        <v>3</v>
      </c>
      <c r="B79" t="s">
        <v>1</v>
      </c>
      <c r="C79" t="s">
        <v>1</v>
      </c>
      <c r="D79" t="s">
        <v>1</v>
      </c>
      <c r="E79" t="s">
        <v>3</v>
      </c>
      <c r="F79" t="s">
        <v>2</v>
      </c>
      <c r="G79" t="s">
        <v>2</v>
      </c>
      <c r="H79" t="s">
        <v>4</v>
      </c>
      <c r="I79" s="2">
        <v>3657.7115027608502</v>
      </c>
      <c r="J79" s="2">
        <v>38677489.127796203</v>
      </c>
      <c r="K79" s="2">
        <v>38677489.127796203</v>
      </c>
      <c r="L79" s="2">
        <v>1547099.5651118499</v>
      </c>
      <c r="M79" s="2">
        <v>0</v>
      </c>
      <c r="N79" s="2">
        <v>264920.53463909501</v>
      </c>
      <c r="O79" s="2">
        <v>0</v>
      </c>
      <c r="P79" s="2">
        <v>264920.53463909501</v>
      </c>
      <c r="Q79" s="2">
        <v>1856519.47813422</v>
      </c>
      <c r="R79" s="2">
        <v>35008949.549911</v>
      </c>
      <c r="S79" s="2">
        <f>$U$3*I79</f>
        <v>2560946.7086580093</v>
      </c>
      <c r="T79" s="3">
        <f t="shared" si="2"/>
        <v>32448002.84125302</v>
      </c>
    </row>
    <row r="80" spans="1:20" x14ac:dyDescent="0.25">
      <c r="A80" t="s">
        <v>3</v>
      </c>
      <c r="B80" t="s">
        <v>1</v>
      </c>
      <c r="C80" t="s">
        <v>1</v>
      </c>
      <c r="D80" t="s">
        <v>1</v>
      </c>
      <c r="E80" t="s">
        <v>5</v>
      </c>
      <c r="F80" t="s">
        <v>2</v>
      </c>
      <c r="G80" t="s">
        <v>2</v>
      </c>
      <c r="H80" t="s">
        <v>6</v>
      </c>
      <c r="I80" s="2">
        <v>439.06353852868199</v>
      </c>
      <c r="J80" s="2">
        <v>13758986.9475793</v>
      </c>
      <c r="K80" s="2">
        <v>4445136.9749777596</v>
      </c>
      <c r="L80" s="2">
        <v>177805.47899911099</v>
      </c>
      <c r="M80" s="2">
        <v>2319.5019142791298</v>
      </c>
      <c r="N80" s="2">
        <v>1649.44854122986</v>
      </c>
      <c r="O80" s="2">
        <v>0</v>
      </c>
      <c r="P80" s="2">
        <v>3968.9504555089902</v>
      </c>
      <c r="Q80" s="2">
        <v>678943.098333298</v>
      </c>
      <c r="R80" s="2">
        <v>12898269.4197914</v>
      </c>
      <c r="T80" s="3">
        <f t="shared" si="2"/>
        <v>12898269.419791382</v>
      </c>
    </row>
    <row r="81" spans="1:20" x14ac:dyDescent="0.25">
      <c r="A81" t="s">
        <v>3</v>
      </c>
      <c r="B81" t="s">
        <v>8</v>
      </c>
      <c r="C81" t="s">
        <v>1</v>
      </c>
      <c r="D81" t="s">
        <v>1</v>
      </c>
      <c r="E81" t="s">
        <v>3</v>
      </c>
      <c r="F81" t="s">
        <v>51</v>
      </c>
      <c r="G81" t="s">
        <v>2</v>
      </c>
      <c r="H81" t="s">
        <v>4</v>
      </c>
      <c r="I81" s="2">
        <v>151.23532319826299</v>
      </c>
      <c r="J81" s="2">
        <v>1714195.5954557899</v>
      </c>
      <c r="K81" s="2">
        <v>1714195.5954557899</v>
      </c>
      <c r="L81" s="2">
        <v>68567.823818231496</v>
      </c>
      <c r="M81" s="2">
        <v>0</v>
      </c>
      <c r="N81" s="2">
        <v>10640.458578530701</v>
      </c>
      <c r="O81" s="2">
        <v>0</v>
      </c>
      <c r="P81" s="2">
        <v>10640.458578530701</v>
      </c>
      <c r="Q81" s="2">
        <v>82281.388581877807</v>
      </c>
      <c r="R81" s="2">
        <v>1552705.92447715</v>
      </c>
      <c r="S81" s="2">
        <f>$U$3*I81</f>
        <v>105887.41153726383</v>
      </c>
      <c r="T81" s="3">
        <f t="shared" si="2"/>
        <v>1446818.5129398862</v>
      </c>
    </row>
    <row r="82" spans="1:20" x14ac:dyDescent="0.25">
      <c r="A82" t="s">
        <v>3</v>
      </c>
      <c r="B82" t="s">
        <v>8</v>
      </c>
      <c r="C82" t="s">
        <v>1</v>
      </c>
      <c r="D82" t="s">
        <v>1</v>
      </c>
      <c r="E82" t="s">
        <v>5</v>
      </c>
      <c r="F82" t="s">
        <v>51</v>
      </c>
      <c r="G82" t="s">
        <v>2</v>
      </c>
      <c r="H82" t="s">
        <v>6</v>
      </c>
      <c r="I82" s="2">
        <v>7.1427577332367402</v>
      </c>
      <c r="J82" s="2">
        <v>234757.62861847301</v>
      </c>
      <c r="K82" s="2">
        <v>75837.135489741195</v>
      </c>
      <c r="L82" s="2">
        <v>3033.4854195896501</v>
      </c>
      <c r="M82" s="2">
        <v>0</v>
      </c>
      <c r="N82" s="2">
        <v>0</v>
      </c>
      <c r="O82" s="2">
        <v>0</v>
      </c>
      <c r="P82" s="2">
        <v>0</v>
      </c>
      <c r="Q82" s="2">
        <v>11586.207159944101</v>
      </c>
      <c r="R82" s="2">
        <v>220137.93603893899</v>
      </c>
      <c r="T82" s="3">
        <f t="shared" si="2"/>
        <v>220137.93603893925</v>
      </c>
    </row>
    <row r="83" spans="1:20" x14ac:dyDescent="0.25">
      <c r="A83" t="s">
        <v>3</v>
      </c>
      <c r="B83" t="s">
        <v>13</v>
      </c>
      <c r="C83" t="s">
        <v>8</v>
      </c>
      <c r="D83" t="s">
        <v>8</v>
      </c>
      <c r="E83" t="s">
        <v>3</v>
      </c>
      <c r="F83" t="s">
        <v>9</v>
      </c>
      <c r="G83" t="s">
        <v>9</v>
      </c>
      <c r="H83" t="s">
        <v>4</v>
      </c>
      <c r="I83" s="2">
        <v>20.229609700056798</v>
      </c>
      <c r="J83" s="2">
        <v>285393.41133681103</v>
      </c>
      <c r="K83" s="2">
        <v>285393.41133681103</v>
      </c>
      <c r="L83" s="2">
        <v>11415.7364534724</v>
      </c>
      <c r="M83" s="2">
        <v>0</v>
      </c>
      <c r="N83" s="2">
        <v>17761.727298557798</v>
      </c>
      <c r="O83" s="2">
        <v>0</v>
      </c>
      <c r="P83" s="2">
        <v>17761.727298557798</v>
      </c>
      <c r="Q83" s="2">
        <v>13698.8837441669</v>
      </c>
      <c r="R83" s="2">
        <v>242517.06384061399</v>
      </c>
      <c r="T83" s="3">
        <f t="shared" si="2"/>
        <v>242517.06384061393</v>
      </c>
    </row>
    <row r="84" spans="1:20" x14ac:dyDescent="0.25">
      <c r="A84" t="s">
        <v>3</v>
      </c>
      <c r="B84" t="s">
        <v>13</v>
      </c>
      <c r="C84" t="s">
        <v>8</v>
      </c>
      <c r="D84" t="s">
        <v>8</v>
      </c>
      <c r="E84" t="s">
        <v>5</v>
      </c>
      <c r="F84" t="s">
        <v>9</v>
      </c>
      <c r="G84" t="s">
        <v>9</v>
      </c>
      <c r="H84" t="s">
        <v>6</v>
      </c>
      <c r="I84" s="2">
        <v>7.8230947889323001</v>
      </c>
      <c r="J84" s="2">
        <v>193441.447775754</v>
      </c>
      <c r="K84" s="2">
        <v>108492.25490058</v>
      </c>
      <c r="L84" s="2">
        <v>4339.6901960231899</v>
      </c>
      <c r="M84" s="2">
        <v>0</v>
      </c>
      <c r="N84" s="2">
        <v>26038.141176139099</v>
      </c>
      <c r="O84" s="2">
        <v>20387.806290041801</v>
      </c>
      <c r="P84" s="2">
        <v>46425.9474661809</v>
      </c>
      <c r="Q84" s="2">
        <v>9455.0878789865292</v>
      </c>
      <c r="R84" s="2">
        <v>133220.722234563</v>
      </c>
      <c r="T84" s="3">
        <f t="shared" si="2"/>
        <v>133220.72223456341</v>
      </c>
    </row>
    <row r="85" spans="1:20" x14ac:dyDescent="0.25">
      <c r="A85" t="s">
        <v>3</v>
      </c>
      <c r="B85" t="s">
        <v>10</v>
      </c>
      <c r="C85" t="s">
        <v>7</v>
      </c>
      <c r="D85" t="s">
        <v>7</v>
      </c>
      <c r="E85" t="s">
        <v>3</v>
      </c>
      <c r="F85" t="s">
        <v>11</v>
      </c>
      <c r="G85" t="s">
        <v>11</v>
      </c>
      <c r="H85" t="s">
        <v>4</v>
      </c>
      <c r="I85" s="2">
        <v>127.88312023488</v>
      </c>
      <c r="J85" s="2">
        <v>1853951.0869797301</v>
      </c>
      <c r="K85" s="2">
        <v>1853951.0869797301</v>
      </c>
      <c r="L85" s="2">
        <v>74158.043479189204</v>
      </c>
      <c r="M85" s="2">
        <v>0</v>
      </c>
      <c r="N85" s="2">
        <v>10655.7138268082</v>
      </c>
      <c r="O85" s="2">
        <v>0</v>
      </c>
      <c r="P85" s="2">
        <v>10655.7138268082</v>
      </c>
      <c r="Q85" s="2">
        <v>88989.652175027106</v>
      </c>
      <c r="R85" s="2">
        <v>1680147.6774987101</v>
      </c>
      <c r="T85" s="3">
        <f t="shared" si="2"/>
        <v>1680147.6774987055</v>
      </c>
    </row>
    <row r="86" spans="1:20" x14ac:dyDescent="0.25">
      <c r="A86" t="s">
        <v>3</v>
      </c>
      <c r="B86" t="s">
        <v>10</v>
      </c>
      <c r="C86" t="s">
        <v>7</v>
      </c>
      <c r="D86" t="s">
        <v>7</v>
      </c>
      <c r="E86" t="s">
        <v>5</v>
      </c>
      <c r="F86" t="s">
        <v>11</v>
      </c>
      <c r="G86" t="s">
        <v>11</v>
      </c>
      <c r="H86" t="s">
        <v>6</v>
      </c>
      <c r="I86" s="2">
        <v>9.8207870223449802</v>
      </c>
      <c r="J86" s="2">
        <v>253963.200185811</v>
      </c>
      <c r="K86" s="2">
        <v>142998.69630812199</v>
      </c>
      <c r="L86" s="2">
        <v>5719.9478523248699</v>
      </c>
      <c r="M86" s="2">
        <v>0</v>
      </c>
      <c r="N86" s="2">
        <v>0</v>
      </c>
      <c r="O86" s="2">
        <v>0</v>
      </c>
      <c r="P86" s="2">
        <v>0</v>
      </c>
      <c r="Q86" s="2">
        <v>12412.162616674301</v>
      </c>
      <c r="R86" s="2">
        <v>235831.089716811</v>
      </c>
      <c r="T86" s="3">
        <f t="shared" si="2"/>
        <v>235831.08971681184</v>
      </c>
    </row>
    <row r="87" spans="1:20" x14ac:dyDescent="0.25">
      <c r="A87" t="s">
        <v>3</v>
      </c>
      <c r="B87" t="s">
        <v>7</v>
      </c>
      <c r="C87" t="s">
        <v>13</v>
      </c>
      <c r="D87" t="s">
        <v>13</v>
      </c>
      <c r="E87" t="s">
        <v>3</v>
      </c>
      <c r="F87" t="s">
        <v>52</v>
      </c>
      <c r="G87" t="s">
        <v>14</v>
      </c>
      <c r="H87" t="s">
        <v>4</v>
      </c>
      <c r="I87" s="2">
        <v>0.1795659555578</v>
      </c>
      <c r="J87" s="2">
        <v>3185.9313366546598</v>
      </c>
      <c r="K87" s="2">
        <v>3185.9313366546598</v>
      </c>
      <c r="L87" s="2">
        <v>127.43725346618599</v>
      </c>
      <c r="M87" s="2">
        <v>0</v>
      </c>
      <c r="N87" s="2">
        <v>0</v>
      </c>
      <c r="O87" s="2">
        <v>0</v>
      </c>
      <c r="P87" s="2">
        <v>0</v>
      </c>
      <c r="Q87" s="2">
        <v>152.92470415942299</v>
      </c>
      <c r="R87" s="2">
        <v>2905.5693790290502</v>
      </c>
      <c r="T87" s="3">
        <f t="shared" si="2"/>
        <v>2905.5693790290507</v>
      </c>
    </row>
    <row r="88" spans="1:20" x14ac:dyDescent="0.25">
      <c r="A88" t="s">
        <v>3</v>
      </c>
      <c r="B88" t="s">
        <v>7</v>
      </c>
      <c r="C88" t="s">
        <v>13</v>
      </c>
      <c r="D88" t="s">
        <v>13</v>
      </c>
      <c r="E88" t="s">
        <v>5</v>
      </c>
      <c r="F88" t="s">
        <v>52</v>
      </c>
      <c r="G88" t="s">
        <v>14</v>
      </c>
      <c r="H88" t="s">
        <v>6</v>
      </c>
      <c r="I88" s="2">
        <v>0.65555555556</v>
      </c>
      <c r="J88" s="2">
        <v>20058.428307990402</v>
      </c>
      <c r="K88" s="2">
        <v>11312.927402167499</v>
      </c>
      <c r="L88" s="2">
        <v>452.51709608670001</v>
      </c>
      <c r="M88" s="2">
        <v>0</v>
      </c>
      <c r="N88" s="2">
        <v>0</v>
      </c>
      <c r="O88" s="2">
        <v>0</v>
      </c>
      <c r="P88" s="2">
        <v>0</v>
      </c>
      <c r="Q88" s="2">
        <v>980.29556059518302</v>
      </c>
      <c r="R88" s="2">
        <v>18625.615651308501</v>
      </c>
      <c r="T88" s="3">
        <f t="shared" si="2"/>
        <v>18625.615651308519</v>
      </c>
    </row>
    <row r="89" spans="1:20" x14ac:dyDescent="0.25">
      <c r="A89" s="102" t="s">
        <v>3</v>
      </c>
      <c r="B89" t="s">
        <v>16</v>
      </c>
      <c r="C89" t="s">
        <v>13</v>
      </c>
      <c r="D89" t="s">
        <v>13</v>
      </c>
      <c r="E89" t="s">
        <v>3</v>
      </c>
      <c r="F89" t="s">
        <v>14</v>
      </c>
      <c r="G89" t="s">
        <v>14</v>
      </c>
      <c r="H89" t="s">
        <v>4</v>
      </c>
      <c r="I89" s="2"/>
      <c r="J89" s="2"/>
      <c r="K89" s="2"/>
      <c r="L89" s="2"/>
      <c r="P89" s="2"/>
      <c r="Q89" s="2"/>
      <c r="R89" s="2"/>
      <c r="T89" s="3"/>
    </row>
    <row r="90" spans="1:20" x14ac:dyDescent="0.25">
      <c r="A90" s="102" t="s">
        <v>3</v>
      </c>
      <c r="B90" t="s">
        <v>16</v>
      </c>
      <c r="C90" t="s">
        <v>13</v>
      </c>
      <c r="D90" t="s">
        <v>13</v>
      </c>
      <c r="E90" t="s">
        <v>5</v>
      </c>
      <c r="F90" t="s">
        <v>14</v>
      </c>
      <c r="G90" t="s">
        <v>14</v>
      </c>
      <c r="H90" t="s">
        <v>6</v>
      </c>
      <c r="I90" s="2"/>
      <c r="J90" s="2"/>
      <c r="K90" s="2"/>
      <c r="L90" s="2"/>
      <c r="P90" s="2"/>
      <c r="Q90" s="2"/>
      <c r="R90" s="2"/>
      <c r="T90" s="3"/>
    </row>
    <row r="91" spans="1:20" x14ac:dyDescent="0.25">
      <c r="A91" t="s">
        <v>3</v>
      </c>
      <c r="B91" t="s">
        <v>15</v>
      </c>
      <c r="C91" t="s">
        <v>16</v>
      </c>
      <c r="D91" t="s">
        <v>16</v>
      </c>
      <c r="E91" t="s">
        <v>3</v>
      </c>
      <c r="F91" t="s">
        <v>75</v>
      </c>
      <c r="G91" t="s">
        <v>36</v>
      </c>
      <c r="H91" t="s">
        <v>4</v>
      </c>
      <c r="I91" s="2">
        <v>43.644629465534798</v>
      </c>
      <c r="J91" s="2">
        <v>863869.96114800195</v>
      </c>
      <c r="K91" s="2">
        <v>863869.96114800195</v>
      </c>
      <c r="L91" s="2">
        <v>34554.798445920103</v>
      </c>
      <c r="M91" s="2">
        <v>0</v>
      </c>
      <c r="N91" s="2">
        <v>29585.393643921201</v>
      </c>
      <c r="O91" s="2">
        <v>0</v>
      </c>
      <c r="P91" s="2">
        <v>29585.393643921201</v>
      </c>
      <c r="Q91" s="2">
        <v>41465.758135104101</v>
      </c>
      <c r="R91" s="2">
        <v>758264.01092305605</v>
      </c>
      <c r="T91" s="3">
        <f>+J91-L91-P91-Q91-S91</f>
        <v>758264.01092305651</v>
      </c>
    </row>
    <row r="92" spans="1:20" x14ac:dyDescent="0.25">
      <c r="A92" t="s">
        <v>3</v>
      </c>
      <c r="B92" t="s">
        <v>15</v>
      </c>
      <c r="C92" t="s">
        <v>16</v>
      </c>
      <c r="D92" t="s">
        <v>16</v>
      </c>
      <c r="E92" t="s">
        <v>5</v>
      </c>
      <c r="F92" t="s">
        <v>75</v>
      </c>
      <c r="G92" t="s">
        <v>36</v>
      </c>
      <c r="H92" t="s">
        <v>6</v>
      </c>
      <c r="I92" s="2">
        <v>7.8462886664614597</v>
      </c>
      <c r="J92" s="2">
        <v>180414.80910766701</v>
      </c>
      <c r="K92" s="2">
        <v>144652.23274052801</v>
      </c>
      <c r="L92" s="2">
        <v>5786.0893096211003</v>
      </c>
      <c r="M92" s="2">
        <v>0</v>
      </c>
      <c r="N92" s="2">
        <v>0</v>
      </c>
      <c r="O92" s="2">
        <v>0</v>
      </c>
      <c r="P92" s="2">
        <v>0</v>
      </c>
      <c r="Q92" s="2">
        <v>8731.4359899023002</v>
      </c>
      <c r="R92" s="2">
        <v>165897.28380814401</v>
      </c>
      <c r="T92" s="3">
        <f>+J92-L92-P92-Q92-S92</f>
        <v>165897.28380814361</v>
      </c>
    </row>
    <row r="93" spans="1:20" x14ac:dyDescent="0.25">
      <c r="A93" t="s">
        <v>3</v>
      </c>
      <c r="B93" t="s">
        <v>24</v>
      </c>
      <c r="C93" t="s">
        <v>16</v>
      </c>
      <c r="D93" t="s">
        <v>16</v>
      </c>
      <c r="E93" t="s">
        <v>3</v>
      </c>
      <c r="F93" t="s">
        <v>76</v>
      </c>
      <c r="G93" t="s">
        <v>36</v>
      </c>
      <c r="H93" t="s">
        <v>4</v>
      </c>
      <c r="I93" s="2">
        <v>55.115721398529097</v>
      </c>
      <c r="J93" s="2">
        <v>995189.97242370504</v>
      </c>
      <c r="K93" s="2">
        <v>995189.97242370504</v>
      </c>
      <c r="L93" s="2">
        <v>39807.598896948199</v>
      </c>
      <c r="M93" s="2">
        <v>0</v>
      </c>
      <c r="N93" s="2">
        <v>5102.4086544459396</v>
      </c>
      <c r="O93" s="2">
        <v>0</v>
      </c>
      <c r="P93" s="2">
        <v>5102.4086544459396</v>
      </c>
      <c r="Q93" s="2">
        <v>47769.118676337901</v>
      </c>
      <c r="R93" s="2">
        <v>902510.84619597299</v>
      </c>
      <c r="T93" s="3">
        <f>+J93-L93-P93-Q93-S93</f>
        <v>902510.84619597311</v>
      </c>
    </row>
    <row r="94" spans="1:20" x14ac:dyDescent="0.25">
      <c r="A94" t="s">
        <v>3</v>
      </c>
      <c r="B94" t="s">
        <v>24</v>
      </c>
      <c r="C94" t="s">
        <v>16</v>
      </c>
      <c r="D94" t="s">
        <v>16</v>
      </c>
      <c r="E94" t="s">
        <v>5</v>
      </c>
      <c r="F94" t="s">
        <v>76</v>
      </c>
      <c r="G94" t="s">
        <v>36</v>
      </c>
      <c r="H94" t="s">
        <v>6</v>
      </c>
      <c r="I94" s="2">
        <v>3.1988715332307298</v>
      </c>
      <c r="J94" s="2">
        <v>63266.335687319697</v>
      </c>
      <c r="K94" s="2">
        <v>50228.501609322797</v>
      </c>
      <c r="L94" s="2">
        <v>2009.14006437291</v>
      </c>
      <c r="M94" s="2">
        <v>0</v>
      </c>
      <c r="N94" s="2">
        <v>0</v>
      </c>
      <c r="O94" s="2">
        <v>0</v>
      </c>
      <c r="P94" s="2">
        <v>0</v>
      </c>
      <c r="Q94" s="2">
        <v>3062.8597811473401</v>
      </c>
      <c r="R94" s="2">
        <v>58194.335841799497</v>
      </c>
      <c r="T94" s="3">
        <f>+J94-L94-P94-Q94-S94</f>
        <v>58194.335841799453</v>
      </c>
    </row>
    <row r="95" spans="1:20" x14ac:dyDescent="0.25">
      <c r="A95" t="s">
        <v>3</v>
      </c>
      <c r="B95" t="s">
        <v>18</v>
      </c>
      <c r="C95" t="s">
        <v>24</v>
      </c>
      <c r="D95" s="102" t="s">
        <v>10</v>
      </c>
      <c r="E95" t="s">
        <v>3</v>
      </c>
      <c r="F95" t="s">
        <v>97</v>
      </c>
      <c r="G95" t="s">
        <v>50</v>
      </c>
      <c r="H95" t="s">
        <v>4</v>
      </c>
      <c r="I95" s="2">
        <v>24.8739839112623</v>
      </c>
      <c r="J95" s="2">
        <v>519970.30929358001</v>
      </c>
      <c r="K95" s="2">
        <v>519970.30929358001</v>
      </c>
      <c r="L95" s="2">
        <v>20798.812371743199</v>
      </c>
      <c r="M95" s="2">
        <v>0</v>
      </c>
      <c r="N95" s="2">
        <v>0</v>
      </c>
      <c r="O95" s="2">
        <v>0</v>
      </c>
      <c r="P95" s="2">
        <v>0</v>
      </c>
      <c r="Q95" s="2">
        <v>24958.574846091899</v>
      </c>
      <c r="R95" s="2">
        <v>474212.92207574501</v>
      </c>
      <c r="T95" s="3">
        <f>+J95-L95-P95-Q95-S95</f>
        <v>474212.92207574489</v>
      </c>
    </row>
    <row r="96" spans="1:20" x14ac:dyDescent="0.25">
      <c r="A96" t="s">
        <v>3</v>
      </c>
      <c r="B96" t="s">
        <v>18</v>
      </c>
      <c r="C96" t="s">
        <v>24</v>
      </c>
      <c r="D96" s="102" t="s">
        <v>10</v>
      </c>
      <c r="E96" s="102" t="s">
        <v>5</v>
      </c>
      <c r="F96" t="s">
        <v>97</v>
      </c>
      <c r="G96" t="s">
        <v>50</v>
      </c>
      <c r="H96" t="s">
        <v>6</v>
      </c>
      <c r="I96" s="2"/>
      <c r="J96" s="2"/>
      <c r="K96" s="2"/>
      <c r="L96" s="2"/>
      <c r="P96" s="2"/>
      <c r="Q96" s="2"/>
      <c r="R96" s="2"/>
      <c r="T96" s="3"/>
    </row>
    <row r="97" spans="1:20" x14ac:dyDescent="0.25">
      <c r="A97" t="s">
        <v>5</v>
      </c>
      <c r="B97" t="s">
        <v>1</v>
      </c>
      <c r="C97" t="s">
        <v>1</v>
      </c>
      <c r="D97" t="s">
        <v>1</v>
      </c>
      <c r="E97" t="s">
        <v>3</v>
      </c>
      <c r="F97" t="s">
        <v>2</v>
      </c>
      <c r="G97" t="s">
        <v>2</v>
      </c>
      <c r="H97" t="s">
        <v>4</v>
      </c>
      <c r="I97" s="2">
        <v>3302.1976488781002</v>
      </c>
      <c r="J97" s="2">
        <v>34938765.054112397</v>
      </c>
      <c r="K97" s="2">
        <v>34938765.054112397</v>
      </c>
      <c r="L97" s="2">
        <v>1397550.6021644899</v>
      </c>
      <c r="M97" s="2">
        <v>0</v>
      </c>
      <c r="N97" s="2">
        <v>775177.59375332505</v>
      </c>
      <c r="O97" s="2">
        <v>0</v>
      </c>
      <c r="P97" s="2">
        <v>775177.59375332505</v>
      </c>
      <c r="Q97" s="2">
        <v>1677060.7225973899</v>
      </c>
      <c r="R97" s="2">
        <v>31088976.135597199</v>
      </c>
      <c r="S97" s="2">
        <f>$U$3*I97</f>
        <v>2312033.6838620016</v>
      </c>
      <c r="T97" s="3">
        <f t="shared" ref="T97:T105" si="3">+J97-L97-P97-Q97-S97</f>
        <v>28776942.451735191</v>
      </c>
    </row>
    <row r="98" spans="1:20" x14ac:dyDescent="0.25">
      <c r="A98" t="s">
        <v>5</v>
      </c>
      <c r="B98" t="s">
        <v>1</v>
      </c>
      <c r="C98" t="s">
        <v>1</v>
      </c>
      <c r="D98" t="s">
        <v>1</v>
      </c>
      <c r="E98" t="s">
        <v>5</v>
      </c>
      <c r="F98" t="s">
        <v>2</v>
      </c>
      <c r="G98" t="s">
        <v>2</v>
      </c>
      <c r="H98" t="s">
        <v>6</v>
      </c>
      <c r="I98" s="2">
        <v>224.52344199756899</v>
      </c>
      <c r="J98" s="2">
        <v>7139888.50815845</v>
      </c>
      <c r="K98" s="2">
        <v>2306720.6934847198</v>
      </c>
      <c r="L98" s="2">
        <v>92268.827739388697</v>
      </c>
      <c r="M98" s="2">
        <v>0</v>
      </c>
      <c r="N98" s="2">
        <v>8484.3326525919892</v>
      </c>
      <c r="O98" s="2">
        <v>0</v>
      </c>
      <c r="P98" s="2">
        <v>8484.3326525919892</v>
      </c>
      <c r="Q98" s="2">
        <v>352380.98402095301</v>
      </c>
      <c r="R98" s="2">
        <v>6686754.3637455096</v>
      </c>
      <c r="T98" s="3">
        <f t="shared" si="3"/>
        <v>6686754.3637455162</v>
      </c>
    </row>
    <row r="99" spans="1:20" x14ac:dyDescent="0.25">
      <c r="A99" t="s">
        <v>5</v>
      </c>
      <c r="B99" t="s">
        <v>8</v>
      </c>
      <c r="C99" t="s">
        <v>1</v>
      </c>
      <c r="D99" t="s">
        <v>1</v>
      </c>
      <c r="E99" t="s">
        <v>3</v>
      </c>
      <c r="F99" t="s">
        <v>51</v>
      </c>
      <c r="G99" t="s">
        <v>2</v>
      </c>
      <c r="H99" t="s">
        <v>4</v>
      </c>
      <c r="I99" s="2">
        <v>67.862463954885499</v>
      </c>
      <c r="J99" s="2">
        <v>805272.55469444406</v>
      </c>
      <c r="K99" s="2">
        <v>805272.55469444406</v>
      </c>
      <c r="L99" s="2">
        <v>32210.9021877778</v>
      </c>
      <c r="M99" s="2">
        <v>0</v>
      </c>
      <c r="N99" s="2">
        <v>0</v>
      </c>
      <c r="O99" s="2">
        <v>0</v>
      </c>
      <c r="P99" s="2">
        <v>0</v>
      </c>
      <c r="Q99" s="2">
        <v>38653.0826253333</v>
      </c>
      <c r="R99" s="2">
        <v>734408.56988133304</v>
      </c>
      <c r="S99" s="2">
        <f>$U$3*I99</f>
        <v>47513.90413801308</v>
      </c>
      <c r="T99" s="3">
        <f t="shared" si="3"/>
        <v>686894.66574331978</v>
      </c>
    </row>
    <row r="100" spans="1:20" x14ac:dyDescent="0.25">
      <c r="A100" t="s">
        <v>5</v>
      </c>
      <c r="B100" t="s">
        <v>8</v>
      </c>
      <c r="C100" t="s">
        <v>1</v>
      </c>
      <c r="D100" t="s">
        <v>1</v>
      </c>
      <c r="E100" t="s">
        <v>5</v>
      </c>
      <c r="F100" t="s">
        <v>51</v>
      </c>
      <c r="G100" t="s">
        <v>2</v>
      </c>
      <c r="H100" t="s">
        <v>6</v>
      </c>
      <c r="I100" s="2">
        <v>11.9194459998699</v>
      </c>
      <c r="J100" s="2">
        <v>398634.69338016497</v>
      </c>
      <c r="K100" s="2">
        <v>128779.58357324101</v>
      </c>
      <c r="L100" s="2">
        <v>5151.1833429296203</v>
      </c>
      <c r="M100" s="2">
        <v>34446.582212990201</v>
      </c>
      <c r="N100" s="2">
        <v>0</v>
      </c>
      <c r="O100" s="2">
        <v>0</v>
      </c>
      <c r="P100" s="2">
        <v>34446.582212990201</v>
      </c>
      <c r="Q100" s="2">
        <v>17951.846391212301</v>
      </c>
      <c r="R100" s="2">
        <v>341085.08143303299</v>
      </c>
      <c r="T100" s="3">
        <f t="shared" si="3"/>
        <v>341085.08143303281</v>
      </c>
    </row>
    <row r="101" spans="1:20" x14ac:dyDescent="0.25">
      <c r="A101" t="s">
        <v>5</v>
      </c>
      <c r="B101" t="s">
        <v>13</v>
      </c>
      <c r="C101" t="s">
        <v>8</v>
      </c>
      <c r="D101" t="s">
        <v>8</v>
      </c>
      <c r="E101" t="s">
        <v>3</v>
      </c>
      <c r="F101" t="s">
        <v>9</v>
      </c>
      <c r="G101" t="s">
        <v>9</v>
      </c>
      <c r="H101" t="s">
        <v>4</v>
      </c>
      <c r="I101" s="2">
        <v>122.647381089682</v>
      </c>
      <c r="J101" s="2">
        <v>2134468.6318906499</v>
      </c>
      <c r="K101" s="2">
        <v>2134468.6318906499</v>
      </c>
      <c r="L101" s="2">
        <v>85378.745275626105</v>
      </c>
      <c r="M101" s="2">
        <v>0</v>
      </c>
      <c r="N101" s="2">
        <v>7037.2023470346503</v>
      </c>
      <c r="O101" s="2">
        <v>0</v>
      </c>
      <c r="P101" s="2">
        <v>7037.2023470346503</v>
      </c>
      <c r="Q101" s="2">
        <v>102454.494330751</v>
      </c>
      <c r="R101" s="2">
        <v>1939598.18993724</v>
      </c>
      <c r="T101" s="3">
        <f t="shared" si="3"/>
        <v>1939598.1899372381</v>
      </c>
    </row>
    <row r="102" spans="1:20" x14ac:dyDescent="0.25">
      <c r="A102" t="s">
        <v>5</v>
      </c>
      <c r="B102" t="s">
        <v>13</v>
      </c>
      <c r="C102" t="s">
        <v>8</v>
      </c>
      <c r="D102" t="s">
        <v>8</v>
      </c>
      <c r="E102" t="s">
        <v>5</v>
      </c>
      <c r="F102" t="s">
        <v>9</v>
      </c>
      <c r="G102" t="s">
        <v>9</v>
      </c>
      <c r="H102" t="s">
        <v>6</v>
      </c>
      <c r="I102" s="2">
        <v>6.52377635558706</v>
      </c>
      <c r="J102" s="2">
        <v>225625.78333299499</v>
      </c>
      <c r="K102" s="2">
        <v>126550.47874321599</v>
      </c>
      <c r="L102" s="2">
        <v>5062.0191497286196</v>
      </c>
      <c r="M102" s="2">
        <v>0</v>
      </c>
      <c r="N102" s="2">
        <v>0</v>
      </c>
      <c r="O102" s="2">
        <v>0</v>
      </c>
      <c r="P102" s="2">
        <v>0</v>
      </c>
      <c r="Q102" s="2">
        <v>11028.1882091633</v>
      </c>
      <c r="R102" s="2">
        <v>209535.57597410301</v>
      </c>
      <c r="T102" s="3">
        <f t="shared" si="3"/>
        <v>209535.57597410309</v>
      </c>
    </row>
    <row r="103" spans="1:20" x14ac:dyDescent="0.25">
      <c r="A103" t="s">
        <v>5</v>
      </c>
      <c r="B103" t="s">
        <v>10</v>
      </c>
      <c r="C103" t="s">
        <v>7</v>
      </c>
      <c r="D103" t="s">
        <v>7</v>
      </c>
      <c r="E103" t="s">
        <v>3</v>
      </c>
      <c r="F103" t="s">
        <v>11</v>
      </c>
      <c r="G103" t="s">
        <v>11</v>
      </c>
      <c r="H103" t="s">
        <v>4</v>
      </c>
      <c r="I103" s="2">
        <v>122.664666265869</v>
      </c>
      <c r="J103" s="2">
        <v>1618235.2660719401</v>
      </c>
      <c r="K103" s="2">
        <v>1618235.2660719401</v>
      </c>
      <c r="L103" s="2">
        <v>64729.410642877701</v>
      </c>
      <c r="M103" s="2">
        <v>0</v>
      </c>
      <c r="N103" s="2">
        <v>15127.409715448501</v>
      </c>
      <c r="O103" s="2">
        <v>0</v>
      </c>
      <c r="P103" s="2">
        <v>15127.409715448501</v>
      </c>
      <c r="Q103" s="2">
        <v>77675.292771453198</v>
      </c>
      <c r="R103" s="2">
        <v>1460703.1529421599</v>
      </c>
      <c r="T103" s="3">
        <f t="shared" si="3"/>
        <v>1460703.1529421606</v>
      </c>
    </row>
    <row r="104" spans="1:20" x14ac:dyDescent="0.25">
      <c r="A104" t="s">
        <v>5</v>
      </c>
      <c r="B104" t="s">
        <v>10</v>
      </c>
      <c r="C104" t="s">
        <v>7</v>
      </c>
      <c r="D104" t="s">
        <v>7</v>
      </c>
      <c r="E104" t="s">
        <v>5</v>
      </c>
      <c r="F104" t="s">
        <v>11</v>
      </c>
      <c r="G104" t="s">
        <v>11</v>
      </c>
      <c r="H104" t="s">
        <v>6</v>
      </c>
      <c r="I104" s="2">
        <v>5.8666419999595396</v>
      </c>
      <c r="J104" s="2">
        <v>132307.54609562</v>
      </c>
      <c r="K104" s="2">
        <v>74498.502538571498</v>
      </c>
      <c r="L104" s="2">
        <v>2979.9401015428598</v>
      </c>
      <c r="M104" s="2">
        <v>0</v>
      </c>
      <c r="N104" s="2">
        <v>0</v>
      </c>
      <c r="O104" s="2">
        <v>0</v>
      </c>
      <c r="P104" s="2">
        <v>0</v>
      </c>
      <c r="Q104" s="2">
        <v>6466.3802997038802</v>
      </c>
      <c r="R104" s="2">
        <v>122861.22569437401</v>
      </c>
      <c r="T104" s="3">
        <f t="shared" si="3"/>
        <v>122861.22569437325</v>
      </c>
    </row>
    <row r="105" spans="1:20" x14ac:dyDescent="0.25">
      <c r="A105" t="s">
        <v>5</v>
      </c>
      <c r="B105" t="s">
        <v>7</v>
      </c>
      <c r="C105" t="s">
        <v>13</v>
      </c>
      <c r="D105" t="s">
        <v>13</v>
      </c>
      <c r="E105" t="s">
        <v>3</v>
      </c>
      <c r="F105" t="s">
        <v>52</v>
      </c>
      <c r="G105" t="s">
        <v>14</v>
      </c>
      <c r="H105" t="s">
        <v>4</v>
      </c>
      <c r="I105" s="2">
        <v>2.87183811111306</v>
      </c>
      <c r="J105" s="2">
        <v>58640.866572637002</v>
      </c>
      <c r="K105" s="2">
        <v>58640.866572637002</v>
      </c>
      <c r="L105" s="2">
        <v>2345.6346629054801</v>
      </c>
      <c r="M105" s="2">
        <v>0</v>
      </c>
      <c r="N105" s="2">
        <v>0</v>
      </c>
      <c r="O105" s="2">
        <v>0</v>
      </c>
      <c r="P105" s="2">
        <v>0</v>
      </c>
      <c r="Q105" s="2">
        <v>2814.7615954865801</v>
      </c>
      <c r="R105" s="2">
        <v>53480.470314245002</v>
      </c>
      <c r="T105" s="3">
        <f t="shared" si="3"/>
        <v>53480.470314244936</v>
      </c>
    </row>
    <row r="106" spans="1:20" x14ac:dyDescent="0.25">
      <c r="A106" t="s">
        <v>5</v>
      </c>
      <c r="B106" t="s">
        <v>7</v>
      </c>
      <c r="C106" t="s">
        <v>13</v>
      </c>
      <c r="D106" t="s">
        <v>13</v>
      </c>
      <c r="E106" s="102" t="s">
        <v>5</v>
      </c>
      <c r="F106" t="s">
        <v>52</v>
      </c>
      <c r="G106" t="s">
        <v>14</v>
      </c>
      <c r="H106" t="s">
        <v>6</v>
      </c>
      <c r="I106" s="2"/>
      <c r="J106" s="2"/>
      <c r="K106" s="2"/>
      <c r="L106" s="2"/>
      <c r="P106" s="2"/>
      <c r="Q106" s="2"/>
      <c r="R106" s="2"/>
      <c r="T106" s="3"/>
    </row>
    <row r="107" spans="1:20" x14ac:dyDescent="0.25">
      <c r="A107" t="s">
        <v>5</v>
      </c>
      <c r="B107" t="s">
        <v>16</v>
      </c>
      <c r="C107" t="s">
        <v>13</v>
      </c>
      <c r="D107" t="s">
        <v>13</v>
      </c>
      <c r="E107" t="s">
        <v>3</v>
      </c>
      <c r="F107" t="s">
        <v>14</v>
      </c>
      <c r="G107" t="s">
        <v>14</v>
      </c>
      <c r="H107" t="s">
        <v>4</v>
      </c>
      <c r="I107" s="2">
        <v>60.4838311338913</v>
      </c>
      <c r="J107" s="2">
        <v>997837.64766568795</v>
      </c>
      <c r="K107" s="2">
        <v>997837.64766568795</v>
      </c>
      <c r="L107" s="2">
        <v>39913.505906627499</v>
      </c>
      <c r="M107" s="2">
        <v>0</v>
      </c>
      <c r="N107" s="2">
        <v>0</v>
      </c>
      <c r="O107" s="2">
        <v>0</v>
      </c>
      <c r="P107" s="2">
        <v>0</v>
      </c>
      <c r="Q107" s="2">
        <v>47896.207087953</v>
      </c>
      <c r="R107" s="2">
        <v>910027.93467110803</v>
      </c>
      <c r="T107" s="3">
        <f>+J107-L107-P107-Q107-S107</f>
        <v>910027.93467110745</v>
      </c>
    </row>
    <row r="108" spans="1:20" x14ac:dyDescent="0.25">
      <c r="A108" t="s">
        <v>5</v>
      </c>
      <c r="B108" t="s">
        <v>16</v>
      </c>
      <c r="C108" t="s">
        <v>13</v>
      </c>
      <c r="D108" s="102" t="s">
        <v>13</v>
      </c>
      <c r="E108" t="s">
        <v>5</v>
      </c>
      <c r="F108" t="s">
        <v>14</v>
      </c>
      <c r="G108" t="s">
        <v>14</v>
      </c>
      <c r="H108" t="s">
        <v>6</v>
      </c>
      <c r="I108" s="2">
        <v>92.494946401314905</v>
      </c>
      <c r="J108" s="2">
        <v>2523133.9463629299</v>
      </c>
      <c r="K108" s="2">
        <v>1423016.6240244</v>
      </c>
      <c r="L108" s="2">
        <v>56920.664960976203</v>
      </c>
      <c r="M108" s="2">
        <v>85792.858779090995</v>
      </c>
      <c r="N108" s="2">
        <v>11930.121294103001</v>
      </c>
      <c r="O108" s="2">
        <v>166008.61494974399</v>
      </c>
      <c r="P108" s="2">
        <v>263731.59502293798</v>
      </c>
      <c r="Q108" s="2">
        <v>119021.021131143</v>
      </c>
      <c r="R108" s="2">
        <v>2083460.6652478699</v>
      </c>
      <c r="T108" s="3">
        <f>+J108-L108-P108-Q108-S108</f>
        <v>2083460.6652478725</v>
      </c>
    </row>
    <row r="109" spans="1:20" x14ac:dyDescent="0.25">
      <c r="A109" t="s">
        <v>5</v>
      </c>
      <c r="B109" t="s">
        <v>15</v>
      </c>
      <c r="C109" t="s">
        <v>16</v>
      </c>
      <c r="D109" t="s">
        <v>16</v>
      </c>
      <c r="E109" t="s">
        <v>3</v>
      </c>
      <c r="F109" t="s">
        <v>75</v>
      </c>
      <c r="G109" t="s">
        <v>36</v>
      </c>
      <c r="H109" t="s">
        <v>4</v>
      </c>
      <c r="I109" s="2">
        <v>20.472368399493401</v>
      </c>
      <c r="J109" s="2">
        <v>423203.22639371001</v>
      </c>
      <c r="K109" s="2">
        <v>423203.22639371001</v>
      </c>
      <c r="L109" s="2">
        <v>16928.129055748399</v>
      </c>
      <c r="M109" s="2">
        <v>0</v>
      </c>
      <c r="N109" s="2">
        <v>3347.00156648548</v>
      </c>
      <c r="O109" s="2">
        <v>0</v>
      </c>
      <c r="P109" s="2">
        <v>3347.00156648548</v>
      </c>
      <c r="Q109" s="2">
        <v>20313.7548668981</v>
      </c>
      <c r="R109" s="2">
        <v>382614.34090457798</v>
      </c>
      <c r="T109" s="3">
        <f>+J109-L109-P109-Q109-S109</f>
        <v>382614.34090457798</v>
      </c>
    </row>
    <row r="110" spans="1:20" x14ac:dyDescent="0.25">
      <c r="A110" t="s">
        <v>5</v>
      </c>
      <c r="B110" t="s">
        <v>15</v>
      </c>
      <c r="C110" t="s">
        <v>16</v>
      </c>
      <c r="D110" t="s">
        <v>16</v>
      </c>
      <c r="E110" t="s">
        <v>5</v>
      </c>
      <c r="F110" t="s">
        <v>75</v>
      </c>
      <c r="G110" t="s">
        <v>36</v>
      </c>
      <c r="H110" t="s">
        <v>6</v>
      </c>
      <c r="I110" s="2">
        <v>3.1111107999222201</v>
      </c>
      <c r="J110" s="2">
        <v>107818.376197235</v>
      </c>
      <c r="K110" s="2">
        <v>65115.772783007298</v>
      </c>
      <c r="L110" s="2">
        <v>2604.6309113202901</v>
      </c>
      <c r="M110" s="2">
        <v>0</v>
      </c>
      <c r="N110" s="2">
        <v>0</v>
      </c>
      <c r="O110" s="2">
        <v>0</v>
      </c>
      <c r="P110" s="2">
        <v>0</v>
      </c>
      <c r="Q110" s="2">
        <v>5260.6872642957396</v>
      </c>
      <c r="R110" s="2">
        <v>99953.058021619101</v>
      </c>
      <c r="T110" s="3">
        <f>+J110-L110-P110-Q110-S110</f>
        <v>99953.05802161897</v>
      </c>
    </row>
    <row r="111" spans="1:20" x14ac:dyDescent="0.25">
      <c r="A111" t="s">
        <v>5</v>
      </c>
      <c r="B111" t="s">
        <v>24</v>
      </c>
      <c r="C111" t="s">
        <v>16</v>
      </c>
      <c r="D111" t="s">
        <v>16</v>
      </c>
      <c r="E111" t="s">
        <v>3</v>
      </c>
      <c r="F111" t="s">
        <v>76</v>
      </c>
      <c r="G111" t="s">
        <v>36</v>
      </c>
      <c r="H111" t="s">
        <v>4</v>
      </c>
      <c r="I111" s="2">
        <v>26.722070088232901</v>
      </c>
      <c r="J111" s="2">
        <v>501870.57752936298</v>
      </c>
      <c r="K111" s="2">
        <v>501870.57752936298</v>
      </c>
      <c r="L111" s="2">
        <v>20074.823101174501</v>
      </c>
      <c r="M111" s="2">
        <v>0</v>
      </c>
      <c r="N111" s="2">
        <v>0</v>
      </c>
      <c r="O111" s="2">
        <v>0</v>
      </c>
      <c r="P111" s="2">
        <v>0</v>
      </c>
      <c r="Q111" s="2">
        <v>24089.787721409401</v>
      </c>
      <c r="R111" s="2">
        <v>457705.96670677903</v>
      </c>
      <c r="T111" s="3">
        <f>+J111-L111-P111-Q111-S111</f>
        <v>457705.96670677909</v>
      </c>
    </row>
    <row r="112" spans="1:20" x14ac:dyDescent="0.25">
      <c r="A112" t="s">
        <v>5</v>
      </c>
      <c r="B112" t="s">
        <v>24</v>
      </c>
      <c r="C112" t="s">
        <v>16</v>
      </c>
      <c r="D112" t="s">
        <v>16</v>
      </c>
      <c r="E112" s="102" t="s">
        <v>5</v>
      </c>
      <c r="F112" t="s">
        <v>76</v>
      </c>
      <c r="G112" t="s">
        <v>36</v>
      </c>
      <c r="H112" t="s">
        <v>6</v>
      </c>
    </row>
    <row r="113" spans="1:20" x14ac:dyDescent="0.25">
      <c r="A113" t="s">
        <v>5</v>
      </c>
      <c r="B113" t="s">
        <v>18</v>
      </c>
      <c r="C113" t="s">
        <v>24</v>
      </c>
      <c r="D113" s="102" t="s">
        <v>10</v>
      </c>
      <c r="E113" t="s">
        <v>3</v>
      </c>
      <c r="F113" t="s">
        <v>97</v>
      </c>
      <c r="G113" t="s">
        <v>50</v>
      </c>
      <c r="H113" t="s">
        <v>4</v>
      </c>
      <c r="I113" s="2">
        <v>23.407628988889702</v>
      </c>
      <c r="J113" s="2">
        <v>455729.36570226803</v>
      </c>
      <c r="K113" s="2">
        <v>455729.36570226803</v>
      </c>
      <c r="L113" s="2">
        <v>18229.174628090699</v>
      </c>
      <c r="M113" s="2">
        <v>0</v>
      </c>
      <c r="N113" s="2">
        <v>0</v>
      </c>
      <c r="O113" s="2">
        <v>0</v>
      </c>
      <c r="P113" s="2">
        <v>0</v>
      </c>
      <c r="Q113" s="2">
        <v>21875.0095537089</v>
      </c>
      <c r="R113" s="2">
        <v>415625.18152046902</v>
      </c>
      <c r="T113" s="3">
        <f>+J113-L113-P113-Q113-S113</f>
        <v>415625.18152046844</v>
      </c>
    </row>
    <row r="114" spans="1:20" x14ac:dyDescent="0.25">
      <c r="A114" t="s">
        <v>5</v>
      </c>
      <c r="B114" t="s">
        <v>18</v>
      </c>
      <c r="C114" t="s">
        <v>24</v>
      </c>
      <c r="D114" s="102" t="s">
        <v>10</v>
      </c>
      <c r="E114" t="s">
        <v>5</v>
      </c>
      <c r="F114" t="s">
        <v>97</v>
      </c>
      <c r="G114" t="s">
        <v>50</v>
      </c>
      <c r="H114" t="s">
        <v>6</v>
      </c>
      <c r="I114" s="2">
        <v>1.7606055999779899</v>
      </c>
      <c r="J114" s="2">
        <v>66943.8109060633</v>
      </c>
      <c r="K114" s="2">
        <v>37694.049280576597</v>
      </c>
      <c r="L114" s="2">
        <v>1507.7619712230601</v>
      </c>
      <c r="M114" s="2">
        <v>0</v>
      </c>
      <c r="N114" s="2">
        <v>0</v>
      </c>
      <c r="O114" s="2">
        <v>0</v>
      </c>
      <c r="P114" s="2">
        <v>0</v>
      </c>
      <c r="Q114" s="2">
        <v>3271.80244674201</v>
      </c>
      <c r="R114" s="2">
        <v>62164.246488098201</v>
      </c>
      <c r="T114" s="3">
        <f>+J114-L114-P114-Q114-S114</f>
        <v>62164.24648809823</v>
      </c>
    </row>
    <row r="116" spans="1:20" x14ac:dyDescent="0.25">
      <c r="E116" s="102"/>
    </row>
    <row r="117" spans="1:20" x14ac:dyDescent="0.25">
      <c r="E117" s="102"/>
    </row>
    <row r="118" spans="1:20" x14ac:dyDescent="0.25">
      <c r="F118" t="s">
        <v>120</v>
      </c>
      <c r="I118" s="2">
        <f t="shared" ref="I118:T118" si="4">SUMIF($A$3:$A$114,"0",I$3:I$114)</f>
        <v>38327.02062655372</v>
      </c>
      <c r="J118" s="2">
        <f t="shared" si="4"/>
        <v>679371107.79275417</v>
      </c>
      <c r="K118" s="2">
        <f t="shared" si="4"/>
        <v>446191827.21595675</v>
      </c>
      <c r="L118" s="2">
        <f t="shared" si="4"/>
        <v>17847673.088638287</v>
      </c>
      <c r="M118" s="2">
        <f t="shared" si="4"/>
        <v>3948372.1217706483</v>
      </c>
      <c r="N118" s="2">
        <f t="shared" si="4"/>
        <v>29088780.125921305</v>
      </c>
      <c r="O118" s="2">
        <f t="shared" si="4"/>
        <v>47296856.04105854</v>
      </c>
      <c r="P118" s="2">
        <f t="shared" si="4"/>
        <v>80334008.288750589</v>
      </c>
      <c r="Q118" s="2">
        <f t="shared" si="4"/>
        <v>32878753.129117254</v>
      </c>
      <c r="R118" s="2">
        <f t="shared" si="4"/>
        <v>548310673.28624856</v>
      </c>
      <c r="S118" s="2">
        <f t="shared" si="4"/>
        <v>22353170.626170989</v>
      </c>
      <c r="T118" s="2">
        <f t="shared" si="4"/>
        <v>525957502.66007662</v>
      </c>
    </row>
    <row r="119" spans="1:20" x14ac:dyDescent="0.25">
      <c r="F119" t="s">
        <v>121</v>
      </c>
      <c r="I119" s="2">
        <f t="shared" ref="I119:T119" si="5">SUMIF($A$3:$A$114,"1",I$3:I$114)</f>
        <v>4556.4243504533833</v>
      </c>
      <c r="J119" s="2">
        <f t="shared" si="5"/>
        <v>59618134.193032786</v>
      </c>
      <c r="K119" s="2">
        <f t="shared" si="5"/>
        <v>49891904.119198702</v>
      </c>
      <c r="L119" s="2">
        <f t="shared" si="5"/>
        <v>1995676.1647679496</v>
      </c>
      <c r="M119" s="2">
        <f t="shared" si="5"/>
        <v>2319.5019142791298</v>
      </c>
      <c r="N119" s="2">
        <f t="shared" si="5"/>
        <v>366353.82635872788</v>
      </c>
      <c r="O119" s="2">
        <f t="shared" si="5"/>
        <v>20387.806290041801</v>
      </c>
      <c r="P119" s="2">
        <f t="shared" si="5"/>
        <v>389061.13456304878</v>
      </c>
      <c r="Q119" s="2">
        <f t="shared" si="5"/>
        <v>2881006.9263175321</v>
      </c>
      <c r="R119" s="2">
        <f t="shared" si="5"/>
        <v>54352389.967384256</v>
      </c>
      <c r="S119" s="2">
        <f t="shared" si="5"/>
        <v>2666834.1201952733</v>
      </c>
      <c r="T119" s="2">
        <f t="shared" si="5"/>
        <v>51685555.847188979</v>
      </c>
    </row>
    <row r="120" spans="1:20" x14ac:dyDescent="0.25">
      <c r="F120" t="s">
        <v>142</v>
      </c>
      <c r="I120" s="2">
        <f t="shared" ref="I120:T120" si="6">SUMIF($A$3:$A$114,"2",I$3:I$114)</f>
        <v>4095.529866064358</v>
      </c>
      <c r="J120" s="2">
        <f t="shared" si="6"/>
        <v>52528375.855066538</v>
      </c>
      <c r="K120" s="2">
        <f t="shared" si="6"/>
        <v>46096398.895060815</v>
      </c>
      <c r="L120" s="2">
        <f t="shared" si="6"/>
        <v>1843855.9558024281</v>
      </c>
      <c r="M120" s="2">
        <f t="shared" si="6"/>
        <v>120239.44099208119</v>
      </c>
      <c r="N120" s="2">
        <f t="shared" si="6"/>
        <v>821103.66132898873</v>
      </c>
      <c r="O120" s="2">
        <f t="shared" si="6"/>
        <v>166008.61494974399</v>
      </c>
      <c r="P120" s="2">
        <f t="shared" si="6"/>
        <v>1107351.7172708139</v>
      </c>
      <c r="Q120" s="2">
        <f t="shared" si="6"/>
        <v>2528214.0229135966</v>
      </c>
      <c r="R120" s="2">
        <f t="shared" si="6"/>
        <v>47048954.159079731</v>
      </c>
      <c r="S120" s="2">
        <f t="shared" si="6"/>
        <v>2359547.5880000149</v>
      </c>
      <c r="T120" s="2">
        <f t="shared" si="6"/>
        <v>44689406.571079716</v>
      </c>
    </row>
    <row r="121" spans="1:20" x14ac:dyDescent="0.25">
      <c r="F121" t="s">
        <v>141</v>
      </c>
      <c r="I121" s="2">
        <f t="shared" ref="I121:T121" si="7">SUM(I118:I120)</f>
        <v>46978.974843071461</v>
      </c>
      <c r="J121" s="2">
        <f t="shared" si="7"/>
        <v>791517617.84085345</v>
      </c>
      <c r="K121" s="2">
        <f t="shared" si="7"/>
        <v>542180130.23021626</v>
      </c>
      <c r="L121" s="2">
        <f t="shared" si="7"/>
        <v>21687205.209208667</v>
      </c>
      <c r="M121" s="2">
        <f t="shared" si="7"/>
        <v>4070931.0646770084</v>
      </c>
      <c r="N121" s="2">
        <f t="shared" si="7"/>
        <v>30276237.613609023</v>
      </c>
      <c r="O121" s="2">
        <f t="shared" si="7"/>
        <v>47483252.462298326</v>
      </c>
      <c r="P121" s="2">
        <f t="shared" si="7"/>
        <v>81830421.140584439</v>
      </c>
      <c r="Q121" s="2">
        <f t="shared" si="7"/>
        <v>38287974.078348383</v>
      </c>
      <c r="R121" s="2">
        <f t="shared" si="7"/>
        <v>649712017.41271257</v>
      </c>
      <c r="S121" s="2">
        <f t="shared" si="7"/>
        <v>27379552.334366277</v>
      </c>
      <c r="T121" s="2">
        <f t="shared" si="7"/>
        <v>622332465.0783453</v>
      </c>
    </row>
    <row r="122" spans="1:20" x14ac:dyDescent="0.25">
      <c r="I122" s="2"/>
      <c r="J122" s="2"/>
      <c r="K122" s="2"/>
      <c r="L122" s="2"/>
      <c r="P122" s="2"/>
      <c r="Q122" s="2"/>
      <c r="R122" s="2"/>
      <c r="S122" s="2"/>
      <c r="T122" s="2"/>
    </row>
    <row r="123" spans="1:20" x14ac:dyDescent="0.25">
      <c r="F123" t="s">
        <v>122</v>
      </c>
      <c r="I123" s="2">
        <f t="shared" ref="I123:T123" si="8">SUMIFS(I$3:I$114,$A$3:$A$114,"0",$C$3:$C$114,"01",$E$3:$E$114,"1")</f>
        <v>19071.871207842589</v>
      </c>
      <c r="J123" s="2">
        <f t="shared" si="8"/>
        <v>199799021.04500696</v>
      </c>
      <c r="K123" s="2">
        <f t="shared" si="8"/>
        <v>199799021.04500696</v>
      </c>
      <c r="L123" s="2">
        <f t="shared" si="8"/>
        <v>7991960.8418002883</v>
      </c>
      <c r="M123" s="2">
        <f t="shared" si="8"/>
        <v>86173.827971378603</v>
      </c>
      <c r="N123" s="2">
        <f t="shared" si="8"/>
        <v>862151.61189009296</v>
      </c>
      <c r="O123" s="2">
        <f t="shared" si="8"/>
        <v>0</v>
      </c>
      <c r="P123" s="2">
        <f t="shared" si="8"/>
        <v>948325.43986147095</v>
      </c>
      <c r="Q123" s="2">
        <f t="shared" si="8"/>
        <v>9586044.3187617809</v>
      </c>
      <c r="R123" s="2">
        <f t="shared" si="8"/>
        <v>181272690.44458383</v>
      </c>
      <c r="S123" s="2">
        <f t="shared" si="8"/>
        <v>13353170.626170987</v>
      </c>
      <c r="T123" s="2">
        <f t="shared" si="8"/>
        <v>167919519.81841242</v>
      </c>
    </row>
    <row r="124" spans="1:20" x14ac:dyDescent="0.25">
      <c r="F124" t="s">
        <v>123</v>
      </c>
      <c r="I124" s="2">
        <f t="shared" ref="I124:T124" si="9">SUMIFS(I$3:I$114,$A$3:$A$114,"1",$C$3:$C$114,"01",$E$3:$E$114,"1")</f>
        <v>3808.9468259591131</v>
      </c>
      <c r="J124" s="2">
        <f t="shared" si="9"/>
        <v>40391684.723251991</v>
      </c>
      <c r="K124" s="2">
        <f t="shared" si="9"/>
        <v>40391684.723251991</v>
      </c>
      <c r="L124" s="2">
        <f t="shared" si="9"/>
        <v>1615667.3889300814</v>
      </c>
      <c r="M124" s="2">
        <f t="shared" si="9"/>
        <v>0</v>
      </c>
      <c r="N124" s="2">
        <f t="shared" si="9"/>
        <v>275560.99321762571</v>
      </c>
      <c r="O124" s="2">
        <f t="shared" si="9"/>
        <v>0</v>
      </c>
      <c r="P124" s="2">
        <f t="shared" si="9"/>
        <v>275560.99321762571</v>
      </c>
      <c r="Q124" s="2">
        <f t="shared" si="9"/>
        <v>1938800.8667160978</v>
      </c>
      <c r="R124" s="2">
        <f t="shared" si="9"/>
        <v>36561655.474388152</v>
      </c>
      <c r="S124" s="2">
        <f t="shared" si="9"/>
        <v>2666834.1201952733</v>
      </c>
      <c r="T124" s="2">
        <f t="shared" si="9"/>
        <v>33894821.354192905</v>
      </c>
    </row>
    <row r="125" spans="1:20" x14ac:dyDescent="0.25">
      <c r="F125" t="s">
        <v>124</v>
      </c>
      <c r="I125" s="2">
        <f t="shared" ref="I125:T125" si="10">SUMIFS(I$3:I$114,$A$3:$A$114,"2",$C$3:$C$114,"01",$E$3:$E$114,"1")</f>
        <v>3370.0601128329859</v>
      </c>
      <c r="J125" s="2">
        <f t="shared" si="10"/>
        <v>35744037.608806841</v>
      </c>
      <c r="K125" s="2">
        <f t="shared" si="10"/>
        <v>35744037.608806841</v>
      </c>
      <c r="L125" s="2">
        <f t="shared" si="10"/>
        <v>1429761.5043522678</v>
      </c>
      <c r="M125" s="2">
        <f t="shared" si="10"/>
        <v>0</v>
      </c>
      <c r="N125" s="2">
        <f t="shared" si="10"/>
        <v>775177.59375332505</v>
      </c>
      <c r="O125" s="2">
        <f t="shared" si="10"/>
        <v>0</v>
      </c>
      <c r="P125" s="2">
        <f t="shared" si="10"/>
        <v>775177.59375332505</v>
      </c>
      <c r="Q125" s="2">
        <f t="shared" si="10"/>
        <v>1715713.8052227232</v>
      </c>
      <c r="R125" s="2">
        <f t="shared" si="10"/>
        <v>31823384.705478534</v>
      </c>
      <c r="S125" s="2">
        <f t="shared" si="10"/>
        <v>2359547.5880000149</v>
      </c>
      <c r="T125" s="2">
        <f t="shared" si="10"/>
        <v>29463837.117478512</v>
      </c>
    </row>
    <row r="126" spans="1:20" x14ac:dyDescent="0.25">
      <c r="F126" t="s">
        <v>140</v>
      </c>
      <c r="I126" s="2">
        <f>SUM(I123:I125)</f>
        <v>26250.878146634688</v>
      </c>
      <c r="J126" s="2">
        <f t="shared" ref="J126:R126" si="11">SUM(J123:J125)</f>
        <v>275934743.37706578</v>
      </c>
      <c r="K126" s="2">
        <f t="shared" si="11"/>
        <v>275934743.37706578</v>
      </c>
      <c r="L126" s="2">
        <f t="shared" si="11"/>
        <v>11037389.735082638</v>
      </c>
      <c r="M126" s="2">
        <f>SUM(M123:M125)</f>
        <v>86173.827971378603</v>
      </c>
      <c r="N126" s="2">
        <f>SUM(N123:N125)</f>
        <v>1912890.1988610437</v>
      </c>
      <c r="O126" s="2">
        <f>SUM(O123:O125)</f>
        <v>0</v>
      </c>
      <c r="P126" s="2">
        <f t="shared" si="11"/>
        <v>1999064.0268324218</v>
      </c>
      <c r="Q126" s="2">
        <f t="shared" si="11"/>
        <v>13240558.990700603</v>
      </c>
      <c r="R126" s="2">
        <f t="shared" si="11"/>
        <v>249657730.6244505</v>
      </c>
      <c r="S126" s="2">
        <f>SUM(S123:S125)</f>
        <v>18379552.334366277</v>
      </c>
      <c r="T126" s="2">
        <f>SUM(T123:T125)</f>
        <v>231278178.29008386</v>
      </c>
    </row>
    <row r="127" spans="1:20" x14ac:dyDescent="0.25">
      <c r="I127" s="2"/>
      <c r="J127" s="2"/>
      <c r="K127" s="2"/>
      <c r="L127" s="2"/>
      <c r="P127" s="2"/>
      <c r="Q127" s="2"/>
      <c r="R127" s="2"/>
      <c r="S127" s="2"/>
      <c r="T127" s="2"/>
    </row>
    <row r="128" spans="1:20" x14ac:dyDescent="0.25">
      <c r="F128" t="s">
        <v>125</v>
      </c>
      <c r="I128" s="2">
        <f t="shared" ref="I128:T128" si="12">SUMIFS(I$3:I$114,$A$3:$A$114,"0",$C$3:$C$114,"01")</f>
        <v>27067.578205376372</v>
      </c>
      <c r="J128" s="2">
        <f t="shared" si="12"/>
        <v>449006067.7647481</v>
      </c>
      <c r="K128" s="2">
        <f t="shared" si="12"/>
        <v>280305006.03771663</v>
      </c>
      <c r="L128" s="2">
        <f t="shared" si="12"/>
        <v>11212200.241508676</v>
      </c>
      <c r="M128" s="2">
        <f t="shared" si="12"/>
        <v>90471.631046975788</v>
      </c>
      <c r="N128" s="2">
        <f t="shared" si="12"/>
        <v>878462.08742891939</v>
      </c>
      <c r="O128" s="2">
        <f t="shared" si="12"/>
        <v>22522.234554471801</v>
      </c>
      <c r="P128" s="2">
        <f t="shared" si="12"/>
        <v>991455.95303036622</v>
      </c>
      <c r="Q128" s="2">
        <f t="shared" si="12"/>
        <v>21885169.794609617</v>
      </c>
      <c r="R128" s="2">
        <f t="shared" si="12"/>
        <v>414917241.77560055</v>
      </c>
      <c r="S128" s="2">
        <f t="shared" si="12"/>
        <v>22353170.626170989</v>
      </c>
      <c r="T128" s="2">
        <f t="shared" si="12"/>
        <v>392564071.14942843</v>
      </c>
    </row>
    <row r="129" spans="6:20" x14ac:dyDescent="0.25">
      <c r="F129" t="s">
        <v>126</v>
      </c>
      <c r="I129" s="2">
        <f t="shared" ref="I129:T129" si="13">SUMIFS(I$3:I$114,$A$3:$A$114,"1",$C$3:$C$114,"01")</f>
        <v>4255.1531222210324</v>
      </c>
      <c r="J129" s="2">
        <f t="shared" si="13"/>
        <v>54385429.299449764</v>
      </c>
      <c r="K129" s="2">
        <f t="shared" si="13"/>
        <v>44912658.833719492</v>
      </c>
      <c r="L129" s="2">
        <f t="shared" si="13"/>
        <v>1796506.3533487818</v>
      </c>
      <c r="M129" s="2">
        <f t="shared" si="13"/>
        <v>2319.5019142791298</v>
      </c>
      <c r="N129" s="2">
        <f t="shared" si="13"/>
        <v>277210.4417588556</v>
      </c>
      <c r="O129" s="2">
        <f t="shared" si="13"/>
        <v>0</v>
      </c>
      <c r="P129" s="2">
        <f t="shared" si="13"/>
        <v>279529.94367313472</v>
      </c>
      <c r="Q129" s="2">
        <f t="shared" si="13"/>
        <v>2629330.1722093392</v>
      </c>
      <c r="R129" s="2">
        <f t="shared" si="13"/>
        <v>49680062.830218494</v>
      </c>
      <c r="S129" s="2">
        <f t="shared" si="13"/>
        <v>2666834.1201952733</v>
      </c>
      <c r="T129" s="2">
        <f t="shared" si="13"/>
        <v>47013228.710023224</v>
      </c>
    </row>
    <row r="130" spans="6:20" x14ac:dyDescent="0.25">
      <c r="F130" t="s">
        <v>127</v>
      </c>
      <c r="I130" s="2">
        <f t="shared" ref="I130:T130" si="14">SUMIFS(I$3:I$114,$A$3:$A$114,"2",$C$3:$C$114,"01")</f>
        <v>3606.5030008304248</v>
      </c>
      <c r="J130" s="2">
        <f t="shared" si="14"/>
        <v>43282560.810345456</v>
      </c>
      <c r="K130" s="2">
        <f t="shared" si="14"/>
        <v>38179537.885864802</v>
      </c>
      <c r="L130" s="2">
        <f t="shared" si="14"/>
        <v>1527181.5154345862</v>
      </c>
      <c r="M130" s="2">
        <f t="shared" si="14"/>
        <v>34446.582212990201</v>
      </c>
      <c r="N130" s="2">
        <f t="shared" si="14"/>
        <v>783661.92640591704</v>
      </c>
      <c r="O130" s="2">
        <f t="shared" si="14"/>
        <v>0</v>
      </c>
      <c r="P130" s="2">
        <f t="shared" si="14"/>
        <v>818108.50861890719</v>
      </c>
      <c r="Q130" s="2">
        <f t="shared" si="14"/>
        <v>2086046.6356348884</v>
      </c>
      <c r="R130" s="2">
        <f t="shared" si="14"/>
        <v>38851224.15065708</v>
      </c>
      <c r="S130" s="2">
        <f t="shared" si="14"/>
        <v>2359547.5880000149</v>
      </c>
      <c r="T130" s="2">
        <f t="shared" si="14"/>
        <v>36491676.562657066</v>
      </c>
    </row>
    <row r="131" spans="6:20" x14ac:dyDescent="0.25">
      <c r="F131" t="s">
        <v>139</v>
      </c>
      <c r="I131" s="2">
        <f>SUM(I128:I130)</f>
        <v>34929.234328427832</v>
      </c>
      <c r="J131" s="2">
        <f t="shared" ref="J131:R131" si="15">SUM(J128:J130)</f>
        <v>546674057.87454331</v>
      </c>
      <c r="K131" s="2">
        <f t="shared" si="15"/>
        <v>363397202.75730091</v>
      </c>
      <c r="L131" s="2">
        <f t="shared" si="15"/>
        <v>14535888.110292044</v>
      </c>
      <c r="M131" s="2">
        <f>SUM(M128:M130)</f>
        <v>127237.71517424512</v>
      </c>
      <c r="N131" s="2">
        <f>SUM(N128:N130)</f>
        <v>1939334.4555936921</v>
      </c>
      <c r="O131" s="2">
        <f>SUM(O128:O130)</f>
        <v>22522.234554471801</v>
      </c>
      <c r="P131" s="2">
        <f t="shared" si="15"/>
        <v>2089094.4053224083</v>
      </c>
      <c r="Q131" s="2">
        <f t="shared" si="15"/>
        <v>26600546.602453846</v>
      </c>
      <c r="R131" s="2">
        <f t="shared" si="15"/>
        <v>503448528.7564761</v>
      </c>
      <c r="S131" s="2">
        <f>SUM(S128:S130)</f>
        <v>27379552.334366277</v>
      </c>
      <c r="T131" s="2">
        <f>SUM(T128:T130)</f>
        <v>476068976.42210871</v>
      </c>
    </row>
    <row r="132" spans="6:20" x14ac:dyDescent="0.25">
      <c r="I132" s="2"/>
      <c r="J132" s="2"/>
      <c r="K132" s="2"/>
      <c r="L132" s="2"/>
      <c r="P132" s="2"/>
      <c r="Q132" s="2"/>
      <c r="R132" s="2"/>
      <c r="S132" s="2"/>
      <c r="T132" s="2"/>
    </row>
    <row r="133" spans="6:20" x14ac:dyDescent="0.25">
      <c r="F133" t="s">
        <v>128</v>
      </c>
      <c r="I133" s="2">
        <f>+I118-I128</f>
        <v>11259.442421177348</v>
      </c>
      <c r="J133" s="2">
        <f t="shared" ref="J133:R133" si="16">+J118-J128</f>
        <v>230365040.02800608</v>
      </c>
      <c r="K133" s="2">
        <f t="shared" si="16"/>
        <v>165886821.17824012</v>
      </c>
      <c r="L133" s="2">
        <f t="shared" si="16"/>
        <v>6635472.8471296113</v>
      </c>
      <c r="M133" s="2">
        <f t="shared" ref="M133:O135" si="17">+M118-M128</f>
        <v>3857900.4907236723</v>
      </c>
      <c r="N133" s="2">
        <f t="shared" si="17"/>
        <v>28210318.038492385</v>
      </c>
      <c r="O133" s="2">
        <f t="shared" si="17"/>
        <v>47274333.806504071</v>
      </c>
      <c r="P133" s="2">
        <f t="shared" si="16"/>
        <v>79342552.335720226</v>
      </c>
      <c r="Q133" s="2">
        <f t="shared" si="16"/>
        <v>10993583.334507637</v>
      </c>
      <c r="R133" s="2">
        <f t="shared" si="16"/>
        <v>133393431.51064801</v>
      </c>
      <c r="S133" s="2">
        <f t="shared" ref="S133:T135" si="18">+S118-S128</f>
        <v>0</v>
      </c>
      <c r="T133" s="2">
        <f t="shared" si="18"/>
        <v>133393431.51064819</v>
      </c>
    </row>
    <row r="134" spans="6:20" x14ac:dyDescent="0.25">
      <c r="F134" t="s">
        <v>129</v>
      </c>
      <c r="I134" s="2">
        <f t="shared" ref="I134:R135" si="19">+I119-I129</f>
        <v>301.27122823235095</v>
      </c>
      <c r="J134" s="2">
        <f t="shared" si="19"/>
        <v>5232704.8935830221</v>
      </c>
      <c r="K134" s="2">
        <f t="shared" si="19"/>
        <v>4979245.2854792103</v>
      </c>
      <c r="L134" s="2">
        <f t="shared" si="19"/>
        <v>199169.81141916779</v>
      </c>
      <c r="M134" s="2">
        <f t="shared" si="17"/>
        <v>0</v>
      </c>
      <c r="N134" s="2">
        <f t="shared" si="17"/>
        <v>89143.384599872283</v>
      </c>
      <c r="O134" s="2">
        <f t="shared" si="17"/>
        <v>20387.806290041801</v>
      </c>
      <c r="P134" s="2">
        <f t="shared" si="19"/>
        <v>109531.19088991405</v>
      </c>
      <c r="Q134" s="2">
        <f t="shared" si="19"/>
        <v>251676.75410819286</v>
      </c>
      <c r="R134" s="2">
        <f t="shared" si="19"/>
        <v>4672327.1371657625</v>
      </c>
      <c r="S134" s="2">
        <f t="shared" si="18"/>
        <v>0</v>
      </c>
      <c r="T134" s="2">
        <f t="shared" si="18"/>
        <v>4672327.137165755</v>
      </c>
    </row>
    <row r="135" spans="6:20" x14ac:dyDescent="0.25">
      <c r="F135" t="s">
        <v>130</v>
      </c>
      <c r="I135" s="2">
        <f t="shared" si="19"/>
        <v>489.02686523393322</v>
      </c>
      <c r="J135" s="2">
        <f t="shared" si="19"/>
        <v>9245815.0447210819</v>
      </c>
      <c r="K135" s="2">
        <f t="shared" si="19"/>
        <v>7916861.0091960132</v>
      </c>
      <c r="L135" s="2">
        <f t="shared" si="19"/>
        <v>316674.44036784186</v>
      </c>
      <c r="M135" s="2">
        <f t="shared" si="17"/>
        <v>85792.858779090981</v>
      </c>
      <c r="N135" s="2">
        <f t="shared" si="17"/>
        <v>37441.734923071694</v>
      </c>
      <c r="O135" s="2">
        <f t="shared" si="17"/>
        <v>166008.61494974399</v>
      </c>
      <c r="P135" s="2">
        <f t="shared" si="19"/>
        <v>289243.20865190669</v>
      </c>
      <c r="Q135" s="2">
        <f t="shared" si="19"/>
        <v>442167.38727870816</v>
      </c>
      <c r="R135" s="2">
        <f t="shared" si="19"/>
        <v>8197730.0084226504</v>
      </c>
      <c r="S135" s="2">
        <f t="shared" si="18"/>
        <v>0</v>
      </c>
      <c r="T135" s="2">
        <f t="shared" si="18"/>
        <v>8197730.0084226504</v>
      </c>
    </row>
    <row r="136" spans="6:20" x14ac:dyDescent="0.25">
      <c r="F136" t="s">
        <v>138</v>
      </c>
      <c r="I136" s="2">
        <f>SUM(I133:I135)</f>
        <v>12049.740514643632</v>
      </c>
      <c r="J136" s="2">
        <f t="shared" ref="J136:R136" si="20">SUM(J133:J135)</f>
        <v>244843559.9663102</v>
      </c>
      <c r="K136" s="2">
        <f t="shared" si="20"/>
        <v>178782927.47291535</v>
      </c>
      <c r="L136" s="2">
        <f t="shared" si="20"/>
        <v>7151317.0989166209</v>
      </c>
      <c r="M136" s="2">
        <f>SUM(M133:M135)</f>
        <v>3943693.3495027632</v>
      </c>
      <c r="N136" s="2">
        <f>SUM(N133:N135)</f>
        <v>28336903.158015329</v>
      </c>
      <c r="O136" s="2">
        <f>SUM(O133:O135)</f>
        <v>47460730.227743857</v>
      </c>
      <c r="P136" s="2">
        <f t="shared" si="20"/>
        <v>79741326.735262036</v>
      </c>
      <c r="Q136" s="2">
        <f t="shared" si="20"/>
        <v>11687427.475894537</v>
      </c>
      <c r="R136" s="2">
        <f t="shared" si="20"/>
        <v>146263488.65623641</v>
      </c>
      <c r="S136" s="2">
        <f>SUM(S133:S135)</f>
        <v>0</v>
      </c>
      <c r="T136" s="2">
        <f>SUM(T133:T135)</f>
        <v>146263488.65623659</v>
      </c>
    </row>
    <row r="137" spans="6:20" x14ac:dyDescent="0.25">
      <c r="I137" s="3"/>
      <c r="J137" s="3"/>
      <c r="K137" s="3"/>
      <c r="L137" s="3"/>
      <c r="P137" s="3"/>
      <c r="Q137" s="3"/>
      <c r="R137" s="3"/>
    </row>
  </sheetData>
  <sortState ref="A2:T111">
    <sortCondition ref="A2:A111"/>
    <sortCondition ref="C2:C111"/>
    <sortCondition ref="B2:B111"/>
    <sortCondition ref="E2:E111"/>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topLeftCell="G110" workbookViewId="0">
      <selection activeCell="V123" sqref="V123"/>
    </sheetView>
  </sheetViews>
  <sheetFormatPr defaultColWidth="8.85546875" defaultRowHeight="15" x14ac:dyDescent="0.25"/>
  <cols>
    <col min="6" max="6" width="44.140625" customWidth="1"/>
    <col min="7" max="7" width="13.42578125" customWidth="1"/>
    <col min="9" max="9" width="9.7109375" bestFit="1" customWidth="1"/>
    <col min="10" max="11" width="13.85546875" bestFit="1" customWidth="1"/>
    <col min="12" max="12" width="12.140625" bestFit="1" customWidth="1"/>
    <col min="13" max="15" width="12.140625" style="2" customWidth="1"/>
    <col min="16" max="17" width="12.85546875" bestFit="1" customWidth="1"/>
    <col min="18" max="18" width="13.85546875" bestFit="1" customWidth="1"/>
    <col min="19" max="19" width="11.28515625" customWidth="1"/>
    <col min="20" max="20" width="11.42578125" bestFit="1" customWidth="1"/>
    <col min="22" max="22" width="19.140625" customWidth="1"/>
  </cols>
  <sheetData>
    <row r="1" spans="1:21" x14ac:dyDescent="0.25">
      <c r="A1" t="s">
        <v>299</v>
      </c>
    </row>
    <row r="2" spans="1:21" x14ac:dyDescent="0.25">
      <c r="A2" t="s">
        <v>100</v>
      </c>
      <c r="B2" t="s">
        <v>101</v>
      </c>
      <c r="C2" t="s">
        <v>102</v>
      </c>
      <c r="D2" t="s">
        <v>169</v>
      </c>
      <c r="E2" s="1" t="s">
        <v>103</v>
      </c>
      <c r="F2" s="1" t="s">
        <v>104</v>
      </c>
      <c r="G2" s="1" t="s">
        <v>105</v>
      </c>
      <c r="H2" s="1" t="s">
        <v>106</v>
      </c>
      <c r="I2" s="1" t="s">
        <v>114</v>
      </c>
      <c r="J2" s="1" t="s">
        <v>116</v>
      </c>
      <c r="K2" s="1" t="s">
        <v>115</v>
      </c>
      <c r="L2" s="1" t="s">
        <v>117</v>
      </c>
      <c r="M2" s="2" t="s">
        <v>131</v>
      </c>
      <c r="N2" s="2" t="s">
        <v>132</v>
      </c>
      <c r="O2" s="2" t="s">
        <v>133</v>
      </c>
      <c r="P2" s="1" t="s">
        <v>113</v>
      </c>
      <c r="Q2" s="1" t="s">
        <v>118</v>
      </c>
      <c r="R2" s="1" t="s">
        <v>119</v>
      </c>
      <c r="S2" s="1" t="s">
        <v>143</v>
      </c>
      <c r="T2" s="1" t="s">
        <v>144</v>
      </c>
    </row>
    <row r="3" spans="1:21" x14ac:dyDescent="0.25">
      <c r="A3" t="s">
        <v>0</v>
      </c>
      <c r="B3" t="s">
        <v>1</v>
      </c>
      <c r="C3" t="s">
        <v>1</v>
      </c>
      <c r="D3" t="s">
        <v>1</v>
      </c>
      <c r="E3" t="s">
        <v>3</v>
      </c>
      <c r="F3" t="s">
        <v>2</v>
      </c>
      <c r="G3" t="s">
        <v>2</v>
      </c>
      <c r="H3" t="s">
        <v>4</v>
      </c>
      <c r="I3" s="2">
        <v>18954.472302063699</v>
      </c>
      <c r="J3" s="2">
        <v>209014506.56482801</v>
      </c>
      <c r="K3" s="2">
        <v>209014506.56482801</v>
      </c>
      <c r="L3" s="2">
        <v>8360580.2625931296</v>
      </c>
      <c r="M3" s="2">
        <v>90709.147413156606</v>
      </c>
      <c r="N3" s="2">
        <v>900374.63355273195</v>
      </c>
      <c r="O3" s="2">
        <v>0</v>
      </c>
      <c r="P3" s="2">
        <v>991083.78096588899</v>
      </c>
      <c r="Q3" s="2">
        <v>10028160.857741101</v>
      </c>
      <c r="R3" s="2">
        <v>189634681.663528</v>
      </c>
      <c r="S3" s="2">
        <f>$U$3*I3</f>
        <v>13969446.086620945</v>
      </c>
      <c r="T3" s="3">
        <f t="shared" ref="T3:T42" si="0">+J3-L3-P3-Q3-S3</f>
        <v>175665235.57690695</v>
      </c>
      <c r="U3" s="46">
        <v>737</v>
      </c>
    </row>
    <row r="4" spans="1:21" x14ac:dyDescent="0.25">
      <c r="A4" t="s">
        <v>0</v>
      </c>
      <c r="B4" t="s">
        <v>1</v>
      </c>
      <c r="C4" t="s">
        <v>1</v>
      </c>
      <c r="D4" t="s">
        <v>1</v>
      </c>
      <c r="E4" t="s">
        <v>5</v>
      </c>
      <c r="F4" t="s">
        <v>2</v>
      </c>
      <c r="G4" t="s">
        <v>2</v>
      </c>
      <c r="H4" t="s">
        <v>6</v>
      </c>
      <c r="I4" s="2">
        <v>7982.5161006227399</v>
      </c>
      <c r="J4" s="2">
        <v>248761230.208119</v>
      </c>
      <c r="K4" s="2">
        <v>84590622.290630504</v>
      </c>
      <c r="L4" s="2">
        <v>3383624.89162522</v>
      </c>
      <c r="M4" s="2">
        <v>4297.8030755971804</v>
      </c>
      <c r="N4" s="2">
        <v>17168.450372614399</v>
      </c>
      <c r="O4" s="2">
        <v>21956.571584743899</v>
      </c>
      <c r="P4" s="2">
        <v>43422.825032955501</v>
      </c>
      <c r="Q4" s="2">
        <v>12268665.375670901</v>
      </c>
      <c r="R4" s="2">
        <v>233065517.11579001</v>
      </c>
      <c r="S4" s="2">
        <v>9000000</v>
      </c>
      <c r="T4" s="3">
        <f t="shared" si="0"/>
        <v>224065517.11578992</v>
      </c>
    </row>
    <row r="5" spans="1:21" x14ac:dyDescent="0.25">
      <c r="A5" t="s">
        <v>0</v>
      </c>
      <c r="B5" t="s">
        <v>8</v>
      </c>
      <c r="C5" t="s">
        <v>1</v>
      </c>
      <c r="D5" t="s">
        <v>1</v>
      </c>
      <c r="E5" t="s">
        <v>3</v>
      </c>
      <c r="F5" t="s">
        <v>51</v>
      </c>
      <c r="G5" t="s">
        <v>2</v>
      </c>
      <c r="H5" t="s">
        <v>4</v>
      </c>
      <c r="I5" s="2">
        <v>117.39890577889</v>
      </c>
      <c r="J5" s="2">
        <v>1298503.9026782899</v>
      </c>
      <c r="K5" s="2">
        <v>1298503.9026782899</v>
      </c>
      <c r="L5" s="2">
        <v>51940.156107131501</v>
      </c>
      <c r="M5" s="2">
        <v>0</v>
      </c>
      <c r="N5" s="2">
        <v>7144.0341150308896</v>
      </c>
      <c r="O5" s="2">
        <v>0</v>
      </c>
      <c r="P5" s="2">
        <v>7144.0341150308896</v>
      </c>
      <c r="Q5" s="2">
        <v>62328.187328557797</v>
      </c>
      <c r="R5" s="2">
        <v>1177091.5251275699</v>
      </c>
      <c r="S5" s="2">
        <f>$U$3*I5</f>
        <v>86522.993559041934</v>
      </c>
      <c r="T5" s="3">
        <f t="shared" si="0"/>
        <v>1090568.5315685279</v>
      </c>
    </row>
    <row r="6" spans="1:21" x14ac:dyDescent="0.25">
      <c r="A6" t="s">
        <v>0</v>
      </c>
      <c r="B6" t="s">
        <v>8</v>
      </c>
      <c r="C6" t="s">
        <v>1</v>
      </c>
      <c r="D6" t="s">
        <v>1</v>
      </c>
      <c r="E6" t="s">
        <v>5</v>
      </c>
      <c r="F6" t="s">
        <v>51</v>
      </c>
      <c r="G6" t="s">
        <v>2</v>
      </c>
      <c r="H6" t="s">
        <v>6</v>
      </c>
      <c r="I6" s="2">
        <v>13.190896911045</v>
      </c>
      <c r="J6" s="2">
        <v>445816.51162212697</v>
      </c>
      <c r="K6" s="2">
        <v>151594.693812966</v>
      </c>
      <c r="L6" s="2">
        <v>6063.7877525186304</v>
      </c>
      <c r="M6" s="2">
        <v>0</v>
      </c>
      <c r="N6" s="2">
        <v>0</v>
      </c>
      <c r="O6" s="2">
        <v>0</v>
      </c>
      <c r="P6" s="2">
        <v>0</v>
      </c>
      <c r="Q6" s="2">
        <v>21987.636193480401</v>
      </c>
      <c r="R6" s="2">
        <v>417765.08767612802</v>
      </c>
      <c r="T6" s="3">
        <f t="shared" si="0"/>
        <v>417765.08767612797</v>
      </c>
    </row>
    <row r="7" spans="1:21" x14ac:dyDescent="0.25">
      <c r="A7" t="s">
        <v>0</v>
      </c>
      <c r="B7" t="s">
        <v>13</v>
      </c>
      <c r="C7" t="s">
        <v>8</v>
      </c>
      <c r="D7" s="102" t="s">
        <v>7</v>
      </c>
      <c r="E7" t="s">
        <v>3</v>
      </c>
      <c r="F7" t="s">
        <v>9</v>
      </c>
      <c r="G7" t="s">
        <v>9</v>
      </c>
      <c r="H7" t="s">
        <v>4</v>
      </c>
      <c r="I7" s="2">
        <v>855.02113685670099</v>
      </c>
      <c r="J7" s="2">
        <v>11563738.516017601</v>
      </c>
      <c r="K7" s="2">
        <v>11563738.516017601</v>
      </c>
      <c r="L7" s="2">
        <v>462549.54064070398</v>
      </c>
      <c r="M7" s="2">
        <v>9359.1312202289992</v>
      </c>
      <c r="N7" s="2">
        <v>4275516.1787826596</v>
      </c>
      <c r="O7" s="2">
        <v>0</v>
      </c>
      <c r="P7" s="2">
        <v>4284875.3100028904</v>
      </c>
      <c r="Q7" s="2">
        <v>554591.49220783298</v>
      </c>
      <c r="R7" s="2">
        <v>6261722.1731661698</v>
      </c>
      <c r="T7" s="3">
        <f t="shared" si="0"/>
        <v>6261722.1731661735</v>
      </c>
    </row>
    <row r="8" spans="1:21" x14ac:dyDescent="0.25">
      <c r="A8" t="s">
        <v>0</v>
      </c>
      <c r="B8" t="s">
        <v>13</v>
      </c>
      <c r="C8" t="s">
        <v>8</v>
      </c>
      <c r="D8" s="102" t="s">
        <v>7</v>
      </c>
      <c r="E8" t="s">
        <v>5</v>
      </c>
      <c r="F8" t="s">
        <v>9</v>
      </c>
      <c r="G8" t="s">
        <v>9</v>
      </c>
      <c r="H8" t="s">
        <v>6</v>
      </c>
      <c r="I8" s="2">
        <v>2146.4276774873902</v>
      </c>
      <c r="J8" s="2">
        <v>50113968.033094503</v>
      </c>
      <c r="K8" s="2">
        <v>28106108.608674198</v>
      </c>
      <c r="L8" s="2">
        <v>1124244.3443469701</v>
      </c>
      <c r="M8" s="2">
        <v>901330.73139266204</v>
      </c>
      <c r="N8" s="2">
        <v>13688304.269144</v>
      </c>
      <c r="O8" s="2">
        <v>19969997.615480799</v>
      </c>
      <c r="P8" s="2">
        <v>34559632.616017498</v>
      </c>
      <c r="Q8" s="2">
        <v>2404419.6478677499</v>
      </c>
      <c r="R8" s="2">
        <v>12025671.4248624</v>
      </c>
      <c r="T8" s="3">
        <f t="shared" si="0"/>
        <v>12025671.424862284</v>
      </c>
    </row>
    <row r="9" spans="1:21" x14ac:dyDescent="0.25">
      <c r="A9" t="s">
        <v>0</v>
      </c>
      <c r="B9" t="s">
        <v>10</v>
      </c>
      <c r="C9" t="s">
        <v>7</v>
      </c>
      <c r="D9" s="102" t="s">
        <v>10</v>
      </c>
      <c r="E9" t="s">
        <v>3</v>
      </c>
      <c r="F9" t="s">
        <v>11</v>
      </c>
      <c r="G9" t="s">
        <v>11</v>
      </c>
      <c r="H9" t="s">
        <v>4</v>
      </c>
      <c r="I9" s="2">
        <v>96.216342277454402</v>
      </c>
      <c r="J9" s="2">
        <v>1120920.72157535</v>
      </c>
      <c r="K9" s="2">
        <v>1120920.72157535</v>
      </c>
      <c r="L9" s="2">
        <v>44836.828863014103</v>
      </c>
      <c r="M9" s="2">
        <v>0</v>
      </c>
      <c r="N9" s="2">
        <v>112300.672744044</v>
      </c>
      <c r="O9" s="2">
        <v>0</v>
      </c>
      <c r="P9" s="2">
        <v>112300.672744044</v>
      </c>
      <c r="Q9" s="2">
        <v>53804.194635616899</v>
      </c>
      <c r="R9" s="2">
        <v>909979.02533267601</v>
      </c>
      <c r="T9" s="3">
        <f t="shared" si="0"/>
        <v>909979.0253326752</v>
      </c>
    </row>
    <row r="10" spans="1:21" x14ac:dyDescent="0.25">
      <c r="A10" t="s">
        <v>0</v>
      </c>
      <c r="B10" t="s">
        <v>10</v>
      </c>
      <c r="C10" t="s">
        <v>7</v>
      </c>
      <c r="D10" s="102" t="s">
        <v>10</v>
      </c>
      <c r="E10" t="s">
        <v>5</v>
      </c>
      <c r="F10" t="s">
        <v>11</v>
      </c>
      <c r="G10" t="s">
        <v>11</v>
      </c>
      <c r="H10" t="s">
        <v>6</v>
      </c>
      <c r="I10" s="2">
        <v>68.832847388375498</v>
      </c>
      <c r="J10" s="2">
        <v>1403713.14406548</v>
      </c>
      <c r="K10" s="2">
        <v>790404.65237811999</v>
      </c>
      <c r="L10" s="2">
        <v>31616.186095124802</v>
      </c>
      <c r="M10" s="2">
        <v>94945.325070939507</v>
      </c>
      <c r="N10" s="2">
        <v>149638.108387905</v>
      </c>
      <c r="O10" s="2">
        <v>254951.03009809199</v>
      </c>
      <c r="P10" s="2">
        <v>499534.463556937</v>
      </c>
      <c r="Q10" s="2">
        <v>63857.581644970902</v>
      </c>
      <c r="R10" s="2">
        <v>808704.91276844905</v>
      </c>
      <c r="T10" s="3">
        <f t="shared" si="0"/>
        <v>808704.91276844731</v>
      </c>
    </row>
    <row r="11" spans="1:21" x14ac:dyDescent="0.25">
      <c r="A11" t="s">
        <v>0</v>
      </c>
      <c r="B11" t="s">
        <v>7</v>
      </c>
      <c r="C11" t="s">
        <v>13</v>
      </c>
      <c r="D11" s="102" t="s">
        <v>12</v>
      </c>
      <c r="E11" t="s">
        <v>3</v>
      </c>
      <c r="F11" t="s">
        <v>52</v>
      </c>
      <c r="G11" t="s">
        <v>14</v>
      </c>
      <c r="H11" t="s">
        <v>4</v>
      </c>
      <c r="I11" s="2">
        <v>3.8997671110910899</v>
      </c>
      <c r="J11" s="2">
        <v>62105.986809983697</v>
      </c>
      <c r="K11" s="2">
        <v>62105.986809983697</v>
      </c>
      <c r="L11" s="2">
        <v>2484.2394723993498</v>
      </c>
      <c r="M11" s="2">
        <v>0</v>
      </c>
      <c r="N11" s="2">
        <v>0</v>
      </c>
      <c r="O11" s="2">
        <v>0</v>
      </c>
      <c r="P11" s="2">
        <v>0</v>
      </c>
      <c r="Q11" s="2">
        <v>2981.0873668792201</v>
      </c>
      <c r="R11" s="2">
        <v>56640.659970705201</v>
      </c>
      <c r="T11" s="3">
        <f t="shared" si="0"/>
        <v>56640.659970705128</v>
      </c>
    </row>
    <row r="12" spans="1:21" x14ac:dyDescent="0.25">
      <c r="A12" t="s">
        <v>0</v>
      </c>
      <c r="B12" t="s">
        <v>7</v>
      </c>
      <c r="C12" t="s">
        <v>13</v>
      </c>
      <c r="D12" s="102" t="s">
        <v>12</v>
      </c>
      <c r="E12" t="s">
        <v>5</v>
      </c>
      <c r="F12" t="s">
        <v>52</v>
      </c>
      <c r="G12" t="s">
        <v>14</v>
      </c>
      <c r="H12" t="s">
        <v>6</v>
      </c>
      <c r="I12" s="2">
        <v>2.70333266665244</v>
      </c>
      <c r="J12" s="2">
        <v>66921.544102445201</v>
      </c>
      <c r="K12" s="2">
        <v>37739.546695875499</v>
      </c>
      <c r="L12" s="2">
        <v>1509.5818678350199</v>
      </c>
      <c r="M12" s="2">
        <v>0</v>
      </c>
      <c r="N12" s="2">
        <v>0</v>
      </c>
      <c r="O12" s="2">
        <v>0</v>
      </c>
      <c r="P12" s="2">
        <v>0</v>
      </c>
      <c r="Q12" s="2">
        <v>3270.59811173051</v>
      </c>
      <c r="R12" s="2">
        <v>62141.364122879699</v>
      </c>
      <c r="T12" s="3">
        <f t="shared" si="0"/>
        <v>62141.36412287967</v>
      </c>
    </row>
    <row r="13" spans="1:21" x14ac:dyDescent="0.25">
      <c r="A13" t="s">
        <v>0</v>
      </c>
      <c r="B13" t="s">
        <v>16</v>
      </c>
      <c r="C13" t="s">
        <v>13</v>
      </c>
      <c r="D13" s="102" t="s">
        <v>12</v>
      </c>
      <c r="E13" t="s">
        <v>3</v>
      </c>
      <c r="F13" t="s">
        <v>14</v>
      </c>
      <c r="G13" t="s">
        <v>14</v>
      </c>
      <c r="H13" t="s">
        <v>4</v>
      </c>
      <c r="I13" s="2">
        <v>251.51916879739099</v>
      </c>
      <c r="J13" s="2">
        <v>3790043.7918742099</v>
      </c>
      <c r="K13" s="2">
        <v>3790043.7918742099</v>
      </c>
      <c r="L13" s="2">
        <v>151601.75167496901</v>
      </c>
      <c r="M13" s="2">
        <v>15311.324526539</v>
      </c>
      <c r="N13" s="2">
        <v>882979.63368086296</v>
      </c>
      <c r="O13" s="2">
        <v>0</v>
      </c>
      <c r="P13" s="2">
        <v>898290.95820740203</v>
      </c>
      <c r="Q13" s="2">
        <v>181156.53578363499</v>
      </c>
      <c r="R13" s="2">
        <v>2558994.5462082098</v>
      </c>
      <c r="T13" s="3">
        <f t="shared" si="0"/>
        <v>2558994.5462082038</v>
      </c>
    </row>
    <row r="14" spans="1:21" x14ac:dyDescent="0.25">
      <c r="A14" t="s">
        <v>0</v>
      </c>
      <c r="B14" t="s">
        <v>16</v>
      </c>
      <c r="C14" t="s">
        <v>13</v>
      </c>
      <c r="D14" s="102" t="s">
        <v>12</v>
      </c>
      <c r="E14" t="s">
        <v>5</v>
      </c>
      <c r="F14" t="s">
        <v>14</v>
      </c>
      <c r="G14" t="s">
        <v>14</v>
      </c>
      <c r="H14" t="s">
        <v>6</v>
      </c>
      <c r="I14" s="2">
        <v>931.65973368175798</v>
      </c>
      <c r="J14" s="2">
        <v>22789332.811051399</v>
      </c>
      <c r="K14" s="2">
        <v>12852767.376056399</v>
      </c>
      <c r="L14" s="2">
        <v>514110.69504225597</v>
      </c>
      <c r="M14" s="2">
        <v>261021.66881298201</v>
      </c>
      <c r="N14" s="2">
        <v>3109251.2906355299</v>
      </c>
      <c r="O14" s="2">
        <v>8765004.08487547</v>
      </c>
      <c r="P14" s="2">
        <v>12135277.044323999</v>
      </c>
      <c r="Q14" s="2">
        <v>1100710.0223598101</v>
      </c>
      <c r="R14" s="2">
        <v>9039235.0493253693</v>
      </c>
      <c r="T14" s="3">
        <f t="shared" si="0"/>
        <v>9039235.049325332</v>
      </c>
    </row>
    <row r="15" spans="1:21" x14ac:dyDescent="0.25">
      <c r="A15" t="s">
        <v>0</v>
      </c>
      <c r="B15" t="s">
        <v>47</v>
      </c>
      <c r="C15" t="s">
        <v>16</v>
      </c>
      <c r="D15" s="102" t="s">
        <v>15</v>
      </c>
      <c r="E15" t="s">
        <v>3</v>
      </c>
      <c r="F15" t="s">
        <v>53</v>
      </c>
      <c r="G15" t="s">
        <v>17</v>
      </c>
      <c r="H15" t="s">
        <v>4</v>
      </c>
      <c r="I15" s="2">
        <v>146.43536024887999</v>
      </c>
      <c r="J15" s="2">
        <v>1970249.18079025</v>
      </c>
      <c r="K15" s="2">
        <v>1970249.18079025</v>
      </c>
      <c r="L15" s="2">
        <v>78809.967231610193</v>
      </c>
      <c r="M15" s="2">
        <v>0</v>
      </c>
      <c r="N15" s="2">
        <v>402762.86085513199</v>
      </c>
      <c r="O15" s="2">
        <v>0</v>
      </c>
      <c r="P15" s="2">
        <v>402762.86085513199</v>
      </c>
      <c r="Q15" s="2">
        <v>94571.960677932206</v>
      </c>
      <c r="R15" s="2">
        <v>1394104.3920255799</v>
      </c>
      <c r="T15" s="3">
        <f t="shared" si="0"/>
        <v>1394104.3920255757</v>
      </c>
    </row>
    <row r="16" spans="1:21" x14ac:dyDescent="0.25">
      <c r="A16" t="s">
        <v>0</v>
      </c>
      <c r="B16" t="s">
        <v>47</v>
      </c>
      <c r="C16" t="s">
        <v>16</v>
      </c>
      <c r="D16" s="102" t="s">
        <v>15</v>
      </c>
      <c r="E16" t="s">
        <v>5</v>
      </c>
      <c r="F16" t="s">
        <v>53</v>
      </c>
      <c r="G16" t="s">
        <v>17</v>
      </c>
      <c r="H16" t="s">
        <v>6</v>
      </c>
      <c r="I16" s="2">
        <v>332.822979941759</v>
      </c>
      <c r="J16" s="2">
        <v>7122549.6898300601</v>
      </c>
      <c r="K16" s="2">
        <v>4010546.4207832799</v>
      </c>
      <c r="L16" s="2">
        <v>160421.85683133101</v>
      </c>
      <c r="M16" s="2">
        <v>61731.047832293298</v>
      </c>
      <c r="N16" s="2">
        <v>823620.57677203405</v>
      </c>
      <c r="O16" s="2">
        <v>2703292.6007957701</v>
      </c>
      <c r="P16" s="2">
        <v>3588644.2254001</v>
      </c>
      <c r="Q16" s="2">
        <v>345019.83925832203</v>
      </c>
      <c r="R16" s="2">
        <v>3028463.7683403101</v>
      </c>
      <c r="T16" s="3">
        <f t="shared" si="0"/>
        <v>3028463.7683403073</v>
      </c>
    </row>
    <row r="17" spans="1:20" x14ac:dyDescent="0.25">
      <c r="A17" t="s">
        <v>0</v>
      </c>
      <c r="B17" t="s">
        <v>54</v>
      </c>
      <c r="C17" t="s">
        <v>16</v>
      </c>
      <c r="D17" s="102" t="s">
        <v>15</v>
      </c>
      <c r="E17" t="s">
        <v>3</v>
      </c>
      <c r="F17" t="s">
        <v>55</v>
      </c>
      <c r="G17" t="s">
        <v>17</v>
      </c>
      <c r="H17" t="s">
        <v>4</v>
      </c>
      <c r="I17" s="2">
        <v>14.7137724998206</v>
      </c>
      <c r="J17" s="2">
        <v>228949.710870604</v>
      </c>
      <c r="K17" s="2">
        <v>228949.710870604</v>
      </c>
      <c r="L17" s="2">
        <v>9157.9884348241594</v>
      </c>
      <c r="M17" s="2">
        <v>0</v>
      </c>
      <c r="N17" s="2">
        <v>24640.1123040167</v>
      </c>
      <c r="O17" s="2">
        <v>0</v>
      </c>
      <c r="P17" s="2">
        <v>24640.1123040167</v>
      </c>
      <c r="Q17" s="2">
        <v>10989.586121789</v>
      </c>
      <c r="R17" s="2">
        <v>184162.024009974</v>
      </c>
      <c r="T17" s="3">
        <f t="shared" si="0"/>
        <v>184162.02400997415</v>
      </c>
    </row>
    <row r="18" spans="1:20" x14ac:dyDescent="0.25">
      <c r="A18" t="s">
        <v>0</v>
      </c>
      <c r="B18" t="s">
        <v>54</v>
      </c>
      <c r="C18" t="s">
        <v>16</v>
      </c>
      <c r="D18" s="102" t="s">
        <v>15</v>
      </c>
      <c r="E18" t="s">
        <v>5</v>
      </c>
      <c r="F18" t="s">
        <v>55</v>
      </c>
      <c r="G18" t="s">
        <v>17</v>
      </c>
      <c r="H18" t="s">
        <v>6</v>
      </c>
      <c r="I18" s="2">
        <v>9.8182370443354703</v>
      </c>
      <c r="J18" s="2">
        <v>263548.63884112402</v>
      </c>
      <c r="K18" s="2">
        <v>148402.886666782</v>
      </c>
      <c r="L18" s="2">
        <v>5936.11546667127</v>
      </c>
      <c r="M18" s="2">
        <v>0</v>
      </c>
      <c r="N18" s="2">
        <v>21092.0570800901</v>
      </c>
      <c r="O18" s="2">
        <v>16369.7529759394</v>
      </c>
      <c r="P18" s="2">
        <v>37461.810056029499</v>
      </c>
      <c r="Q18" s="2">
        <v>12880.6261687227</v>
      </c>
      <c r="R18" s="2">
        <v>207270.08714970099</v>
      </c>
      <c r="T18" s="3">
        <f t="shared" si="0"/>
        <v>207270.08714970056</v>
      </c>
    </row>
    <row r="19" spans="1:20" x14ac:dyDescent="0.25">
      <c r="A19" t="s">
        <v>0</v>
      </c>
      <c r="B19" t="s">
        <v>31</v>
      </c>
      <c r="C19" t="s">
        <v>12</v>
      </c>
      <c r="D19" s="102" t="s">
        <v>18</v>
      </c>
      <c r="E19" t="s">
        <v>3</v>
      </c>
      <c r="F19" t="s">
        <v>56</v>
      </c>
      <c r="G19" t="s">
        <v>19</v>
      </c>
      <c r="H19" t="s">
        <v>4</v>
      </c>
      <c r="I19" s="2">
        <v>330.12867185360199</v>
      </c>
      <c r="J19" s="2">
        <v>3594148.8131396999</v>
      </c>
      <c r="K19" s="2">
        <v>3594148.8131396999</v>
      </c>
      <c r="L19" s="2">
        <v>143765.95252558801</v>
      </c>
      <c r="M19" s="2">
        <v>0</v>
      </c>
      <c r="N19" s="2">
        <v>255592.74036507701</v>
      </c>
      <c r="O19" s="2">
        <v>0</v>
      </c>
      <c r="P19" s="2">
        <v>255592.74036507701</v>
      </c>
      <c r="Q19" s="2">
        <v>172519.14303070601</v>
      </c>
      <c r="R19" s="2">
        <v>3022270.9772183299</v>
      </c>
      <c r="T19" s="3">
        <f t="shared" si="0"/>
        <v>3022270.977218329</v>
      </c>
    </row>
    <row r="20" spans="1:20" x14ac:dyDescent="0.25">
      <c r="A20" t="s">
        <v>0</v>
      </c>
      <c r="B20" t="s">
        <v>31</v>
      </c>
      <c r="C20" t="s">
        <v>12</v>
      </c>
      <c r="D20" s="102" t="s">
        <v>18</v>
      </c>
      <c r="E20" t="s">
        <v>5</v>
      </c>
      <c r="F20" t="s">
        <v>56</v>
      </c>
      <c r="G20" t="s">
        <v>19</v>
      </c>
      <c r="H20" t="s">
        <v>6</v>
      </c>
      <c r="I20" s="2">
        <v>88.103417165904901</v>
      </c>
      <c r="J20" s="2">
        <v>1875182.2329408301</v>
      </c>
      <c r="K20" s="2">
        <v>1016683.49959578</v>
      </c>
      <c r="L20" s="2">
        <v>40667.339983831203</v>
      </c>
      <c r="M20" s="2">
        <v>58171.578057664301</v>
      </c>
      <c r="N20" s="2">
        <v>106817.34922976499</v>
      </c>
      <c r="O20" s="2">
        <v>300665.11226123001</v>
      </c>
      <c r="P20" s="2">
        <v>465654.03954865999</v>
      </c>
      <c r="Q20" s="2">
        <v>88817.165744966595</v>
      </c>
      <c r="R20" s="2">
        <v>1280043.68766337</v>
      </c>
      <c r="T20" s="3">
        <f t="shared" si="0"/>
        <v>1280043.6876633724</v>
      </c>
    </row>
    <row r="21" spans="1:20" x14ac:dyDescent="0.25">
      <c r="A21" t="s">
        <v>0</v>
      </c>
      <c r="B21" t="s">
        <v>57</v>
      </c>
      <c r="C21" t="s">
        <v>12</v>
      </c>
      <c r="D21" s="102" t="s">
        <v>18</v>
      </c>
      <c r="E21" t="s">
        <v>3</v>
      </c>
      <c r="F21" t="s">
        <v>58</v>
      </c>
      <c r="G21" t="s">
        <v>19</v>
      </c>
      <c r="H21" t="s">
        <v>4</v>
      </c>
      <c r="I21" s="2">
        <v>122.13317516639199</v>
      </c>
      <c r="J21" s="2">
        <v>1749683.4530350999</v>
      </c>
      <c r="K21" s="2">
        <v>1749683.4530350999</v>
      </c>
      <c r="L21" s="2">
        <v>69987.3381214041</v>
      </c>
      <c r="M21" s="2">
        <v>0</v>
      </c>
      <c r="N21" s="2">
        <v>506944.64692086697</v>
      </c>
      <c r="O21" s="2">
        <v>0</v>
      </c>
      <c r="P21" s="2">
        <v>506944.64692086697</v>
      </c>
      <c r="Q21" s="2">
        <v>83984.805745684906</v>
      </c>
      <c r="R21" s="2">
        <v>1088766.66224715</v>
      </c>
      <c r="T21" s="3">
        <f t="shared" si="0"/>
        <v>1088766.6622471437</v>
      </c>
    </row>
    <row r="22" spans="1:20" x14ac:dyDescent="0.25">
      <c r="A22" t="s">
        <v>0</v>
      </c>
      <c r="B22" t="s">
        <v>57</v>
      </c>
      <c r="C22" t="s">
        <v>12</v>
      </c>
      <c r="D22" s="102" t="s">
        <v>18</v>
      </c>
      <c r="E22" t="s">
        <v>5</v>
      </c>
      <c r="F22" t="s">
        <v>58</v>
      </c>
      <c r="G22" t="s">
        <v>19</v>
      </c>
      <c r="H22" t="s">
        <v>6</v>
      </c>
      <c r="I22" s="2">
        <v>90.127293333105001</v>
      </c>
      <c r="J22" s="2">
        <v>2307914.02268419</v>
      </c>
      <c r="K22" s="2">
        <v>1251309.5526652001</v>
      </c>
      <c r="L22" s="2">
        <v>50052.3821066081</v>
      </c>
      <c r="M22" s="2">
        <v>118718.475185267</v>
      </c>
      <c r="N22" s="2">
        <v>481084.02712397499</v>
      </c>
      <c r="O22" s="2">
        <v>891086.19471092604</v>
      </c>
      <c r="P22" s="2">
        <v>1490888.69702017</v>
      </c>
      <c r="Q22" s="2">
        <v>106957.158269616</v>
      </c>
      <c r="R22" s="2">
        <v>660015.78528780397</v>
      </c>
      <c r="T22" s="3">
        <f t="shared" si="0"/>
        <v>660015.7852877957</v>
      </c>
    </row>
    <row r="23" spans="1:20" x14ac:dyDescent="0.25">
      <c r="A23" t="s">
        <v>0</v>
      </c>
      <c r="B23" t="s">
        <v>41</v>
      </c>
      <c r="C23" t="s">
        <v>15</v>
      </c>
      <c r="D23" s="102" t="s">
        <v>21</v>
      </c>
      <c r="E23" t="s">
        <v>3</v>
      </c>
      <c r="F23" t="s">
        <v>59</v>
      </c>
      <c r="G23" t="s">
        <v>22</v>
      </c>
      <c r="H23" t="s">
        <v>4</v>
      </c>
      <c r="I23" s="2">
        <v>227.31430373215599</v>
      </c>
      <c r="J23" s="2">
        <v>2845120.7784460899</v>
      </c>
      <c r="K23" s="2">
        <v>2845120.7784460899</v>
      </c>
      <c r="L23" s="2">
        <v>113804.831137844</v>
      </c>
      <c r="M23" s="2">
        <v>0</v>
      </c>
      <c r="N23" s="2">
        <v>111879.755526066</v>
      </c>
      <c r="O23" s="2">
        <v>0</v>
      </c>
      <c r="P23" s="2">
        <v>111879.755526066</v>
      </c>
      <c r="Q23" s="2">
        <v>136565.79736541299</v>
      </c>
      <c r="R23" s="2">
        <v>2482870.39441677</v>
      </c>
      <c r="T23" s="3">
        <f t="shared" si="0"/>
        <v>2482870.3944167672</v>
      </c>
    </row>
    <row r="24" spans="1:20" x14ac:dyDescent="0.25">
      <c r="A24" t="s">
        <v>0</v>
      </c>
      <c r="B24" t="s">
        <v>41</v>
      </c>
      <c r="C24" t="s">
        <v>15</v>
      </c>
      <c r="D24" s="102" t="s">
        <v>21</v>
      </c>
      <c r="E24" t="s">
        <v>5</v>
      </c>
      <c r="F24" t="s">
        <v>59</v>
      </c>
      <c r="G24" t="s">
        <v>22</v>
      </c>
      <c r="H24" t="s">
        <v>6</v>
      </c>
      <c r="I24" s="2">
        <v>102.758176732753</v>
      </c>
      <c r="J24" s="2">
        <v>2183649.7827006001</v>
      </c>
      <c r="K24" s="2">
        <v>1277712.743363</v>
      </c>
      <c r="L24" s="2">
        <v>51108.509734520099</v>
      </c>
      <c r="M24" s="2">
        <v>0</v>
      </c>
      <c r="N24" s="2">
        <v>16710.746330249502</v>
      </c>
      <c r="O24" s="2">
        <v>71087.235084196102</v>
      </c>
      <c r="P24" s="2">
        <v>87797.981414445603</v>
      </c>
      <c r="Q24" s="2">
        <v>106627.063648304</v>
      </c>
      <c r="R24" s="2">
        <v>1938116.22790333</v>
      </c>
      <c r="T24" s="3">
        <f t="shared" si="0"/>
        <v>1938116.2279033302</v>
      </c>
    </row>
    <row r="25" spans="1:20" x14ac:dyDescent="0.25">
      <c r="A25" t="s">
        <v>0</v>
      </c>
      <c r="B25" t="s">
        <v>60</v>
      </c>
      <c r="C25" t="s">
        <v>24</v>
      </c>
      <c r="D25" s="102" t="s">
        <v>23</v>
      </c>
      <c r="E25" t="s">
        <v>3</v>
      </c>
      <c r="F25" t="s">
        <v>61</v>
      </c>
      <c r="G25" t="s">
        <v>25</v>
      </c>
      <c r="H25" t="s">
        <v>4</v>
      </c>
      <c r="I25" s="2">
        <v>118.957556998719</v>
      </c>
      <c r="J25" s="2">
        <v>1757702.83814966</v>
      </c>
      <c r="K25" s="2">
        <v>1757702.83814966</v>
      </c>
      <c r="L25" s="2">
        <v>70308.113525986293</v>
      </c>
      <c r="M25" s="2">
        <v>0</v>
      </c>
      <c r="N25" s="2">
        <v>338468.44128789299</v>
      </c>
      <c r="O25" s="2">
        <v>0</v>
      </c>
      <c r="P25" s="2">
        <v>338468.44128789299</v>
      </c>
      <c r="Q25" s="2">
        <v>84369.736231183502</v>
      </c>
      <c r="R25" s="2">
        <v>1264556.5471045901</v>
      </c>
      <c r="T25" s="3">
        <f t="shared" si="0"/>
        <v>1264556.5471045973</v>
      </c>
    </row>
    <row r="26" spans="1:20" x14ac:dyDescent="0.25">
      <c r="A26" t="s">
        <v>0</v>
      </c>
      <c r="B26" t="s">
        <v>60</v>
      </c>
      <c r="C26" t="s">
        <v>24</v>
      </c>
      <c r="D26" s="102" t="s">
        <v>23</v>
      </c>
      <c r="E26" t="s">
        <v>5</v>
      </c>
      <c r="F26" t="s">
        <v>61</v>
      </c>
      <c r="G26" t="s">
        <v>25</v>
      </c>
      <c r="H26" t="s">
        <v>6</v>
      </c>
      <c r="I26" s="2">
        <v>197.34850104713499</v>
      </c>
      <c r="J26" s="2">
        <v>4808447.2191716796</v>
      </c>
      <c r="K26" s="2">
        <v>2765003.3045673999</v>
      </c>
      <c r="L26" s="2">
        <v>110600.132182696</v>
      </c>
      <c r="M26" s="2">
        <v>26915.380664340399</v>
      </c>
      <c r="N26" s="2">
        <v>682678.636611277</v>
      </c>
      <c r="O26" s="2">
        <v>1809130.4906587801</v>
      </c>
      <c r="P26" s="2">
        <v>2518724.5079343999</v>
      </c>
      <c r="Q26" s="2">
        <v>233546.585316232</v>
      </c>
      <c r="R26" s="2">
        <v>1945575.99373835</v>
      </c>
      <c r="T26" s="3">
        <f t="shared" si="0"/>
        <v>1945575.9937383519</v>
      </c>
    </row>
    <row r="27" spans="1:20" x14ac:dyDescent="0.25">
      <c r="A27" t="s">
        <v>0</v>
      </c>
      <c r="B27" t="s">
        <v>62</v>
      </c>
      <c r="C27" t="s">
        <v>24</v>
      </c>
      <c r="D27" s="102" t="s">
        <v>23</v>
      </c>
      <c r="E27" t="s">
        <v>3</v>
      </c>
      <c r="F27" t="s">
        <v>63</v>
      </c>
      <c r="G27" t="s">
        <v>25</v>
      </c>
      <c r="H27" t="s">
        <v>4</v>
      </c>
      <c r="I27" s="2">
        <v>4.8589519999722297</v>
      </c>
      <c r="J27" s="2">
        <v>72704.516613452899</v>
      </c>
      <c r="K27" s="2">
        <v>72704.516613452899</v>
      </c>
      <c r="L27" s="2">
        <v>2908.1806645381198</v>
      </c>
      <c r="M27" s="2">
        <v>0</v>
      </c>
      <c r="N27" s="2">
        <v>52225.1865993174</v>
      </c>
      <c r="O27" s="2">
        <v>0</v>
      </c>
      <c r="P27" s="2">
        <v>52225.1865993174</v>
      </c>
      <c r="Q27" s="2">
        <v>3489.8167974457401</v>
      </c>
      <c r="R27" s="2">
        <v>14081.3325521516</v>
      </c>
      <c r="T27" s="3">
        <f t="shared" si="0"/>
        <v>14081.332552151645</v>
      </c>
    </row>
    <row r="28" spans="1:20" x14ac:dyDescent="0.25">
      <c r="A28" t="s">
        <v>0</v>
      </c>
      <c r="B28" t="s">
        <v>62</v>
      </c>
      <c r="C28" t="s">
        <v>24</v>
      </c>
      <c r="D28" s="102" t="s">
        <v>23</v>
      </c>
      <c r="E28" t="s">
        <v>5</v>
      </c>
      <c r="F28" t="s">
        <v>63</v>
      </c>
      <c r="G28" t="s">
        <v>25</v>
      </c>
      <c r="H28" t="s">
        <v>6</v>
      </c>
      <c r="I28" s="2">
        <v>15.2897505554691</v>
      </c>
      <c r="J28" s="2">
        <v>291269.93457972602</v>
      </c>
      <c r="K28" s="2">
        <v>167487.46296341499</v>
      </c>
      <c r="L28" s="2">
        <v>6699.4985185366004</v>
      </c>
      <c r="M28" s="2">
        <v>44860.2083294392</v>
      </c>
      <c r="N28" s="2">
        <v>94505.895304769496</v>
      </c>
      <c r="O28" s="2">
        <v>103119.807515819</v>
      </c>
      <c r="P28" s="2">
        <v>242485.911150028</v>
      </c>
      <c r="Q28" s="2">
        <v>11985.511386587499</v>
      </c>
      <c r="R28" s="2">
        <v>30099.013524574199</v>
      </c>
      <c r="T28" s="3">
        <f t="shared" si="0"/>
        <v>30099.013524573897</v>
      </c>
    </row>
    <row r="29" spans="1:20" x14ac:dyDescent="0.25">
      <c r="A29" t="s">
        <v>0</v>
      </c>
      <c r="B29" t="s">
        <v>26</v>
      </c>
      <c r="C29" t="s">
        <v>18</v>
      </c>
      <c r="D29" s="102" t="s">
        <v>26</v>
      </c>
      <c r="E29" t="s">
        <v>3</v>
      </c>
      <c r="F29" t="s">
        <v>64</v>
      </c>
      <c r="G29" t="s">
        <v>27</v>
      </c>
      <c r="H29" t="s">
        <v>4</v>
      </c>
      <c r="I29" s="2">
        <v>63.828208570985701</v>
      </c>
      <c r="J29" s="2">
        <v>761858.68858179497</v>
      </c>
      <c r="K29" s="2">
        <v>761858.68858179497</v>
      </c>
      <c r="L29" s="2">
        <v>30474.347543271801</v>
      </c>
      <c r="M29" s="2">
        <v>0</v>
      </c>
      <c r="N29" s="2">
        <v>66722.125747426297</v>
      </c>
      <c r="O29" s="2">
        <v>0</v>
      </c>
      <c r="P29" s="2">
        <v>66722.125747426297</v>
      </c>
      <c r="Q29" s="2">
        <v>36569.2170519262</v>
      </c>
      <c r="R29" s="2">
        <v>628092.99823917099</v>
      </c>
      <c r="T29" s="3">
        <f t="shared" si="0"/>
        <v>628092.99823917064</v>
      </c>
    </row>
    <row r="30" spans="1:20" x14ac:dyDescent="0.25">
      <c r="A30" t="s">
        <v>0</v>
      </c>
      <c r="B30" t="s">
        <v>26</v>
      </c>
      <c r="C30" t="s">
        <v>18</v>
      </c>
      <c r="D30" s="102" t="s">
        <v>26</v>
      </c>
      <c r="E30" t="s">
        <v>5</v>
      </c>
      <c r="F30" t="s">
        <v>64</v>
      </c>
      <c r="G30" t="s">
        <v>27</v>
      </c>
      <c r="H30" t="s">
        <v>6</v>
      </c>
      <c r="I30" s="2">
        <v>99.680463375633494</v>
      </c>
      <c r="J30" s="2">
        <v>2167983.8597772499</v>
      </c>
      <c r="K30" s="2">
        <v>1159003.8970572399</v>
      </c>
      <c r="L30" s="2">
        <v>46360.1558822894</v>
      </c>
      <c r="M30" s="2">
        <v>385255.68738801999</v>
      </c>
      <c r="N30" s="2">
        <v>173562.56535048201</v>
      </c>
      <c r="O30" s="2">
        <v>393381.48056875</v>
      </c>
      <c r="P30" s="2">
        <v>952199.73330725299</v>
      </c>
      <c r="Q30" s="2">
        <v>86818.400825347198</v>
      </c>
      <c r="R30" s="2">
        <v>1082605.5697623701</v>
      </c>
      <c r="T30" s="3">
        <f t="shared" si="0"/>
        <v>1082605.5697623603</v>
      </c>
    </row>
    <row r="31" spans="1:20" x14ac:dyDescent="0.25">
      <c r="A31" t="s">
        <v>0</v>
      </c>
      <c r="B31" t="s">
        <v>38</v>
      </c>
      <c r="C31" t="s">
        <v>18</v>
      </c>
      <c r="D31" s="102" t="s">
        <v>26</v>
      </c>
      <c r="E31" t="s">
        <v>3</v>
      </c>
      <c r="F31" t="s">
        <v>65</v>
      </c>
      <c r="G31" t="s">
        <v>27</v>
      </c>
      <c r="H31" t="s">
        <v>4</v>
      </c>
      <c r="I31" s="2">
        <v>39.608056899780699</v>
      </c>
      <c r="J31" s="2">
        <v>588325.946714474</v>
      </c>
      <c r="K31" s="2">
        <v>588325.946714474</v>
      </c>
      <c r="L31" s="2">
        <v>23533.037868578998</v>
      </c>
      <c r="M31" s="2">
        <v>0</v>
      </c>
      <c r="N31" s="2">
        <v>106855.59851627699</v>
      </c>
      <c r="O31" s="2">
        <v>0</v>
      </c>
      <c r="P31" s="2">
        <v>106855.59851627699</v>
      </c>
      <c r="Q31" s="2">
        <v>28239.645442294801</v>
      </c>
      <c r="R31" s="2">
        <v>429697.66488732299</v>
      </c>
      <c r="T31" s="3">
        <f t="shared" si="0"/>
        <v>429697.66488732316</v>
      </c>
    </row>
    <row r="32" spans="1:20" x14ac:dyDescent="0.25">
      <c r="A32" t="s">
        <v>0</v>
      </c>
      <c r="B32" t="s">
        <v>38</v>
      </c>
      <c r="C32" t="s">
        <v>18</v>
      </c>
      <c r="D32" s="102" t="s">
        <v>26</v>
      </c>
      <c r="E32" t="s">
        <v>5</v>
      </c>
      <c r="F32" t="s">
        <v>65</v>
      </c>
      <c r="G32" t="s">
        <v>27</v>
      </c>
      <c r="H32" t="s">
        <v>6</v>
      </c>
      <c r="I32" s="2">
        <v>36.902446844165603</v>
      </c>
      <c r="J32" s="2">
        <v>951747.27752518898</v>
      </c>
      <c r="K32" s="2">
        <v>494692.68563546101</v>
      </c>
      <c r="L32" s="2">
        <v>19787.707425418401</v>
      </c>
      <c r="M32" s="2">
        <v>92938.529538097093</v>
      </c>
      <c r="N32" s="2">
        <v>160898.94085327201</v>
      </c>
      <c r="O32" s="2">
        <v>303389.56880634301</v>
      </c>
      <c r="P32" s="2">
        <v>557227.03919771197</v>
      </c>
      <c r="Q32" s="2">
        <v>41951.052028083701</v>
      </c>
      <c r="R32" s="2">
        <v>332781.478873974</v>
      </c>
      <c r="T32" s="3">
        <f t="shared" si="0"/>
        <v>332781.47887397488</v>
      </c>
    </row>
    <row r="33" spans="1:20" x14ac:dyDescent="0.25">
      <c r="A33" t="s">
        <v>0</v>
      </c>
      <c r="B33" t="s">
        <v>21</v>
      </c>
      <c r="C33" t="s">
        <v>29</v>
      </c>
      <c r="D33" s="102" t="s">
        <v>28</v>
      </c>
      <c r="E33" t="s">
        <v>3</v>
      </c>
      <c r="F33" t="s">
        <v>66</v>
      </c>
      <c r="G33" t="s">
        <v>30</v>
      </c>
      <c r="H33" t="s">
        <v>4</v>
      </c>
      <c r="I33" s="2">
        <v>98.279961666940494</v>
      </c>
      <c r="J33" s="2">
        <v>1298161.3379792499</v>
      </c>
      <c r="K33" s="2">
        <v>1298161.3379792499</v>
      </c>
      <c r="L33" s="2">
        <v>51926.453519169998</v>
      </c>
      <c r="M33" s="2">
        <v>0</v>
      </c>
      <c r="N33" s="2">
        <v>13563.1537371211</v>
      </c>
      <c r="O33" s="2">
        <v>0</v>
      </c>
      <c r="P33" s="2">
        <v>13563.1537371211</v>
      </c>
      <c r="Q33" s="2">
        <v>62311.744223004098</v>
      </c>
      <c r="R33" s="2">
        <v>1170359.9864999601</v>
      </c>
      <c r="T33" s="3">
        <f t="shared" si="0"/>
        <v>1170359.9864999547</v>
      </c>
    </row>
    <row r="34" spans="1:20" x14ac:dyDescent="0.25">
      <c r="A34" t="s">
        <v>0</v>
      </c>
      <c r="B34" t="s">
        <v>21</v>
      </c>
      <c r="C34" t="s">
        <v>29</v>
      </c>
      <c r="D34" s="102" t="s">
        <v>28</v>
      </c>
      <c r="E34" t="s">
        <v>5</v>
      </c>
      <c r="F34" t="s">
        <v>66</v>
      </c>
      <c r="G34" t="s">
        <v>30</v>
      </c>
      <c r="H34" t="s">
        <v>6</v>
      </c>
      <c r="I34" s="2">
        <v>121.07415676694799</v>
      </c>
      <c r="J34" s="2">
        <v>3239367.7488024901</v>
      </c>
      <c r="K34" s="2">
        <v>1546319.3296684001</v>
      </c>
      <c r="L34" s="2">
        <v>61852.773186735802</v>
      </c>
      <c r="M34" s="2">
        <v>24992.2457114555</v>
      </c>
      <c r="N34" s="2">
        <v>41355.811614643899</v>
      </c>
      <c r="O34" s="2">
        <v>336364.28912979801</v>
      </c>
      <c r="P34" s="2">
        <v>402712.34645589802</v>
      </c>
      <c r="Q34" s="2">
        <v>157626.136495215</v>
      </c>
      <c r="R34" s="2">
        <v>2617176.4926646398</v>
      </c>
      <c r="T34" s="3">
        <f t="shared" si="0"/>
        <v>2617176.4926646412</v>
      </c>
    </row>
    <row r="35" spans="1:20" x14ac:dyDescent="0.25">
      <c r="A35" t="s">
        <v>0</v>
      </c>
      <c r="B35" t="s">
        <v>37</v>
      </c>
      <c r="C35" t="s">
        <v>29</v>
      </c>
      <c r="D35" s="102" t="s">
        <v>28</v>
      </c>
      <c r="E35" t="s">
        <v>3</v>
      </c>
      <c r="F35" t="s">
        <v>67</v>
      </c>
      <c r="G35" t="s">
        <v>30</v>
      </c>
      <c r="H35" t="s">
        <v>4</v>
      </c>
      <c r="I35" s="2">
        <v>63.448812777856801</v>
      </c>
      <c r="J35" s="2">
        <v>812462.18180515303</v>
      </c>
      <c r="K35" s="2">
        <v>812462.18180515303</v>
      </c>
      <c r="L35" s="2">
        <v>32498.487272206101</v>
      </c>
      <c r="M35" s="2">
        <v>5237.0833042094901</v>
      </c>
      <c r="N35" s="2">
        <v>35897.760817715702</v>
      </c>
      <c r="O35" s="2">
        <v>0</v>
      </c>
      <c r="P35" s="2">
        <v>41134.844121925198</v>
      </c>
      <c r="Q35" s="2">
        <v>38736.330561436902</v>
      </c>
      <c r="R35" s="2">
        <v>700092.51984958502</v>
      </c>
      <c r="T35" s="3">
        <f t="shared" si="0"/>
        <v>700092.51984958479</v>
      </c>
    </row>
    <row r="36" spans="1:20" x14ac:dyDescent="0.25">
      <c r="A36" t="s">
        <v>0</v>
      </c>
      <c r="B36" t="s">
        <v>37</v>
      </c>
      <c r="C36" t="s">
        <v>29</v>
      </c>
      <c r="D36" s="102" t="s">
        <v>28</v>
      </c>
      <c r="E36" t="s">
        <v>5</v>
      </c>
      <c r="F36" t="s">
        <v>67</v>
      </c>
      <c r="G36" t="s">
        <v>30</v>
      </c>
      <c r="H36" t="s">
        <v>6</v>
      </c>
      <c r="I36" s="2">
        <v>129.745700600178</v>
      </c>
      <c r="J36" s="2">
        <v>2772615.1857583602</v>
      </c>
      <c r="K36" s="2">
        <v>1564880.19630424</v>
      </c>
      <c r="L36" s="2">
        <v>62595.2078521695</v>
      </c>
      <c r="M36" s="2">
        <v>160255.68237540801</v>
      </c>
      <c r="N36" s="2">
        <v>22341.0475039335</v>
      </c>
      <c r="O36" s="2">
        <v>110256.330557436</v>
      </c>
      <c r="P36" s="2">
        <v>292853.060436778</v>
      </c>
      <c r="Q36" s="2">
        <v>127488.214776539</v>
      </c>
      <c r="R36" s="2">
        <v>2289678.7026928798</v>
      </c>
      <c r="T36" s="3">
        <f t="shared" si="0"/>
        <v>2289678.7026928742</v>
      </c>
    </row>
    <row r="37" spans="1:20" x14ac:dyDescent="0.25">
      <c r="A37" t="s">
        <v>0</v>
      </c>
      <c r="B37" t="s">
        <v>68</v>
      </c>
      <c r="C37" t="s">
        <v>32</v>
      </c>
      <c r="D37" s="102" t="s">
        <v>31</v>
      </c>
      <c r="E37" t="s">
        <v>3</v>
      </c>
      <c r="F37" t="s">
        <v>69</v>
      </c>
      <c r="G37" t="s">
        <v>33</v>
      </c>
      <c r="H37" t="s">
        <v>4</v>
      </c>
      <c r="I37" s="2">
        <v>5.8109747110630003</v>
      </c>
      <c r="J37" s="2">
        <v>98657.905907763095</v>
      </c>
      <c r="K37" s="2">
        <v>98657.905907763095</v>
      </c>
      <c r="L37" s="2">
        <v>3946.3162363105198</v>
      </c>
      <c r="M37" s="2">
        <v>0</v>
      </c>
      <c r="N37" s="2">
        <v>0</v>
      </c>
      <c r="O37" s="2">
        <v>0</v>
      </c>
      <c r="P37" s="2">
        <v>0</v>
      </c>
      <c r="Q37" s="2">
        <v>4735.5794835726301</v>
      </c>
      <c r="R37" s="2">
        <v>89976.010187880005</v>
      </c>
      <c r="T37" s="3">
        <f t="shared" si="0"/>
        <v>89976.010187879947</v>
      </c>
    </row>
    <row r="38" spans="1:20" x14ac:dyDescent="0.25">
      <c r="A38" t="s">
        <v>0</v>
      </c>
      <c r="B38" t="s">
        <v>68</v>
      </c>
      <c r="C38" t="s">
        <v>32</v>
      </c>
      <c r="D38" s="102" t="s">
        <v>31</v>
      </c>
      <c r="E38" t="s">
        <v>5</v>
      </c>
      <c r="F38" t="s">
        <v>69</v>
      </c>
      <c r="G38" t="s">
        <v>33</v>
      </c>
      <c r="H38" t="s">
        <v>6</v>
      </c>
      <c r="I38" s="2">
        <v>25.638404899652901</v>
      </c>
      <c r="J38" s="2">
        <v>652192.40915321896</v>
      </c>
      <c r="K38" s="2">
        <v>415791.417613281</v>
      </c>
      <c r="L38" s="2">
        <v>16631.6567045312</v>
      </c>
      <c r="M38" s="2">
        <v>0</v>
      </c>
      <c r="N38" s="2">
        <v>0</v>
      </c>
      <c r="O38" s="2">
        <v>0</v>
      </c>
      <c r="P38" s="2">
        <v>0</v>
      </c>
      <c r="Q38" s="2">
        <v>31778.0376224344</v>
      </c>
      <c r="R38" s="2">
        <v>603782.71482625301</v>
      </c>
      <c r="T38" s="3">
        <f t="shared" si="0"/>
        <v>603782.71482625336</v>
      </c>
    </row>
    <row r="39" spans="1:20" x14ac:dyDescent="0.25">
      <c r="A39" t="s">
        <v>0</v>
      </c>
      <c r="B39" t="s">
        <v>70</v>
      </c>
      <c r="C39" t="s">
        <v>32</v>
      </c>
      <c r="D39" s="102" t="s">
        <v>31</v>
      </c>
      <c r="E39" t="s">
        <v>3</v>
      </c>
      <c r="F39" t="s">
        <v>71</v>
      </c>
      <c r="G39" t="s">
        <v>33</v>
      </c>
      <c r="H39" t="s">
        <v>4</v>
      </c>
      <c r="I39" s="2">
        <v>8.3648425777241098</v>
      </c>
      <c r="J39" s="2">
        <v>178514.78260319799</v>
      </c>
      <c r="K39" s="2">
        <v>178514.78260319799</v>
      </c>
      <c r="L39" s="2">
        <v>7140.59130412791</v>
      </c>
      <c r="M39" s="2">
        <v>0</v>
      </c>
      <c r="N39" s="2">
        <v>0</v>
      </c>
      <c r="O39" s="2">
        <v>0</v>
      </c>
      <c r="P39" s="2">
        <v>0</v>
      </c>
      <c r="Q39" s="2">
        <v>8568.7095649534895</v>
      </c>
      <c r="R39" s="2">
        <v>162805.48173411601</v>
      </c>
      <c r="T39" s="3">
        <f t="shared" si="0"/>
        <v>162805.48173411659</v>
      </c>
    </row>
    <row r="40" spans="1:20" x14ac:dyDescent="0.25">
      <c r="A40" t="s">
        <v>0</v>
      </c>
      <c r="B40" t="s">
        <v>70</v>
      </c>
      <c r="C40" t="s">
        <v>32</v>
      </c>
      <c r="D40" s="102" t="s">
        <v>31</v>
      </c>
      <c r="E40" t="s">
        <v>5</v>
      </c>
      <c r="F40" t="s">
        <v>71</v>
      </c>
      <c r="G40" t="s">
        <v>33</v>
      </c>
      <c r="H40" t="s">
        <v>6</v>
      </c>
      <c r="I40" s="2">
        <v>26.708226744203099</v>
      </c>
      <c r="J40" s="2">
        <v>728142.86554606003</v>
      </c>
      <c r="K40" s="2">
        <v>464211.13465042697</v>
      </c>
      <c r="L40" s="2">
        <v>18568.445386017102</v>
      </c>
      <c r="M40" s="2">
        <v>0</v>
      </c>
      <c r="N40" s="2">
        <v>3684.4452034231599</v>
      </c>
      <c r="O40" s="2">
        <v>0</v>
      </c>
      <c r="P40" s="2">
        <v>3684.4452034231599</v>
      </c>
      <c r="Q40" s="2">
        <v>35478.721008002103</v>
      </c>
      <c r="R40" s="2">
        <v>670411.25394861703</v>
      </c>
      <c r="T40" s="3">
        <f t="shared" si="0"/>
        <v>670411.25394861773</v>
      </c>
    </row>
    <row r="41" spans="1:20" x14ac:dyDescent="0.25">
      <c r="A41" t="s">
        <v>0</v>
      </c>
      <c r="B41" t="s">
        <v>72</v>
      </c>
      <c r="C41" t="s">
        <v>32</v>
      </c>
      <c r="D41" s="102" t="s">
        <v>31</v>
      </c>
      <c r="E41" t="s">
        <v>3</v>
      </c>
      <c r="F41" t="s">
        <v>73</v>
      </c>
      <c r="G41" t="s">
        <v>33</v>
      </c>
      <c r="H41" t="s">
        <v>4</v>
      </c>
      <c r="I41" s="2">
        <v>25.760754133288899</v>
      </c>
      <c r="J41" s="2">
        <v>717118.74484103103</v>
      </c>
      <c r="K41" s="2">
        <v>717118.74484103103</v>
      </c>
      <c r="L41" s="2">
        <v>28684.7497936412</v>
      </c>
      <c r="M41" s="2">
        <v>0</v>
      </c>
      <c r="N41" s="2">
        <v>0</v>
      </c>
      <c r="O41" s="2">
        <v>0</v>
      </c>
      <c r="P41" s="2">
        <v>0</v>
      </c>
      <c r="Q41" s="2">
        <v>34421.699752369503</v>
      </c>
      <c r="R41" s="2">
        <v>654012.29529501998</v>
      </c>
      <c r="T41" s="3">
        <f t="shared" si="0"/>
        <v>654012.29529502033</v>
      </c>
    </row>
    <row r="42" spans="1:20" x14ac:dyDescent="0.25">
      <c r="A42" t="s">
        <v>0</v>
      </c>
      <c r="B42" t="s">
        <v>72</v>
      </c>
      <c r="C42" t="s">
        <v>32</v>
      </c>
      <c r="D42" s="102" t="s">
        <v>31</v>
      </c>
      <c r="E42" t="s">
        <v>5</v>
      </c>
      <c r="F42" t="s">
        <v>73</v>
      </c>
      <c r="G42" t="s">
        <v>33</v>
      </c>
      <c r="H42" t="s">
        <v>6</v>
      </c>
      <c r="I42" s="2">
        <v>1.1195809999999999</v>
      </c>
      <c r="J42" s="2">
        <v>41279.766318263799</v>
      </c>
      <c r="K42" s="2">
        <v>26313.748492870502</v>
      </c>
      <c r="L42" s="2">
        <v>1052.5499397148201</v>
      </c>
      <c r="M42" s="2">
        <v>0</v>
      </c>
      <c r="N42" s="2">
        <v>0</v>
      </c>
      <c r="O42" s="2">
        <v>0</v>
      </c>
      <c r="P42" s="2">
        <v>0</v>
      </c>
      <c r="Q42" s="2">
        <v>2011.3608189274501</v>
      </c>
      <c r="R42" s="2">
        <v>38215.855559621501</v>
      </c>
      <c r="T42" s="3">
        <f t="shared" si="0"/>
        <v>38215.855559621523</v>
      </c>
    </row>
    <row r="43" spans="1:20" x14ac:dyDescent="0.25">
      <c r="A43" t="s">
        <v>0</v>
      </c>
      <c r="B43" s="4"/>
      <c r="C43" s="4" t="s">
        <v>32</v>
      </c>
      <c r="D43" s="130" t="s">
        <v>31</v>
      </c>
      <c r="E43" s="4" t="s">
        <v>3</v>
      </c>
      <c r="F43" s="131" t="s">
        <v>135</v>
      </c>
      <c r="G43" s="4" t="s">
        <v>33</v>
      </c>
      <c r="H43" s="131" t="s">
        <v>4</v>
      </c>
      <c r="I43" s="118"/>
      <c r="J43" s="118"/>
      <c r="K43" s="2"/>
      <c r="L43" s="2"/>
      <c r="P43" s="2"/>
      <c r="Q43" s="2"/>
      <c r="R43" s="2"/>
      <c r="T43" s="3"/>
    </row>
    <row r="44" spans="1:20" ht="30" x14ac:dyDescent="0.25">
      <c r="A44" t="s">
        <v>0</v>
      </c>
      <c r="B44" s="4"/>
      <c r="C44" s="4" t="s">
        <v>32</v>
      </c>
      <c r="D44" s="130" t="s">
        <v>31</v>
      </c>
      <c r="E44" s="4" t="s">
        <v>5</v>
      </c>
      <c r="F44" s="131" t="s">
        <v>135</v>
      </c>
      <c r="G44" s="4" t="s">
        <v>33</v>
      </c>
      <c r="H44" s="131" t="s">
        <v>6</v>
      </c>
      <c r="I44" s="118"/>
      <c r="J44" s="118"/>
      <c r="K44" s="2"/>
      <c r="L44" s="2"/>
      <c r="P44" s="2"/>
      <c r="Q44" s="2"/>
      <c r="R44" s="2"/>
      <c r="T44" s="3"/>
    </row>
    <row r="45" spans="1:20" x14ac:dyDescent="0.25">
      <c r="A45" t="s">
        <v>0</v>
      </c>
      <c r="B45" t="s">
        <v>12</v>
      </c>
      <c r="C45" t="s">
        <v>21</v>
      </c>
      <c r="D45" s="102" t="s">
        <v>34</v>
      </c>
      <c r="E45" t="s">
        <v>3</v>
      </c>
      <c r="F45" t="s">
        <v>74</v>
      </c>
      <c r="G45" t="s">
        <v>35</v>
      </c>
      <c r="H45" t="s">
        <v>4</v>
      </c>
      <c r="I45" s="2">
        <v>209.08699266184399</v>
      </c>
      <c r="J45" s="2">
        <v>3264377.7495643999</v>
      </c>
      <c r="K45" s="2">
        <v>3264377.7495643999</v>
      </c>
      <c r="L45" s="2">
        <v>130575.109982576</v>
      </c>
      <c r="M45" s="2">
        <v>0</v>
      </c>
      <c r="N45" s="2">
        <v>166652.12281312401</v>
      </c>
      <c r="O45" s="2">
        <v>0</v>
      </c>
      <c r="P45" s="2">
        <v>166652.12281312401</v>
      </c>
      <c r="Q45" s="2">
        <v>156690.13197909101</v>
      </c>
      <c r="R45" s="2">
        <v>2810460.3847896098</v>
      </c>
      <c r="T45" s="3">
        <f t="shared" ref="T45:T58" si="1">+J45-L45-P45-Q45-S45</f>
        <v>2810460.3847896084</v>
      </c>
    </row>
    <row r="46" spans="1:20" x14ac:dyDescent="0.25">
      <c r="A46" t="s">
        <v>0</v>
      </c>
      <c r="B46" t="s">
        <v>12</v>
      </c>
      <c r="C46" t="s">
        <v>21</v>
      </c>
      <c r="D46" s="102" t="s">
        <v>34</v>
      </c>
      <c r="E46" t="s">
        <v>5</v>
      </c>
      <c r="F46" t="s">
        <v>74</v>
      </c>
      <c r="G46" t="s">
        <v>35</v>
      </c>
      <c r="H46" t="s">
        <v>6</v>
      </c>
      <c r="I46" s="2">
        <v>204.69038381721001</v>
      </c>
      <c r="J46" s="2">
        <v>5383752.0949736498</v>
      </c>
      <c r="K46" s="2">
        <v>3015159.12714381</v>
      </c>
      <c r="L46" s="2">
        <v>120606.365085753</v>
      </c>
      <c r="M46" s="2">
        <v>0</v>
      </c>
      <c r="N46" s="2">
        <v>200989.38909360499</v>
      </c>
      <c r="O46" s="2">
        <v>1087646.4375034701</v>
      </c>
      <c r="P46" s="2">
        <v>1288635.8265970801</v>
      </c>
      <c r="Q46" s="2">
        <v>263157.286494395</v>
      </c>
      <c r="R46" s="2">
        <v>3711352.61679642</v>
      </c>
      <c r="T46" s="3">
        <f t="shared" si="1"/>
        <v>3711352.6167964218</v>
      </c>
    </row>
    <row r="47" spans="1:20" x14ac:dyDescent="0.25">
      <c r="A47" t="s">
        <v>0</v>
      </c>
      <c r="B47" t="s">
        <v>80</v>
      </c>
      <c r="C47" t="s">
        <v>23</v>
      </c>
      <c r="D47" s="102" t="s">
        <v>157</v>
      </c>
      <c r="E47" t="s">
        <v>3</v>
      </c>
      <c r="F47" t="s">
        <v>81</v>
      </c>
      <c r="G47" t="s">
        <v>43</v>
      </c>
      <c r="H47" t="s">
        <v>4</v>
      </c>
      <c r="I47" s="2">
        <v>73.151185766722094</v>
      </c>
      <c r="J47" s="2">
        <v>1714185.0876569799</v>
      </c>
      <c r="K47" s="2">
        <v>1714185.0876569799</v>
      </c>
      <c r="L47" s="2">
        <v>68567.403506279094</v>
      </c>
      <c r="M47" s="2">
        <v>0</v>
      </c>
      <c r="N47" s="2">
        <v>82386.100235465099</v>
      </c>
      <c r="O47" s="2">
        <v>0</v>
      </c>
      <c r="P47" s="2">
        <v>82386.100235465099</v>
      </c>
      <c r="Q47" s="2">
        <v>82280.884207534895</v>
      </c>
      <c r="R47" s="2">
        <v>1480950.6997076999</v>
      </c>
      <c r="T47" s="3">
        <f t="shared" si="1"/>
        <v>1480950.6997077011</v>
      </c>
    </row>
    <row r="48" spans="1:20" x14ac:dyDescent="0.25">
      <c r="A48" t="s">
        <v>0</v>
      </c>
      <c r="B48" t="s">
        <v>80</v>
      </c>
      <c r="C48" t="s">
        <v>23</v>
      </c>
      <c r="D48" s="102" t="s">
        <v>157</v>
      </c>
      <c r="E48" t="s">
        <v>5</v>
      </c>
      <c r="F48" t="s">
        <v>81</v>
      </c>
      <c r="G48" t="s">
        <v>43</v>
      </c>
      <c r="H48" t="s">
        <v>6</v>
      </c>
      <c r="I48" s="2">
        <v>19.325209600045302</v>
      </c>
      <c r="J48" s="2">
        <v>816460.40322599397</v>
      </c>
      <c r="K48" s="2">
        <v>456190.72801992501</v>
      </c>
      <c r="L48" s="2">
        <v>18247.629120796999</v>
      </c>
      <c r="M48" s="2">
        <v>88930.104640346806</v>
      </c>
      <c r="N48" s="2">
        <v>24658.010272436401</v>
      </c>
      <c r="O48" s="2">
        <v>150230.14318525599</v>
      </c>
      <c r="P48" s="2">
        <v>263818.25809803902</v>
      </c>
      <c r="Q48" s="2">
        <v>35464.133473242502</v>
      </c>
      <c r="R48" s="2">
        <v>498930.38253391499</v>
      </c>
      <c r="T48" s="3">
        <f t="shared" si="1"/>
        <v>498930.38253391546</v>
      </c>
    </row>
    <row r="49" spans="1:20" x14ac:dyDescent="0.25">
      <c r="A49" t="s">
        <v>0</v>
      </c>
      <c r="B49" t="s">
        <v>32</v>
      </c>
      <c r="C49" t="s">
        <v>44</v>
      </c>
      <c r="D49" s="102" t="s">
        <v>158</v>
      </c>
      <c r="E49" t="s">
        <v>3</v>
      </c>
      <c r="F49" t="s">
        <v>82</v>
      </c>
      <c r="G49" t="s">
        <v>45</v>
      </c>
      <c r="H49" t="s">
        <v>4</v>
      </c>
      <c r="I49" s="2">
        <v>550.39808841054298</v>
      </c>
      <c r="J49" s="2">
        <v>9644914.9064729698</v>
      </c>
      <c r="K49" s="2">
        <v>9644914.9064729698</v>
      </c>
      <c r="L49" s="2">
        <v>385796.59625891899</v>
      </c>
      <c r="M49" s="2">
        <v>901526.90848473995</v>
      </c>
      <c r="N49" s="2">
        <v>31242.641615161501</v>
      </c>
      <c r="O49" s="2">
        <v>0</v>
      </c>
      <c r="P49" s="2">
        <v>932769.55009990104</v>
      </c>
      <c r="Q49" s="2">
        <v>417879.57008646597</v>
      </c>
      <c r="R49" s="2">
        <v>7908469.1900276896</v>
      </c>
      <c r="T49" s="3">
        <f t="shared" si="1"/>
        <v>7908469.190027683</v>
      </c>
    </row>
    <row r="50" spans="1:20" x14ac:dyDescent="0.25">
      <c r="A50" t="s">
        <v>0</v>
      </c>
      <c r="B50" t="s">
        <v>32</v>
      </c>
      <c r="C50" t="s">
        <v>44</v>
      </c>
      <c r="D50" s="102" t="s">
        <v>158</v>
      </c>
      <c r="E50" t="s">
        <v>5</v>
      </c>
      <c r="F50" t="s">
        <v>82</v>
      </c>
      <c r="G50" t="s">
        <v>45</v>
      </c>
      <c r="H50" t="s">
        <v>6</v>
      </c>
      <c r="I50" s="2">
        <v>90.468096766357206</v>
      </c>
      <c r="J50" s="2">
        <v>2906255.78538534</v>
      </c>
      <c r="K50" s="2">
        <v>1619063.9805039701</v>
      </c>
      <c r="L50" s="2">
        <v>64762.559220158801</v>
      </c>
      <c r="M50" s="2">
        <v>334268.99318554602</v>
      </c>
      <c r="N50" s="2">
        <v>0</v>
      </c>
      <c r="O50" s="2">
        <v>390817.941120559</v>
      </c>
      <c r="P50" s="2">
        <v>725086.93430610502</v>
      </c>
      <c r="Q50" s="2">
        <v>125361.211648982</v>
      </c>
      <c r="R50" s="2">
        <v>1991045.0802100899</v>
      </c>
      <c r="T50" s="3">
        <f t="shared" si="1"/>
        <v>1991045.0802100939</v>
      </c>
    </row>
    <row r="51" spans="1:20" x14ac:dyDescent="0.25">
      <c r="A51" t="s">
        <v>0</v>
      </c>
      <c r="B51" t="s">
        <v>15</v>
      </c>
      <c r="C51" t="s">
        <v>26</v>
      </c>
      <c r="D51" s="102" t="s">
        <v>156</v>
      </c>
      <c r="E51" t="s">
        <v>3</v>
      </c>
      <c r="F51" t="s">
        <v>75</v>
      </c>
      <c r="G51" t="s">
        <v>36</v>
      </c>
      <c r="H51" t="s">
        <v>4</v>
      </c>
      <c r="I51" s="2">
        <v>52.228318999930899</v>
      </c>
      <c r="J51" s="2">
        <v>950068.87973862898</v>
      </c>
      <c r="K51" s="2">
        <v>950068.87973862898</v>
      </c>
      <c r="L51" s="2">
        <v>38002.755189545198</v>
      </c>
      <c r="M51" s="2">
        <v>0</v>
      </c>
      <c r="N51" s="2">
        <v>83422.767587987095</v>
      </c>
      <c r="O51" s="2">
        <v>0</v>
      </c>
      <c r="P51" s="2">
        <v>83422.767587987095</v>
      </c>
      <c r="Q51" s="2">
        <v>45603.306227454203</v>
      </c>
      <c r="R51" s="2">
        <v>783040.05073364195</v>
      </c>
      <c r="T51" s="3">
        <f t="shared" si="1"/>
        <v>783040.05073364242</v>
      </c>
    </row>
    <row r="52" spans="1:20" x14ac:dyDescent="0.25">
      <c r="A52" t="s">
        <v>0</v>
      </c>
      <c r="B52" t="s">
        <v>15</v>
      </c>
      <c r="C52" t="s">
        <v>26</v>
      </c>
      <c r="D52" s="102" t="s">
        <v>156</v>
      </c>
      <c r="E52" t="s">
        <v>5</v>
      </c>
      <c r="F52" t="s">
        <v>75</v>
      </c>
      <c r="G52" t="s">
        <v>36</v>
      </c>
      <c r="H52" t="s">
        <v>6</v>
      </c>
      <c r="I52" s="2">
        <v>111.262124533245</v>
      </c>
      <c r="J52" s="2">
        <v>2944768.5859476002</v>
      </c>
      <c r="K52" s="2">
        <v>2009532.29612746</v>
      </c>
      <c r="L52" s="2">
        <v>80381.291845098298</v>
      </c>
      <c r="M52" s="2">
        <v>0</v>
      </c>
      <c r="N52" s="2">
        <v>63313.600575763099</v>
      </c>
      <c r="O52" s="2">
        <v>345895.39569399302</v>
      </c>
      <c r="P52" s="2">
        <v>409208.99626975699</v>
      </c>
      <c r="Q52" s="2">
        <v>143219.36470512499</v>
      </c>
      <c r="R52" s="2">
        <v>2311958.9331276198</v>
      </c>
      <c r="T52" s="3">
        <f t="shared" si="1"/>
        <v>2311958.9331276203</v>
      </c>
    </row>
    <row r="53" spans="1:20" x14ac:dyDescent="0.25">
      <c r="A53" t="s">
        <v>0</v>
      </c>
      <c r="B53" t="s">
        <v>24</v>
      </c>
      <c r="C53" t="s">
        <v>26</v>
      </c>
      <c r="D53" s="102" t="s">
        <v>156</v>
      </c>
      <c r="E53" t="s">
        <v>3</v>
      </c>
      <c r="F53" t="s">
        <v>76</v>
      </c>
      <c r="G53" t="s">
        <v>36</v>
      </c>
      <c r="H53" t="s">
        <v>4</v>
      </c>
      <c r="I53" s="2">
        <v>64.860953732009705</v>
      </c>
      <c r="J53" s="2">
        <v>1241450.91686614</v>
      </c>
      <c r="K53" s="2">
        <v>1241450.91686614</v>
      </c>
      <c r="L53" s="2">
        <v>49658.0366746457</v>
      </c>
      <c r="M53" s="2">
        <v>0</v>
      </c>
      <c r="N53" s="2">
        <v>218670.25289073901</v>
      </c>
      <c r="O53" s="2">
        <v>0</v>
      </c>
      <c r="P53" s="2">
        <v>218670.25289073901</v>
      </c>
      <c r="Q53" s="2">
        <v>59589.644009574797</v>
      </c>
      <c r="R53" s="2">
        <v>913532.98329118302</v>
      </c>
      <c r="T53" s="3">
        <f t="shared" si="1"/>
        <v>913532.98329118046</v>
      </c>
    </row>
    <row r="54" spans="1:20" x14ac:dyDescent="0.25">
      <c r="A54" t="s">
        <v>0</v>
      </c>
      <c r="B54" t="s">
        <v>24</v>
      </c>
      <c r="C54" t="s">
        <v>26</v>
      </c>
      <c r="D54" s="102" t="s">
        <v>156</v>
      </c>
      <c r="E54" t="s">
        <v>5</v>
      </c>
      <c r="F54" t="s">
        <v>76</v>
      </c>
      <c r="G54" t="s">
        <v>36</v>
      </c>
      <c r="H54" t="s">
        <v>6</v>
      </c>
      <c r="I54" s="2">
        <v>131.94877079724799</v>
      </c>
      <c r="J54" s="2">
        <v>3601379.7829145999</v>
      </c>
      <c r="K54" s="2">
        <v>2457498.8116463101</v>
      </c>
      <c r="L54" s="2">
        <v>98299.952465852199</v>
      </c>
      <c r="M54" s="2">
        <v>0</v>
      </c>
      <c r="N54" s="2">
        <v>293161.71825070598</v>
      </c>
      <c r="O54" s="2">
        <v>392413.62469490798</v>
      </c>
      <c r="P54" s="2">
        <v>685575.34294561401</v>
      </c>
      <c r="Q54" s="2">
        <v>175153.99152243699</v>
      </c>
      <c r="R54" s="2">
        <v>2642350.4959806898</v>
      </c>
      <c r="T54" s="3">
        <f t="shared" si="1"/>
        <v>2642350.4959806968</v>
      </c>
    </row>
    <row r="55" spans="1:20" x14ac:dyDescent="0.25">
      <c r="A55" t="s">
        <v>0</v>
      </c>
      <c r="B55" t="s">
        <v>29</v>
      </c>
      <c r="C55" t="s">
        <v>38</v>
      </c>
      <c r="D55" s="102" t="s">
        <v>37</v>
      </c>
      <c r="E55" t="s">
        <v>3</v>
      </c>
      <c r="F55" t="s">
        <v>39</v>
      </c>
      <c r="G55" t="s">
        <v>39</v>
      </c>
      <c r="H55" t="s">
        <v>4</v>
      </c>
      <c r="I55" s="2">
        <v>498.99942999830103</v>
      </c>
      <c r="J55" s="2">
        <v>9684814.9957989994</v>
      </c>
      <c r="K55" s="2">
        <v>9684814.9957989994</v>
      </c>
      <c r="L55" s="2">
        <v>387392.59983195999</v>
      </c>
      <c r="M55" s="2">
        <v>71329.588878394294</v>
      </c>
      <c r="N55" s="2">
        <v>114044.868944241</v>
      </c>
      <c r="O55" s="2">
        <v>0</v>
      </c>
      <c r="P55" s="2">
        <v>185374.457822636</v>
      </c>
      <c r="Q55" s="2">
        <v>461304.64035443199</v>
      </c>
      <c r="R55" s="2">
        <v>8650743.2977899704</v>
      </c>
      <c r="T55" s="3">
        <f t="shared" si="1"/>
        <v>8650743.2977899723</v>
      </c>
    </row>
    <row r="56" spans="1:20" x14ac:dyDescent="0.25">
      <c r="A56" t="s">
        <v>0</v>
      </c>
      <c r="B56" t="s">
        <v>29</v>
      </c>
      <c r="C56" t="s">
        <v>38</v>
      </c>
      <c r="D56" s="102" t="s">
        <v>37</v>
      </c>
      <c r="E56" t="s">
        <v>5</v>
      </c>
      <c r="F56" t="s">
        <v>39</v>
      </c>
      <c r="G56" t="s">
        <v>39</v>
      </c>
      <c r="H56" t="s">
        <v>6</v>
      </c>
      <c r="I56" s="2">
        <v>226.83927893269299</v>
      </c>
      <c r="J56" s="2">
        <v>6212219.2826546598</v>
      </c>
      <c r="K56" s="2">
        <v>4365874.6869029701</v>
      </c>
      <c r="L56" s="2">
        <v>174634.98747611899</v>
      </c>
      <c r="M56" s="2">
        <v>37409.861820415797</v>
      </c>
      <c r="N56" s="2">
        <v>19833.373042640302</v>
      </c>
      <c r="O56" s="2">
        <v>247493.71868245001</v>
      </c>
      <c r="P56" s="2">
        <v>304736.953545506</v>
      </c>
      <c r="Q56" s="2">
        <v>300008.72166790598</v>
      </c>
      <c r="R56" s="2">
        <v>5432838.6199651202</v>
      </c>
      <c r="T56" s="3">
        <f t="shared" si="1"/>
        <v>5432838.6199651286</v>
      </c>
    </row>
    <row r="57" spans="1:20" x14ac:dyDescent="0.25">
      <c r="A57" t="s">
        <v>0</v>
      </c>
      <c r="B57" t="s">
        <v>77</v>
      </c>
      <c r="C57" t="s">
        <v>41</v>
      </c>
      <c r="D57" s="102" t="s">
        <v>40</v>
      </c>
      <c r="E57" t="s">
        <v>3</v>
      </c>
      <c r="F57" t="s">
        <v>78</v>
      </c>
      <c r="G57" t="s">
        <v>42</v>
      </c>
      <c r="H57" t="s">
        <v>4</v>
      </c>
      <c r="I57" s="2">
        <v>17.488931866648599</v>
      </c>
      <c r="J57" s="2">
        <v>247498.02465893899</v>
      </c>
      <c r="K57" s="2">
        <v>247498.02465893899</v>
      </c>
      <c r="L57" s="2">
        <v>9899.9209863575797</v>
      </c>
      <c r="M57" s="2">
        <v>0</v>
      </c>
      <c r="N57" s="2">
        <v>8535.3860086112709</v>
      </c>
      <c r="O57" s="2">
        <v>0</v>
      </c>
      <c r="P57" s="2">
        <v>8535.3860086112709</v>
      </c>
      <c r="Q57" s="2">
        <v>11879.9051836291</v>
      </c>
      <c r="R57" s="2">
        <v>217182.812480341</v>
      </c>
      <c r="T57" s="3">
        <f t="shared" si="1"/>
        <v>217182.81248034103</v>
      </c>
    </row>
    <row r="58" spans="1:20" x14ac:dyDescent="0.25">
      <c r="A58" t="s">
        <v>0</v>
      </c>
      <c r="B58" t="s">
        <v>77</v>
      </c>
      <c r="C58" t="s">
        <v>41</v>
      </c>
      <c r="D58" s="102" t="s">
        <v>40</v>
      </c>
      <c r="E58" t="s">
        <v>5</v>
      </c>
      <c r="F58" t="s">
        <v>78</v>
      </c>
      <c r="G58" t="s">
        <v>42</v>
      </c>
      <c r="H58" t="s">
        <v>6</v>
      </c>
      <c r="I58" s="2">
        <v>57.844972177701997</v>
      </c>
      <c r="J58" s="2">
        <v>1409448.4892186599</v>
      </c>
      <c r="K58" s="2">
        <v>776904.47703702201</v>
      </c>
      <c r="L58" s="2">
        <v>31076.179081480899</v>
      </c>
      <c r="M58" s="2">
        <v>110843.567731246</v>
      </c>
      <c r="N58" s="2">
        <v>0</v>
      </c>
      <c r="O58" s="2">
        <v>10946.708263677199</v>
      </c>
      <c r="P58" s="2">
        <v>121790.275994924</v>
      </c>
      <c r="Q58" s="2">
        <v>63376.437120296599</v>
      </c>
      <c r="R58" s="2">
        <v>1193205.59702196</v>
      </c>
      <c r="T58" s="3">
        <f t="shared" si="1"/>
        <v>1193205.5970219586</v>
      </c>
    </row>
    <row r="59" spans="1:20" x14ac:dyDescent="0.25">
      <c r="A59" t="s">
        <v>0</v>
      </c>
      <c r="B59" t="s">
        <v>40</v>
      </c>
      <c r="C59" t="s">
        <v>41</v>
      </c>
      <c r="D59" s="102" t="s">
        <v>40</v>
      </c>
      <c r="E59" t="s">
        <v>3</v>
      </c>
      <c r="F59" t="s">
        <v>79</v>
      </c>
      <c r="G59" t="s">
        <v>42</v>
      </c>
      <c r="H59" t="s">
        <v>4</v>
      </c>
      <c r="I59" s="2"/>
      <c r="J59" s="2"/>
      <c r="K59" s="2"/>
      <c r="L59" s="2"/>
      <c r="P59" s="2"/>
      <c r="Q59" s="2"/>
      <c r="R59" s="2"/>
      <c r="T59" s="3"/>
    </row>
    <row r="60" spans="1:20" x14ac:dyDescent="0.25">
      <c r="A60" t="s">
        <v>0</v>
      </c>
      <c r="B60" t="s">
        <v>40</v>
      </c>
      <c r="C60" t="s">
        <v>41</v>
      </c>
      <c r="D60" s="102" t="s">
        <v>40</v>
      </c>
      <c r="E60" t="s">
        <v>5</v>
      </c>
      <c r="F60" t="s">
        <v>79</v>
      </c>
      <c r="G60" t="s">
        <v>42</v>
      </c>
      <c r="H60" t="s">
        <v>6</v>
      </c>
      <c r="I60" s="2">
        <v>15.7274893666702</v>
      </c>
      <c r="J60" s="2">
        <v>508733.32822096703</v>
      </c>
      <c r="K60" s="2">
        <v>262570.41671089898</v>
      </c>
      <c r="L60" s="2">
        <v>10502.8166684359</v>
      </c>
      <c r="M60" s="2">
        <v>0</v>
      </c>
      <c r="N60" s="2">
        <v>0</v>
      </c>
      <c r="O60" s="2">
        <v>5899.72354535454</v>
      </c>
      <c r="P60" s="2">
        <v>5899.72354535454</v>
      </c>
      <c r="Q60" s="2">
        <v>24911.5255776265</v>
      </c>
      <c r="R60" s="2">
        <v>467419.26242955</v>
      </c>
      <c r="T60" s="3">
        <f t="shared" ref="T60:T88" si="2">+J60-L60-P60-Q60-S60</f>
        <v>467419.26242955012</v>
      </c>
    </row>
    <row r="61" spans="1:20" x14ac:dyDescent="0.25">
      <c r="A61" t="s">
        <v>0</v>
      </c>
      <c r="B61" t="s">
        <v>20</v>
      </c>
      <c r="C61" t="s">
        <v>28</v>
      </c>
      <c r="D61" s="102" t="s">
        <v>159</v>
      </c>
      <c r="E61" t="s">
        <v>3</v>
      </c>
      <c r="F61" t="s">
        <v>83</v>
      </c>
      <c r="G61" t="s">
        <v>46</v>
      </c>
      <c r="H61" t="s">
        <v>4</v>
      </c>
      <c r="I61" s="2">
        <v>868.91287832959404</v>
      </c>
      <c r="J61" s="2">
        <v>13979079.727414001</v>
      </c>
      <c r="K61" s="2">
        <v>13979079.727414001</v>
      </c>
      <c r="L61" s="2">
        <v>559163.18909655896</v>
      </c>
      <c r="M61" s="2">
        <v>0</v>
      </c>
      <c r="N61" s="2">
        <v>31603.966302809698</v>
      </c>
      <c r="O61" s="2">
        <v>0</v>
      </c>
      <c r="P61" s="2">
        <v>31603.966302809698</v>
      </c>
      <c r="Q61" s="2">
        <v>670995.826915871</v>
      </c>
      <c r="R61" s="2">
        <v>12717316.745098701</v>
      </c>
      <c r="T61" s="3">
        <f t="shared" si="2"/>
        <v>12717316.74509876</v>
      </c>
    </row>
    <row r="62" spans="1:20" x14ac:dyDescent="0.25">
      <c r="A62" t="s">
        <v>0</v>
      </c>
      <c r="B62" t="s">
        <v>20</v>
      </c>
      <c r="C62" t="s">
        <v>28</v>
      </c>
      <c r="D62" s="102" t="s">
        <v>159</v>
      </c>
      <c r="E62" t="s">
        <v>5</v>
      </c>
      <c r="F62" t="s">
        <v>83</v>
      </c>
      <c r="G62" t="s">
        <v>46</v>
      </c>
      <c r="H62" t="s">
        <v>6</v>
      </c>
      <c r="I62" s="2">
        <v>581.20044915340702</v>
      </c>
      <c r="J62" s="2">
        <v>17955166.628525</v>
      </c>
      <c r="K62" s="2">
        <v>9106754.4289481305</v>
      </c>
      <c r="L62" s="2">
        <v>364270.17715792498</v>
      </c>
      <c r="M62" s="2">
        <v>0</v>
      </c>
      <c r="N62" s="2">
        <v>31291.107290921602</v>
      </c>
      <c r="O62" s="2">
        <v>8330390.22578834</v>
      </c>
      <c r="P62" s="2">
        <v>8361681.3330792598</v>
      </c>
      <c r="Q62" s="2">
        <v>879544.82256835396</v>
      </c>
      <c r="R62" s="2">
        <v>8349670.2957194597</v>
      </c>
      <c r="T62" s="3">
        <f t="shared" si="2"/>
        <v>8349670.2957194624</v>
      </c>
    </row>
    <row r="63" spans="1:20" x14ac:dyDescent="0.25">
      <c r="A63" t="s">
        <v>0</v>
      </c>
      <c r="B63" t="s">
        <v>44</v>
      </c>
      <c r="C63" t="s">
        <v>47</v>
      </c>
      <c r="D63" s="102" t="s">
        <v>160</v>
      </c>
      <c r="E63" t="s">
        <v>3</v>
      </c>
      <c r="F63" t="s">
        <v>84</v>
      </c>
      <c r="G63" t="s">
        <v>48</v>
      </c>
      <c r="H63" t="s">
        <v>4</v>
      </c>
      <c r="I63" s="2">
        <v>122.61688506647199</v>
      </c>
      <c r="J63" s="2">
        <v>2047942.21278281</v>
      </c>
      <c r="K63" s="2">
        <v>2047942.21278281</v>
      </c>
      <c r="L63" s="2">
        <v>81917.688511312401</v>
      </c>
      <c r="M63" s="2">
        <v>0</v>
      </c>
      <c r="N63" s="2">
        <v>12117.540218084499</v>
      </c>
      <c r="O63" s="2">
        <v>0</v>
      </c>
      <c r="P63" s="2">
        <v>12117.540218084499</v>
      </c>
      <c r="Q63" s="2">
        <v>98301.226213574904</v>
      </c>
      <c r="R63" s="2">
        <v>1855605.7578398399</v>
      </c>
      <c r="T63" s="3">
        <f t="shared" si="2"/>
        <v>1855605.757839838</v>
      </c>
    </row>
    <row r="64" spans="1:20" x14ac:dyDescent="0.25">
      <c r="A64" t="s">
        <v>0</v>
      </c>
      <c r="B64" t="s">
        <v>44</v>
      </c>
      <c r="C64" t="s">
        <v>47</v>
      </c>
      <c r="D64" s="102" t="s">
        <v>160</v>
      </c>
      <c r="E64" t="s">
        <v>5</v>
      </c>
      <c r="F64" t="s">
        <v>84</v>
      </c>
      <c r="G64" t="s">
        <v>48</v>
      </c>
      <c r="H64" t="s">
        <v>6</v>
      </c>
      <c r="I64" s="2">
        <v>16.712520355516599</v>
      </c>
      <c r="J64" s="2">
        <v>441217.38965009799</v>
      </c>
      <c r="K64" s="2">
        <v>280251.27246143803</v>
      </c>
      <c r="L64" s="2">
        <v>11210.050898457501</v>
      </c>
      <c r="M64" s="2">
        <v>0</v>
      </c>
      <c r="N64" s="2">
        <v>0</v>
      </c>
      <c r="O64" s="2">
        <v>45990.31919676</v>
      </c>
      <c r="P64" s="2">
        <v>45990.31919676</v>
      </c>
      <c r="Q64" s="2">
        <v>21500.366937581999</v>
      </c>
      <c r="R64" s="2">
        <v>362516.65261729801</v>
      </c>
      <c r="T64" s="3">
        <f t="shared" si="2"/>
        <v>362516.65261729847</v>
      </c>
    </row>
    <row r="65" spans="1:20" x14ac:dyDescent="0.25">
      <c r="A65" t="s">
        <v>0</v>
      </c>
      <c r="B65" t="s">
        <v>28</v>
      </c>
      <c r="C65" t="s">
        <v>47</v>
      </c>
      <c r="D65" s="102" t="s">
        <v>160</v>
      </c>
      <c r="E65" t="s">
        <v>3</v>
      </c>
      <c r="F65" t="s">
        <v>85</v>
      </c>
      <c r="G65" t="s">
        <v>48</v>
      </c>
      <c r="H65" t="s">
        <v>4</v>
      </c>
      <c r="I65" s="2">
        <v>96.923515032597805</v>
      </c>
      <c r="J65" s="2">
        <v>1538986.15990188</v>
      </c>
      <c r="K65" s="2">
        <v>1538986.15990188</v>
      </c>
      <c r="L65" s="2">
        <v>61559.446396075</v>
      </c>
      <c r="M65" s="2">
        <v>0</v>
      </c>
      <c r="N65" s="2">
        <v>18177.001888604798</v>
      </c>
      <c r="O65" s="2">
        <v>0</v>
      </c>
      <c r="P65" s="2">
        <v>18177.001888604798</v>
      </c>
      <c r="Q65" s="2">
        <v>73871.33567529</v>
      </c>
      <c r="R65" s="2">
        <v>1385378.3759419101</v>
      </c>
      <c r="T65" s="3">
        <f t="shared" si="2"/>
        <v>1385378.3759419101</v>
      </c>
    </row>
    <row r="66" spans="1:20" x14ac:dyDescent="0.25">
      <c r="A66" t="s">
        <v>0</v>
      </c>
      <c r="B66" t="s">
        <v>28</v>
      </c>
      <c r="C66" t="s">
        <v>47</v>
      </c>
      <c r="D66" s="102" t="s">
        <v>160</v>
      </c>
      <c r="E66" t="s">
        <v>5</v>
      </c>
      <c r="F66" t="s">
        <v>85</v>
      </c>
      <c r="G66" t="s">
        <v>48</v>
      </c>
      <c r="H66" t="s">
        <v>6</v>
      </c>
      <c r="I66" s="2">
        <v>31.444462399759701</v>
      </c>
      <c r="J66" s="2">
        <v>777383.01985969604</v>
      </c>
      <c r="K66" s="2">
        <v>493776.05147967697</v>
      </c>
      <c r="L66" s="2">
        <v>19751.042059187101</v>
      </c>
      <c r="M66" s="2">
        <v>0</v>
      </c>
      <c r="N66" s="2">
        <v>0</v>
      </c>
      <c r="O66" s="2">
        <v>68985.478795139905</v>
      </c>
      <c r="P66" s="2">
        <v>68985.478795139905</v>
      </c>
      <c r="Q66" s="2">
        <v>37881.598890025503</v>
      </c>
      <c r="R66" s="2">
        <v>650764.90011534397</v>
      </c>
      <c r="T66" s="3">
        <f t="shared" si="2"/>
        <v>650764.90011534351</v>
      </c>
    </row>
    <row r="67" spans="1:20" x14ac:dyDescent="0.25">
      <c r="A67" t="s">
        <v>0</v>
      </c>
      <c r="B67" t="s">
        <v>86</v>
      </c>
      <c r="C67" t="s">
        <v>47</v>
      </c>
      <c r="D67" s="102" t="s">
        <v>160</v>
      </c>
      <c r="E67" t="s">
        <v>3</v>
      </c>
      <c r="F67" t="s">
        <v>87</v>
      </c>
      <c r="G67" t="s">
        <v>48</v>
      </c>
      <c r="H67" t="s">
        <v>4</v>
      </c>
      <c r="I67" s="2">
        <v>104.81440059637499</v>
      </c>
      <c r="J67" s="2">
        <v>1974940.1402879099</v>
      </c>
      <c r="K67" s="2">
        <v>1974940.1402879099</v>
      </c>
      <c r="L67" s="2">
        <v>78997.605611516294</v>
      </c>
      <c r="M67" s="2">
        <v>0</v>
      </c>
      <c r="N67" s="2">
        <v>0</v>
      </c>
      <c r="O67" s="2">
        <v>0</v>
      </c>
      <c r="P67" s="2">
        <v>0</v>
      </c>
      <c r="Q67" s="2">
        <v>94797.126733819605</v>
      </c>
      <c r="R67" s="2">
        <v>1801145.40794257</v>
      </c>
      <c r="T67" s="3">
        <f t="shared" si="2"/>
        <v>1801145.407942574</v>
      </c>
    </row>
    <row r="68" spans="1:20" x14ac:dyDescent="0.25">
      <c r="A68" t="s">
        <v>0</v>
      </c>
      <c r="B68" t="s">
        <v>86</v>
      </c>
      <c r="C68" t="s">
        <v>47</v>
      </c>
      <c r="D68" s="102" t="s">
        <v>160</v>
      </c>
      <c r="E68" t="s">
        <v>5</v>
      </c>
      <c r="F68" t="s">
        <v>87</v>
      </c>
      <c r="G68" t="s">
        <v>48</v>
      </c>
      <c r="H68" t="s">
        <v>6</v>
      </c>
      <c r="I68" s="2">
        <v>15.4885674661192</v>
      </c>
      <c r="J68" s="2">
        <v>441217.38965009799</v>
      </c>
      <c r="K68" s="2">
        <v>280209.54977683799</v>
      </c>
      <c r="L68" s="2">
        <v>11208.3819910735</v>
      </c>
      <c r="M68" s="2">
        <v>0</v>
      </c>
      <c r="N68" s="2">
        <v>0</v>
      </c>
      <c r="O68" s="2">
        <v>69003.359945682998</v>
      </c>
      <c r="P68" s="2">
        <v>69003.359945682998</v>
      </c>
      <c r="Q68" s="2">
        <v>21500.4503829512</v>
      </c>
      <c r="R68" s="2">
        <v>339505.19733038999</v>
      </c>
      <c r="T68" s="3">
        <f t="shared" si="2"/>
        <v>339505.19733039034</v>
      </c>
    </row>
    <row r="69" spans="1:20" x14ac:dyDescent="0.25">
      <c r="A69" t="s">
        <v>0</v>
      </c>
      <c r="B69" t="s">
        <v>88</v>
      </c>
      <c r="C69" t="s">
        <v>47</v>
      </c>
      <c r="D69" s="102" t="s">
        <v>160</v>
      </c>
      <c r="E69" t="s">
        <v>3</v>
      </c>
      <c r="F69" t="s">
        <v>89</v>
      </c>
      <c r="G69" t="s">
        <v>48</v>
      </c>
      <c r="H69" t="s">
        <v>4</v>
      </c>
      <c r="I69" s="2">
        <v>105.238750396523</v>
      </c>
      <c r="J69" s="2">
        <v>2020298.4576447101</v>
      </c>
      <c r="K69" s="2">
        <v>2020298.4576447101</v>
      </c>
      <c r="L69" s="2">
        <v>80811.938305788397</v>
      </c>
      <c r="M69" s="2">
        <v>0</v>
      </c>
      <c r="N69" s="2">
        <v>16800.038294591901</v>
      </c>
      <c r="O69" s="2">
        <v>0</v>
      </c>
      <c r="P69" s="2">
        <v>16800.038294591901</v>
      </c>
      <c r="Q69" s="2">
        <v>96974.325966946097</v>
      </c>
      <c r="R69" s="2">
        <v>1825712.1550773799</v>
      </c>
      <c r="T69" s="3">
        <f t="shared" si="2"/>
        <v>1825712.1550773836</v>
      </c>
    </row>
    <row r="70" spans="1:20" x14ac:dyDescent="0.25">
      <c r="A70" t="s">
        <v>0</v>
      </c>
      <c r="B70" t="s">
        <v>88</v>
      </c>
      <c r="C70" t="s">
        <v>47</v>
      </c>
      <c r="D70" s="102" t="s">
        <v>160</v>
      </c>
      <c r="E70" t="s">
        <v>5</v>
      </c>
      <c r="F70" t="s">
        <v>89</v>
      </c>
      <c r="G70" t="s">
        <v>48</v>
      </c>
      <c r="H70" t="s">
        <v>6</v>
      </c>
      <c r="I70" s="2">
        <v>6.10863759982976</v>
      </c>
      <c r="J70" s="2">
        <v>187476.542106273</v>
      </c>
      <c r="K70" s="2">
        <v>110060.031292271</v>
      </c>
      <c r="L70" s="2">
        <v>4402.4012516908397</v>
      </c>
      <c r="M70" s="2">
        <v>0</v>
      </c>
      <c r="N70" s="2">
        <v>0</v>
      </c>
      <c r="O70" s="2">
        <v>77416.511176729196</v>
      </c>
      <c r="P70" s="2">
        <v>77416.511176729196</v>
      </c>
      <c r="Q70" s="2">
        <v>9153.7070427291201</v>
      </c>
      <c r="R70" s="2">
        <v>96503.922635124196</v>
      </c>
      <c r="T70" s="3">
        <f t="shared" si="2"/>
        <v>96503.922635123847</v>
      </c>
    </row>
    <row r="71" spans="1:20" x14ac:dyDescent="0.25">
      <c r="A71" t="s">
        <v>0</v>
      </c>
      <c r="B71" t="s">
        <v>34</v>
      </c>
      <c r="C71" t="s">
        <v>31</v>
      </c>
      <c r="D71" s="102" t="s">
        <v>161</v>
      </c>
      <c r="E71" t="s">
        <v>3</v>
      </c>
      <c r="F71" t="s">
        <v>90</v>
      </c>
      <c r="G71" t="s">
        <v>49</v>
      </c>
      <c r="H71" t="s">
        <v>4</v>
      </c>
      <c r="I71" s="2">
        <v>7.3063547998941099</v>
      </c>
      <c r="J71" s="2">
        <v>104448.50126759001</v>
      </c>
      <c r="K71" s="2">
        <v>104448.50126759001</v>
      </c>
      <c r="L71" s="2">
        <v>4177.9400507035998</v>
      </c>
      <c r="M71" s="2">
        <v>0</v>
      </c>
      <c r="N71" s="2">
        <v>15024.057411235901</v>
      </c>
      <c r="O71" s="2">
        <v>0</v>
      </c>
      <c r="P71" s="2">
        <v>15024.057411235901</v>
      </c>
      <c r="Q71" s="2">
        <v>5013.52806084432</v>
      </c>
      <c r="R71" s="2">
        <v>80232.975744806099</v>
      </c>
      <c r="T71" s="3">
        <f t="shared" si="2"/>
        <v>80232.975744806186</v>
      </c>
    </row>
    <row r="72" spans="1:20" x14ac:dyDescent="0.25">
      <c r="A72" t="s">
        <v>0</v>
      </c>
      <c r="B72" t="s">
        <v>34</v>
      </c>
      <c r="C72" t="s">
        <v>31</v>
      </c>
      <c r="D72" s="102" t="s">
        <v>161</v>
      </c>
      <c r="E72" t="s">
        <v>5</v>
      </c>
      <c r="F72" t="s">
        <v>90</v>
      </c>
      <c r="G72" t="s">
        <v>49</v>
      </c>
      <c r="H72" t="s">
        <v>6</v>
      </c>
      <c r="I72" s="2">
        <v>9.9321159999111508</v>
      </c>
      <c r="J72" s="2">
        <v>268141.23340233002</v>
      </c>
      <c r="K72" s="2">
        <v>139568.76074446199</v>
      </c>
      <c r="L72" s="2">
        <v>5582.7504297784899</v>
      </c>
      <c r="M72" s="2">
        <v>52547.366573437597</v>
      </c>
      <c r="N72" s="2">
        <v>0</v>
      </c>
      <c r="O72" s="2">
        <v>20737.646379316298</v>
      </c>
      <c r="P72" s="2">
        <v>73285.012952753896</v>
      </c>
      <c r="Q72" s="2">
        <v>10500.5558199557</v>
      </c>
      <c r="R72" s="2">
        <v>178772.91419984101</v>
      </c>
      <c r="T72" s="3">
        <f t="shared" si="2"/>
        <v>178772.91419984194</v>
      </c>
    </row>
    <row r="73" spans="1:20" x14ac:dyDescent="0.25">
      <c r="A73" t="s">
        <v>0</v>
      </c>
      <c r="B73" t="s">
        <v>91</v>
      </c>
      <c r="C73" t="s">
        <v>31</v>
      </c>
      <c r="D73" s="102" t="s">
        <v>161</v>
      </c>
      <c r="E73" t="s">
        <v>3</v>
      </c>
      <c r="F73" t="s">
        <v>92</v>
      </c>
      <c r="G73" t="s">
        <v>49</v>
      </c>
      <c r="H73" t="s">
        <v>4</v>
      </c>
      <c r="I73" s="2">
        <v>13.800892399731699</v>
      </c>
      <c r="J73" s="2">
        <v>150181.75091360501</v>
      </c>
      <c r="K73" s="2">
        <v>150181.75091360501</v>
      </c>
      <c r="L73" s="2">
        <v>6007.2700365441997</v>
      </c>
      <c r="M73" s="2">
        <v>0</v>
      </c>
      <c r="N73" s="2">
        <v>0</v>
      </c>
      <c r="O73" s="2">
        <v>0</v>
      </c>
      <c r="P73" s="2">
        <v>0</v>
      </c>
      <c r="Q73" s="2">
        <v>7208.7240438530398</v>
      </c>
      <c r="R73" s="2">
        <v>136965.756833208</v>
      </c>
      <c r="T73" s="3">
        <f t="shared" si="2"/>
        <v>136965.75683320776</v>
      </c>
    </row>
    <row r="74" spans="1:20" x14ac:dyDescent="0.25">
      <c r="A74" t="s">
        <v>0</v>
      </c>
      <c r="B74" t="s">
        <v>91</v>
      </c>
      <c r="C74" t="s">
        <v>31</v>
      </c>
      <c r="D74" s="102" t="s">
        <v>161</v>
      </c>
      <c r="E74" t="s">
        <v>5</v>
      </c>
      <c r="F74" t="s">
        <v>92</v>
      </c>
      <c r="G74" t="s">
        <v>49</v>
      </c>
      <c r="H74" t="s">
        <v>6</v>
      </c>
      <c r="I74" s="2">
        <v>22.148935999631899</v>
      </c>
      <c r="J74" s="2">
        <v>455201.42354800302</v>
      </c>
      <c r="K74" s="2">
        <v>250753.47238308599</v>
      </c>
      <c r="L74" s="2">
        <v>10030.1388953235</v>
      </c>
      <c r="M74" s="2">
        <v>0</v>
      </c>
      <c r="N74" s="2">
        <v>0</v>
      </c>
      <c r="O74" s="2">
        <v>0</v>
      </c>
      <c r="P74" s="2">
        <v>0</v>
      </c>
      <c r="Q74" s="2">
        <v>22258.564232633998</v>
      </c>
      <c r="R74" s="2">
        <v>422912.72042004601</v>
      </c>
      <c r="T74" s="3">
        <f t="shared" si="2"/>
        <v>422912.72042004555</v>
      </c>
    </row>
    <row r="75" spans="1:20" x14ac:dyDescent="0.25">
      <c r="A75" t="s">
        <v>0</v>
      </c>
      <c r="B75" t="s">
        <v>93</v>
      </c>
      <c r="C75" t="s">
        <v>31</v>
      </c>
      <c r="D75" s="102" t="s">
        <v>161</v>
      </c>
      <c r="E75" t="s">
        <v>3</v>
      </c>
      <c r="F75" t="s">
        <v>94</v>
      </c>
      <c r="G75" t="s">
        <v>49</v>
      </c>
      <c r="H75" t="s">
        <v>4</v>
      </c>
      <c r="I75" s="2">
        <v>5.01208879992235</v>
      </c>
      <c r="J75" s="2">
        <v>55058.448780110499</v>
      </c>
      <c r="K75" s="2">
        <v>55058.448780110499</v>
      </c>
      <c r="L75" s="2">
        <v>2202.3379512044198</v>
      </c>
      <c r="M75" s="2">
        <v>0</v>
      </c>
      <c r="N75" s="2">
        <v>0</v>
      </c>
      <c r="O75" s="2">
        <v>0</v>
      </c>
      <c r="P75" s="2">
        <v>0</v>
      </c>
      <c r="Q75" s="2">
        <v>2642.8055414453002</v>
      </c>
      <c r="R75" s="2">
        <v>50213.305287460797</v>
      </c>
      <c r="T75" s="3">
        <f t="shared" si="2"/>
        <v>50213.305287460782</v>
      </c>
    </row>
    <row r="76" spans="1:20" x14ac:dyDescent="0.25">
      <c r="A76" t="s">
        <v>0</v>
      </c>
      <c r="B76" t="s">
        <v>93</v>
      </c>
      <c r="C76" t="s">
        <v>31</v>
      </c>
      <c r="D76" s="102" t="s">
        <v>161</v>
      </c>
      <c r="E76" t="s">
        <v>5</v>
      </c>
      <c r="F76" t="s">
        <v>94</v>
      </c>
      <c r="G76" t="s">
        <v>49</v>
      </c>
      <c r="H76" t="s">
        <v>6</v>
      </c>
      <c r="I76" s="2">
        <v>7.4252879999047998</v>
      </c>
      <c r="J76" s="2">
        <v>136173.43387511</v>
      </c>
      <c r="K76" s="2">
        <v>82497.303629192902</v>
      </c>
      <c r="L76" s="2">
        <v>3299.8921451677202</v>
      </c>
      <c r="M76" s="2">
        <v>0</v>
      </c>
      <c r="N76" s="2">
        <v>16499.460725838599</v>
      </c>
      <c r="O76" s="2">
        <v>0</v>
      </c>
      <c r="P76" s="2">
        <v>16499.460725838599</v>
      </c>
      <c r="Q76" s="2">
        <v>6643.6770864971204</v>
      </c>
      <c r="R76" s="2">
        <v>109730.40391760699</v>
      </c>
      <c r="T76" s="3">
        <f t="shared" si="2"/>
        <v>109730.40391760657</v>
      </c>
    </row>
    <row r="77" spans="1:20" x14ac:dyDescent="0.25">
      <c r="A77" t="s">
        <v>0</v>
      </c>
      <c r="B77" t="s">
        <v>95</v>
      </c>
      <c r="C77" t="s">
        <v>31</v>
      </c>
      <c r="D77" s="102" t="s">
        <v>161</v>
      </c>
      <c r="E77" t="s">
        <v>3</v>
      </c>
      <c r="F77" t="s">
        <v>96</v>
      </c>
      <c r="G77" t="s">
        <v>49</v>
      </c>
      <c r="H77" t="s">
        <v>4</v>
      </c>
      <c r="I77" s="2">
        <v>4.69442119992235</v>
      </c>
      <c r="J77" s="2">
        <v>68992.650156982403</v>
      </c>
      <c r="K77" s="2">
        <v>68992.650156982403</v>
      </c>
      <c r="L77" s="2">
        <v>2759.7060062792998</v>
      </c>
      <c r="M77" s="2">
        <v>0</v>
      </c>
      <c r="N77" s="2">
        <v>0</v>
      </c>
      <c r="O77" s="2">
        <v>0</v>
      </c>
      <c r="P77" s="2">
        <v>0</v>
      </c>
      <c r="Q77" s="2">
        <v>3311.6472075351498</v>
      </c>
      <c r="R77" s="2">
        <v>62921.296943167901</v>
      </c>
      <c r="T77" s="3">
        <f t="shared" si="2"/>
        <v>62921.296943167952</v>
      </c>
    </row>
    <row r="78" spans="1:20" x14ac:dyDescent="0.25">
      <c r="A78" t="s">
        <v>0</v>
      </c>
      <c r="B78" t="s">
        <v>95</v>
      </c>
      <c r="C78" t="s">
        <v>31</v>
      </c>
      <c r="D78" s="102" t="s">
        <v>161</v>
      </c>
      <c r="E78" t="s">
        <v>5</v>
      </c>
      <c r="F78" t="s">
        <v>96</v>
      </c>
      <c r="G78" t="s">
        <v>49</v>
      </c>
      <c r="H78" t="s">
        <v>6</v>
      </c>
      <c r="I78" s="2">
        <v>12.280283999819099</v>
      </c>
      <c r="J78" s="2">
        <v>242512.543243494</v>
      </c>
      <c r="K78" s="2">
        <v>187070.81393992601</v>
      </c>
      <c r="L78" s="2">
        <v>7482.8325575970202</v>
      </c>
      <c r="M78" s="2">
        <v>0</v>
      </c>
      <c r="N78" s="2">
        <v>0</v>
      </c>
      <c r="O78" s="2">
        <v>2370.9790130684601</v>
      </c>
      <c r="P78" s="2">
        <v>2370.9790130684601</v>
      </c>
      <c r="Q78" s="2">
        <v>11751.485534294799</v>
      </c>
      <c r="R78" s="2">
        <v>220907.246138533</v>
      </c>
      <c r="T78" s="3">
        <f t="shared" si="2"/>
        <v>220907.24613853372</v>
      </c>
    </row>
    <row r="79" spans="1:20" x14ac:dyDescent="0.25">
      <c r="A79" t="s">
        <v>3</v>
      </c>
      <c r="B79" t="s">
        <v>1</v>
      </c>
      <c r="C79" t="s">
        <v>1</v>
      </c>
      <c r="D79" t="s">
        <v>1</v>
      </c>
      <c r="E79" t="s">
        <v>3</v>
      </c>
      <c r="F79" t="s">
        <v>2</v>
      </c>
      <c r="G79" t="s">
        <v>2</v>
      </c>
      <c r="H79" t="s">
        <v>4</v>
      </c>
      <c r="I79" s="2">
        <v>3657.7115027608502</v>
      </c>
      <c r="J79" s="2">
        <v>40712530.121877499</v>
      </c>
      <c r="K79" s="2">
        <v>40712530.121877499</v>
      </c>
      <c r="L79" s="2">
        <v>1628501.2048750999</v>
      </c>
      <c r="M79" s="2">
        <v>0</v>
      </c>
      <c r="N79" s="2">
        <v>278852.01820536598</v>
      </c>
      <c r="O79" s="2">
        <v>0</v>
      </c>
      <c r="P79" s="2">
        <v>278852.01820536598</v>
      </c>
      <c r="Q79" s="2">
        <v>1954201.4458501199</v>
      </c>
      <c r="R79" s="2">
        <v>36850975.452946901</v>
      </c>
      <c r="S79" s="2">
        <f>$U$3*I79</f>
        <v>2695733.3775347467</v>
      </c>
      <c r="T79" s="3">
        <f t="shared" si="2"/>
        <v>34155242.075412169</v>
      </c>
    </row>
    <row r="80" spans="1:20" x14ac:dyDescent="0.25">
      <c r="A80" t="s">
        <v>3</v>
      </c>
      <c r="B80" t="s">
        <v>1</v>
      </c>
      <c r="C80" t="s">
        <v>1</v>
      </c>
      <c r="D80" t="s">
        <v>1</v>
      </c>
      <c r="E80" t="s">
        <v>5</v>
      </c>
      <c r="F80" t="s">
        <v>2</v>
      </c>
      <c r="G80" t="s">
        <v>2</v>
      </c>
      <c r="H80" t="s">
        <v>6</v>
      </c>
      <c r="I80" s="2">
        <v>439.06353852868199</v>
      </c>
      <c r="J80" s="2">
        <v>13758986.9475793</v>
      </c>
      <c r="K80" s="2">
        <v>4678958.8501291601</v>
      </c>
      <c r="L80" s="2">
        <v>187158.35400516601</v>
      </c>
      <c r="M80" s="2">
        <v>2319.5019142791298</v>
      </c>
      <c r="N80" s="2">
        <v>1736.2616223472201</v>
      </c>
      <c r="O80" s="2">
        <v>0</v>
      </c>
      <c r="P80" s="2">
        <v>4055.7635366263498</v>
      </c>
      <c r="Q80" s="2">
        <v>678475.45458299504</v>
      </c>
      <c r="R80" s="2">
        <v>12889297.375454601</v>
      </c>
      <c r="T80" s="3">
        <f t="shared" si="2"/>
        <v>12889297.375454513</v>
      </c>
    </row>
    <row r="81" spans="1:20" x14ac:dyDescent="0.25">
      <c r="A81" t="s">
        <v>3</v>
      </c>
      <c r="B81" t="s">
        <v>8</v>
      </c>
      <c r="C81" t="s">
        <v>1</v>
      </c>
      <c r="D81" t="s">
        <v>1</v>
      </c>
      <c r="E81" t="s">
        <v>3</v>
      </c>
      <c r="F81" t="s">
        <v>51</v>
      </c>
      <c r="G81" t="s">
        <v>2</v>
      </c>
      <c r="H81" t="s">
        <v>4</v>
      </c>
      <c r="I81" s="2">
        <v>151.23532319826299</v>
      </c>
      <c r="J81" s="2">
        <v>1804356.41525151</v>
      </c>
      <c r="K81" s="2">
        <v>1804356.41525151</v>
      </c>
      <c r="L81" s="2">
        <v>72174.256610060605</v>
      </c>
      <c r="M81" s="2">
        <v>0</v>
      </c>
      <c r="N81" s="2">
        <v>11200.4827142428</v>
      </c>
      <c r="O81" s="2">
        <v>0</v>
      </c>
      <c r="P81" s="2">
        <v>11200.4827142428</v>
      </c>
      <c r="Q81" s="2">
        <v>86609.1079320727</v>
      </c>
      <c r="R81" s="2">
        <v>1634372.5679951401</v>
      </c>
      <c r="S81" s="2">
        <f>$U$3*I81</f>
        <v>111460.43319711983</v>
      </c>
      <c r="T81" s="3">
        <f t="shared" si="2"/>
        <v>1522912.1347980143</v>
      </c>
    </row>
    <row r="82" spans="1:20" x14ac:dyDescent="0.25">
      <c r="A82" t="s">
        <v>3</v>
      </c>
      <c r="B82" t="s">
        <v>8</v>
      </c>
      <c r="C82" t="s">
        <v>1</v>
      </c>
      <c r="D82" t="s">
        <v>1</v>
      </c>
      <c r="E82" t="s">
        <v>5</v>
      </c>
      <c r="F82" t="s">
        <v>51</v>
      </c>
      <c r="G82" t="s">
        <v>2</v>
      </c>
      <c r="H82" t="s">
        <v>6</v>
      </c>
      <c r="I82" s="2">
        <v>7.1427577332367402</v>
      </c>
      <c r="J82" s="2">
        <v>234757.62861847301</v>
      </c>
      <c r="K82" s="2">
        <v>79823.047743938907</v>
      </c>
      <c r="L82" s="2">
        <v>3192.9219097575601</v>
      </c>
      <c r="M82" s="2">
        <v>0</v>
      </c>
      <c r="N82" s="2">
        <v>0</v>
      </c>
      <c r="O82" s="2">
        <v>0</v>
      </c>
      <c r="P82" s="2">
        <v>0</v>
      </c>
      <c r="Q82" s="2">
        <v>11578.2353354358</v>
      </c>
      <c r="R82" s="2">
        <v>219986.471373279</v>
      </c>
      <c r="T82" s="3">
        <f t="shared" si="2"/>
        <v>219986.47137327964</v>
      </c>
    </row>
    <row r="83" spans="1:20" x14ac:dyDescent="0.25">
      <c r="A83" t="s">
        <v>3</v>
      </c>
      <c r="B83" t="s">
        <v>13</v>
      </c>
      <c r="C83" t="s">
        <v>8</v>
      </c>
      <c r="D83" t="s">
        <v>8</v>
      </c>
      <c r="E83" t="s">
        <v>3</v>
      </c>
      <c r="F83" t="s">
        <v>9</v>
      </c>
      <c r="G83" t="s">
        <v>9</v>
      </c>
      <c r="H83" t="s">
        <v>4</v>
      </c>
      <c r="I83" s="2">
        <v>20.229609700056798</v>
      </c>
      <c r="J83" s="2">
        <v>285393.41133681103</v>
      </c>
      <c r="K83" s="2">
        <v>285393.41133681103</v>
      </c>
      <c r="L83" s="2">
        <v>11415.7364534724</v>
      </c>
      <c r="M83" s="2">
        <v>0</v>
      </c>
      <c r="N83" s="2">
        <v>17761.727298557798</v>
      </c>
      <c r="O83" s="2">
        <v>0</v>
      </c>
      <c r="P83" s="2">
        <v>17761.727298557798</v>
      </c>
      <c r="Q83" s="2">
        <v>13698.8837441669</v>
      </c>
      <c r="R83" s="2">
        <v>242517.06384061399</v>
      </c>
      <c r="T83" s="3">
        <f t="shared" si="2"/>
        <v>242517.06384061393</v>
      </c>
    </row>
    <row r="84" spans="1:20" x14ac:dyDescent="0.25">
      <c r="A84" t="s">
        <v>3</v>
      </c>
      <c r="B84" t="s">
        <v>13</v>
      </c>
      <c r="C84" t="s">
        <v>8</v>
      </c>
      <c r="D84" t="s">
        <v>8</v>
      </c>
      <c r="E84" t="s">
        <v>5</v>
      </c>
      <c r="F84" t="s">
        <v>9</v>
      </c>
      <c r="G84" t="s">
        <v>9</v>
      </c>
      <c r="H84" t="s">
        <v>6</v>
      </c>
      <c r="I84" s="2">
        <v>7.8230947889323001</v>
      </c>
      <c r="J84" s="2">
        <v>193441.447775754</v>
      </c>
      <c r="K84" s="2">
        <v>108492.25490058</v>
      </c>
      <c r="L84" s="2">
        <v>4339.6901960231899</v>
      </c>
      <c r="M84" s="2">
        <v>0</v>
      </c>
      <c r="N84" s="2">
        <v>26038.141176139099</v>
      </c>
      <c r="O84" s="2">
        <v>20387.806290041801</v>
      </c>
      <c r="P84" s="2">
        <v>46425.9474661809</v>
      </c>
      <c r="Q84" s="2">
        <v>9455.0878789865292</v>
      </c>
      <c r="R84" s="2">
        <v>133220.722234563</v>
      </c>
      <c r="T84" s="3">
        <f t="shared" si="2"/>
        <v>133220.72223456341</v>
      </c>
    </row>
    <row r="85" spans="1:20" x14ac:dyDescent="0.25">
      <c r="A85" t="s">
        <v>3</v>
      </c>
      <c r="B85" t="s">
        <v>10</v>
      </c>
      <c r="C85" t="s">
        <v>7</v>
      </c>
      <c r="D85" t="s">
        <v>7</v>
      </c>
      <c r="E85" t="s">
        <v>3</v>
      </c>
      <c r="F85" t="s">
        <v>11</v>
      </c>
      <c r="G85" t="s">
        <v>11</v>
      </c>
      <c r="H85" t="s">
        <v>4</v>
      </c>
      <c r="I85" s="2">
        <v>127.88312023488</v>
      </c>
      <c r="J85" s="2">
        <v>1853951.0869797301</v>
      </c>
      <c r="K85" s="2">
        <v>1853951.0869797301</v>
      </c>
      <c r="L85" s="2">
        <v>74158.043479189204</v>
      </c>
      <c r="M85" s="2">
        <v>0</v>
      </c>
      <c r="N85" s="2">
        <v>10655.7138268082</v>
      </c>
      <c r="O85" s="2">
        <v>0</v>
      </c>
      <c r="P85" s="2">
        <v>10655.7138268082</v>
      </c>
      <c r="Q85" s="2">
        <v>88989.652175027106</v>
      </c>
      <c r="R85" s="2">
        <v>1680147.6774987101</v>
      </c>
      <c r="T85" s="3">
        <f t="shared" si="2"/>
        <v>1680147.6774987055</v>
      </c>
    </row>
    <row r="86" spans="1:20" x14ac:dyDescent="0.25">
      <c r="A86" t="s">
        <v>3</v>
      </c>
      <c r="B86" t="s">
        <v>10</v>
      </c>
      <c r="C86" t="s">
        <v>7</v>
      </c>
      <c r="D86" t="s">
        <v>7</v>
      </c>
      <c r="E86" t="s">
        <v>5</v>
      </c>
      <c r="F86" t="s">
        <v>11</v>
      </c>
      <c r="G86" t="s">
        <v>11</v>
      </c>
      <c r="H86" t="s">
        <v>6</v>
      </c>
      <c r="I86" s="2">
        <v>9.8207870223449802</v>
      </c>
      <c r="J86" s="2">
        <v>253963.200185811</v>
      </c>
      <c r="K86" s="2">
        <v>142998.69630812199</v>
      </c>
      <c r="L86" s="2">
        <v>5719.9478523248699</v>
      </c>
      <c r="M86" s="2">
        <v>0</v>
      </c>
      <c r="N86" s="2">
        <v>0</v>
      </c>
      <c r="O86" s="2">
        <v>0</v>
      </c>
      <c r="P86" s="2">
        <v>0</v>
      </c>
      <c r="Q86" s="2">
        <v>12412.162616674301</v>
      </c>
      <c r="R86" s="2">
        <v>235831.089716811</v>
      </c>
      <c r="T86" s="3">
        <f t="shared" si="2"/>
        <v>235831.08971681184</v>
      </c>
    </row>
    <row r="87" spans="1:20" x14ac:dyDescent="0.25">
      <c r="A87" t="s">
        <v>3</v>
      </c>
      <c r="B87" t="s">
        <v>7</v>
      </c>
      <c r="C87" t="s">
        <v>13</v>
      </c>
      <c r="D87" t="s">
        <v>13</v>
      </c>
      <c r="E87" t="s">
        <v>3</v>
      </c>
      <c r="F87" t="s">
        <v>52</v>
      </c>
      <c r="G87" t="s">
        <v>14</v>
      </c>
      <c r="H87" t="s">
        <v>4</v>
      </c>
      <c r="I87" s="2">
        <v>0.1795659555578</v>
      </c>
      <c r="J87" s="2">
        <v>3185.9313366546598</v>
      </c>
      <c r="K87" s="2">
        <v>3185.9313366546598</v>
      </c>
      <c r="L87" s="2">
        <v>127.43725346618599</v>
      </c>
      <c r="M87" s="2">
        <v>0</v>
      </c>
      <c r="N87" s="2">
        <v>0</v>
      </c>
      <c r="O87" s="2">
        <v>0</v>
      </c>
      <c r="P87" s="2">
        <v>0</v>
      </c>
      <c r="Q87" s="2">
        <v>152.92470415942299</v>
      </c>
      <c r="R87" s="2">
        <v>2905.5693790290502</v>
      </c>
      <c r="T87" s="3">
        <f t="shared" si="2"/>
        <v>2905.5693790290507</v>
      </c>
    </row>
    <row r="88" spans="1:20" x14ac:dyDescent="0.25">
      <c r="A88" t="s">
        <v>3</v>
      </c>
      <c r="B88" t="s">
        <v>7</v>
      </c>
      <c r="C88" t="s">
        <v>13</v>
      </c>
      <c r="D88" t="s">
        <v>13</v>
      </c>
      <c r="E88" t="s">
        <v>5</v>
      </c>
      <c r="F88" t="s">
        <v>52</v>
      </c>
      <c r="G88" t="s">
        <v>14</v>
      </c>
      <c r="H88" t="s">
        <v>6</v>
      </c>
      <c r="I88" s="2">
        <v>0.65555555556</v>
      </c>
      <c r="J88" s="2">
        <v>20058.428307990402</v>
      </c>
      <c r="K88" s="2">
        <v>11312.927402167499</v>
      </c>
      <c r="L88" s="2">
        <v>452.51709608670001</v>
      </c>
      <c r="M88" s="2">
        <v>0</v>
      </c>
      <c r="N88" s="2">
        <v>0</v>
      </c>
      <c r="O88" s="2">
        <v>0</v>
      </c>
      <c r="P88" s="2">
        <v>0</v>
      </c>
      <c r="Q88" s="2">
        <v>980.29556059518302</v>
      </c>
      <c r="R88" s="2">
        <v>18625.615651308501</v>
      </c>
      <c r="T88" s="3">
        <f t="shared" si="2"/>
        <v>18625.615651308519</v>
      </c>
    </row>
    <row r="89" spans="1:20" x14ac:dyDescent="0.25">
      <c r="A89" s="102" t="s">
        <v>3</v>
      </c>
      <c r="B89" t="s">
        <v>16</v>
      </c>
      <c r="C89" t="s">
        <v>13</v>
      </c>
      <c r="D89" t="s">
        <v>13</v>
      </c>
      <c r="E89" t="s">
        <v>3</v>
      </c>
      <c r="F89" t="s">
        <v>14</v>
      </c>
      <c r="G89" t="s">
        <v>14</v>
      </c>
      <c r="H89" t="s">
        <v>4</v>
      </c>
      <c r="I89" s="2"/>
      <c r="J89" s="2"/>
      <c r="K89" s="2"/>
      <c r="L89" s="2"/>
      <c r="P89" s="2"/>
      <c r="Q89" s="2"/>
      <c r="R89" s="2"/>
      <c r="T89" s="3"/>
    </row>
    <row r="90" spans="1:20" x14ac:dyDescent="0.25">
      <c r="A90" s="102" t="s">
        <v>3</v>
      </c>
      <c r="B90" t="s">
        <v>16</v>
      </c>
      <c r="C90" t="s">
        <v>13</v>
      </c>
      <c r="D90" t="s">
        <v>13</v>
      </c>
      <c r="E90" t="s">
        <v>5</v>
      </c>
      <c r="F90" t="s">
        <v>14</v>
      </c>
      <c r="G90" t="s">
        <v>14</v>
      </c>
      <c r="H90" t="s">
        <v>6</v>
      </c>
      <c r="I90" s="2"/>
      <c r="J90" s="2"/>
      <c r="K90" s="2"/>
      <c r="L90" s="2"/>
      <c r="P90" s="2"/>
      <c r="Q90" s="2"/>
      <c r="R90" s="2"/>
      <c r="T90" s="3"/>
    </row>
    <row r="91" spans="1:20" x14ac:dyDescent="0.25">
      <c r="A91" t="s">
        <v>3</v>
      </c>
      <c r="B91" t="s">
        <v>15</v>
      </c>
      <c r="C91" t="s">
        <v>16</v>
      </c>
      <c r="D91" t="s">
        <v>16</v>
      </c>
      <c r="E91" t="s">
        <v>3</v>
      </c>
      <c r="F91" t="s">
        <v>75</v>
      </c>
      <c r="G91" t="s">
        <v>36</v>
      </c>
      <c r="H91" t="s">
        <v>4</v>
      </c>
      <c r="I91" s="2">
        <v>43.644629465534798</v>
      </c>
      <c r="J91" s="2">
        <v>863869.96114800195</v>
      </c>
      <c r="K91" s="2">
        <v>863869.96114800195</v>
      </c>
      <c r="L91" s="2">
        <v>34554.798445920103</v>
      </c>
      <c r="M91" s="2">
        <v>0</v>
      </c>
      <c r="N91" s="2">
        <v>29585.393643921201</v>
      </c>
      <c r="O91" s="2">
        <v>0</v>
      </c>
      <c r="P91" s="2">
        <v>29585.393643921201</v>
      </c>
      <c r="Q91" s="2">
        <v>41465.758135104101</v>
      </c>
      <c r="R91" s="2">
        <v>758264.01092305605</v>
      </c>
      <c r="T91" s="3">
        <f>+J91-L91-P91-Q91-S91</f>
        <v>758264.01092305651</v>
      </c>
    </row>
    <row r="92" spans="1:20" x14ac:dyDescent="0.25">
      <c r="A92" t="s">
        <v>3</v>
      </c>
      <c r="B92" t="s">
        <v>15</v>
      </c>
      <c r="C92" t="s">
        <v>16</v>
      </c>
      <c r="D92" t="s">
        <v>16</v>
      </c>
      <c r="E92" t="s">
        <v>5</v>
      </c>
      <c r="F92" t="s">
        <v>75</v>
      </c>
      <c r="G92" t="s">
        <v>36</v>
      </c>
      <c r="H92" t="s">
        <v>6</v>
      </c>
      <c r="I92" s="2">
        <v>7.8462886664614597</v>
      </c>
      <c r="J92" s="2">
        <v>180414.80910766701</v>
      </c>
      <c r="K92" s="2">
        <v>144652.23274052801</v>
      </c>
      <c r="L92" s="2">
        <v>5786.0893096211003</v>
      </c>
      <c r="M92" s="2">
        <v>0</v>
      </c>
      <c r="N92" s="2">
        <v>0</v>
      </c>
      <c r="O92" s="2">
        <v>0</v>
      </c>
      <c r="P92" s="2">
        <v>0</v>
      </c>
      <c r="Q92" s="2">
        <v>8731.4359899023002</v>
      </c>
      <c r="R92" s="2">
        <v>165897.28380814401</v>
      </c>
      <c r="T92" s="3">
        <f>+J92-L92-P92-Q92-S92</f>
        <v>165897.28380814361</v>
      </c>
    </row>
    <row r="93" spans="1:20" x14ac:dyDescent="0.25">
      <c r="A93" t="s">
        <v>3</v>
      </c>
      <c r="B93" t="s">
        <v>24</v>
      </c>
      <c r="C93" t="s">
        <v>16</v>
      </c>
      <c r="D93" t="s">
        <v>16</v>
      </c>
      <c r="E93" t="s">
        <v>3</v>
      </c>
      <c r="F93" t="s">
        <v>76</v>
      </c>
      <c r="G93" t="s">
        <v>36</v>
      </c>
      <c r="H93" t="s">
        <v>4</v>
      </c>
      <c r="I93" s="2">
        <v>55.115721398529097</v>
      </c>
      <c r="J93" s="2">
        <v>995189.97242370504</v>
      </c>
      <c r="K93" s="2">
        <v>995189.97242370504</v>
      </c>
      <c r="L93" s="2">
        <v>39807.598896948199</v>
      </c>
      <c r="M93" s="2">
        <v>0</v>
      </c>
      <c r="N93" s="2">
        <v>5102.4086544459396</v>
      </c>
      <c r="O93" s="2">
        <v>0</v>
      </c>
      <c r="P93" s="2">
        <v>5102.4086544459396</v>
      </c>
      <c r="Q93" s="2">
        <v>47769.118676337901</v>
      </c>
      <c r="R93" s="2">
        <v>902510.84619597299</v>
      </c>
      <c r="T93" s="3">
        <f>+J93-L93-P93-Q93-S93</f>
        <v>902510.84619597311</v>
      </c>
    </row>
    <row r="94" spans="1:20" x14ac:dyDescent="0.25">
      <c r="A94" t="s">
        <v>3</v>
      </c>
      <c r="B94" t="s">
        <v>24</v>
      </c>
      <c r="C94" t="s">
        <v>16</v>
      </c>
      <c r="D94" t="s">
        <v>16</v>
      </c>
      <c r="E94" t="s">
        <v>5</v>
      </c>
      <c r="F94" t="s">
        <v>76</v>
      </c>
      <c r="G94" t="s">
        <v>36</v>
      </c>
      <c r="H94" t="s">
        <v>6</v>
      </c>
      <c r="I94" s="2">
        <v>3.1988715332307298</v>
      </c>
      <c r="J94" s="2">
        <v>63266.335687319697</v>
      </c>
      <c r="K94" s="2">
        <v>50228.501609322797</v>
      </c>
      <c r="L94" s="2">
        <v>2009.14006437291</v>
      </c>
      <c r="M94" s="2">
        <v>0</v>
      </c>
      <c r="N94" s="2">
        <v>0</v>
      </c>
      <c r="O94" s="2">
        <v>0</v>
      </c>
      <c r="P94" s="2">
        <v>0</v>
      </c>
      <c r="Q94" s="2">
        <v>3062.8597811473401</v>
      </c>
      <c r="R94" s="2">
        <v>58194.335841799497</v>
      </c>
      <c r="T94" s="3">
        <f>+J94-L94-P94-Q94-S94</f>
        <v>58194.335841799453</v>
      </c>
    </row>
    <row r="95" spans="1:20" x14ac:dyDescent="0.25">
      <c r="A95" t="s">
        <v>3</v>
      </c>
      <c r="B95" t="s">
        <v>18</v>
      </c>
      <c r="C95" t="s">
        <v>24</v>
      </c>
      <c r="D95" s="102" t="s">
        <v>10</v>
      </c>
      <c r="E95" t="s">
        <v>3</v>
      </c>
      <c r="F95" t="s">
        <v>97</v>
      </c>
      <c r="G95" t="s">
        <v>50</v>
      </c>
      <c r="H95" t="s">
        <v>4</v>
      </c>
      <c r="I95" s="2">
        <v>24.8739839112623</v>
      </c>
      <c r="J95" s="2">
        <v>519970.30929358001</v>
      </c>
      <c r="K95" s="2">
        <v>519970.30929358001</v>
      </c>
      <c r="L95" s="2">
        <v>20798.812371743199</v>
      </c>
      <c r="M95" s="2">
        <v>0</v>
      </c>
      <c r="N95" s="2">
        <v>0</v>
      </c>
      <c r="O95" s="2">
        <v>0</v>
      </c>
      <c r="P95" s="2">
        <v>0</v>
      </c>
      <c r="Q95" s="2">
        <v>24958.574846091899</v>
      </c>
      <c r="R95" s="2">
        <v>474212.92207574501</v>
      </c>
      <c r="T95" s="3">
        <f>+J95-L95-P95-Q95-S95</f>
        <v>474212.92207574489</v>
      </c>
    </row>
    <row r="96" spans="1:20" x14ac:dyDescent="0.25">
      <c r="A96" t="s">
        <v>3</v>
      </c>
      <c r="B96" t="s">
        <v>18</v>
      </c>
      <c r="C96" t="s">
        <v>24</v>
      </c>
      <c r="D96" s="102" t="s">
        <v>10</v>
      </c>
      <c r="E96" s="102" t="s">
        <v>5</v>
      </c>
      <c r="F96" t="s">
        <v>97</v>
      </c>
      <c r="G96" t="s">
        <v>50</v>
      </c>
      <c r="H96" t="s">
        <v>6</v>
      </c>
      <c r="I96" s="2"/>
      <c r="J96" s="2"/>
      <c r="K96" s="2"/>
      <c r="L96" s="2"/>
      <c r="P96" s="2"/>
      <c r="Q96" s="2"/>
      <c r="R96" s="2"/>
      <c r="T96" s="3"/>
    </row>
    <row r="97" spans="1:20" x14ac:dyDescent="0.25">
      <c r="A97" t="s">
        <v>5</v>
      </c>
      <c r="B97" t="s">
        <v>1</v>
      </c>
      <c r="C97" t="s">
        <v>1</v>
      </c>
      <c r="D97" t="s">
        <v>1</v>
      </c>
      <c r="E97" t="s">
        <v>3</v>
      </c>
      <c r="F97" t="s">
        <v>2</v>
      </c>
      <c r="G97" t="s">
        <v>2</v>
      </c>
      <c r="H97" t="s">
        <v>4</v>
      </c>
      <c r="I97" s="2">
        <v>3302.1976488781002</v>
      </c>
      <c r="J97" s="2">
        <v>36776943.285711497</v>
      </c>
      <c r="K97" s="2">
        <v>36776943.285711497</v>
      </c>
      <c r="L97" s="2">
        <v>1471077.73142846</v>
      </c>
      <c r="M97" s="2">
        <v>0</v>
      </c>
      <c r="N97" s="2">
        <v>815968.89051867498</v>
      </c>
      <c r="O97" s="2">
        <v>0</v>
      </c>
      <c r="P97" s="2">
        <v>815968.89051867498</v>
      </c>
      <c r="Q97" s="2">
        <v>1765293.27771415</v>
      </c>
      <c r="R97" s="2">
        <v>32724603.386050198</v>
      </c>
      <c r="S97" s="2">
        <f>$U$3*I97</f>
        <v>2433719.6672231597</v>
      </c>
      <c r="T97" s="3">
        <f t="shared" ref="T97:T105" si="3">+J97-L97-P97-Q97-S97</f>
        <v>30290883.718827058</v>
      </c>
    </row>
    <row r="98" spans="1:20" x14ac:dyDescent="0.25">
      <c r="A98" t="s">
        <v>5</v>
      </c>
      <c r="B98" t="s">
        <v>1</v>
      </c>
      <c r="C98" t="s">
        <v>1</v>
      </c>
      <c r="D98" t="s">
        <v>1</v>
      </c>
      <c r="E98" t="s">
        <v>5</v>
      </c>
      <c r="F98" t="s">
        <v>2</v>
      </c>
      <c r="G98" t="s">
        <v>2</v>
      </c>
      <c r="H98" t="s">
        <v>6</v>
      </c>
      <c r="I98" s="2">
        <v>224.52344199756899</v>
      </c>
      <c r="J98" s="2">
        <v>7139888.50815845</v>
      </c>
      <c r="K98" s="2">
        <v>2428043.77613664</v>
      </c>
      <c r="L98" s="2">
        <v>97121.751045465804</v>
      </c>
      <c r="M98" s="2">
        <v>0</v>
      </c>
      <c r="N98" s="2">
        <v>8930.8764764126208</v>
      </c>
      <c r="O98" s="2">
        <v>0</v>
      </c>
      <c r="P98" s="2">
        <v>8930.8764764126208</v>
      </c>
      <c r="Q98" s="2">
        <v>352138.33785564901</v>
      </c>
      <c r="R98" s="2">
        <v>6681697.5427809199</v>
      </c>
      <c r="T98" s="3">
        <f t="shared" si="3"/>
        <v>6681697.5427809227</v>
      </c>
    </row>
    <row r="99" spans="1:20" x14ac:dyDescent="0.25">
      <c r="A99" t="s">
        <v>5</v>
      </c>
      <c r="B99" t="s">
        <v>8</v>
      </c>
      <c r="C99" t="s">
        <v>1</v>
      </c>
      <c r="D99" t="s">
        <v>1</v>
      </c>
      <c r="E99" t="s">
        <v>3</v>
      </c>
      <c r="F99" t="s">
        <v>51</v>
      </c>
      <c r="G99" t="s">
        <v>2</v>
      </c>
      <c r="H99" t="s">
        <v>4</v>
      </c>
      <c r="I99" s="2">
        <v>67.862463954885499</v>
      </c>
      <c r="J99" s="2">
        <v>847613.36042179202</v>
      </c>
      <c r="K99" s="2">
        <v>847613.36042179202</v>
      </c>
      <c r="L99" s="2">
        <v>33904.534416871698</v>
      </c>
      <c r="M99" s="2">
        <v>0</v>
      </c>
      <c r="N99" s="2">
        <v>0</v>
      </c>
      <c r="O99" s="2">
        <v>0</v>
      </c>
      <c r="P99" s="2">
        <v>0</v>
      </c>
      <c r="Q99" s="2">
        <v>40685.441300245999</v>
      </c>
      <c r="R99" s="2">
        <v>773023.38470467494</v>
      </c>
      <c r="S99" s="2">
        <f>$U$3*I99</f>
        <v>50014.635934750615</v>
      </c>
      <c r="T99" s="3">
        <f t="shared" si="3"/>
        <v>723008.74876992358</v>
      </c>
    </row>
    <row r="100" spans="1:20" x14ac:dyDescent="0.25">
      <c r="A100" t="s">
        <v>5</v>
      </c>
      <c r="B100" t="s">
        <v>8</v>
      </c>
      <c r="C100" t="s">
        <v>1</v>
      </c>
      <c r="D100" t="s">
        <v>1</v>
      </c>
      <c r="E100" t="s">
        <v>5</v>
      </c>
      <c r="F100" t="s">
        <v>51</v>
      </c>
      <c r="G100" t="s">
        <v>2</v>
      </c>
      <c r="H100" t="s">
        <v>6</v>
      </c>
      <c r="I100" s="2">
        <v>11.9194459998699</v>
      </c>
      <c r="J100" s="2">
        <v>398634.69338016497</v>
      </c>
      <c r="K100" s="2">
        <v>135554.381170023</v>
      </c>
      <c r="L100" s="2">
        <v>5422.1752468009399</v>
      </c>
      <c r="M100" s="2">
        <v>34446.582212990201</v>
      </c>
      <c r="N100" s="2">
        <v>0</v>
      </c>
      <c r="O100" s="2">
        <v>0</v>
      </c>
      <c r="P100" s="2">
        <v>34446.582212990201</v>
      </c>
      <c r="Q100" s="2">
        <v>17938.296796018702</v>
      </c>
      <c r="R100" s="2">
        <v>340827.63912435499</v>
      </c>
      <c r="T100" s="3">
        <f t="shared" si="3"/>
        <v>340827.6391243551</v>
      </c>
    </row>
    <row r="101" spans="1:20" x14ac:dyDescent="0.25">
      <c r="A101" t="s">
        <v>5</v>
      </c>
      <c r="B101" t="s">
        <v>13</v>
      </c>
      <c r="C101" t="s">
        <v>8</v>
      </c>
      <c r="D101" t="s">
        <v>8</v>
      </c>
      <c r="E101" t="s">
        <v>3</v>
      </c>
      <c r="F101" t="s">
        <v>9</v>
      </c>
      <c r="G101" t="s">
        <v>9</v>
      </c>
      <c r="H101" t="s">
        <v>4</v>
      </c>
      <c r="I101" s="2">
        <v>122.647381089682</v>
      </c>
      <c r="J101" s="2">
        <v>2134468.6318906499</v>
      </c>
      <c r="K101" s="2">
        <v>2134468.6318906499</v>
      </c>
      <c r="L101" s="2">
        <v>85378.745275626105</v>
      </c>
      <c r="M101" s="2">
        <v>0</v>
      </c>
      <c r="N101" s="2">
        <v>7037.2023470346503</v>
      </c>
      <c r="O101" s="2">
        <v>0</v>
      </c>
      <c r="P101" s="2">
        <v>7037.2023470346503</v>
      </c>
      <c r="Q101" s="2">
        <v>102454.494330751</v>
      </c>
      <c r="R101" s="2">
        <v>1939598.18993724</v>
      </c>
      <c r="T101" s="3">
        <f t="shared" si="3"/>
        <v>1939598.1899372381</v>
      </c>
    </row>
    <row r="102" spans="1:20" x14ac:dyDescent="0.25">
      <c r="A102" t="s">
        <v>5</v>
      </c>
      <c r="B102" t="s">
        <v>13</v>
      </c>
      <c r="C102" t="s">
        <v>8</v>
      </c>
      <c r="D102" t="s">
        <v>8</v>
      </c>
      <c r="E102" t="s">
        <v>5</v>
      </c>
      <c r="F102" t="s">
        <v>9</v>
      </c>
      <c r="G102" t="s">
        <v>9</v>
      </c>
      <c r="H102" t="s">
        <v>6</v>
      </c>
      <c r="I102" s="2">
        <v>6.52377635558706</v>
      </c>
      <c r="J102" s="2">
        <v>225625.78333299499</v>
      </c>
      <c r="K102" s="2">
        <v>126550.47874321599</v>
      </c>
      <c r="L102" s="2">
        <v>5062.0191497286196</v>
      </c>
      <c r="M102" s="2">
        <v>0</v>
      </c>
      <c r="N102" s="2">
        <v>0</v>
      </c>
      <c r="O102" s="2">
        <v>0</v>
      </c>
      <c r="P102" s="2">
        <v>0</v>
      </c>
      <c r="Q102" s="2">
        <v>11028.1882091633</v>
      </c>
      <c r="R102" s="2">
        <v>209535.57597410301</v>
      </c>
      <c r="T102" s="3">
        <f t="shared" si="3"/>
        <v>209535.57597410309</v>
      </c>
    </row>
    <row r="103" spans="1:20" x14ac:dyDescent="0.25">
      <c r="A103" t="s">
        <v>5</v>
      </c>
      <c r="B103" t="s">
        <v>10</v>
      </c>
      <c r="C103" t="s">
        <v>7</v>
      </c>
      <c r="D103" t="s">
        <v>7</v>
      </c>
      <c r="E103" t="s">
        <v>3</v>
      </c>
      <c r="F103" t="s">
        <v>11</v>
      </c>
      <c r="G103" t="s">
        <v>11</v>
      </c>
      <c r="H103" t="s">
        <v>4</v>
      </c>
      <c r="I103" s="2">
        <v>122.664666265869</v>
      </c>
      <c r="J103" s="2">
        <v>1618235.2660719401</v>
      </c>
      <c r="K103" s="2">
        <v>1618235.2660719401</v>
      </c>
      <c r="L103" s="2">
        <v>64729.410642877701</v>
      </c>
      <c r="M103" s="2">
        <v>0</v>
      </c>
      <c r="N103" s="2">
        <v>15127.409715448501</v>
      </c>
      <c r="O103" s="2">
        <v>0</v>
      </c>
      <c r="P103" s="2">
        <v>15127.409715448501</v>
      </c>
      <c r="Q103" s="2">
        <v>77675.292771453198</v>
      </c>
      <c r="R103" s="2">
        <v>1460703.1529421599</v>
      </c>
      <c r="T103" s="3">
        <f t="shared" si="3"/>
        <v>1460703.1529421606</v>
      </c>
    </row>
    <row r="104" spans="1:20" x14ac:dyDescent="0.25">
      <c r="A104" t="s">
        <v>5</v>
      </c>
      <c r="B104" t="s">
        <v>10</v>
      </c>
      <c r="C104" t="s">
        <v>7</v>
      </c>
      <c r="D104" t="s">
        <v>7</v>
      </c>
      <c r="E104" t="s">
        <v>5</v>
      </c>
      <c r="F104" t="s">
        <v>11</v>
      </c>
      <c r="G104" t="s">
        <v>11</v>
      </c>
      <c r="H104" t="s">
        <v>6</v>
      </c>
      <c r="I104" s="2">
        <v>5.8666419999595396</v>
      </c>
      <c r="J104" s="2">
        <v>132307.54609562</v>
      </c>
      <c r="K104" s="2">
        <v>74498.502538571498</v>
      </c>
      <c r="L104" s="2">
        <v>2979.9401015428598</v>
      </c>
      <c r="M104" s="2">
        <v>0</v>
      </c>
      <c r="N104" s="2">
        <v>0</v>
      </c>
      <c r="O104" s="2">
        <v>0</v>
      </c>
      <c r="P104" s="2">
        <v>0</v>
      </c>
      <c r="Q104" s="2">
        <v>6466.3802997038802</v>
      </c>
      <c r="R104" s="2">
        <v>122861.22569437401</v>
      </c>
      <c r="T104" s="3">
        <f t="shared" si="3"/>
        <v>122861.22569437325</v>
      </c>
    </row>
    <row r="105" spans="1:20" x14ac:dyDescent="0.25">
      <c r="A105" t="s">
        <v>5</v>
      </c>
      <c r="B105" t="s">
        <v>7</v>
      </c>
      <c r="C105" t="s">
        <v>13</v>
      </c>
      <c r="D105" t="s">
        <v>13</v>
      </c>
      <c r="E105" t="s">
        <v>3</v>
      </c>
      <c r="F105" t="s">
        <v>52</v>
      </c>
      <c r="G105" t="s">
        <v>14</v>
      </c>
      <c r="H105" t="s">
        <v>4</v>
      </c>
      <c r="I105" s="2">
        <v>2.87183811111306</v>
      </c>
      <c r="J105" s="2">
        <v>58640.866572637002</v>
      </c>
      <c r="K105" s="2">
        <v>58640.866572637002</v>
      </c>
      <c r="L105" s="2">
        <v>2345.6346629054801</v>
      </c>
      <c r="M105" s="2">
        <v>0</v>
      </c>
      <c r="N105" s="2">
        <v>0</v>
      </c>
      <c r="O105" s="2">
        <v>0</v>
      </c>
      <c r="P105" s="2">
        <v>0</v>
      </c>
      <c r="Q105" s="2">
        <v>2814.7615954865801</v>
      </c>
      <c r="R105" s="2">
        <v>53480.470314245002</v>
      </c>
      <c r="T105" s="3">
        <f t="shared" si="3"/>
        <v>53480.470314244936</v>
      </c>
    </row>
    <row r="106" spans="1:20" x14ac:dyDescent="0.25">
      <c r="A106" t="s">
        <v>5</v>
      </c>
      <c r="B106" t="s">
        <v>7</v>
      </c>
      <c r="C106" t="s">
        <v>13</v>
      </c>
      <c r="D106" t="s">
        <v>13</v>
      </c>
      <c r="E106" s="102" t="s">
        <v>5</v>
      </c>
      <c r="F106" t="s">
        <v>52</v>
      </c>
      <c r="G106" t="s">
        <v>14</v>
      </c>
      <c r="H106" t="s">
        <v>6</v>
      </c>
      <c r="I106" s="2"/>
      <c r="J106" s="2"/>
      <c r="K106" s="2"/>
      <c r="L106" s="2"/>
      <c r="P106" s="2"/>
      <c r="Q106" s="2"/>
      <c r="R106" s="2"/>
      <c r="T106" s="3"/>
    </row>
    <row r="107" spans="1:20" x14ac:dyDescent="0.25">
      <c r="A107" t="s">
        <v>5</v>
      </c>
      <c r="B107" t="s">
        <v>16</v>
      </c>
      <c r="C107" t="s">
        <v>13</v>
      </c>
      <c r="D107" t="s">
        <v>13</v>
      </c>
      <c r="E107" t="s">
        <v>3</v>
      </c>
      <c r="F107" t="s">
        <v>14</v>
      </c>
      <c r="G107" t="s">
        <v>14</v>
      </c>
      <c r="H107" t="s">
        <v>4</v>
      </c>
      <c r="I107" s="2">
        <v>60.4838311338913</v>
      </c>
      <c r="J107" s="2">
        <v>997837.64766568795</v>
      </c>
      <c r="K107" s="2">
        <v>997837.64766568795</v>
      </c>
      <c r="L107" s="2">
        <v>39913.505906627499</v>
      </c>
      <c r="M107" s="2">
        <v>0</v>
      </c>
      <c r="N107" s="2">
        <v>0</v>
      </c>
      <c r="O107" s="2">
        <v>0</v>
      </c>
      <c r="P107" s="2">
        <v>0</v>
      </c>
      <c r="Q107" s="2">
        <v>47896.207087953</v>
      </c>
      <c r="R107" s="2">
        <v>910027.93467110803</v>
      </c>
      <c r="T107" s="3">
        <f>+J107-L107-P107-Q107-S107</f>
        <v>910027.93467110745</v>
      </c>
    </row>
    <row r="108" spans="1:20" x14ac:dyDescent="0.25">
      <c r="A108" t="s">
        <v>5</v>
      </c>
      <c r="B108" t="s">
        <v>16</v>
      </c>
      <c r="C108" t="s">
        <v>13</v>
      </c>
      <c r="D108" s="102" t="s">
        <v>13</v>
      </c>
      <c r="E108" t="s">
        <v>5</v>
      </c>
      <c r="F108" t="s">
        <v>14</v>
      </c>
      <c r="G108" t="s">
        <v>14</v>
      </c>
      <c r="H108" t="s">
        <v>6</v>
      </c>
      <c r="I108" s="2">
        <v>92.494946401314905</v>
      </c>
      <c r="J108" s="2">
        <v>2523133.9463629299</v>
      </c>
      <c r="K108" s="2">
        <v>1423016.6240244</v>
      </c>
      <c r="L108" s="2">
        <v>56920.664960976203</v>
      </c>
      <c r="M108" s="2">
        <v>85792.858779090995</v>
      </c>
      <c r="N108" s="2">
        <v>11930.121294103001</v>
      </c>
      <c r="O108" s="2">
        <v>166008.61494974399</v>
      </c>
      <c r="P108" s="2">
        <v>263731.59502293798</v>
      </c>
      <c r="Q108" s="2">
        <v>119021.021131143</v>
      </c>
      <c r="R108" s="2">
        <v>2083460.6652478699</v>
      </c>
      <c r="T108" s="3">
        <f>+J108-L108-P108-Q108-S108</f>
        <v>2083460.6652478725</v>
      </c>
    </row>
    <row r="109" spans="1:20" x14ac:dyDescent="0.25">
      <c r="A109" t="s">
        <v>5</v>
      </c>
      <c r="B109" t="s">
        <v>15</v>
      </c>
      <c r="C109" t="s">
        <v>16</v>
      </c>
      <c r="D109" t="s">
        <v>16</v>
      </c>
      <c r="E109" t="s">
        <v>3</v>
      </c>
      <c r="F109" t="s">
        <v>75</v>
      </c>
      <c r="G109" t="s">
        <v>36</v>
      </c>
      <c r="H109" t="s">
        <v>4</v>
      </c>
      <c r="I109" s="2">
        <v>20.472368399493401</v>
      </c>
      <c r="J109" s="2">
        <v>423203.22639371001</v>
      </c>
      <c r="K109" s="2">
        <v>423203.22639371001</v>
      </c>
      <c r="L109" s="2">
        <v>16928.129055748399</v>
      </c>
      <c r="M109" s="2">
        <v>0</v>
      </c>
      <c r="N109" s="2">
        <v>3347.00156648548</v>
      </c>
      <c r="O109" s="2">
        <v>0</v>
      </c>
      <c r="P109" s="2">
        <v>3347.00156648548</v>
      </c>
      <c r="Q109" s="2">
        <v>20313.7548668981</v>
      </c>
      <c r="R109" s="2">
        <v>382614.34090457798</v>
      </c>
      <c r="T109" s="3">
        <f>+J109-L109-P109-Q109-S109</f>
        <v>382614.34090457798</v>
      </c>
    </row>
    <row r="110" spans="1:20" x14ac:dyDescent="0.25">
      <c r="A110" t="s">
        <v>5</v>
      </c>
      <c r="B110" t="s">
        <v>15</v>
      </c>
      <c r="C110" t="s">
        <v>16</v>
      </c>
      <c r="D110" t="s">
        <v>16</v>
      </c>
      <c r="E110" t="s">
        <v>5</v>
      </c>
      <c r="F110" t="s">
        <v>75</v>
      </c>
      <c r="G110" t="s">
        <v>36</v>
      </c>
      <c r="H110" t="s">
        <v>6</v>
      </c>
      <c r="I110" s="2">
        <v>3.1111107999222201</v>
      </c>
      <c r="J110" s="2">
        <v>107818.376197235</v>
      </c>
      <c r="K110" s="2">
        <v>65115.772783007298</v>
      </c>
      <c r="L110" s="2">
        <v>2604.6309113202901</v>
      </c>
      <c r="M110" s="2">
        <v>0</v>
      </c>
      <c r="N110" s="2">
        <v>0</v>
      </c>
      <c r="O110" s="2">
        <v>0</v>
      </c>
      <c r="P110" s="2">
        <v>0</v>
      </c>
      <c r="Q110" s="2">
        <v>5260.6872642957396</v>
      </c>
      <c r="R110" s="2">
        <v>99953.058021619101</v>
      </c>
      <c r="T110" s="3">
        <f>+J110-L110-P110-Q110-S110</f>
        <v>99953.05802161897</v>
      </c>
    </row>
    <row r="111" spans="1:20" x14ac:dyDescent="0.25">
      <c r="A111" t="s">
        <v>5</v>
      </c>
      <c r="B111" t="s">
        <v>24</v>
      </c>
      <c r="C111" t="s">
        <v>16</v>
      </c>
      <c r="D111" t="s">
        <v>16</v>
      </c>
      <c r="E111" t="s">
        <v>3</v>
      </c>
      <c r="F111" t="s">
        <v>76</v>
      </c>
      <c r="G111" t="s">
        <v>36</v>
      </c>
      <c r="H111" t="s">
        <v>4</v>
      </c>
      <c r="I111" s="2">
        <v>26.722070088232901</v>
      </c>
      <c r="J111" s="2">
        <v>501870.57752936298</v>
      </c>
      <c r="K111" s="2">
        <v>501870.57752936298</v>
      </c>
      <c r="L111" s="2">
        <v>20074.823101174501</v>
      </c>
      <c r="M111" s="2">
        <v>0</v>
      </c>
      <c r="N111" s="2">
        <v>0</v>
      </c>
      <c r="O111" s="2">
        <v>0</v>
      </c>
      <c r="P111" s="2">
        <v>0</v>
      </c>
      <c r="Q111" s="2">
        <v>24089.787721409401</v>
      </c>
      <c r="R111" s="2">
        <v>457705.96670677903</v>
      </c>
      <c r="T111" s="3">
        <f>+J111-L111-P111-Q111-S111</f>
        <v>457705.96670677909</v>
      </c>
    </row>
    <row r="112" spans="1:20" x14ac:dyDescent="0.25">
      <c r="A112" t="s">
        <v>5</v>
      </c>
      <c r="B112" t="s">
        <v>24</v>
      </c>
      <c r="C112" t="s">
        <v>16</v>
      </c>
      <c r="D112" t="s">
        <v>16</v>
      </c>
      <c r="E112" s="102" t="s">
        <v>5</v>
      </c>
      <c r="F112" t="s">
        <v>76</v>
      </c>
      <c r="G112" t="s">
        <v>36</v>
      </c>
      <c r="H112" t="s">
        <v>6</v>
      </c>
    </row>
    <row r="113" spans="1:22" x14ac:dyDescent="0.25">
      <c r="A113" t="s">
        <v>5</v>
      </c>
      <c r="B113" t="s">
        <v>18</v>
      </c>
      <c r="C113" t="s">
        <v>24</v>
      </c>
      <c r="D113" s="102" t="s">
        <v>10</v>
      </c>
      <c r="E113" t="s">
        <v>3</v>
      </c>
      <c r="F113" t="s">
        <v>97</v>
      </c>
      <c r="G113" t="s">
        <v>50</v>
      </c>
      <c r="H113" t="s">
        <v>4</v>
      </c>
      <c r="I113" s="2">
        <v>23.407628988889702</v>
      </c>
      <c r="J113" s="2">
        <v>455729.36570226803</v>
      </c>
      <c r="K113" s="2">
        <v>455729.36570226803</v>
      </c>
      <c r="L113" s="2">
        <v>18229.174628090699</v>
      </c>
      <c r="M113" s="2">
        <v>0</v>
      </c>
      <c r="N113" s="2">
        <v>0</v>
      </c>
      <c r="O113" s="2">
        <v>0</v>
      </c>
      <c r="P113" s="2">
        <v>0</v>
      </c>
      <c r="Q113" s="2">
        <v>21875.0095537089</v>
      </c>
      <c r="R113" s="2">
        <v>415625.18152046902</v>
      </c>
      <c r="T113" s="3">
        <f>+J113-L113-P113-Q113-S113</f>
        <v>415625.18152046844</v>
      </c>
    </row>
    <row r="114" spans="1:22" x14ac:dyDescent="0.25">
      <c r="A114" t="s">
        <v>5</v>
      </c>
      <c r="B114" t="s">
        <v>18</v>
      </c>
      <c r="C114" t="s">
        <v>24</v>
      </c>
      <c r="D114" s="102" t="s">
        <v>10</v>
      </c>
      <c r="E114" t="s">
        <v>5</v>
      </c>
      <c r="F114" t="s">
        <v>97</v>
      </c>
      <c r="G114" t="s">
        <v>50</v>
      </c>
      <c r="H114" t="s">
        <v>6</v>
      </c>
      <c r="I114" s="2">
        <v>1.7606055999779899</v>
      </c>
      <c r="J114" s="2">
        <v>66943.8109060633</v>
      </c>
      <c r="K114" s="2">
        <v>37694.049280576597</v>
      </c>
      <c r="L114" s="2">
        <v>1507.7619712230601</v>
      </c>
      <c r="M114" s="2">
        <v>0</v>
      </c>
      <c r="N114" s="2">
        <v>0</v>
      </c>
      <c r="O114" s="2">
        <v>0</v>
      </c>
      <c r="P114" s="2">
        <v>0</v>
      </c>
      <c r="Q114" s="2">
        <v>3271.80244674201</v>
      </c>
      <c r="R114" s="2">
        <v>62164.246488098201</v>
      </c>
      <c r="T114" s="3">
        <f>+J114-L114-P114-Q114-S114</f>
        <v>62164.24648809823</v>
      </c>
    </row>
    <row r="116" spans="1:22" x14ac:dyDescent="0.25">
      <c r="E116" s="102"/>
    </row>
    <row r="117" spans="1:22" x14ac:dyDescent="0.25">
      <c r="E117" s="102"/>
    </row>
    <row r="118" spans="1:22" x14ac:dyDescent="0.25">
      <c r="F118" t="s">
        <v>120</v>
      </c>
      <c r="I118" s="2">
        <f t="shared" ref="I118:T118" si="4">SUMIF($A$3:$A$114,"0",I$3:I$114)</f>
        <v>38327.02062655372</v>
      </c>
      <c r="J118" s="2">
        <f t="shared" si="4"/>
        <v>689885097.21525359</v>
      </c>
      <c r="K118" s="2">
        <f t="shared" si="4"/>
        <v>460942048.63018984</v>
      </c>
      <c r="L118" s="2">
        <f t="shared" si="4"/>
        <v>18437681.945207607</v>
      </c>
      <c r="M118" s="2">
        <f t="shared" si="4"/>
        <v>3952907.4412124269</v>
      </c>
      <c r="N118" s="2">
        <f t="shared" si="4"/>
        <v>29135005.156532764</v>
      </c>
      <c r="O118" s="2">
        <f t="shared" si="4"/>
        <v>47296290.37808881</v>
      </c>
      <c r="P118" s="2">
        <f t="shared" si="4"/>
        <v>80384202.975834101</v>
      </c>
      <c r="Q118" s="2">
        <f t="shared" si="4"/>
        <v>33374725.391441677</v>
      </c>
      <c r="R118" s="2">
        <f t="shared" si="4"/>
        <v>557688486.90276968</v>
      </c>
      <c r="S118" s="2">
        <f t="shared" si="4"/>
        <v>23055969.080179986</v>
      </c>
      <c r="T118" s="2">
        <f t="shared" si="4"/>
        <v>534632517.8225897</v>
      </c>
    </row>
    <row r="119" spans="1:22" x14ac:dyDescent="0.25">
      <c r="F119" t="s">
        <v>121</v>
      </c>
      <c r="I119" s="2">
        <f t="shared" ref="I119:T119" si="5">SUMIF($A$3:$A$114,"1",I$3:I$114)</f>
        <v>4556.4243504533833</v>
      </c>
      <c r="J119" s="2">
        <f t="shared" si="5"/>
        <v>61743336.006909803</v>
      </c>
      <c r="K119" s="2">
        <f t="shared" si="5"/>
        <v>52254913.720481314</v>
      </c>
      <c r="L119" s="2">
        <f t="shared" si="5"/>
        <v>2090196.5488192521</v>
      </c>
      <c r="M119" s="2">
        <f t="shared" si="5"/>
        <v>2319.5019142791298</v>
      </c>
      <c r="N119" s="2">
        <f t="shared" si="5"/>
        <v>380932.14714182832</v>
      </c>
      <c r="O119" s="2">
        <f t="shared" si="5"/>
        <v>20387.806290041801</v>
      </c>
      <c r="P119" s="2">
        <f t="shared" si="5"/>
        <v>403639.45534614922</v>
      </c>
      <c r="Q119" s="2">
        <f t="shared" si="5"/>
        <v>2982540.9978088159</v>
      </c>
      <c r="R119" s="2">
        <f t="shared" si="5"/>
        <v>56266959.004935689</v>
      </c>
      <c r="S119" s="2">
        <f t="shared" si="5"/>
        <v>2807193.8107318664</v>
      </c>
      <c r="T119" s="2">
        <f t="shared" si="5"/>
        <v>53459765.194203734</v>
      </c>
    </row>
    <row r="120" spans="1:22" x14ac:dyDescent="0.25">
      <c r="F120" t="s">
        <v>142</v>
      </c>
      <c r="I120" s="2">
        <f t="shared" ref="I120:T120" si="6">SUMIF($A$3:$A$114,"2",I$3:I$114)</f>
        <v>4095.529866064358</v>
      </c>
      <c r="J120" s="2">
        <f t="shared" si="6"/>
        <v>54408894.892392986</v>
      </c>
      <c r="K120" s="2">
        <f t="shared" si="6"/>
        <v>48105015.812635958</v>
      </c>
      <c r="L120" s="2">
        <f t="shared" si="6"/>
        <v>1924200.6325054402</v>
      </c>
      <c r="M120" s="2">
        <f t="shared" si="6"/>
        <v>120239.44099208119</v>
      </c>
      <c r="N120" s="2">
        <f t="shared" si="6"/>
        <v>862341.50191815931</v>
      </c>
      <c r="O120" s="2">
        <f t="shared" si="6"/>
        <v>166008.61494974399</v>
      </c>
      <c r="P120" s="2">
        <f t="shared" si="6"/>
        <v>1148589.5578599845</v>
      </c>
      <c r="Q120" s="2">
        <f t="shared" si="6"/>
        <v>2618222.740944772</v>
      </c>
      <c r="R120" s="2">
        <f t="shared" si="6"/>
        <v>48717881.961082794</v>
      </c>
      <c r="S120" s="2">
        <f t="shared" si="6"/>
        <v>2483734.3031579102</v>
      </c>
      <c r="T120" s="2">
        <f t="shared" si="6"/>
        <v>46234147.657924913</v>
      </c>
    </row>
    <row r="121" spans="1:22" x14ac:dyDescent="0.25">
      <c r="F121" t="s">
        <v>141</v>
      </c>
      <c r="I121" s="2">
        <f t="shared" ref="I121:T121" si="7">SUM(I118:I120)</f>
        <v>46978.974843071461</v>
      </c>
      <c r="J121" s="2">
        <f t="shared" si="7"/>
        <v>806037328.11455643</v>
      </c>
      <c r="K121" s="2">
        <f t="shared" si="7"/>
        <v>561301978.16330719</v>
      </c>
      <c r="L121" s="2">
        <f t="shared" si="7"/>
        <v>22452079.126532298</v>
      </c>
      <c r="M121" s="2">
        <f t="shared" si="7"/>
        <v>4075466.384118787</v>
      </c>
      <c r="N121" s="2">
        <f t="shared" si="7"/>
        <v>30378278.805592753</v>
      </c>
      <c r="O121" s="2">
        <f t="shared" si="7"/>
        <v>47482686.799328595</v>
      </c>
      <c r="P121" s="2">
        <f t="shared" si="7"/>
        <v>81936431.989040241</v>
      </c>
      <c r="Q121" s="2">
        <f t="shared" si="7"/>
        <v>38975489.130195267</v>
      </c>
      <c r="R121" s="2">
        <f t="shared" si="7"/>
        <v>662673327.86878824</v>
      </c>
      <c r="S121" s="2">
        <f t="shared" si="7"/>
        <v>28346897.194069762</v>
      </c>
      <c r="T121" s="2">
        <f t="shared" si="7"/>
        <v>634326430.67471838</v>
      </c>
    </row>
    <row r="122" spans="1:22" x14ac:dyDescent="0.25">
      <c r="I122" s="2"/>
      <c r="J122" s="2"/>
      <c r="K122" s="2"/>
      <c r="L122" s="2"/>
      <c r="P122" s="2"/>
      <c r="Q122" s="2"/>
      <c r="R122" s="2"/>
      <c r="S122" s="2"/>
      <c r="T122" s="2"/>
      <c r="V122" t="s">
        <v>309</v>
      </c>
    </row>
    <row r="123" spans="1:22" x14ac:dyDescent="0.25">
      <c r="F123" t="s">
        <v>122</v>
      </c>
      <c r="I123" s="2">
        <f t="shared" ref="I123:T123" si="8">SUMIFS(I$3:I$114,$A$3:$A$114,"0",$C$3:$C$114,"01",$E$3:$E$114,"1")</f>
        <v>19071.871207842589</v>
      </c>
      <c r="J123" s="2">
        <f t="shared" si="8"/>
        <v>210313010.46750629</v>
      </c>
      <c r="K123" s="2">
        <f t="shared" si="8"/>
        <v>210313010.46750629</v>
      </c>
      <c r="L123" s="2">
        <f t="shared" si="8"/>
        <v>8412520.418700261</v>
      </c>
      <c r="M123" s="2">
        <f t="shared" si="8"/>
        <v>90709.147413156606</v>
      </c>
      <c r="N123" s="2">
        <f t="shared" si="8"/>
        <v>907518.66766776284</v>
      </c>
      <c r="O123" s="2">
        <f t="shared" si="8"/>
        <v>0</v>
      </c>
      <c r="P123" s="2">
        <f t="shared" si="8"/>
        <v>998227.81508091989</v>
      </c>
      <c r="Q123" s="2">
        <f t="shared" si="8"/>
        <v>10090489.045069659</v>
      </c>
      <c r="R123" s="2">
        <f t="shared" si="8"/>
        <v>190811773.18865556</v>
      </c>
      <c r="S123" s="2">
        <f t="shared" si="8"/>
        <v>14055969.080179987</v>
      </c>
      <c r="T123" s="2">
        <f t="shared" si="8"/>
        <v>176755804.10847548</v>
      </c>
      <c r="V123" s="3">
        <f>+T123-FY16Calc!T123</f>
        <v>8836284.2900630534</v>
      </c>
    </row>
    <row r="124" spans="1:22" x14ac:dyDescent="0.25">
      <c r="F124" t="s">
        <v>123</v>
      </c>
      <c r="I124" s="2">
        <f t="shared" ref="I124:T124" si="9">SUMIFS(I$3:I$114,$A$3:$A$114,"1",$C$3:$C$114,"01",$E$3:$E$114,"1")</f>
        <v>3808.9468259591131</v>
      </c>
      <c r="J124" s="2">
        <f t="shared" si="9"/>
        <v>42516886.537129007</v>
      </c>
      <c r="K124" s="2">
        <f t="shared" si="9"/>
        <v>42516886.537129007</v>
      </c>
      <c r="L124" s="2">
        <f t="shared" si="9"/>
        <v>1700675.4614851605</v>
      </c>
      <c r="M124" s="2">
        <f t="shared" si="9"/>
        <v>0</v>
      </c>
      <c r="N124" s="2">
        <f t="shared" si="9"/>
        <v>290052.50091960881</v>
      </c>
      <c r="O124" s="2">
        <f t="shared" si="9"/>
        <v>0</v>
      </c>
      <c r="P124" s="2">
        <f t="shared" si="9"/>
        <v>290052.50091960881</v>
      </c>
      <c r="Q124" s="2">
        <f t="shared" si="9"/>
        <v>2040810.5537821925</v>
      </c>
      <c r="R124" s="2">
        <f t="shared" si="9"/>
        <v>38485348.02094204</v>
      </c>
      <c r="S124" s="2">
        <f t="shared" si="9"/>
        <v>2807193.8107318664</v>
      </c>
      <c r="T124" s="2">
        <f t="shared" si="9"/>
        <v>35678154.210210182</v>
      </c>
      <c r="V124" s="3">
        <f>+T124-FY16Calc!T124</f>
        <v>1783332.8560172766</v>
      </c>
    </row>
    <row r="125" spans="1:22" x14ac:dyDescent="0.25">
      <c r="F125" t="s">
        <v>124</v>
      </c>
      <c r="I125" s="2">
        <f t="shared" ref="I125:T125" si="10">SUMIFS(I$3:I$114,$A$3:$A$114,"2",$C$3:$C$114,"01",$E$3:$E$114,"1")</f>
        <v>3370.0601128329859</v>
      </c>
      <c r="J125" s="2">
        <f t="shared" si="10"/>
        <v>37624556.646133289</v>
      </c>
      <c r="K125" s="2">
        <f t="shared" si="10"/>
        <v>37624556.646133289</v>
      </c>
      <c r="L125" s="2">
        <f t="shared" si="10"/>
        <v>1504982.2658453316</v>
      </c>
      <c r="M125" s="2">
        <f t="shared" si="10"/>
        <v>0</v>
      </c>
      <c r="N125" s="2">
        <f t="shared" si="10"/>
        <v>815968.89051867498</v>
      </c>
      <c r="O125" s="2">
        <f t="shared" si="10"/>
        <v>0</v>
      </c>
      <c r="P125" s="2">
        <f t="shared" si="10"/>
        <v>815968.89051867498</v>
      </c>
      <c r="Q125" s="2">
        <f t="shared" si="10"/>
        <v>1805978.719014396</v>
      </c>
      <c r="R125" s="2">
        <f t="shared" si="10"/>
        <v>33497626.770754874</v>
      </c>
      <c r="S125" s="2">
        <f t="shared" si="10"/>
        <v>2483734.3031579102</v>
      </c>
      <c r="T125" s="2">
        <f t="shared" si="10"/>
        <v>31013892.467596982</v>
      </c>
      <c r="V125" s="3">
        <f>+T125-FY16Calc!T125</f>
        <v>1550055.3501184694</v>
      </c>
    </row>
    <row r="126" spans="1:22" x14ac:dyDescent="0.25">
      <c r="F126" t="s">
        <v>140</v>
      </c>
      <c r="I126" s="2">
        <f>SUM(I123:I125)</f>
        <v>26250.878146634688</v>
      </c>
      <c r="J126" s="2">
        <f t="shared" ref="J126:T126" si="11">SUM(J123:J125)</f>
        <v>290454453.65076858</v>
      </c>
      <c r="K126" s="2">
        <f t="shared" si="11"/>
        <v>290454453.65076858</v>
      </c>
      <c r="L126" s="2">
        <f t="shared" si="11"/>
        <v>11618178.146030754</v>
      </c>
      <c r="M126" s="2">
        <f t="shared" si="11"/>
        <v>90709.147413156606</v>
      </c>
      <c r="N126" s="2">
        <f t="shared" si="11"/>
        <v>2013540.0591060468</v>
      </c>
      <c r="O126" s="2">
        <f t="shared" si="11"/>
        <v>0</v>
      </c>
      <c r="P126" s="2">
        <f t="shared" si="11"/>
        <v>2104249.2065192037</v>
      </c>
      <c r="Q126" s="2">
        <f t="shared" si="11"/>
        <v>13937278.317866247</v>
      </c>
      <c r="R126" s="2">
        <f t="shared" si="11"/>
        <v>262794747.98035246</v>
      </c>
      <c r="S126" s="2">
        <f t="shared" si="11"/>
        <v>19346897.194069766</v>
      </c>
      <c r="T126" s="2">
        <f t="shared" si="11"/>
        <v>243447850.78628263</v>
      </c>
      <c r="V126" s="3">
        <f>SUM(V123:V125)</f>
        <v>12169672.496198799</v>
      </c>
    </row>
    <row r="127" spans="1:22" x14ac:dyDescent="0.25">
      <c r="I127" s="2"/>
      <c r="J127" s="2"/>
      <c r="K127" s="2"/>
      <c r="L127" s="2"/>
      <c r="P127" s="2"/>
      <c r="Q127" s="2"/>
      <c r="R127" s="2"/>
      <c r="S127" s="2"/>
      <c r="T127" s="2"/>
    </row>
    <row r="128" spans="1:22" x14ac:dyDescent="0.25">
      <c r="F128" t="s">
        <v>125</v>
      </c>
      <c r="I128" s="2">
        <f t="shared" ref="I128:T128" si="12">SUMIFS(I$3:I$114,$A$3:$A$114,"0",$C$3:$C$114,"01")</f>
        <v>27067.578205376372</v>
      </c>
      <c r="J128" s="2">
        <f t="shared" si="12"/>
        <v>459520057.18724746</v>
      </c>
      <c r="K128" s="2">
        <f t="shared" si="12"/>
        <v>295055227.45194978</v>
      </c>
      <c r="L128" s="2">
        <f t="shared" si="12"/>
        <v>11802209.098077999</v>
      </c>
      <c r="M128" s="2">
        <f t="shared" si="12"/>
        <v>95006.950488753791</v>
      </c>
      <c r="N128" s="2">
        <f t="shared" si="12"/>
        <v>924687.11804037727</v>
      </c>
      <c r="O128" s="2">
        <f t="shared" si="12"/>
        <v>21956.571584743899</v>
      </c>
      <c r="P128" s="2">
        <f t="shared" si="12"/>
        <v>1041650.6401138754</v>
      </c>
      <c r="Q128" s="2">
        <f t="shared" si="12"/>
        <v>22381142.05693404</v>
      </c>
      <c r="R128" s="2">
        <f t="shared" si="12"/>
        <v>424295055.39212167</v>
      </c>
      <c r="S128" s="2">
        <f t="shared" si="12"/>
        <v>23055969.080179986</v>
      </c>
      <c r="T128" s="2">
        <f t="shared" si="12"/>
        <v>401239086.3119415</v>
      </c>
    </row>
    <row r="129" spans="6:20" x14ac:dyDescent="0.25">
      <c r="F129" t="s">
        <v>126</v>
      </c>
      <c r="I129" s="2">
        <f t="shared" ref="I129:T129" si="13">SUMIFS(I$3:I$114,$A$3:$A$114,"1",$C$3:$C$114,"01")</f>
        <v>4255.1531222210324</v>
      </c>
      <c r="J129" s="2">
        <f t="shared" si="13"/>
        <v>56510631.11332678</v>
      </c>
      <c r="K129" s="2">
        <f t="shared" si="13"/>
        <v>47275668.435002103</v>
      </c>
      <c r="L129" s="2">
        <f t="shared" si="13"/>
        <v>1891026.7374000843</v>
      </c>
      <c r="M129" s="2">
        <f t="shared" si="13"/>
        <v>2319.5019142791298</v>
      </c>
      <c r="N129" s="2">
        <f t="shared" si="13"/>
        <v>291788.76254195604</v>
      </c>
      <c r="O129" s="2">
        <f t="shared" si="13"/>
        <v>0</v>
      </c>
      <c r="P129" s="2">
        <f t="shared" si="13"/>
        <v>294108.26445623516</v>
      </c>
      <c r="Q129" s="2">
        <f t="shared" si="13"/>
        <v>2730864.243700623</v>
      </c>
      <c r="R129" s="2">
        <f t="shared" si="13"/>
        <v>51594631.867769927</v>
      </c>
      <c r="S129" s="2">
        <f t="shared" si="13"/>
        <v>2807193.8107318664</v>
      </c>
      <c r="T129" s="2">
        <f t="shared" si="13"/>
        <v>48787438.057037979</v>
      </c>
    </row>
    <row r="130" spans="6:20" x14ac:dyDescent="0.25">
      <c r="F130" t="s">
        <v>127</v>
      </c>
      <c r="I130" s="2">
        <f t="shared" ref="I130:T130" si="14">SUMIFS(I$3:I$114,$A$3:$A$114,"2",$C$3:$C$114,"01")</f>
        <v>3606.5030008304248</v>
      </c>
      <c r="J130" s="2">
        <f t="shared" si="14"/>
        <v>45163079.847671904</v>
      </c>
      <c r="K130" s="2">
        <f t="shared" si="14"/>
        <v>40188154.803439945</v>
      </c>
      <c r="L130" s="2">
        <f t="shared" si="14"/>
        <v>1607526.1921375983</v>
      </c>
      <c r="M130" s="2">
        <f t="shared" si="14"/>
        <v>34446.582212990201</v>
      </c>
      <c r="N130" s="2">
        <f t="shared" si="14"/>
        <v>824899.76699508762</v>
      </c>
      <c r="O130" s="2">
        <f t="shared" si="14"/>
        <v>0</v>
      </c>
      <c r="P130" s="2">
        <f t="shared" si="14"/>
        <v>859346.34920807777</v>
      </c>
      <c r="Q130" s="2">
        <f t="shared" si="14"/>
        <v>2176055.3536660639</v>
      </c>
      <c r="R130" s="2">
        <f t="shared" si="14"/>
        <v>40520151.952660143</v>
      </c>
      <c r="S130" s="2">
        <f t="shared" si="14"/>
        <v>2483734.3031579102</v>
      </c>
      <c r="T130" s="2">
        <f t="shared" si="14"/>
        <v>38036417.649502262</v>
      </c>
    </row>
    <row r="131" spans="6:20" x14ac:dyDescent="0.25">
      <c r="F131" t="s">
        <v>139</v>
      </c>
      <c r="I131" s="2">
        <f>SUM(I128:I130)</f>
        <v>34929.234328427832</v>
      </c>
      <c r="J131" s="2">
        <f t="shared" ref="J131:T131" si="15">SUM(J128:J130)</f>
        <v>561193768.14824617</v>
      </c>
      <c r="K131" s="2">
        <f t="shared" si="15"/>
        <v>382519050.69039178</v>
      </c>
      <c r="L131" s="2">
        <f t="shared" si="15"/>
        <v>15300762.027615683</v>
      </c>
      <c r="M131" s="2">
        <f t="shared" si="15"/>
        <v>131773.03461602313</v>
      </c>
      <c r="N131" s="2">
        <f t="shared" si="15"/>
        <v>2041375.6475774208</v>
      </c>
      <c r="O131" s="2">
        <f t="shared" si="15"/>
        <v>21956.571584743899</v>
      </c>
      <c r="P131" s="2">
        <f t="shared" si="15"/>
        <v>2195105.2537781885</v>
      </c>
      <c r="Q131" s="2">
        <f t="shared" si="15"/>
        <v>27288061.654300727</v>
      </c>
      <c r="R131" s="2">
        <f t="shared" si="15"/>
        <v>516409839.21255177</v>
      </c>
      <c r="S131" s="2">
        <f t="shared" si="15"/>
        <v>28346897.194069762</v>
      </c>
      <c r="T131" s="2">
        <f t="shared" si="15"/>
        <v>488062942.01848173</v>
      </c>
    </row>
    <row r="132" spans="6:20" x14ac:dyDescent="0.25">
      <c r="I132" s="2"/>
      <c r="J132" s="2"/>
      <c r="K132" s="2"/>
      <c r="L132" s="2"/>
      <c r="P132" s="2"/>
      <c r="Q132" s="2"/>
      <c r="R132" s="2"/>
      <c r="S132" s="2"/>
      <c r="T132" s="2"/>
    </row>
    <row r="133" spans="6:20" x14ac:dyDescent="0.25">
      <c r="F133" t="s">
        <v>128</v>
      </c>
      <c r="I133" s="2">
        <f>+I118-I128</f>
        <v>11259.442421177348</v>
      </c>
      <c r="J133" s="2">
        <f t="shared" ref="J133:T135" si="16">+J118-J128</f>
        <v>230365040.02800614</v>
      </c>
      <c r="K133" s="2">
        <f t="shared" si="16"/>
        <v>165886821.17824006</v>
      </c>
      <c r="L133" s="2">
        <f t="shared" si="16"/>
        <v>6635472.8471296076</v>
      </c>
      <c r="M133" s="2">
        <f t="shared" si="16"/>
        <v>3857900.4907236733</v>
      </c>
      <c r="N133" s="2">
        <f t="shared" si="16"/>
        <v>28210318.038492389</v>
      </c>
      <c r="O133" s="2">
        <f t="shared" si="16"/>
        <v>47274333.806504063</v>
      </c>
      <c r="P133" s="2">
        <f t="shared" si="16"/>
        <v>79342552.335720226</v>
      </c>
      <c r="Q133" s="2">
        <f t="shared" si="16"/>
        <v>10993583.334507637</v>
      </c>
      <c r="R133" s="2">
        <f t="shared" si="16"/>
        <v>133393431.51064801</v>
      </c>
      <c r="S133" s="2">
        <f t="shared" si="16"/>
        <v>0</v>
      </c>
      <c r="T133" s="2">
        <f t="shared" si="16"/>
        <v>133393431.51064819</v>
      </c>
    </row>
    <row r="134" spans="6:20" x14ac:dyDescent="0.25">
      <c r="F134" t="s">
        <v>129</v>
      </c>
      <c r="I134" s="2">
        <f t="shared" ref="I134:R135" si="17">+I119-I129</f>
        <v>301.27122823235095</v>
      </c>
      <c r="J134" s="2">
        <f t="shared" si="17"/>
        <v>5232704.8935830221</v>
      </c>
      <c r="K134" s="2">
        <f t="shared" si="17"/>
        <v>4979245.2854792103</v>
      </c>
      <c r="L134" s="2">
        <f t="shared" si="17"/>
        <v>199169.81141916779</v>
      </c>
      <c r="M134" s="2">
        <f t="shared" si="16"/>
        <v>0</v>
      </c>
      <c r="N134" s="2">
        <f t="shared" si="16"/>
        <v>89143.384599872283</v>
      </c>
      <c r="O134" s="2">
        <f t="shared" si="16"/>
        <v>20387.806290041801</v>
      </c>
      <c r="P134" s="2">
        <f t="shared" si="17"/>
        <v>109531.19088991405</v>
      </c>
      <c r="Q134" s="2">
        <f t="shared" si="17"/>
        <v>251676.75410819286</v>
      </c>
      <c r="R134" s="2">
        <f t="shared" si="17"/>
        <v>4672327.1371657625</v>
      </c>
      <c r="S134" s="2">
        <f t="shared" si="16"/>
        <v>0</v>
      </c>
      <c r="T134" s="2">
        <f t="shared" si="16"/>
        <v>4672327.137165755</v>
      </c>
    </row>
    <row r="135" spans="6:20" x14ac:dyDescent="0.25">
      <c r="F135" t="s">
        <v>130</v>
      </c>
      <c r="I135" s="2">
        <f t="shared" si="17"/>
        <v>489.02686523393322</v>
      </c>
      <c r="J135" s="2">
        <f t="shared" si="17"/>
        <v>9245815.0447210819</v>
      </c>
      <c r="K135" s="2">
        <f t="shared" si="17"/>
        <v>7916861.0091960132</v>
      </c>
      <c r="L135" s="2">
        <f t="shared" si="17"/>
        <v>316674.44036784186</v>
      </c>
      <c r="M135" s="2">
        <f t="shared" si="16"/>
        <v>85792.858779090981</v>
      </c>
      <c r="N135" s="2">
        <f t="shared" si="16"/>
        <v>37441.734923071694</v>
      </c>
      <c r="O135" s="2">
        <f t="shared" si="16"/>
        <v>166008.61494974399</v>
      </c>
      <c r="P135" s="2">
        <f t="shared" si="17"/>
        <v>289243.20865190669</v>
      </c>
      <c r="Q135" s="2">
        <f t="shared" si="17"/>
        <v>442167.38727870816</v>
      </c>
      <c r="R135" s="2">
        <f t="shared" si="17"/>
        <v>8197730.0084226504</v>
      </c>
      <c r="S135" s="2">
        <f t="shared" si="16"/>
        <v>0</v>
      </c>
      <c r="T135" s="2">
        <f t="shared" si="16"/>
        <v>8197730.0084226504</v>
      </c>
    </row>
    <row r="136" spans="6:20" x14ac:dyDescent="0.25">
      <c r="F136" t="s">
        <v>138</v>
      </c>
      <c r="I136" s="2">
        <f>SUM(I133:I135)</f>
        <v>12049.740514643632</v>
      </c>
      <c r="J136" s="2">
        <f t="shared" ref="J136:T136" si="18">SUM(J133:J135)</f>
        <v>244843559.96631026</v>
      </c>
      <c r="K136" s="2">
        <f t="shared" si="18"/>
        <v>178782927.47291529</v>
      </c>
      <c r="L136" s="2">
        <f t="shared" si="18"/>
        <v>7151317.0989166172</v>
      </c>
      <c r="M136" s="2">
        <f t="shared" si="18"/>
        <v>3943693.3495027642</v>
      </c>
      <c r="N136" s="2">
        <f t="shared" si="18"/>
        <v>28336903.158015333</v>
      </c>
      <c r="O136" s="2">
        <f t="shared" si="18"/>
        <v>47460730.227743849</v>
      </c>
      <c r="P136" s="2">
        <f t="shared" si="18"/>
        <v>79741326.735262036</v>
      </c>
      <c r="Q136" s="2">
        <f t="shared" si="18"/>
        <v>11687427.475894537</v>
      </c>
      <c r="R136" s="2">
        <f t="shared" si="18"/>
        <v>146263488.65623641</v>
      </c>
      <c r="S136" s="2">
        <f t="shared" si="18"/>
        <v>0</v>
      </c>
      <c r="T136" s="2">
        <f t="shared" si="18"/>
        <v>146263488.65623659</v>
      </c>
    </row>
    <row r="137" spans="6:20" x14ac:dyDescent="0.25">
      <c r="I137" s="3"/>
      <c r="J137" s="3"/>
      <c r="K137" s="3"/>
      <c r="L137" s="3"/>
      <c r="P137" s="3"/>
      <c r="Q137" s="3"/>
      <c r="R137"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7"/>
  <sheetViews>
    <sheetView topLeftCell="G107" zoomScale="114" workbookViewId="0">
      <selection activeCell="K110" sqref="K110"/>
    </sheetView>
  </sheetViews>
  <sheetFormatPr defaultColWidth="8.85546875" defaultRowHeight="15" x14ac:dyDescent="0.25"/>
  <cols>
    <col min="6" max="6" width="44.140625" customWidth="1"/>
    <col min="7" max="7" width="13.42578125" customWidth="1"/>
    <col min="8" max="8" width="11.42578125" customWidth="1"/>
    <col min="9" max="9" width="9.7109375" bestFit="1" customWidth="1"/>
    <col min="10" max="11" width="13.85546875" bestFit="1" customWidth="1"/>
    <col min="12" max="12" width="12.140625" bestFit="1" customWidth="1"/>
    <col min="13" max="15" width="12.140625" style="2" customWidth="1"/>
    <col min="16" max="17" width="12.85546875" bestFit="1" customWidth="1"/>
    <col min="18" max="18" width="13.85546875" bestFit="1" customWidth="1"/>
    <col min="19" max="19" width="11.28515625" customWidth="1"/>
    <col min="20" max="20" width="11.42578125" bestFit="1" customWidth="1"/>
  </cols>
  <sheetData>
    <row r="1" spans="1:21" x14ac:dyDescent="0.25">
      <c r="A1" t="s">
        <v>308</v>
      </c>
    </row>
    <row r="2" spans="1:21" x14ac:dyDescent="0.25">
      <c r="A2" t="s">
        <v>100</v>
      </c>
      <c r="B2" t="s">
        <v>101</v>
      </c>
      <c r="C2" t="s">
        <v>102</v>
      </c>
      <c r="D2" t="s">
        <v>169</v>
      </c>
      <c r="E2" s="1" t="s">
        <v>103</v>
      </c>
      <c r="F2" s="1" t="s">
        <v>104</v>
      </c>
      <c r="G2" s="1" t="s">
        <v>105</v>
      </c>
      <c r="H2" s="1" t="s">
        <v>106</v>
      </c>
      <c r="I2" s="1" t="s">
        <v>114</v>
      </c>
      <c r="J2" s="1" t="s">
        <v>116</v>
      </c>
      <c r="K2" s="1" t="s">
        <v>115</v>
      </c>
      <c r="L2" s="1" t="s">
        <v>117</v>
      </c>
      <c r="M2" s="2" t="s">
        <v>131</v>
      </c>
      <c r="N2" s="2" t="s">
        <v>132</v>
      </c>
      <c r="O2" s="2" t="s">
        <v>133</v>
      </c>
      <c r="P2" s="1" t="s">
        <v>113</v>
      </c>
      <c r="Q2" s="1" t="s">
        <v>118</v>
      </c>
      <c r="R2" s="1" t="s">
        <v>119</v>
      </c>
      <c r="S2" s="1" t="s">
        <v>143</v>
      </c>
      <c r="T2" s="1" t="s">
        <v>144</v>
      </c>
    </row>
    <row r="3" spans="1:21" x14ac:dyDescent="0.25">
      <c r="A3" t="s">
        <v>0</v>
      </c>
      <c r="B3" t="s">
        <v>1</v>
      </c>
      <c r="C3" t="s">
        <v>1</v>
      </c>
      <c r="D3" t="s">
        <v>1</v>
      </c>
      <c r="E3" t="s">
        <v>3</v>
      </c>
      <c r="F3" t="s">
        <v>2</v>
      </c>
      <c r="G3" t="s">
        <v>2</v>
      </c>
      <c r="H3" t="s">
        <v>4</v>
      </c>
      <c r="I3" s="2">
        <f>+FY16Calc!I3*(1+FTE!H4)</f>
        <v>19054.472302063699</v>
      </c>
      <c r="J3" s="2">
        <f>+FY16Calc!J3*(1+OpFee!H4)*(1+FTE!H4)</f>
        <v>178603742.59176421</v>
      </c>
      <c r="K3" s="2">
        <f>+FY16Calc!K3*(1+OpFee!S4)*(1+FTE!H4)</f>
        <v>178601116.10476267</v>
      </c>
      <c r="L3" s="2">
        <f>0.04*K3</f>
        <v>7144044.644190507</v>
      </c>
      <c r="M3" s="2">
        <f>+FY16Calc!M3*(1+OpFee!H4)*(1+FTE!H4)</f>
        <v>77510.81801224059</v>
      </c>
      <c r="N3" s="2">
        <f>+FY16Calc!N3*(1+FTE!H4)*(1+OpFee!S4)</f>
        <v>769363.39633597177</v>
      </c>
      <c r="O3" s="2">
        <f>+FY16Calc!O3*(1+FTE!H4)*(1+OpFee!T4)</f>
        <v>0</v>
      </c>
      <c r="P3" s="2">
        <f>+M3+N3+O3</f>
        <v>846874.21434821235</v>
      </c>
      <c r="Q3" s="132">
        <f>0.05*(J3-L3-P3)</f>
        <v>8530641.1866612732</v>
      </c>
      <c r="R3" s="2">
        <f>+J3-L3-P3-Q3</f>
        <v>162082182.54656419</v>
      </c>
      <c r="S3" s="2">
        <f>$U$3*I3</f>
        <v>11936674.173627803</v>
      </c>
      <c r="T3" s="3">
        <f t="shared" ref="T3:T44" si="0">+J3-L3-P3-Q3-S3</f>
        <v>150145508.3729364</v>
      </c>
      <c r="U3" s="46">
        <f>737*0.85</f>
        <v>626.44999999999993</v>
      </c>
    </row>
    <row r="4" spans="1:21" x14ac:dyDescent="0.25">
      <c r="A4" t="s">
        <v>0</v>
      </c>
      <c r="B4" t="s">
        <v>1</v>
      </c>
      <c r="C4" t="s">
        <v>1</v>
      </c>
      <c r="D4" t="s">
        <v>1</v>
      </c>
      <c r="E4" t="s">
        <v>5</v>
      </c>
      <c r="F4" t="s">
        <v>2</v>
      </c>
      <c r="G4" t="s">
        <v>2</v>
      </c>
      <c r="H4" t="s">
        <v>6</v>
      </c>
      <c r="I4" s="2">
        <f>+FY16Calc!I4*(1+FTE!H5)</f>
        <v>8132.5161006227399</v>
      </c>
      <c r="J4" s="2">
        <f>+FY16Calc!J4*(1+OpFee!H5)*(1+FTE!H5)</f>
        <v>258504433.69789529</v>
      </c>
      <c r="K4" s="2">
        <f>+FY16Calc!K4*(1+OpFee!S5)*(1+FTE!H5)</f>
        <v>73253945.393952683</v>
      </c>
      <c r="L4" s="2">
        <f t="shared" ref="L4:L67" si="1">0.04*K4</f>
        <v>2930157.8157581072</v>
      </c>
      <c r="M4" s="2">
        <f>+FY16Calc!M4*(1+OpFee!H5)*(1+FTE!H5)</f>
        <v>4466.1346515806918</v>
      </c>
      <c r="N4" s="2">
        <f>+FY16Calc!N4*(1+FTE!H5)*(1+OpFee!S5)</f>
        <v>14867.812389217843</v>
      </c>
      <c r="O4" s="2">
        <f>+FY16Calc!O4*(1+FTE!H5)*(1+OpFee!T5)</f>
        <v>24776.279696070138</v>
      </c>
      <c r="P4" s="2">
        <f t="shared" ref="P4:P67" si="2">+M4+N4+O4</f>
        <v>44110.226736868673</v>
      </c>
      <c r="Q4" s="2">
        <f t="shared" ref="Q4:Q67" si="3">0.05*(J4-L4-P4)</f>
        <v>12776508.282770015</v>
      </c>
      <c r="R4" s="2">
        <f t="shared" ref="R4:R67" si="4">+J4-L4-P4-Q4</f>
        <v>242753657.3726303</v>
      </c>
      <c r="S4" s="2">
        <v>12000000</v>
      </c>
      <c r="T4" s="3">
        <f t="shared" si="0"/>
        <v>230753657.3726303</v>
      </c>
    </row>
    <row r="5" spans="1:21" x14ac:dyDescent="0.25">
      <c r="A5" t="s">
        <v>0</v>
      </c>
      <c r="B5" t="s">
        <v>8</v>
      </c>
      <c r="C5" t="s">
        <v>1</v>
      </c>
      <c r="D5" t="s">
        <v>1</v>
      </c>
      <c r="E5" t="s">
        <v>3</v>
      </c>
      <c r="F5" t="s">
        <v>51</v>
      </c>
      <c r="G5" t="s">
        <v>2</v>
      </c>
      <c r="H5" t="s">
        <v>4</v>
      </c>
      <c r="I5" s="2">
        <f>+FY16Calc!I5*(1+FTE!H6)</f>
        <v>117.39890577889</v>
      </c>
      <c r="J5" s="2">
        <f>+FY16Calc!J5*(1+OpFee!H6)*(1+FTE!H6)</f>
        <v>1103763.8885469881</v>
      </c>
      <c r="K5" s="2">
        <f>+FY16Calc!K5*(1+OpFee!S6)*(1+FTE!H6)</f>
        <v>1103747.6569637975</v>
      </c>
      <c r="L5" s="2">
        <f t="shared" si="1"/>
        <v>44149.906278551898</v>
      </c>
      <c r="M5" s="2">
        <f>+FY16Calc!M5*(1+OpFee!H6)*(1+FTE!H6)</f>
        <v>0</v>
      </c>
      <c r="N5" s="2">
        <f>+FY16Calc!N5*(1+FTE!H6)*(1+OpFee!S6)</f>
        <v>6073.1193837308501</v>
      </c>
      <c r="O5" s="2">
        <f>+FY16Calc!O5*(1+FTE!H6)*(1+OpFee!T6)</f>
        <v>0</v>
      </c>
      <c r="P5" s="2">
        <f t="shared" si="2"/>
        <v>6073.1193837308501</v>
      </c>
      <c r="Q5" s="2">
        <f t="shared" si="3"/>
        <v>52677.043144235271</v>
      </c>
      <c r="R5" s="2">
        <f t="shared" si="4"/>
        <v>1000863.8197404701</v>
      </c>
      <c r="S5" s="2">
        <f>$U$3*I5</f>
        <v>73544.544525185629</v>
      </c>
      <c r="T5" s="3">
        <f t="shared" si="0"/>
        <v>927319.27521528455</v>
      </c>
    </row>
    <row r="6" spans="1:21" x14ac:dyDescent="0.25">
      <c r="A6" t="s">
        <v>0</v>
      </c>
      <c r="B6" t="s">
        <v>8</v>
      </c>
      <c r="C6" t="s">
        <v>1</v>
      </c>
      <c r="D6" t="s">
        <v>1</v>
      </c>
      <c r="E6" t="s">
        <v>5</v>
      </c>
      <c r="F6" t="s">
        <v>51</v>
      </c>
      <c r="G6" t="s">
        <v>2</v>
      </c>
      <c r="H6" t="s">
        <v>6</v>
      </c>
      <c r="I6" s="2">
        <f>+FY16Calc!I6*(1+FTE!H7)</f>
        <v>13.190896911045</v>
      </c>
      <c r="J6" s="2">
        <f>+FY16Calc!J6*(1+OpFee!H7)*(1+FTE!H7)</f>
        <v>454732.8418545695</v>
      </c>
      <c r="K6" s="2">
        <f>+FY16Calc!K6*(1+OpFee!S7)*(1+FTE!H7)</f>
        <v>128856.04439897899</v>
      </c>
      <c r="L6" s="2">
        <f t="shared" si="1"/>
        <v>5154.2417759591599</v>
      </c>
      <c r="M6" s="2">
        <f>+FY16Calc!M6*(1+OpFee!H7)*(1+FTE!H7)</f>
        <v>0</v>
      </c>
      <c r="N6" s="2">
        <f>+FY16Calc!N6*(1+FTE!H7)*(1+OpFee!S7)</f>
        <v>0</v>
      </c>
      <c r="O6" s="2">
        <f>+FY16Calc!O6*(1+FTE!H7)*(1+OpFee!T7)</f>
        <v>0</v>
      </c>
      <c r="P6" s="2">
        <f t="shared" si="2"/>
        <v>0</v>
      </c>
      <c r="Q6" s="2">
        <f t="shared" si="3"/>
        <v>22478.93000393052</v>
      </c>
      <c r="R6" s="2">
        <f t="shared" si="4"/>
        <v>427099.67007467983</v>
      </c>
      <c r="T6" s="3">
        <f t="shared" si="0"/>
        <v>427099.67007467983</v>
      </c>
    </row>
    <row r="7" spans="1:21" x14ac:dyDescent="0.25">
      <c r="A7" t="s">
        <v>0</v>
      </c>
      <c r="B7" t="s">
        <v>13</v>
      </c>
      <c r="C7" t="s">
        <v>8</v>
      </c>
      <c r="D7" s="102" t="s">
        <v>7</v>
      </c>
      <c r="E7" t="s">
        <v>3</v>
      </c>
      <c r="F7" t="s">
        <v>9</v>
      </c>
      <c r="G7" t="s">
        <v>9</v>
      </c>
      <c r="H7" t="s">
        <v>4</v>
      </c>
      <c r="I7" s="2">
        <f>+FY16Calc!I7*(1+FTE!H8)</f>
        <v>855.02113685670099</v>
      </c>
      <c r="J7" s="2">
        <f>+FY16Calc!J7*(1+OpFee!H8)*(1+FTE!H8)</f>
        <v>11563738.516017601</v>
      </c>
      <c r="K7" s="2">
        <f>+FY16Calc!K7*(1+OpFee!S8)*(1+FTE!H8)</f>
        <v>11563738.516017601</v>
      </c>
      <c r="L7" s="2">
        <f t="shared" si="1"/>
        <v>462549.54064070404</v>
      </c>
      <c r="M7" s="2">
        <f>+FY16Calc!M7*(1+OpFee!H8)*(1+FTE!H8)</f>
        <v>9359.1312202289992</v>
      </c>
      <c r="N7" s="2">
        <f>+FY16Calc!N7*(1+FTE!H8)*(1+OpFee!S8)</f>
        <v>4275516.1787826596</v>
      </c>
      <c r="O7" s="2">
        <f>+FY16Calc!O7*(1+FTE!H8)*(1+OpFee!T8)</f>
        <v>0</v>
      </c>
      <c r="P7" s="2">
        <f t="shared" si="2"/>
        <v>4284875.3100028886</v>
      </c>
      <c r="Q7" s="2">
        <f t="shared" si="3"/>
        <v>340815.68326870044</v>
      </c>
      <c r="R7" s="2">
        <f t="shared" si="4"/>
        <v>6475497.9821053073</v>
      </c>
      <c r="T7" s="3">
        <f t="shared" si="0"/>
        <v>6475497.9821053073</v>
      </c>
    </row>
    <row r="8" spans="1:21" x14ac:dyDescent="0.25">
      <c r="A8" t="s">
        <v>0</v>
      </c>
      <c r="B8" t="s">
        <v>13</v>
      </c>
      <c r="C8" t="s">
        <v>8</v>
      </c>
      <c r="D8" s="102" t="s">
        <v>7</v>
      </c>
      <c r="E8" t="s">
        <v>5</v>
      </c>
      <c r="F8" t="s">
        <v>9</v>
      </c>
      <c r="G8" t="s">
        <v>9</v>
      </c>
      <c r="H8" t="s">
        <v>6</v>
      </c>
      <c r="I8" s="2">
        <f>+FY16Calc!I8*(1+FTE!H9)</f>
        <v>2146.4276774873902</v>
      </c>
      <c r="J8" s="2">
        <f>+FY16Calc!J8*(1+OpFee!H9)*(1+FTE!H9)</f>
        <v>50113968.033094503</v>
      </c>
      <c r="K8" s="2">
        <f>+FY16Calc!K8*(1+OpFee!S9)*(1+FTE!H9)</f>
        <v>28106108.608674198</v>
      </c>
      <c r="L8" s="2">
        <f t="shared" si="1"/>
        <v>1124244.344346968</v>
      </c>
      <c r="M8" s="2">
        <f>+FY16Calc!M8*(1+OpFee!H9)*(1+FTE!H9)</f>
        <v>901330.73139266204</v>
      </c>
      <c r="N8" s="2">
        <f>+FY16Calc!N8*(1+FTE!H9)*(1+OpFee!S9)</f>
        <v>13688304.269144</v>
      </c>
      <c r="O8" s="2">
        <f>+FY16Calc!O8*(1+FTE!H9)*(1+OpFee!T9)</f>
        <v>19969997.615480799</v>
      </c>
      <c r="P8" s="2">
        <f t="shared" si="2"/>
        <v>34559632.616017461</v>
      </c>
      <c r="Q8" s="2">
        <f t="shared" si="3"/>
        <v>721504.55363650364</v>
      </c>
      <c r="R8" s="2">
        <f t="shared" si="4"/>
        <v>13708586.519093568</v>
      </c>
      <c r="T8" s="3">
        <f t="shared" si="0"/>
        <v>13708586.519093568</v>
      </c>
    </row>
    <row r="9" spans="1:21" x14ac:dyDescent="0.25">
      <c r="A9" t="s">
        <v>0</v>
      </c>
      <c r="B9" t="s">
        <v>10</v>
      </c>
      <c r="C9" t="s">
        <v>7</v>
      </c>
      <c r="D9" s="102" t="s">
        <v>10</v>
      </c>
      <c r="E9" t="s">
        <v>3</v>
      </c>
      <c r="F9" t="s">
        <v>11</v>
      </c>
      <c r="G9" t="s">
        <v>11</v>
      </c>
      <c r="H9" t="s">
        <v>4</v>
      </c>
      <c r="I9" s="2">
        <f>+FY16Calc!I9*(1+FTE!H10)</f>
        <v>96.216342277454402</v>
      </c>
      <c r="J9" s="2">
        <f>+FY16Calc!J9*(1+OpFee!H10)*(1+FTE!H10)</f>
        <v>1120920.72157535</v>
      </c>
      <c r="K9" s="2">
        <f>+FY16Calc!K9*(1+OpFee!S10)*(1+FTE!H10)</f>
        <v>1120920.72157535</v>
      </c>
      <c r="L9" s="2">
        <f t="shared" si="1"/>
        <v>44836.828863014001</v>
      </c>
      <c r="M9" s="2">
        <f>+FY16Calc!M9*(1+OpFee!H10)*(1+FTE!H10)</f>
        <v>0</v>
      </c>
      <c r="N9" s="2">
        <f>+FY16Calc!N9*(1+FTE!H10)*(1+OpFee!S10)</f>
        <v>112300.672744044</v>
      </c>
      <c r="O9" s="2">
        <f>+FY16Calc!O9*(1+FTE!H10)*(1+OpFee!T10)</f>
        <v>0</v>
      </c>
      <c r="P9" s="2">
        <f t="shared" si="2"/>
        <v>112300.672744044</v>
      </c>
      <c r="Q9" s="2">
        <f t="shared" si="3"/>
        <v>48189.160998414605</v>
      </c>
      <c r="R9" s="2">
        <f t="shared" si="4"/>
        <v>915594.05896987743</v>
      </c>
      <c r="T9" s="3">
        <f t="shared" si="0"/>
        <v>915594.05896987743</v>
      </c>
    </row>
    <row r="10" spans="1:21" x14ac:dyDescent="0.25">
      <c r="A10" t="s">
        <v>0</v>
      </c>
      <c r="B10" t="s">
        <v>10</v>
      </c>
      <c r="C10" t="s">
        <v>7</v>
      </c>
      <c r="D10" s="102" t="s">
        <v>10</v>
      </c>
      <c r="E10" t="s">
        <v>5</v>
      </c>
      <c r="F10" t="s">
        <v>11</v>
      </c>
      <c r="G10" t="s">
        <v>11</v>
      </c>
      <c r="H10" t="s">
        <v>6</v>
      </c>
      <c r="I10" s="2">
        <f>+FY16Calc!I10*(1+FTE!H11)</f>
        <v>68.832847388375498</v>
      </c>
      <c r="J10" s="2">
        <f>+FY16Calc!J10*(1+OpFee!H11)*(1+FTE!H11)</f>
        <v>1403713.14406548</v>
      </c>
      <c r="K10" s="2">
        <f>+FY16Calc!K10*(1+OpFee!S11)*(1+FTE!H11)</f>
        <v>790404.65237811999</v>
      </c>
      <c r="L10" s="2">
        <f t="shared" si="1"/>
        <v>31616.186095124802</v>
      </c>
      <c r="M10" s="2">
        <f>+FY16Calc!M10*(1+OpFee!H11)*(1+FTE!H11)</f>
        <v>94945.325070939507</v>
      </c>
      <c r="N10" s="2">
        <f>+FY16Calc!N10*(1+FTE!H11)*(1+OpFee!S11)</f>
        <v>149638.108387905</v>
      </c>
      <c r="O10" s="2">
        <f>+FY16Calc!O10*(1+FTE!H11)*(1+OpFee!T11)</f>
        <v>254951.03009809199</v>
      </c>
      <c r="P10" s="2">
        <f t="shared" si="2"/>
        <v>499534.46355693648</v>
      </c>
      <c r="Q10" s="2">
        <f t="shared" si="3"/>
        <v>43628.124720670938</v>
      </c>
      <c r="R10" s="2">
        <f t="shared" si="4"/>
        <v>828934.36969274771</v>
      </c>
      <c r="T10" s="3">
        <f t="shared" si="0"/>
        <v>828934.36969274771</v>
      </c>
    </row>
    <row r="11" spans="1:21" x14ac:dyDescent="0.25">
      <c r="A11" t="s">
        <v>0</v>
      </c>
      <c r="B11" t="s">
        <v>7</v>
      </c>
      <c r="C11" t="s">
        <v>13</v>
      </c>
      <c r="D11" s="102" t="s">
        <v>12</v>
      </c>
      <c r="E11" t="s">
        <v>3</v>
      </c>
      <c r="F11" t="s">
        <v>52</v>
      </c>
      <c r="G11" t="s">
        <v>14</v>
      </c>
      <c r="H11" t="s">
        <v>4</v>
      </c>
      <c r="I11" s="2">
        <f>+FY16Calc!I11*(1+FTE!H12)</f>
        <v>3.8997671110910899</v>
      </c>
      <c r="J11" s="2">
        <f>+FY16Calc!J11*(1+OpFee!H12)*(1+FTE!H12)</f>
        <v>63969.166414283209</v>
      </c>
      <c r="K11" s="2">
        <f>+FY16Calc!K11*(1+OpFee!S12)*(1+FTE!H12)</f>
        <v>63969.322341942789</v>
      </c>
      <c r="L11" s="2">
        <f t="shared" si="1"/>
        <v>2558.7728936777116</v>
      </c>
      <c r="M11" s="2">
        <f>+FY16Calc!M11*(1+OpFee!H12)*(1+FTE!H12)</f>
        <v>0</v>
      </c>
      <c r="N11" s="2">
        <f>+FY16Calc!N11*(1+FTE!H12)*(1+OpFee!S12)</f>
        <v>0</v>
      </c>
      <c r="O11" s="2">
        <f>+FY16Calc!O11*(1+FTE!H12)*(1+OpFee!T12)</f>
        <v>0</v>
      </c>
      <c r="P11" s="2">
        <f t="shared" si="2"/>
        <v>0</v>
      </c>
      <c r="Q11" s="2">
        <f t="shared" si="3"/>
        <v>3070.5196760302751</v>
      </c>
      <c r="R11" s="2">
        <f t="shared" si="4"/>
        <v>58339.873844575224</v>
      </c>
      <c r="T11" s="3">
        <f t="shared" si="0"/>
        <v>58339.873844575224</v>
      </c>
    </row>
    <row r="12" spans="1:21" x14ac:dyDescent="0.25">
      <c r="A12" t="s">
        <v>0</v>
      </c>
      <c r="B12" t="s">
        <v>7</v>
      </c>
      <c r="C12" t="s">
        <v>13</v>
      </c>
      <c r="D12" s="102" t="s">
        <v>12</v>
      </c>
      <c r="E12" t="s">
        <v>5</v>
      </c>
      <c r="F12" t="s">
        <v>52</v>
      </c>
      <c r="G12" t="s">
        <v>14</v>
      </c>
      <c r="H12" t="s">
        <v>6</v>
      </c>
      <c r="I12" s="2">
        <f>+FY16Calc!I12*(1+FTE!H13)</f>
        <v>2.70333266665244</v>
      </c>
      <c r="J12" s="2">
        <f>+FY16Calc!J12*(1+OpFee!H13)*(1+FTE!H13)</f>
        <v>68929.190425518565</v>
      </c>
      <c r="K12" s="2">
        <f>+FY16Calc!K12*(1+OpFee!S13)*(1+FTE!H13)</f>
        <v>38871.827848312634</v>
      </c>
      <c r="L12" s="2">
        <f t="shared" si="1"/>
        <v>1554.8731139325055</v>
      </c>
      <c r="M12" s="2">
        <f>+FY16Calc!M12*(1+OpFee!H13)*(1+FTE!H13)</f>
        <v>0</v>
      </c>
      <c r="N12" s="2">
        <f>+FY16Calc!N12*(1+FTE!H13)*(1+OpFee!S13)</f>
        <v>0</v>
      </c>
      <c r="O12" s="2">
        <f>+FY16Calc!O12*(1+FTE!H13)*(1+OpFee!T13)</f>
        <v>0</v>
      </c>
      <c r="P12" s="2">
        <f t="shared" si="2"/>
        <v>0</v>
      </c>
      <c r="Q12" s="2">
        <f t="shared" si="3"/>
        <v>3368.7158655793028</v>
      </c>
      <c r="R12" s="2">
        <f t="shared" si="4"/>
        <v>64005.601446006753</v>
      </c>
      <c r="T12" s="3">
        <f t="shared" si="0"/>
        <v>64005.601446006753</v>
      </c>
    </row>
    <row r="13" spans="1:21" x14ac:dyDescent="0.25">
      <c r="A13" t="s">
        <v>0</v>
      </c>
      <c r="B13" t="s">
        <v>16</v>
      </c>
      <c r="C13" t="s">
        <v>13</v>
      </c>
      <c r="D13" s="102" t="s">
        <v>12</v>
      </c>
      <c r="E13" t="s">
        <v>3</v>
      </c>
      <c r="F13" t="s">
        <v>14</v>
      </c>
      <c r="G13" t="s">
        <v>14</v>
      </c>
      <c r="H13" t="s">
        <v>4</v>
      </c>
      <c r="I13" s="2">
        <f>+FY16Calc!I13*(1+FTE!H14)</f>
        <v>251.51916879739099</v>
      </c>
      <c r="J13" s="2">
        <f>+FY16Calc!J13*(1+OpFee!H14)*(1+FTE!H14)</f>
        <v>3903745.1056304364</v>
      </c>
      <c r="K13" s="2">
        <f>+FY16Calc!K13*(1+OpFee!S14)*(1+FTE!H14)</f>
        <v>3903754.6211810056</v>
      </c>
      <c r="L13" s="2">
        <f t="shared" si="1"/>
        <v>156150.18484724022</v>
      </c>
      <c r="M13" s="2">
        <f>+FY16Calc!M13*(1+OpFee!H14)*(1+FTE!H14)</f>
        <v>15770.664262335171</v>
      </c>
      <c r="N13" s="2">
        <f>+FY16Calc!N13*(1+FTE!H14)*(1+OpFee!S14)</f>
        <v>909471.23956207384</v>
      </c>
      <c r="O13" s="2">
        <f>+FY16Calc!O13*(1+FTE!H14)*(1+OpFee!T14)</f>
        <v>0</v>
      </c>
      <c r="P13" s="2">
        <f t="shared" si="2"/>
        <v>925241.903824409</v>
      </c>
      <c r="Q13" s="2">
        <f t="shared" si="3"/>
        <v>141117.65084793937</v>
      </c>
      <c r="R13" s="2">
        <f t="shared" si="4"/>
        <v>2681235.3661108478</v>
      </c>
      <c r="T13" s="3">
        <f t="shared" si="0"/>
        <v>2681235.3661108478</v>
      </c>
    </row>
    <row r="14" spans="1:21" x14ac:dyDescent="0.25">
      <c r="A14" t="s">
        <v>0</v>
      </c>
      <c r="B14" t="s">
        <v>16</v>
      </c>
      <c r="C14" t="s">
        <v>13</v>
      </c>
      <c r="D14" s="102" t="s">
        <v>12</v>
      </c>
      <c r="E14" t="s">
        <v>5</v>
      </c>
      <c r="F14" t="s">
        <v>14</v>
      </c>
      <c r="G14" t="s">
        <v>14</v>
      </c>
      <c r="H14" t="s">
        <v>6</v>
      </c>
      <c r="I14" s="2">
        <f>+FY16Calc!I14*(1+FTE!H15)</f>
        <v>931.65973368175798</v>
      </c>
      <c r="J14" s="2">
        <f>+FY16Calc!J14*(1+OpFee!H15)*(1+FTE!H15)</f>
        <v>23473012.795382939</v>
      </c>
      <c r="K14" s="2">
        <f>+FY16Calc!K14*(1+OpFee!S15)*(1+FTE!H15)</f>
        <v>13238382.666400045</v>
      </c>
      <c r="L14" s="2">
        <f t="shared" si="1"/>
        <v>529535.30665600183</v>
      </c>
      <c r="M14" s="2">
        <f>+FY16Calc!M14*(1+OpFee!H15)*(1+FTE!H15)</f>
        <v>268852.31887737149</v>
      </c>
      <c r="N14" s="2">
        <f>+FY16Calc!N14*(1+FTE!H15)*(1+OpFee!S15)</f>
        <v>3202536.6356596188</v>
      </c>
      <c r="O14" s="2">
        <f>+FY16Calc!O14*(1+FTE!H15)*(1+OpFee!T15)</f>
        <v>9027591.2820272967</v>
      </c>
      <c r="P14" s="2">
        <f t="shared" si="2"/>
        <v>12498980.236564286</v>
      </c>
      <c r="Q14" s="2">
        <f t="shared" si="3"/>
        <v>522224.86260813253</v>
      </c>
      <c r="R14" s="2">
        <f t="shared" si="4"/>
        <v>9922272.3895545173</v>
      </c>
      <c r="T14" s="3">
        <f t="shared" si="0"/>
        <v>9922272.3895545173</v>
      </c>
    </row>
    <row r="15" spans="1:21" x14ac:dyDescent="0.25">
      <c r="A15" t="s">
        <v>0</v>
      </c>
      <c r="B15" t="s">
        <v>47</v>
      </c>
      <c r="C15" t="s">
        <v>16</v>
      </c>
      <c r="D15" s="102" t="s">
        <v>15</v>
      </c>
      <c r="E15" t="s">
        <v>3</v>
      </c>
      <c r="F15" t="s">
        <v>53</v>
      </c>
      <c r="G15" t="s">
        <v>17</v>
      </c>
      <c r="H15" t="s">
        <v>4</v>
      </c>
      <c r="I15" s="2">
        <f>+FY16Calc!I15*(1+FTE!H16)</f>
        <v>146.43536024887999</v>
      </c>
      <c r="J15" s="2">
        <f>+FY16Calc!J15*(1+OpFee!H16)*(1+FTE!H16)</f>
        <v>1970249.18079025</v>
      </c>
      <c r="K15" s="2">
        <f>+FY16Calc!K15*(1+OpFee!S16)*(1+FTE!H16)</f>
        <v>1970249.18079025</v>
      </c>
      <c r="L15" s="2">
        <f t="shared" si="1"/>
        <v>78809.967231610004</v>
      </c>
      <c r="M15" s="2">
        <f>+FY16Calc!M15*(1+OpFee!H16)*(1+FTE!H16)</f>
        <v>0</v>
      </c>
      <c r="N15" s="2">
        <f>+FY16Calc!N15*(1+FTE!H16)*(1+OpFee!S16)</f>
        <v>402762.86085513199</v>
      </c>
      <c r="O15" s="2">
        <f>+FY16Calc!O15*(1+FTE!H16)*(1+OpFee!T16)</f>
        <v>0</v>
      </c>
      <c r="P15" s="2">
        <f t="shared" si="2"/>
        <v>402762.86085513199</v>
      </c>
      <c r="Q15" s="2">
        <f t="shared" si="3"/>
        <v>74433.817635175408</v>
      </c>
      <c r="R15" s="2">
        <f t="shared" si="4"/>
        <v>1414242.5350683327</v>
      </c>
      <c r="T15" s="3">
        <f t="shared" si="0"/>
        <v>1414242.5350683327</v>
      </c>
    </row>
    <row r="16" spans="1:21" x14ac:dyDescent="0.25">
      <c r="A16" t="s">
        <v>0</v>
      </c>
      <c r="B16" t="s">
        <v>47</v>
      </c>
      <c r="C16" t="s">
        <v>16</v>
      </c>
      <c r="D16" s="102" t="s">
        <v>15</v>
      </c>
      <c r="E16" t="s">
        <v>5</v>
      </c>
      <c r="F16" t="s">
        <v>53</v>
      </c>
      <c r="G16" t="s">
        <v>17</v>
      </c>
      <c r="H16" t="s">
        <v>6</v>
      </c>
      <c r="I16" s="2">
        <f>+FY16Calc!I16*(1+FTE!H17)</f>
        <v>332.822979941759</v>
      </c>
      <c r="J16" s="2">
        <f>+FY16Calc!J16*(1+OpFee!H17)*(1+FTE!H17)</f>
        <v>7122549.6898300601</v>
      </c>
      <c r="K16" s="2">
        <f>+FY16Calc!K16*(1+OpFee!S17)*(1+FTE!H17)</f>
        <v>4010546.4207832799</v>
      </c>
      <c r="L16" s="2">
        <f t="shared" si="1"/>
        <v>160421.85683133121</v>
      </c>
      <c r="M16" s="2">
        <f>+FY16Calc!M16*(1+OpFee!H17)*(1+FTE!H17)</f>
        <v>61731.047832293298</v>
      </c>
      <c r="N16" s="2">
        <f>+FY16Calc!N16*(1+FTE!H17)*(1+OpFee!S17)</f>
        <v>823620.57677203405</v>
      </c>
      <c r="O16" s="2">
        <f>+FY16Calc!O16*(1+FTE!H17)*(1+OpFee!T17)</f>
        <v>2703292.6007957701</v>
      </c>
      <c r="P16" s="2">
        <f t="shared" si="2"/>
        <v>3588644.2254000977</v>
      </c>
      <c r="Q16" s="2">
        <f t="shared" si="3"/>
        <v>168674.18037993158</v>
      </c>
      <c r="R16" s="2">
        <f t="shared" si="4"/>
        <v>3204809.4272186998</v>
      </c>
      <c r="T16" s="3">
        <f t="shared" si="0"/>
        <v>3204809.4272186998</v>
      </c>
    </row>
    <row r="17" spans="1:20" x14ac:dyDescent="0.25">
      <c r="A17" t="s">
        <v>0</v>
      </c>
      <c r="B17" t="s">
        <v>54</v>
      </c>
      <c r="C17" t="s">
        <v>16</v>
      </c>
      <c r="D17" s="102" t="s">
        <v>15</v>
      </c>
      <c r="E17" t="s">
        <v>3</v>
      </c>
      <c r="F17" t="s">
        <v>55</v>
      </c>
      <c r="G17" t="s">
        <v>17</v>
      </c>
      <c r="H17" t="s">
        <v>4</v>
      </c>
      <c r="I17" s="2">
        <f>+FY16Calc!I17*(1+FTE!H18)</f>
        <v>14.7137724998206</v>
      </c>
      <c r="J17" s="2">
        <f>+FY16Calc!J17*(1+OpFee!H18)*(1+FTE!H18)</f>
        <v>228949.710870604</v>
      </c>
      <c r="K17" s="2">
        <f>+FY16Calc!K17*(1+OpFee!S18)*(1+FTE!H18)</f>
        <v>228949.710870604</v>
      </c>
      <c r="L17" s="2">
        <f t="shared" si="1"/>
        <v>9157.9884348241594</v>
      </c>
      <c r="M17" s="2">
        <f>+FY16Calc!M17*(1+OpFee!H18)*(1+FTE!H18)</f>
        <v>0</v>
      </c>
      <c r="N17" s="2">
        <f>+FY16Calc!N17*(1+FTE!H18)*(1+OpFee!S18)</f>
        <v>24640.1123040167</v>
      </c>
      <c r="O17" s="2">
        <f>+FY16Calc!O17*(1+FTE!H18)*(1+OpFee!T18)</f>
        <v>0</v>
      </c>
      <c r="P17" s="2">
        <f t="shared" si="2"/>
        <v>24640.1123040167</v>
      </c>
      <c r="Q17" s="2">
        <f t="shared" si="3"/>
        <v>9757.5805065881577</v>
      </c>
      <c r="R17" s="2">
        <f t="shared" si="4"/>
        <v>185394.029625175</v>
      </c>
      <c r="T17" s="3">
        <f t="shared" si="0"/>
        <v>185394.029625175</v>
      </c>
    </row>
    <row r="18" spans="1:20" x14ac:dyDescent="0.25">
      <c r="A18" t="s">
        <v>0</v>
      </c>
      <c r="B18" t="s">
        <v>54</v>
      </c>
      <c r="C18" t="s">
        <v>16</v>
      </c>
      <c r="D18" s="102" t="s">
        <v>15</v>
      </c>
      <c r="E18" t="s">
        <v>5</v>
      </c>
      <c r="F18" t="s">
        <v>55</v>
      </c>
      <c r="G18" t="s">
        <v>17</v>
      </c>
      <c r="H18" t="s">
        <v>6</v>
      </c>
      <c r="I18" s="2">
        <f>+FY16Calc!I18*(1+FTE!H19)</f>
        <v>9.8182370443354703</v>
      </c>
      <c r="J18" s="2">
        <f>+FY16Calc!J18*(1+OpFee!H19)*(1+FTE!H19)</f>
        <v>263548.63884112402</v>
      </c>
      <c r="K18" s="2">
        <f>+FY16Calc!K18*(1+OpFee!S19)*(1+FTE!H19)</f>
        <v>148402.886666782</v>
      </c>
      <c r="L18" s="2">
        <f t="shared" si="1"/>
        <v>5936.11546667128</v>
      </c>
      <c r="M18" s="2">
        <f>+FY16Calc!M18*(1+OpFee!H19)*(1+FTE!H19)</f>
        <v>0</v>
      </c>
      <c r="N18" s="2">
        <f>+FY16Calc!N18*(1+FTE!H19)*(1+OpFee!S19)</f>
        <v>21092.0570800901</v>
      </c>
      <c r="O18" s="2">
        <f>+FY16Calc!O18*(1+FTE!H19)*(1+OpFee!T19)</f>
        <v>16369.7529759394</v>
      </c>
      <c r="P18" s="2">
        <f t="shared" si="2"/>
        <v>37461.810056029499</v>
      </c>
      <c r="Q18" s="2">
        <f t="shared" si="3"/>
        <v>11007.535665921163</v>
      </c>
      <c r="R18" s="2">
        <f t="shared" si="4"/>
        <v>209143.17765250208</v>
      </c>
      <c r="T18" s="3">
        <f t="shared" si="0"/>
        <v>209143.17765250208</v>
      </c>
    </row>
    <row r="19" spans="1:20" x14ac:dyDescent="0.25">
      <c r="A19" t="s">
        <v>0</v>
      </c>
      <c r="B19" t="s">
        <v>31</v>
      </c>
      <c r="C19" t="s">
        <v>12</v>
      </c>
      <c r="D19" s="102" t="s">
        <v>18</v>
      </c>
      <c r="E19" t="s">
        <v>3</v>
      </c>
      <c r="F19" t="s">
        <v>56</v>
      </c>
      <c r="G19" t="s">
        <v>19</v>
      </c>
      <c r="H19" t="s">
        <v>4</v>
      </c>
      <c r="I19" s="2">
        <f>+FY16Calc!I19*(1+FTE!H20)</f>
        <v>330.12867185360199</v>
      </c>
      <c r="J19" s="2">
        <f>+FY16Calc!J19*(1+OpFee!H20)*(1+FTE!H20)</f>
        <v>3701973.2775338911</v>
      </c>
      <c r="K19" s="2">
        <f>+FY16Calc!K19*(1+OpFee!S20)*(1+FTE!H20)</f>
        <v>3701966.0897154524</v>
      </c>
      <c r="L19" s="2">
        <f t="shared" si="1"/>
        <v>148078.64358861811</v>
      </c>
      <c r="M19" s="2">
        <f>+FY16Calc!M19*(1+OpFee!H20)*(1+FTE!H20)</f>
        <v>0</v>
      </c>
      <c r="N19" s="2">
        <f>+FY16Calc!N19*(1+FTE!H20)*(1+OpFee!S20)</f>
        <v>263260.01142462535</v>
      </c>
      <c r="O19" s="2">
        <f>+FY16Calc!O19*(1+FTE!H20)*(1+OpFee!T20)</f>
        <v>0</v>
      </c>
      <c r="P19" s="2">
        <f t="shared" si="2"/>
        <v>263260.01142462535</v>
      </c>
      <c r="Q19" s="2">
        <f t="shared" si="3"/>
        <v>164531.73112603242</v>
      </c>
      <c r="R19" s="2">
        <f t="shared" si="4"/>
        <v>3126102.8913946156</v>
      </c>
      <c r="T19" s="3">
        <f t="shared" si="0"/>
        <v>3126102.8913946156</v>
      </c>
    </row>
    <row r="20" spans="1:20" x14ac:dyDescent="0.25">
      <c r="A20" t="s">
        <v>0</v>
      </c>
      <c r="B20" t="s">
        <v>31</v>
      </c>
      <c r="C20" t="s">
        <v>12</v>
      </c>
      <c r="D20" s="102" t="s">
        <v>18</v>
      </c>
      <c r="E20" t="s">
        <v>5</v>
      </c>
      <c r="F20" t="s">
        <v>56</v>
      </c>
      <c r="G20" t="s">
        <v>19</v>
      </c>
      <c r="H20" t="s">
        <v>6</v>
      </c>
      <c r="I20" s="2">
        <f>+FY16Calc!I20*(1+FTE!H21)</f>
        <v>88.103417165904901</v>
      </c>
      <c r="J20" s="2">
        <f>+FY16Calc!J20*(1+OpFee!H21)*(1+FTE!H21)</f>
        <v>1931437.6999290551</v>
      </c>
      <c r="K20" s="2">
        <f>+FY16Calc!K20*(1+OpFee!S21)*(1+FTE!H21)</f>
        <v>1047181.9713522031</v>
      </c>
      <c r="L20" s="2">
        <f t="shared" si="1"/>
        <v>41887.278854088123</v>
      </c>
      <c r="M20" s="2">
        <f>+FY16Calc!M20*(1+OpFee!H21)*(1+FTE!H21)</f>
        <v>59916.725399394229</v>
      </c>
      <c r="N20" s="2">
        <f>+FY16Calc!N20*(1+FTE!H21)*(1+OpFee!S21)</f>
        <v>110021.65608620085</v>
      </c>
      <c r="O20" s="2">
        <f>+FY16Calc!O20*(1+FTE!H21)*(1+OpFee!T21)</f>
        <v>309684.82826811931</v>
      </c>
      <c r="P20" s="2">
        <f t="shared" si="2"/>
        <v>479623.20975371439</v>
      </c>
      <c r="Q20" s="2">
        <f t="shared" si="3"/>
        <v>70496.36056606262</v>
      </c>
      <c r="R20" s="2">
        <f t="shared" si="4"/>
        <v>1339430.8507551898</v>
      </c>
      <c r="T20" s="3">
        <f t="shared" si="0"/>
        <v>1339430.8507551898</v>
      </c>
    </row>
    <row r="21" spans="1:20" x14ac:dyDescent="0.25">
      <c r="A21" t="s">
        <v>0</v>
      </c>
      <c r="B21" t="s">
        <v>57</v>
      </c>
      <c r="C21" t="s">
        <v>12</v>
      </c>
      <c r="D21" s="102" t="s">
        <v>18</v>
      </c>
      <c r="E21" t="s">
        <v>3</v>
      </c>
      <c r="F21" t="s">
        <v>58</v>
      </c>
      <c r="G21" t="s">
        <v>19</v>
      </c>
      <c r="H21" t="s">
        <v>4</v>
      </c>
      <c r="I21" s="2">
        <f>+FY16Calc!I21*(1+FTE!H22)</f>
        <v>122.13317516639199</v>
      </c>
      <c r="J21" s="2">
        <f>+FY16Calc!J21*(1+OpFee!H22)*(1+FTE!H22)</f>
        <v>1802173.9566261529</v>
      </c>
      <c r="K21" s="2">
        <f>+FY16Calc!K21*(1+OpFee!S22)*(1+FTE!H22)</f>
        <v>1802170.4574925224</v>
      </c>
      <c r="L21" s="2">
        <f t="shared" si="1"/>
        <v>72086.818299700899</v>
      </c>
      <c r="M21" s="2">
        <f>+FY16Calc!M21*(1+OpFee!H22)*(1+FTE!H22)</f>
        <v>0</v>
      </c>
      <c r="N21" s="2">
        <f>+FY16Calc!N21*(1+FTE!H22)*(1+OpFee!S22)</f>
        <v>522151.97250678722</v>
      </c>
      <c r="O21" s="2">
        <f>+FY16Calc!O21*(1+FTE!H22)*(1+OpFee!T22)</f>
        <v>0</v>
      </c>
      <c r="P21" s="2">
        <f t="shared" si="2"/>
        <v>522151.97250678722</v>
      </c>
      <c r="Q21" s="2">
        <f t="shared" si="3"/>
        <v>60396.758290983242</v>
      </c>
      <c r="R21" s="2">
        <f t="shared" si="4"/>
        <v>1147538.4075286814</v>
      </c>
      <c r="T21" s="3">
        <f t="shared" si="0"/>
        <v>1147538.4075286814</v>
      </c>
    </row>
    <row r="22" spans="1:20" x14ac:dyDescent="0.25">
      <c r="A22" t="s">
        <v>0</v>
      </c>
      <c r="B22" t="s">
        <v>57</v>
      </c>
      <c r="C22" t="s">
        <v>12</v>
      </c>
      <c r="D22" s="102" t="s">
        <v>18</v>
      </c>
      <c r="E22" t="s">
        <v>5</v>
      </c>
      <c r="F22" t="s">
        <v>58</v>
      </c>
      <c r="G22" t="s">
        <v>19</v>
      </c>
      <c r="H22" t="s">
        <v>6</v>
      </c>
      <c r="I22" s="2">
        <f>+FY16Calc!I22*(1+FTE!H23)</f>
        <v>90.127293333105001</v>
      </c>
      <c r="J22" s="2">
        <f>+FY16Calc!J22*(1+OpFee!H23)*(1+FTE!H23)</f>
        <v>2377151.4433647157</v>
      </c>
      <c r="K22" s="2">
        <f>+FY16Calc!K22*(1+OpFee!S23)*(1+FTE!H23)</f>
        <v>1288846.3367928809</v>
      </c>
      <c r="L22" s="2">
        <f t="shared" si="1"/>
        <v>51553.853471715236</v>
      </c>
      <c r="M22" s="2">
        <f>+FY16Calc!M22*(1+OpFee!H23)*(1+FTE!H23)</f>
        <v>122280.02944082502</v>
      </c>
      <c r="N22" s="2">
        <f>+FY16Calc!N22*(1+FTE!H23)*(1+OpFee!S23)</f>
        <v>495515.58583378023</v>
      </c>
      <c r="O22" s="2">
        <f>+FY16Calc!O22*(1+FTE!H23)*(1+OpFee!T23)</f>
        <v>917818.07708166505</v>
      </c>
      <c r="P22" s="2">
        <f t="shared" si="2"/>
        <v>1535613.6923562703</v>
      </c>
      <c r="Q22" s="2">
        <f t="shared" si="3"/>
        <v>39499.194876836496</v>
      </c>
      <c r="R22" s="2">
        <f t="shared" si="4"/>
        <v>750484.70265989343</v>
      </c>
      <c r="T22" s="3">
        <f t="shared" si="0"/>
        <v>750484.70265989343</v>
      </c>
    </row>
    <row r="23" spans="1:20" x14ac:dyDescent="0.25">
      <c r="A23" t="s">
        <v>0</v>
      </c>
      <c r="B23" t="s">
        <v>41</v>
      </c>
      <c r="C23" t="s">
        <v>15</v>
      </c>
      <c r="D23" s="102" t="s">
        <v>21</v>
      </c>
      <c r="E23" t="s">
        <v>3</v>
      </c>
      <c r="F23" t="s">
        <v>59</v>
      </c>
      <c r="G23" t="s">
        <v>22</v>
      </c>
      <c r="H23" t="s">
        <v>4</v>
      </c>
      <c r="I23" s="2">
        <f>+FY16Calc!I23*(1+FTE!H24)</f>
        <v>227.31430373215599</v>
      </c>
      <c r="J23" s="2">
        <f>+FY16Calc!J23*(1+OpFee!H24)*(1+FTE!H24)</f>
        <v>2930474.4017994725</v>
      </c>
      <c r="K23" s="2">
        <f>+FY16Calc!K23*(1+OpFee!S24)*(1+FTE!H24)</f>
        <v>2930392.2124654786</v>
      </c>
      <c r="L23" s="2">
        <f t="shared" si="1"/>
        <v>117215.68849861914</v>
      </c>
      <c r="M23" s="2">
        <f>+FY16Calc!M23*(1+OpFee!H24)*(1+FTE!H24)</f>
        <v>0</v>
      </c>
      <c r="N23" s="2">
        <f>+FY16Calc!N23*(1+FTE!H24)*(1+OpFee!S24)</f>
        <v>115232.91622972398</v>
      </c>
      <c r="O23" s="2">
        <f>+FY16Calc!O23*(1+FTE!H24)*(1+OpFee!T24)</f>
        <v>0</v>
      </c>
      <c r="P23" s="2">
        <f t="shared" si="2"/>
        <v>115232.91622972398</v>
      </c>
      <c r="Q23" s="2">
        <f t="shared" si="3"/>
        <v>134901.28985355649</v>
      </c>
      <c r="R23" s="2">
        <f t="shared" si="4"/>
        <v>2563124.507217573</v>
      </c>
      <c r="T23" s="3">
        <f t="shared" si="0"/>
        <v>2563124.507217573</v>
      </c>
    </row>
    <row r="24" spans="1:20" x14ac:dyDescent="0.25">
      <c r="A24" t="s">
        <v>0</v>
      </c>
      <c r="B24" t="s">
        <v>41</v>
      </c>
      <c r="C24" t="s">
        <v>15</v>
      </c>
      <c r="D24" s="102" t="s">
        <v>21</v>
      </c>
      <c r="E24" t="s">
        <v>5</v>
      </c>
      <c r="F24" t="s">
        <v>59</v>
      </c>
      <c r="G24" t="s">
        <v>22</v>
      </c>
      <c r="H24" t="s">
        <v>6</v>
      </c>
      <c r="I24" s="2">
        <f>+FY16Calc!I24*(1+FTE!H25)</f>
        <v>102.758176732753</v>
      </c>
      <c r="J24" s="2">
        <f>+FY16Calc!J24*(1+OpFee!H25)*(1+FTE!H25)</f>
        <v>2249159.2761816182</v>
      </c>
      <c r="K24" s="2">
        <f>+FY16Calc!K24*(1+OpFee!S25)*(1+FTE!H25)</f>
        <v>1316007.2153294645</v>
      </c>
      <c r="L24" s="2">
        <f t="shared" si="1"/>
        <v>52640.288613178585</v>
      </c>
      <c r="M24" s="2">
        <f>+FY16Calc!M24*(1+OpFee!H25)*(1+FTE!H25)</f>
        <v>0</v>
      </c>
      <c r="N24" s="2">
        <f>+FY16Calc!N24*(1+FTE!H25)*(1+OpFee!S25)</f>
        <v>17211.585983142151</v>
      </c>
      <c r="O24" s="2">
        <f>+FY16Calc!O24*(1+FTE!H25)*(1+OpFee!T25)</f>
        <v>73223.291549674876</v>
      </c>
      <c r="P24" s="2">
        <f t="shared" si="2"/>
        <v>90434.87753281703</v>
      </c>
      <c r="Q24" s="2">
        <f t="shared" si="3"/>
        <v>105304.20550178114</v>
      </c>
      <c r="R24" s="2">
        <f t="shared" si="4"/>
        <v>2000779.9045338414</v>
      </c>
      <c r="T24" s="3">
        <f t="shared" si="0"/>
        <v>2000779.9045338414</v>
      </c>
    </row>
    <row r="25" spans="1:20" x14ac:dyDescent="0.25">
      <c r="A25" t="s">
        <v>0</v>
      </c>
      <c r="B25" t="s">
        <v>60</v>
      </c>
      <c r="C25" t="s">
        <v>24</v>
      </c>
      <c r="D25" s="102" t="s">
        <v>23</v>
      </c>
      <c r="E25" t="s">
        <v>3</v>
      </c>
      <c r="F25" t="s">
        <v>61</v>
      </c>
      <c r="G25" t="s">
        <v>25</v>
      </c>
      <c r="H25" t="s">
        <v>4</v>
      </c>
      <c r="I25" s="2">
        <f>+FY16Calc!I25*(1+FTE!H26)</f>
        <v>118.957556998719</v>
      </c>
      <c r="J25" s="2">
        <f>+FY16Calc!J25*(1+OpFee!H26)*(1+FTE!H26)</f>
        <v>1845587.9800571431</v>
      </c>
      <c r="K25" s="2">
        <f>+FY16Calc!K25*(1+OpFee!S26)*(1+FTE!H26)</f>
        <v>1845566.3388008249</v>
      </c>
      <c r="L25" s="2">
        <f t="shared" si="1"/>
        <v>73822.653552032993</v>
      </c>
      <c r="M25" s="2">
        <f>+FY16Calc!M25*(1+OpFee!H26)*(1+FTE!H26)</f>
        <v>0</v>
      </c>
      <c r="N25" s="2">
        <f>+FY16Calc!N25*(1+FTE!H26)*(1+OpFee!S26)</f>
        <v>355387.69604815944</v>
      </c>
      <c r="O25" s="2">
        <f>+FY16Calc!O25*(1+FTE!H26)*(1+OpFee!T26)</f>
        <v>0</v>
      </c>
      <c r="P25" s="2">
        <f t="shared" si="2"/>
        <v>355387.69604815944</v>
      </c>
      <c r="Q25" s="2">
        <f t="shared" si="3"/>
        <v>70818.881522847543</v>
      </c>
      <c r="R25" s="2">
        <f t="shared" si="4"/>
        <v>1345558.7489341032</v>
      </c>
      <c r="T25" s="3">
        <f t="shared" si="0"/>
        <v>1345558.7489341032</v>
      </c>
    </row>
    <row r="26" spans="1:20" x14ac:dyDescent="0.25">
      <c r="A26" t="s">
        <v>0</v>
      </c>
      <c r="B26" t="s">
        <v>60</v>
      </c>
      <c r="C26" t="s">
        <v>24</v>
      </c>
      <c r="D26" s="102" t="s">
        <v>23</v>
      </c>
      <c r="E26" t="s">
        <v>5</v>
      </c>
      <c r="F26" t="s">
        <v>61</v>
      </c>
      <c r="G26" t="s">
        <v>25</v>
      </c>
      <c r="H26" t="s">
        <v>6</v>
      </c>
      <c r="I26" s="2">
        <f>+FY16Calc!I26*(1+FTE!H27)</f>
        <v>197.34850104713499</v>
      </c>
      <c r="J26" s="2">
        <f>+FY16Calc!J26*(1+OpFee!H27)*(1+FTE!H27)</f>
        <v>4952700.6357468301</v>
      </c>
      <c r="K26" s="2">
        <f>+FY16Calc!K26*(1+OpFee!S27)*(1+FTE!H27)</f>
        <v>2903219.4264160041</v>
      </c>
      <c r="L26" s="2">
        <f t="shared" si="1"/>
        <v>116128.77705664016</v>
      </c>
      <c r="M26" s="2">
        <f>+FY16Calc!M26*(1+OpFee!H27)*(1+FTE!H27)</f>
        <v>27722.842084270611</v>
      </c>
      <c r="N26" s="2">
        <f>+FY16Calc!N26*(1+FTE!H27)*(1+OpFee!S27)</f>
        <v>716804.16313974024</v>
      </c>
      <c r="O26" s="2">
        <f>+FY16Calc!O26*(1+FTE!H27)*(1+OpFee!T27)</f>
        <v>1814404.9235761529</v>
      </c>
      <c r="P26" s="2">
        <f t="shared" si="2"/>
        <v>2558931.9288001638</v>
      </c>
      <c r="Q26" s="2">
        <f t="shared" si="3"/>
        <v>113881.99649450132</v>
      </c>
      <c r="R26" s="2">
        <f t="shared" si="4"/>
        <v>2163757.933395525</v>
      </c>
      <c r="T26" s="3">
        <f t="shared" si="0"/>
        <v>2163757.933395525</v>
      </c>
    </row>
    <row r="27" spans="1:20" x14ac:dyDescent="0.25">
      <c r="A27" t="s">
        <v>0</v>
      </c>
      <c r="B27" t="s">
        <v>62</v>
      </c>
      <c r="C27" t="s">
        <v>24</v>
      </c>
      <c r="D27" s="102" t="s">
        <v>23</v>
      </c>
      <c r="E27" t="s">
        <v>3</v>
      </c>
      <c r="F27" t="s">
        <v>63</v>
      </c>
      <c r="G27" t="s">
        <v>25</v>
      </c>
      <c r="H27" t="s">
        <v>4</v>
      </c>
      <c r="I27" s="2">
        <f>+FY16Calc!I27*(1+FTE!H28)</f>
        <v>4.8589519999722297</v>
      </c>
      <c r="J27" s="2">
        <f>+FY16Calc!J27*(1+OpFee!H28)*(1+FTE!H28)</f>
        <v>76339.742444125543</v>
      </c>
      <c r="K27" s="2">
        <f>+FY16Calc!K27*(1+OpFee!S28)*(1+FTE!H28)</f>
        <v>76338.847288786783</v>
      </c>
      <c r="L27" s="2">
        <f t="shared" si="1"/>
        <v>3053.5538915514712</v>
      </c>
      <c r="M27" s="2">
        <f>+FY16Calc!M27*(1+OpFee!H28)*(1+FTE!H28)</f>
        <v>0</v>
      </c>
      <c r="N27" s="2">
        <f>+FY16Calc!N27*(1+FTE!H28)*(1+OpFee!S28)</f>
        <v>54835.802920337199</v>
      </c>
      <c r="O27" s="2">
        <f>+FY16Calc!O27*(1+FTE!H28)*(1+OpFee!T28)</f>
        <v>0</v>
      </c>
      <c r="P27" s="2">
        <f t="shared" si="2"/>
        <v>54835.802920337199</v>
      </c>
      <c r="Q27" s="2">
        <f t="shared" si="3"/>
        <v>922.51928161184333</v>
      </c>
      <c r="R27" s="2">
        <f t="shared" si="4"/>
        <v>17527.866350625023</v>
      </c>
      <c r="T27" s="3">
        <f t="shared" si="0"/>
        <v>17527.866350625023</v>
      </c>
    </row>
    <row r="28" spans="1:20" x14ac:dyDescent="0.25">
      <c r="A28" t="s">
        <v>0</v>
      </c>
      <c r="B28" t="s">
        <v>62</v>
      </c>
      <c r="C28" t="s">
        <v>24</v>
      </c>
      <c r="D28" s="102" t="s">
        <v>23</v>
      </c>
      <c r="E28" t="s">
        <v>5</v>
      </c>
      <c r="F28" t="s">
        <v>63</v>
      </c>
      <c r="G28" t="s">
        <v>25</v>
      </c>
      <c r="H28" t="s">
        <v>6</v>
      </c>
      <c r="I28" s="2">
        <f>+FY16Calc!I28*(1+FTE!H29)</f>
        <v>15.2897505554691</v>
      </c>
      <c r="J28" s="2">
        <f>+FY16Calc!J28*(1+OpFee!H29)*(1+FTE!H29)</f>
        <v>300008.0326171178</v>
      </c>
      <c r="K28" s="2">
        <f>+FY16Calc!K28*(1+OpFee!S29)*(1+FTE!H29)</f>
        <v>175859.77396601858</v>
      </c>
      <c r="L28" s="2">
        <f t="shared" si="1"/>
        <v>7034.3909586407435</v>
      </c>
      <c r="M28" s="2">
        <f>+FY16Calc!M28*(1+OpFee!H29)*(1+FTE!H29)</f>
        <v>46206.014579322378</v>
      </c>
      <c r="N28" s="2">
        <f>+FY16Calc!N28*(1+FTE!H29)*(1+OpFee!S29)</f>
        <v>99230.026490898075</v>
      </c>
      <c r="O28" s="2">
        <f>+FY16Calc!O28*(1+FTE!H29)*(1+OpFee!T29)</f>
        <v>103420.44835405756</v>
      </c>
      <c r="P28" s="2">
        <f t="shared" si="2"/>
        <v>248856.48942427803</v>
      </c>
      <c r="Q28" s="2">
        <f t="shared" si="3"/>
        <v>2205.8576117099524</v>
      </c>
      <c r="R28" s="2">
        <f t="shared" si="4"/>
        <v>41911.294622489098</v>
      </c>
      <c r="T28" s="3">
        <f t="shared" si="0"/>
        <v>41911.294622489098</v>
      </c>
    </row>
    <row r="29" spans="1:20" x14ac:dyDescent="0.25">
      <c r="A29" t="s">
        <v>0</v>
      </c>
      <c r="B29" t="s">
        <v>26</v>
      </c>
      <c r="C29" t="s">
        <v>18</v>
      </c>
      <c r="D29" s="102" t="s">
        <v>26</v>
      </c>
      <c r="E29" t="s">
        <v>3</v>
      </c>
      <c r="F29" t="s">
        <v>64</v>
      </c>
      <c r="G29" t="s">
        <v>27</v>
      </c>
      <c r="H29" t="s">
        <v>4</v>
      </c>
      <c r="I29" s="2">
        <f>+FY16Calc!I29*(1+FTE!H30)</f>
        <v>63.828208570985701</v>
      </c>
      <c r="J29" s="2">
        <f>+FY16Calc!J29*(1+OpFee!H30)*(1+FTE!H30)</f>
        <v>822807.38366833865</v>
      </c>
      <c r="K29" s="2">
        <f>+FY16Calc!K29*(1+OpFee!S30)*(1+FTE!H30)</f>
        <v>822789.87470680836</v>
      </c>
      <c r="L29" s="2">
        <f t="shared" si="1"/>
        <v>32911.594988272336</v>
      </c>
      <c r="M29" s="2">
        <f>+FY16Calc!M29*(1+OpFee!H30)*(1+FTE!H30)</f>
        <v>0</v>
      </c>
      <c r="N29" s="2">
        <f>+FY16Calc!N29*(1+FTE!H30)*(1+OpFee!S30)</f>
        <v>72058.362405881751</v>
      </c>
      <c r="O29" s="2">
        <f>+FY16Calc!O29*(1+FTE!H30)*(1+OpFee!T30)</f>
        <v>0</v>
      </c>
      <c r="P29" s="2">
        <f t="shared" si="2"/>
        <v>72058.362405881751</v>
      </c>
      <c r="Q29" s="2">
        <f t="shared" si="3"/>
        <v>35891.871313709235</v>
      </c>
      <c r="R29" s="2">
        <f t="shared" si="4"/>
        <v>681945.55496047542</v>
      </c>
      <c r="T29" s="3">
        <f t="shared" si="0"/>
        <v>681945.55496047542</v>
      </c>
    </row>
    <row r="30" spans="1:20" x14ac:dyDescent="0.25">
      <c r="A30" t="s">
        <v>0</v>
      </c>
      <c r="B30" t="s">
        <v>26</v>
      </c>
      <c r="C30" t="s">
        <v>18</v>
      </c>
      <c r="D30" s="102" t="s">
        <v>26</v>
      </c>
      <c r="E30" t="s">
        <v>5</v>
      </c>
      <c r="F30" t="s">
        <v>64</v>
      </c>
      <c r="G30" t="s">
        <v>27</v>
      </c>
      <c r="H30" t="s">
        <v>6</v>
      </c>
      <c r="I30" s="2">
        <f>+FY16Calc!I30*(1+FTE!H31)</f>
        <v>99.680463375633494</v>
      </c>
      <c r="J30" s="2">
        <f>+FY16Calc!J30*(1+OpFee!H31)*(1+FTE!H31)</f>
        <v>2167983.8597772499</v>
      </c>
      <c r="K30" s="2">
        <f>+FY16Calc!K30*(1+OpFee!S31)*(1+FTE!H31)</f>
        <v>1251697.5727081262</v>
      </c>
      <c r="L30" s="2">
        <f t="shared" si="1"/>
        <v>50067.90290832505</v>
      </c>
      <c r="M30" s="2">
        <f>+FY16Calc!M30*(1+OpFee!H31)*(1+FTE!H31)</f>
        <v>385255.68738801999</v>
      </c>
      <c r="N30" s="2">
        <f>+FY16Calc!N30*(1+FTE!H31)*(1+OpFee!S31)</f>
        <v>187443.58178069576</v>
      </c>
      <c r="O30" s="2">
        <f>+FY16Calc!O30*(1+FTE!H31)*(1+OpFee!T31)</f>
        <v>357241.8936527191</v>
      </c>
      <c r="P30" s="2">
        <f t="shared" si="2"/>
        <v>929941.16282143479</v>
      </c>
      <c r="Q30" s="2">
        <f t="shared" si="3"/>
        <v>59398.739702374492</v>
      </c>
      <c r="R30" s="2">
        <f t="shared" si="4"/>
        <v>1128576.0543451153</v>
      </c>
      <c r="T30" s="3">
        <f t="shared" si="0"/>
        <v>1128576.0543451153</v>
      </c>
    </row>
    <row r="31" spans="1:20" x14ac:dyDescent="0.25">
      <c r="A31" t="s">
        <v>0</v>
      </c>
      <c r="B31" t="s">
        <v>38</v>
      </c>
      <c r="C31" t="s">
        <v>18</v>
      </c>
      <c r="D31" s="102" t="s">
        <v>26</v>
      </c>
      <c r="E31" t="s">
        <v>3</v>
      </c>
      <c r="F31" t="s">
        <v>65</v>
      </c>
      <c r="G31" t="s">
        <v>27</v>
      </c>
      <c r="H31" t="s">
        <v>4</v>
      </c>
      <c r="I31" s="2">
        <f>+FY16Calc!I31*(1+FTE!H32)</f>
        <v>39.608056899780699</v>
      </c>
      <c r="J31" s="2">
        <f>+FY16Calc!J31*(1+OpFee!H32)*(1+FTE!H32)</f>
        <v>635392.02245163196</v>
      </c>
      <c r="K31" s="2">
        <f>+FY16Calc!K31*(1+OpFee!S32)*(1+FTE!H32)</f>
        <v>635400.36651422572</v>
      </c>
      <c r="L31" s="2">
        <f t="shared" si="1"/>
        <v>25416.014660569028</v>
      </c>
      <c r="M31" s="2">
        <f>+FY16Calc!M31*(1+OpFee!H32)*(1+FTE!H32)</f>
        <v>0</v>
      </c>
      <c r="N31" s="2">
        <f>+FY16Calc!N31*(1+FTE!H32)*(1+OpFee!S32)</f>
        <v>115405.56190069013</v>
      </c>
      <c r="O31" s="2">
        <f>+FY16Calc!O31*(1+FTE!H32)*(1+OpFee!T32)</f>
        <v>0</v>
      </c>
      <c r="P31" s="2">
        <f t="shared" si="2"/>
        <v>115405.56190069013</v>
      </c>
      <c r="Q31" s="2">
        <f t="shared" si="3"/>
        <v>24728.52229451864</v>
      </c>
      <c r="R31" s="2">
        <f t="shared" si="4"/>
        <v>469841.92359585414</v>
      </c>
      <c r="T31" s="3">
        <f t="shared" si="0"/>
        <v>469841.92359585414</v>
      </c>
    </row>
    <row r="32" spans="1:20" x14ac:dyDescent="0.25">
      <c r="A32" t="s">
        <v>0</v>
      </c>
      <c r="B32" t="s">
        <v>38</v>
      </c>
      <c r="C32" t="s">
        <v>18</v>
      </c>
      <c r="D32" s="102" t="s">
        <v>26</v>
      </c>
      <c r="E32" t="s">
        <v>5</v>
      </c>
      <c r="F32" t="s">
        <v>65</v>
      </c>
      <c r="G32" t="s">
        <v>27</v>
      </c>
      <c r="H32" t="s">
        <v>6</v>
      </c>
      <c r="I32" s="2">
        <f>+FY16Calc!I32*(1+FTE!H33)</f>
        <v>36.902446844165603</v>
      </c>
      <c r="J32" s="2">
        <f>+FY16Calc!J32*(1+OpFee!H33)*(1+FTE!H33)</f>
        <v>951747.27752518898</v>
      </c>
      <c r="K32" s="2">
        <f>+FY16Calc!K32*(1+OpFee!S33)*(1+FTE!H33)</f>
        <v>534275.11657449976</v>
      </c>
      <c r="L32" s="2">
        <f t="shared" si="1"/>
        <v>21371.004662979991</v>
      </c>
      <c r="M32" s="2">
        <f>+FY16Calc!M32*(1+OpFee!H33)*(1+FTE!H33)</f>
        <v>92938.529538097093</v>
      </c>
      <c r="N32" s="2">
        <f>+FY16Calc!N32*(1+FTE!H33)*(1+OpFee!S33)</f>
        <v>173773.13810627582</v>
      </c>
      <c r="O32" s="2">
        <f>+FY16Calc!O32*(1+FTE!H33)*(1+OpFee!T33)</f>
        <v>277115.85750709206</v>
      </c>
      <c r="P32" s="2">
        <f t="shared" si="2"/>
        <v>543827.52515146497</v>
      </c>
      <c r="Q32" s="2">
        <f t="shared" si="3"/>
        <v>19327.437385537203</v>
      </c>
      <c r="R32" s="2">
        <f t="shared" si="4"/>
        <v>367221.31032520684</v>
      </c>
      <c r="T32" s="3">
        <f t="shared" si="0"/>
        <v>367221.31032520684</v>
      </c>
    </row>
    <row r="33" spans="1:21" x14ac:dyDescent="0.25">
      <c r="A33" t="s">
        <v>0</v>
      </c>
      <c r="B33" t="s">
        <v>21</v>
      </c>
      <c r="C33" t="s">
        <v>29</v>
      </c>
      <c r="D33" s="102" t="s">
        <v>28</v>
      </c>
      <c r="E33" t="s">
        <v>3</v>
      </c>
      <c r="F33" t="s">
        <v>66</v>
      </c>
      <c r="G33" t="s">
        <v>30</v>
      </c>
      <c r="H33" t="s">
        <v>4</v>
      </c>
      <c r="I33" s="2">
        <f>+FY16Calc!I33*(1+FTE!H34)</f>
        <v>98.279961666940494</v>
      </c>
      <c r="J33" s="2">
        <f>+FY16Calc!J33*(1+OpFee!H34)*(1+FTE!H34)</f>
        <v>1298161.3379792499</v>
      </c>
      <c r="K33" s="2">
        <f>+FY16Calc!K33*(1+OpFee!S34)*(1+FTE!H34)</f>
        <v>1298161.3379792499</v>
      </c>
      <c r="L33" s="2">
        <f t="shared" si="1"/>
        <v>51926.453519169998</v>
      </c>
      <c r="M33" s="2">
        <f>+FY16Calc!M33*(1+OpFee!H34)*(1+FTE!H34)</f>
        <v>0</v>
      </c>
      <c r="N33" s="2">
        <f>+FY16Calc!N33*(1+FTE!H34)*(1+OpFee!S34)</f>
        <v>13563.1537371211</v>
      </c>
      <c r="O33" s="2">
        <f>+FY16Calc!O33*(1+FTE!H34)*(1+OpFee!T34)</f>
        <v>0</v>
      </c>
      <c r="P33" s="2">
        <f t="shared" si="2"/>
        <v>13563.1537371211</v>
      </c>
      <c r="Q33" s="2">
        <f t="shared" si="3"/>
        <v>61633.586536147952</v>
      </c>
      <c r="R33" s="2">
        <f t="shared" si="4"/>
        <v>1171038.1441868111</v>
      </c>
      <c r="T33" s="3">
        <f t="shared" si="0"/>
        <v>1171038.1441868111</v>
      </c>
    </row>
    <row r="34" spans="1:21" x14ac:dyDescent="0.25">
      <c r="A34" t="s">
        <v>0</v>
      </c>
      <c r="B34" t="s">
        <v>21</v>
      </c>
      <c r="C34" t="s">
        <v>29</v>
      </c>
      <c r="D34" s="102" t="s">
        <v>28</v>
      </c>
      <c r="E34" t="s">
        <v>5</v>
      </c>
      <c r="F34" t="s">
        <v>66</v>
      </c>
      <c r="G34" t="s">
        <v>30</v>
      </c>
      <c r="H34" t="s">
        <v>6</v>
      </c>
      <c r="I34" s="2">
        <f>+FY16Calc!I34*(1+FTE!H35)</f>
        <v>121.07415676694799</v>
      </c>
      <c r="J34" s="2">
        <f>+FY16Calc!J34*(1+OpFee!H35)*(1+FTE!H35)</f>
        <v>3239367.7488024901</v>
      </c>
      <c r="K34" s="2">
        <f>+FY16Calc!K34*(1+OpFee!S35)*(1+FTE!H35)</f>
        <v>1546319.3296684001</v>
      </c>
      <c r="L34" s="2">
        <f t="shared" si="1"/>
        <v>61852.773186736005</v>
      </c>
      <c r="M34" s="2">
        <f>+FY16Calc!M34*(1+OpFee!H35)*(1+FTE!H35)</f>
        <v>24992.2457114555</v>
      </c>
      <c r="N34" s="2">
        <f>+FY16Calc!N34*(1+FTE!H35)*(1+OpFee!S35)</f>
        <v>41355.811614643899</v>
      </c>
      <c r="O34" s="2">
        <f>+FY16Calc!O34*(1+FTE!H35)*(1+OpFee!T35)</f>
        <v>336364.28912979801</v>
      </c>
      <c r="P34" s="2">
        <f t="shared" si="2"/>
        <v>402712.34645589744</v>
      </c>
      <c r="Q34" s="2">
        <f t="shared" si="3"/>
        <v>138740.13145799283</v>
      </c>
      <c r="R34" s="2">
        <f t="shared" si="4"/>
        <v>2636062.4977018638</v>
      </c>
      <c r="T34" s="3">
        <f t="shared" si="0"/>
        <v>2636062.4977018638</v>
      </c>
    </row>
    <row r="35" spans="1:21" x14ac:dyDescent="0.25">
      <c r="A35" t="s">
        <v>0</v>
      </c>
      <c r="B35" t="s">
        <v>37</v>
      </c>
      <c r="C35" t="s">
        <v>29</v>
      </c>
      <c r="D35" s="102" t="s">
        <v>28</v>
      </c>
      <c r="E35" t="s">
        <v>3</v>
      </c>
      <c r="F35" t="s">
        <v>67</v>
      </c>
      <c r="G35" t="s">
        <v>30</v>
      </c>
      <c r="H35" t="s">
        <v>4</v>
      </c>
      <c r="I35" s="2">
        <f>+FY16Calc!I35*(1+FTE!H36)</f>
        <v>63.448812777856801</v>
      </c>
      <c r="J35" s="2">
        <f>+FY16Calc!J35*(1+OpFee!H36)*(1+FTE!H36)</f>
        <v>812462.18180515303</v>
      </c>
      <c r="K35" s="2">
        <f>+FY16Calc!K35*(1+OpFee!S36)*(1+FTE!H36)</f>
        <v>812462.18180515303</v>
      </c>
      <c r="L35" s="2">
        <f t="shared" si="1"/>
        <v>32498.487272206123</v>
      </c>
      <c r="M35" s="2">
        <f>+FY16Calc!M35*(1+OpFee!H36)*(1+FTE!H36)</f>
        <v>5237.0833042094901</v>
      </c>
      <c r="N35" s="2">
        <f>+FY16Calc!N35*(1+FTE!H36)*(1+OpFee!S36)</f>
        <v>35897.760817715702</v>
      </c>
      <c r="O35" s="2">
        <f>+FY16Calc!O35*(1+FTE!H36)*(1+OpFee!T36)</f>
        <v>0</v>
      </c>
      <c r="P35" s="2">
        <f t="shared" si="2"/>
        <v>41134.844121925191</v>
      </c>
      <c r="Q35" s="2">
        <f t="shared" si="3"/>
        <v>36941.442520551085</v>
      </c>
      <c r="R35" s="2">
        <f t="shared" si="4"/>
        <v>701887.4078904707</v>
      </c>
      <c r="T35" s="3">
        <f t="shared" si="0"/>
        <v>701887.4078904707</v>
      </c>
    </row>
    <row r="36" spans="1:21" x14ac:dyDescent="0.25">
      <c r="A36" t="s">
        <v>0</v>
      </c>
      <c r="B36" t="s">
        <v>37</v>
      </c>
      <c r="C36" t="s">
        <v>29</v>
      </c>
      <c r="D36" s="102" t="s">
        <v>28</v>
      </c>
      <c r="E36" t="s">
        <v>5</v>
      </c>
      <c r="F36" t="s">
        <v>67</v>
      </c>
      <c r="G36" t="s">
        <v>30</v>
      </c>
      <c r="H36" t="s">
        <v>6</v>
      </c>
      <c r="I36" s="2">
        <f>+FY16Calc!I36*(1+FTE!H37)</f>
        <v>129.745700600178</v>
      </c>
      <c r="J36" s="2">
        <f>+FY16Calc!J36*(1+OpFee!H37)*(1+FTE!H37)</f>
        <v>2772615.1857583602</v>
      </c>
      <c r="K36" s="2">
        <f>+FY16Calc!K36*(1+OpFee!S37)*(1+FTE!H37)</f>
        <v>1564880.19630424</v>
      </c>
      <c r="L36" s="2">
        <f t="shared" si="1"/>
        <v>62595.207852169602</v>
      </c>
      <c r="M36" s="2">
        <f>+FY16Calc!M36*(1+OpFee!H37)*(1+FTE!H37)</f>
        <v>160255.68237540801</v>
      </c>
      <c r="N36" s="2">
        <f>+FY16Calc!N36*(1+FTE!H37)*(1+OpFee!S37)</f>
        <v>22341.0475039335</v>
      </c>
      <c r="O36" s="2">
        <f>+FY16Calc!O36*(1+FTE!H37)*(1+OpFee!T37)</f>
        <v>110256.330557436</v>
      </c>
      <c r="P36" s="2">
        <f t="shared" si="2"/>
        <v>292853.06043677748</v>
      </c>
      <c r="Q36" s="2">
        <f t="shared" si="3"/>
        <v>120858.34587347068</v>
      </c>
      <c r="R36" s="2">
        <f t="shared" si="4"/>
        <v>2296308.5715959426</v>
      </c>
      <c r="T36" s="3">
        <f t="shared" si="0"/>
        <v>2296308.5715959426</v>
      </c>
    </row>
    <row r="37" spans="1:21" x14ac:dyDescent="0.25">
      <c r="A37" t="s">
        <v>0</v>
      </c>
      <c r="B37" t="s">
        <v>68</v>
      </c>
      <c r="C37" t="s">
        <v>32</v>
      </c>
      <c r="D37" s="102" t="s">
        <v>31</v>
      </c>
      <c r="E37" t="s">
        <v>3</v>
      </c>
      <c r="F37" t="s">
        <v>69</v>
      </c>
      <c r="G37" t="s">
        <v>33</v>
      </c>
      <c r="H37" t="s">
        <v>4</v>
      </c>
      <c r="I37" s="2">
        <f>+FY16Calc!I37*(1+FTE!H38)</f>
        <v>5.8109747110630003</v>
      </c>
      <c r="J37" s="2">
        <f>+FY16Calc!J37*(1+OpFee!H38)*(1+FTE!H38)</f>
        <v>101617.64308499599</v>
      </c>
      <c r="K37" s="2">
        <f>+FY16Calc!K37*(1+OpFee!S38)*(1+FTE!H38)</f>
        <v>101617.04828250861</v>
      </c>
      <c r="L37" s="2">
        <f t="shared" si="1"/>
        <v>4064.6819313003443</v>
      </c>
      <c r="M37" s="2">
        <f>+FY16Calc!M37*(1+OpFee!H38)*(1+FTE!H38)</f>
        <v>0</v>
      </c>
      <c r="N37" s="2">
        <f>+FY16Calc!N37*(1+FTE!H38)*(1+OpFee!S38)</f>
        <v>0</v>
      </c>
      <c r="O37" s="2">
        <f>+FY16Calc!O37*(1+FTE!H38)*(1+OpFee!T38)</f>
        <v>0</v>
      </c>
      <c r="P37" s="2">
        <f t="shared" si="2"/>
        <v>0</v>
      </c>
      <c r="Q37" s="2">
        <f t="shared" si="3"/>
        <v>4877.6480576847816</v>
      </c>
      <c r="R37" s="2">
        <f t="shared" si="4"/>
        <v>92675.313096010854</v>
      </c>
      <c r="T37" s="3">
        <f t="shared" si="0"/>
        <v>92675.313096010854</v>
      </c>
    </row>
    <row r="38" spans="1:21" x14ac:dyDescent="0.25">
      <c r="A38" t="s">
        <v>0</v>
      </c>
      <c r="B38" t="s">
        <v>68</v>
      </c>
      <c r="C38" t="s">
        <v>32</v>
      </c>
      <c r="D38" s="102" t="s">
        <v>31</v>
      </c>
      <c r="E38" t="s">
        <v>5</v>
      </c>
      <c r="F38" t="s">
        <v>69</v>
      </c>
      <c r="G38" t="s">
        <v>33</v>
      </c>
      <c r="H38" t="s">
        <v>6</v>
      </c>
      <c r="I38" s="2">
        <f>+FY16Calc!I38*(1+FTE!H39)</f>
        <v>25.638404899652901</v>
      </c>
      <c r="J38" s="2">
        <f>+FY16Calc!J38*(1+OpFee!H39)*(1+FTE!H39)</f>
        <v>671758.18142781558</v>
      </c>
      <c r="K38" s="2">
        <f>+FY16Calc!K38*(1+OpFee!S39)*(1+FTE!H39)</f>
        <v>428262.65336062468</v>
      </c>
      <c r="L38" s="2">
        <f t="shared" si="1"/>
        <v>17130.506134424988</v>
      </c>
      <c r="M38" s="2">
        <f>+FY16Calc!M38*(1+OpFee!H39)*(1+FTE!H39)</f>
        <v>0</v>
      </c>
      <c r="N38" s="2">
        <f>+FY16Calc!N38*(1+FTE!H39)*(1+OpFee!S39)</f>
        <v>0</v>
      </c>
      <c r="O38" s="2">
        <f>+FY16Calc!O38*(1+FTE!H39)*(1+OpFee!T39)</f>
        <v>0</v>
      </c>
      <c r="P38" s="2">
        <f t="shared" si="2"/>
        <v>0</v>
      </c>
      <c r="Q38" s="2">
        <f t="shared" si="3"/>
        <v>32731.383764669532</v>
      </c>
      <c r="R38" s="2">
        <f t="shared" si="4"/>
        <v>621896.29152872111</v>
      </c>
      <c r="T38" s="3">
        <f t="shared" si="0"/>
        <v>621896.29152872111</v>
      </c>
    </row>
    <row r="39" spans="1:21" x14ac:dyDescent="0.25">
      <c r="A39" t="s">
        <v>0</v>
      </c>
      <c r="B39" t="s">
        <v>70</v>
      </c>
      <c r="C39" t="s">
        <v>32</v>
      </c>
      <c r="D39" s="102" t="s">
        <v>31</v>
      </c>
      <c r="E39" t="s">
        <v>3</v>
      </c>
      <c r="F39" t="s">
        <v>71</v>
      </c>
      <c r="G39" t="s">
        <v>33</v>
      </c>
      <c r="H39" t="s">
        <v>4</v>
      </c>
      <c r="I39" s="2">
        <f>+FY16Calc!I39*(1+FTE!H40)</f>
        <v>8.3648425777241098</v>
      </c>
      <c r="J39" s="2">
        <f>+FY16Calc!J39*(1+OpFee!H40)*(1+FTE!H40)</f>
        <v>183870.22608129395</v>
      </c>
      <c r="K39" s="2">
        <f>+FY16Calc!K39*(1+OpFee!S40)*(1+FTE!H40)</f>
        <v>183869.14982657565</v>
      </c>
      <c r="L39" s="2">
        <f t="shared" si="1"/>
        <v>7354.7659930630261</v>
      </c>
      <c r="M39" s="2">
        <f>+FY16Calc!M39*(1+OpFee!H40)*(1+FTE!H40)</f>
        <v>0</v>
      </c>
      <c r="N39" s="2">
        <f>+FY16Calc!N39*(1+FTE!H40)*(1+OpFee!S40)</f>
        <v>0</v>
      </c>
      <c r="O39" s="2">
        <f>+FY16Calc!O39*(1+FTE!H40)*(1+OpFee!T40)</f>
        <v>0</v>
      </c>
      <c r="P39" s="2">
        <f t="shared" si="2"/>
        <v>0</v>
      </c>
      <c r="Q39" s="2">
        <f t="shared" si="3"/>
        <v>8825.7730044115469</v>
      </c>
      <c r="R39" s="2">
        <f t="shared" si="4"/>
        <v>167689.68708381939</v>
      </c>
      <c r="T39" s="3">
        <f t="shared" si="0"/>
        <v>167689.68708381939</v>
      </c>
    </row>
    <row r="40" spans="1:21" x14ac:dyDescent="0.25">
      <c r="A40" t="s">
        <v>0</v>
      </c>
      <c r="B40" t="s">
        <v>70</v>
      </c>
      <c r="C40" t="s">
        <v>32</v>
      </c>
      <c r="D40" s="102" t="s">
        <v>31</v>
      </c>
      <c r="E40" t="s">
        <v>5</v>
      </c>
      <c r="F40" t="s">
        <v>71</v>
      </c>
      <c r="G40" t="s">
        <v>33</v>
      </c>
      <c r="H40" t="s">
        <v>6</v>
      </c>
      <c r="I40" s="2">
        <f>+FY16Calc!I40*(1+FTE!H41)</f>
        <v>26.708226744203099</v>
      </c>
      <c r="J40" s="2">
        <f>+FY16Calc!J40*(1+OpFee!H41)*(1+FTE!H41)</f>
        <v>749987.15151244181</v>
      </c>
      <c r="K40" s="2">
        <f>+FY16Calc!K40*(1+OpFee!S41)*(1+FTE!H41)</f>
        <v>478134.66998936917</v>
      </c>
      <c r="L40" s="2">
        <f t="shared" si="1"/>
        <v>19125.386799574768</v>
      </c>
      <c r="M40" s="2">
        <f>+FY16Calc!M40*(1+OpFee!H41)*(1+FTE!H41)</f>
        <v>0</v>
      </c>
      <c r="N40" s="2">
        <f>+FY16Calc!N40*(1+FTE!H41)*(1+OpFee!S41)</f>
        <v>3794.9563462308179</v>
      </c>
      <c r="O40" s="2">
        <f>+FY16Calc!O40*(1+FTE!H41)*(1+OpFee!T41)</f>
        <v>0</v>
      </c>
      <c r="P40" s="2">
        <f t="shared" si="2"/>
        <v>3794.9563462308179</v>
      </c>
      <c r="Q40" s="2">
        <f t="shared" si="3"/>
        <v>36353.340418331813</v>
      </c>
      <c r="R40" s="2">
        <f t="shared" si="4"/>
        <v>690713.46794830449</v>
      </c>
      <c r="T40" s="3">
        <f t="shared" si="0"/>
        <v>690713.46794830449</v>
      </c>
    </row>
    <row r="41" spans="1:21" x14ac:dyDescent="0.25">
      <c r="A41" t="s">
        <v>0</v>
      </c>
      <c r="B41" t="s">
        <v>72</v>
      </c>
      <c r="C41" t="s">
        <v>32</v>
      </c>
      <c r="D41" s="102" t="s">
        <v>31</v>
      </c>
      <c r="E41" t="s">
        <v>3</v>
      </c>
      <c r="F41" t="s">
        <v>73</v>
      </c>
      <c r="G41" t="s">
        <v>33</v>
      </c>
      <c r="H41" t="s">
        <v>4</v>
      </c>
      <c r="I41" s="2">
        <f>+FY16Calc!I41*(1+FTE!H42)</f>
        <v>25.760754133288899</v>
      </c>
      <c r="J41" s="2">
        <f>+FY16Calc!J41*(1+OpFee!H42)*(1+FTE!H42)</f>
        <v>738632.30718626198</v>
      </c>
      <c r="K41" s="2">
        <f>+FY16Calc!K41*(1+OpFee!S42)*(1+FTE!H42)</f>
        <v>738627.98372116045</v>
      </c>
      <c r="L41" s="2">
        <f t="shared" si="1"/>
        <v>29545.11934884642</v>
      </c>
      <c r="M41" s="2">
        <f>+FY16Calc!M41*(1+OpFee!H42)*(1+FTE!H42)</f>
        <v>0</v>
      </c>
      <c r="N41" s="2">
        <f>+FY16Calc!N41*(1+FTE!H42)*(1+OpFee!S42)</f>
        <v>0</v>
      </c>
      <c r="O41" s="2">
        <f>+FY16Calc!O41*(1+FTE!H42)*(1+OpFee!T42)</f>
        <v>0</v>
      </c>
      <c r="P41" s="2">
        <f t="shared" si="2"/>
        <v>0</v>
      </c>
      <c r="Q41" s="2">
        <f t="shared" si="3"/>
        <v>35454.359391870785</v>
      </c>
      <c r="R41" s="2">
        <f t="shared" si="4"/>
        <v>673632.82844554482</v>
      </c>
      <c r="T41" s="3">
        <f t="shared" si="0"/>
        <v>673632.82844554482</v>
      </c>
    </row>
    <row r="42" spans="1:21" x14ac:dyDescent="0.25">
      <c r="A42" t="s">
        <v>0</v>
      </c>
      <c r="B42" t="s">
        <v>72</v>
      </c>
      <c r="C42" t="s">
        <v>32</v>
      </c>
      <c r="D42" s="102" t="s">
        <v>31</v>
      </c>
      <c r="E42" t="s">
        <v>5</v>
      </c>
      <c r="F42" t="s">
        <v>73</v>
      </c>
      <c r="G42" t="s">
        <v>33</v>
      </c>
      <c r="H42" t="s">
        <v>6</v>
      </c>
      <c r="I42" s="2">
        <f>+FY16Calc!I42*(1+FTE!H43)</f>
        <v>1.1195809999999999</v>
      </c>
      <c r="J42" s="2">
        <f>+FY16Calc!J42*(1+OpFee!H43)*(1+FTE!H43)</f>
        <v>42518.159307811715</v>
      </c>
      <c r="K42" s="2">
        <f>+FY16Calc!K42*(1+OpFee!S43)*(1+FTE!H43)</f>
        <v>27103.002303674544</v>
      </c>
      <c r="L42" s="2">
        <f t="shared" si="1"/>
        <v>1084.1200921469817</v>
      </c>
      <c r="M42" s="2">
        <f>+FY16Calc!M42*(1+OpFee!H43)*(1+FTE!H43)</f>
        <v>0</v>
      </c>
      <c r="N42" s="2">
        <f>+FY16Calc!N42*(1+FTE!H43)*(1+OpFee!S43)</f>
        <v>0</v>
      </c>
      <c r="O42" s="2">
        <f>+FY16Calc!O42*(1+FTE!H43)*(1+OpFee!T43)</f>
        <v>0</v>
      </c>
      <c r="P42" s="2">
        <f t="shared" si="2"/>
        <v>0</v>
      </c>
      <c r="Q42" s="2">
        <f t="shared" si="3"/>
        <v>2071.7019607832367</v>
      </c>
      <c r="R42" s="2">
        <f t="shared" si="4"/>
        <v>39362.337254881502</v>
      </c>
      <c r="T42" s="3">
        <f t="shared" si="0"/>
        <v>39362.337254881502</v>
      </c>
    </row>
    <row r="43" spans="1:21" x14ac:dyDescent="0.25">
      <c r="A43" t="s">
        <v>0</v>
      </c>
      <c r="B43" s="4"/>
      <c r="C43" s="4" t="s">
        <v>32</v>
      </c>
      <c r="D43" s="130" t="s">
        <v>31</v>
      </c>
      <c r="E43" s="4" t="s">
        <v>3</v>
      </c>
      <c r="F43" s="131" t="s">
        <v>135</v>
      </c>
      <c r="G43" s="4" t="s">
        <v>33</v>
      </c>
      <c r="H43" s="131" t="s">
        <v>4</v>
      </c>
      <c r="I43" s="2">
        <f>+FTE!O44</f>
        <v>4</v>
      </c>
      <c r="J43" s="118">
        <f>+I43*OpFee!N44</f>
        <v>120000</v>
      </c>
      <c r="K43" s="2">
        <f>+J43</f>
        <v>120000</v>
      </c>
      <c r="L43" s="2">
        <f t="shared" si="1"/>
        <v>4800</v>
      </c>
      <c r="M43" s="2">
        <v>0</v>
      </c>
      <c r="N43" s="2">
        <f>+FY16Calc!N43*(1+FTE!H44)*(1+OpFee!S44)</f>
        <v>0</v>
      </c>
      <c r="O43" s="2">
        <f>+FY16Calc!O43*(1+FTE!H44)*(1+OpFee!T44)</f>
        <v>0</v>
      </c>
      <c r="P43" s="2">
        <f t="shared" si="2"/>
        <v>0</v>
      </c>
      <c r="Q43" s="2">
        <f t="shared" si="3"/>
        <v>5760</v>
      </c>
      <c r="R43" s="2">
        <f t="shared" si="4"/>
        <v>109440</v>
      </c>
      <c r="T43" s="3">
        <f t="shared" si="0"/>
        <v>109440</v>
      </c>
      <c r="U43" s="386"/>
    </row>
    <row r="44" spans="1:21" ht="30" x14ac:dyDescent="0.25">
      <c r="A44" t="s">
        <v>0</v>
      </c>
      <c r="B44" s="4"/>
      <c r="C44" s="4" t="s">
        <v>32</v>
      </c>
      <c r="D44" s="130" t="s">
        <v>31</v>
      </c>
      <c r="E44" s="4" t="s">
        <v>5</v>
      </c>
      <c r="F44" s="131" t="s">
        <v>135</v>
      </c>
      <c r="G44" s="4" t="s">
        <v>33</v>
      </c>
      <c r="H44" s="131" t="s">
        <v>6</v>
      </c>
      <c r="I44" s="2">
        <f>+FTE!O45</f>
        <v>4</v>
      </c>
      <c r="J44" s="118">
        <f>+I44*OpFee!N45</f>
        <v>144000</v>
      </c>
      <c r="K44" s="2">
        <f>+(0.833333333333333)*J44</f>
        <v>119999.99999999996</v>
      </c>
      <c r="L44" s="2">
        <f t="shared" si="1"/>
        <v>4799.9999999999982</v>
      </c>
      <c r="M44" s="2">
        <v>0</v>
      </c>
      <c r="N44" s="2">
        <f>+FY16Calc!N44*(1+FTE!H45)*(1+OpFee!S45)</f>
        <v>0</v>
      </c>
      <c r="O44" s="2">
        <f>+FY16Calc!O44*(1+FTE!H45)*(1+OpFee!T45)</f>
        <v>0</v>
      </c>
      <c r="P44" s="2">
        <f t="shared" si="2"/>
        <v>0</v>
      </c>
      <c r="Q44" s="2">
        <f t="shared" si="3"/>
        <v>6960</v>
      </c>
      <c r="R44" s="2">
        <f t="shared" si="4"/>
        <v>132240</v>
      </c>
      <c r="T44" s="3">
        <f t="shared" si="0"/>
        <v>132240</v>
      </c>
    </row>
    <row r="45" spans="1:21" x14ac:dyDescent="0.25">
      <c r="A45" t="s">
        <v>0</v>
      </c>
      <c r="B45" t="s">
        <v>12</v>
      </c>
      <c r="C45" t="s">
        <v>21</v>
      </c>
      <c r="D45" s="102" t="s">
        <v>34</v>
      </c>
      <c r="E45" t="s">
        <v>3</v>
      </c>
      <c r="F45" t="s">
        <v>74</v>
      </c>
      <c r="G45" t="s">
        <v>35</v>
      </c>
      <c r="H45" t="s">
        <v>4</v>
      </c>
      <c r="I45" s="2">
        <f>+FY16Calc!I45*(1+FTE!H46)</f>
        <v>209.08699266184399</v>
      </c>
      <c r="J45" s="2">
        <f>+FY16Calc!J45*(1+OpFee!H46)*(1+FTE!H46)</f>
        <v>3362309.0820513321</v>
      </c>
      <c r="K45" s="2">
        <f>+FY16Calc!K45*(1+OpFee!S46)*(1+FTE!H46)</f>
        <v>3362371.9206012166</v>
      </c>
      <c r="L45" s="2">
        <f t="shared" si="1"/>
        <v>134494.87682404867</v>
      </c>
      <c r="M45" s="2">
        <f>+FY16Calc!M45*(1+OpFee!H46)*(1+FTE!H46)</f>
        <v>0</v>
      </c>
      <c r="N45" s="2">
        <f>+FY16Calc!N45*(1+FTE!H46)*(1+OpFee!S46)</f>
        <v>171654.89451403302</v>
      </c>
      <c r="O45" s="2">
        <f>+FY16Calc!O45*(1+FTE!H46)*(1+OpFee!T46)</f>
        <v>0</v>
      </c>
      <c r="P45" s="2">
        <f t="shared" si="2"/>
        <v>171654.89451403302</v>
      </c>
      <c r="Q45" s="2">
        <f t="shared" si="3"/>
        <v>152807.96553566252</v>
      </c>
      <c r="R45" s="2">
        <f t="shared" si="4"/>
        <v>2903351.3451775876</v>
      </c>
      <c r="T45" s="3">
        <f t="shared" ref="T45:T58" si="5">+J45-L45-P45-Q45-S45</f>
        <v>2903351.3451775876</v>
      </c>
    </row>
    <row r="46" spans="1:21" x14ac:dyDescent="0.25">
      <c r="A46" t="s">
        <v>0</v>
      </c>
      <c r="B46" t="s">
        <v>12</v>
      </c>
      <c r="C46" t="s">
        <v>21</v>
      </c>
      <c r="D46" s="102" t="s">
        <v>34</v>
      </c>
      <c r="E46" t="s">
        <v>5</v>
      </c>
      <c r="F46" t="s">
        <v>74</v>
      </c>
      <c r="G46" t="s">
        <v>35</v>
      </c>
      <c r="H46" t="s">
        <v>6</v>
      </c>
      <c r="I46" s="2">
        <f>+FY16Calc!I46*(1+FTE!H47)</f>
        <v>204.69038381721001</v>
      </c>
      <c r="J46" s="2">
        <f>+FY16Calc!J46*(1+OpFee!H47)*(1+FTE!H47)</f>
        <v>5545264.6578228595</v>
      </c>
      <c r="K46" s="2">
        <f>+FY16Calc!K46*(1+OpFee!S47)*(1+FTE!H47)</f>
        <v>3105671.942104633</v>
      </c>
      <c r="L46" s="2">
        <f t="shared" si="1"/>
        <v>124226.87768418533</v>
      </c>
      <c r="M46" s="2">
        <f>+FY16Calc!M46*(1+OpFee!H47)*(1+FTE!H47)</f>
        <v>0</v>
      </c>
      <c r="N46" s="2">
        <f>+FY16Calc!N46*(1+FTE!H47)*(1+OpFee!S47)</f>
        <v>207022.93976771194</v>
      </c>
      <c r="O46" s="2">
        <f>+FY16Calc!O46*(1+FTE!H47)*(1+OpFee!T47)</f>
        <v>1120277.9916586508</v>
      </c>
      <c r="P46" s="2">
        <f t="shared" si="2"/>
        <v>1327300.9314263628</v>
      </c>
      <c r="Q46" s="2">
        <f t="shared" si="3"/>
        <v>204686.84243561557</v>
      </c>
      <c r="R46" s="2">
        <f t="shared" si="4"/>
        <v>3889050.0062766955</v>
      </c>
      <c r="T46" s="3">
        <f t="shared" si="5"/>
        <v>3889050.0062766955</v>
      </c>
    </row>
    <row r="47" spans="1:21" x14ac:dyDescent="0.25">
      <c r="A47" t="s">
        <v>0</v>
      </c>
      <c r="B47" t="s">
        <v>80</v>
      </c>
      <c r="C47" t="s">
        <v>23</v>
      </c>
      <c r="D47" s="102" t="s">
        <v>157</v>
      </c>
      <c r="E47" t="s">
        <v>3</v>
      </c>
      <c r="F47" t="s">
        <v>81</v>
      </c>
      <c r="G47" t="s">
        <v>43</v>
      </c>
      <c r="H47" t="s">
        <v>4</v>
      </c>
      <c r="I47" s="2">
        <f>+FY16Calc!I47*(1+FTE!H48)</f>
        <v>73.151185766722094</v>
      </c>
      <c r="J47" s="2">
        <f>+FY16Calc!J47*(1+OpFee!H48)*(1+FTE!H48)</f>
        <v>1765610.6402866894</v>
      </c>
      <c r="K47" s="2">
        <f>+FY16Calc!K47*(1+OpFee!S48)*(1+FTE!H48)</f>
        <v>1765616.8870639452</v>
      </c>
      <c r="L47" s="2">
        <f t="shared" si="1"/>
        <v>70624.67548255781</v>
      </c>
      <c r="M47" s="2">
        <f>+FY16Calc!M47*(1+OpFee!H48)*(1+FTE!H48)</f>
        <v>0</v>
      </c>
      <c r="N47" s="2">
        <f>+FY16Calc!N47*(1+FTE!H48)*(1+OpFee!S48)</f>
        <v>84857.983471262138</v>
      </c>
      <c r="O47" s="2">
        <f>+FY16Calc!O47*(1+FTE!H48)*(1+OpFee!T48)</f>
        <v>0</v>
      </c>
      <c r="P47" s="2">
        <f t="shared" si="2"/>
        <v>84857.983471262138</v>
      </c>
      <c r="Q47" s="2">
        <f t="shared" si="3"/>
        <v>80506.399066643484</v>
      </c>
      <c r="R47" s="2">
        <f t="shared" si="4"/>
        <v>1529621.5822662259</v>
      </c>
      <c r="T47" s="3">
        <f t="shared" si="5"/>
        <v>1529621.5822662259</v>
      </c>
    </row>
    <row r="48" spans="1:21" x14ac:dyDescent="0.25">
      <c r="A48" t="s">
        <v>0</v>
      </c>
      <c r="B48" t="s">
        <v>80</v>
      </c>
      <c r="C48" t="s">
        <v>23</v>
      </c>
      <c r="D48" s="102" t="s">
        <v>157</v>
      </c>
      <c r="E48" t="s">
        <v>5</v>
      </c>
      <c r="F48" t="s">
        <v>81</v>
      </c>
      <c r="G48" t="s">
        <v>43</v>
      </c>
      <c r="H48" t="s">
        <v>6</v>
      </c>
      <c r="I48" s="2">
        <f>+FY16Calc!I48*(1+FTE!H49)</f>
        <v>19.325209600045302</v>
      </c>
      <c r="J48" s="2">
        <f>+FY16Calc!J48*(1+OpFee!H49)*(1+FTE!H49)</f>
        <v>840954.21532277379</v>
      </c>
      <c r="K48" s="2">
        <f>+FY16Calc!K48*(1+OpFee!S49)*(1+FTE!H49)</f>
        <v>469878.1122958599</v>
      </c>
      <c r="L48" s="2">
        <f t="shared" si="1"/>
        <v>18795.124491834398</v>
      </c>
      <c r="M48" s="2">
        <f>+FY16Calc!M48*(1+OpFee!H49)*(1+FTE!H49)</f>
        <v>91598.007779557214</v>
      </c>
      <c r="N48" s="2">
        <f>+FY16Calc!N48*(1+FTE!H49)*(1+OpFee!S49)</f>
        <v>25397.840438524399</v>
      </c>
      <c r="O48" s="2">
        <f>+FY16Calc!O48*(1+FTE!H49)*(1+OpFee!T49)</f>
        <v>154736.12317722559</v>
      </c>
      <c r="P48" s="2">
        <f t="shared" si="2"/>
        <v>271731.97139530722</v>
      </c>
      <c r="Q48" s="2">
        <f t="shared" si="3"/>
        <v>27521.35597178161</v>
      </c>
      <c r="R48" s="2">
        <f t="shared" si="4"/>
        <v>522905.76346385054</v>
      </c>
      <c r="T48" s="3">
        <f t="shared" si="5"/>
        <v>522905.76346385054</v>
      </c>
    </row>
    <row r="49" spans="1:20" x14ac:dyDescent="0.25">
      <c r="A49" t="s">
        <v>0</v>
      </c>
      <c r="B49" t="s">
        <v>32</v>
      </c>
      <c r="C49" t="s">
        <v>44</v>
      </c>
      <c r="D49" s="102" t="s">
        <v>158</v>
      </c>
      <c r="E49" t="s">
        <v>3</v>
      </c>
      <c r="F49" t="s">
        <v>82</v>
      </c>
      <c r="G49" t="s">
        <v>45</v>
      </c>
      <c r="H49" t="s">
        <v>4</v>
      </c>
      <c r="I49" s="2">
        <f>+FY16Calc!I49*(1+FTE!H50)</f>
        <v>550.39808841054298</v>
      </c>
      <c r="J49" s="2">
        <f>+FY16Calc!J49*(1+OpFee!H50)*(1+FTE!H50)</f>
        <v>9934262.3536671586</v>
      </c>
      <c r="K49" s="2">
        <f>+FY16Calc!K49*(1+OpFee!S50)*(1+FTE!H50)</f>
        <v>9934204.0586239044</v>
      </c>
      <c r="L49" s="2">
        <f t="shared" si="1"/>
        <v>397368.16234495619</v>
      </c>
      <c r="M49" s="2">
        <f>+FY16Calc!M49*(1+OpFee!H50)*(1+FTE!H50)</f>
        <v>928572.7157392822</v>
      </c>
      <c r="N49" s="2">
        <f>+FY16Calc!N49*(1+FTE!H50)*(1+OpFee!S50)</f>
        <v>32179.732029275972</v>
      </c>
      <c r="O49" s="2">
        <f>+FY16Calc!O49*(1+FTE!H50)*(1+OpFee!T50)</f>
        <v>0</v>
      </c>
      <c r="P49" s="2">
        <f t="shared" si="2"/>
        <v>960752.44776855817</v>
      </c>
      <c r="Q49" s="2">
        <f t="shared" si="3"/>
        <v>428807.0871776822</v>
      </c>
      <c r="R49" s="2">
        <f t="shared" si="4"/>
        <v>8147334.6563759614</v>
      </c>
      <c r="T49" s="3">
        <f t="shared" si="5"/>
        <v>8147334.6563759614</v>
      </c>
    </row>
    <row r="50" spans="1:20" x14ac:dyDescent="0.25">
      <c r="A50" t="s">
        <v>0</v>
      </c>
      <c r="B50" t="s">
        <v>32</v>
      </c>
      <c r="C50" t="s">
        <v>44</v>
      </c>
      <c r="D50" s="102" t="s">
        <v>158</v>
      </c>
      <c r="E50" t="s">
        <v>5</v>
      </c>
      <c r="F50" t="s">
        <v>82</v>
      </c>
      <c r="G50" t="s">
        <v>45</v>
      </c>
      <c r="H50" t="s">
        <v>6</v>
      </c>
      <c r="I50" s="2">
        <f>+FY16Calc!I50*(1+FTE!H51)</f>
        <v>90.468096766357206</v>
      </c>
      <c r="J50" s="2">
        <f>+FY16Calc!J50*(1+OpFee!H51)*(1+FTE!H51)</f>
        <v>2993443.4589469004</v>
      </c>
      <c r="K50" s="2">
        <f>+FY16Calc!K50*(1+OpFee!S51)*(1+FTE!H51)</f>
        <v>1667626.1140987175</v>
      </c>
      <c r="L50" s="2">
        <f t="shared" si="1"/>
        <v>66705.044563948701</v>
      </c>
      <c r="M50" s="2">
        <f>+FY16Calc!M50*(1+OpFee!H51)*(1+FTE!H51)</f>
        <v>344297.06298111239</v>
      </c>
      <c r="N50" s="2">
        <f>+FY16Calc!N50*(1+FTE!H51)*(1+OpFee!S51)</f>
        <v>0</v>
      </c>
      <c r="O50" s="2">
        <f>+FY16Calc!O50*(1+FTE!H51)*(1+OpFee!T51)</f>
        <v>402549.91642251296</v>
      </c>
      <c r="P50" s="2">
        <f t="shared" si="2"/>
        <v>746846.97940362536</v>
      </c>
      <c r="Q50" s="2">
        <f t="shared" si="3"/>
        <v>108994.57174896634</v>
      </c>
      <c r="R50" s="2">
        <f t="shared" si="4"/>
        <v>2070896.8632303602</v>
      </c>
      <c r="T50" s="3">
        <f t="shared" si="5"/>
        <v>2070896.8632303602</v>
      </c>
    </row>
    <row r="51" spans="1:20" x14ac:dyDescent="0.25">
      <c r="A51" t="s">
        <v>0</v>
      </c>
      <c r="B51" t="s">
        <v>15</v>
      </c>
      <c r="C51" t="s">
        <v>26</v>
      </c>
      <c r="D51" s="102" t="s">
        <v>156</v>
      </c>
      <c r="E51" t="s">
        <v>3</v>
      </c>
      <c r="F51" t="s">
        <v>75</v>
      </c>
      <c r="G51" t="s">
        <v>36</v>
      </c>
      <c r="H51" t="s">
        <v>4</v>
      </c>
      <c r="I51" s="2">
        <f>+FY16Calc!I51*(1+FTE!H52)</f>
        <v>52.228318999930899</v>
      </c>
      <c r="J51" s="2">
        <f>+FY16Calc!J51*(1+OpFee!H52)*(1+FTE!H52)</f>
        <v>988071.6349281742</v>
      </c>
      <c r="K51" s="2">
        <f>+FY16Calc!K51*(1+OpFee!S52)*(1+FTE!H52)</f>
        <v>988071.6349281742</v>
      </c>
      <c r="L51" s="2">
        <f t="shared" si="1"/>
        <v>39522.865397126967</v>
      </c>
      <c r="M51" s="2">
        <f>+FY16Calc!M51*(1+OpFee!H52)*(1+FTE!H52)</f>
        <v>0</v>
      </c>
      <c r="N51" s="2">
        <f>+FY16Calc!N51*(1+FTE!H52)*(1+OpFee!S52)</f>
        <v>86759.678291506585</v>
      </c>
      <c r="O51" s="2">
        <f>+FY16Calc!O51*(1+FTE!H52)*(1+OpFee!T52)</f>
        <v>0</v>
      </c>
      <c r="P51" s="2">
        <f t="shared" si="2"/>
        <v>86759.678291506585</v>
      </c>
      <c r="Q51" s="2">
        <f t="shared" si="3"/>
        <v>43089.454561977036</v>
      </c>
      <c r="R51" s="2">
        <f t="shared" si="4"/>
        <v>818699.63667756354</v>
      </c>
      <c r="T51" s="3">
        <f t="shared" si="5"/>
        <v>818699.63667756354</v>
      </c>
    </row>
    <row r="52" spans="1:20" x14ac:dyDescent="0.25">
      <c r="A52" t="s">
        <v>0</v>
      </c>
      <c r="B52" t="s">
        <v>15</v>
      </c>
      <c r="C52" t="s">
        <v>26</v>
      </c>
      <c r="D52" s="102" t="s">
        <v>156</v>
      </c>
      <c r="E52" t="s">
        <v>5</v>
      </c>
      <c r="F52" t="s">
        <v>75</v>
      </c>
      <c r="G52" t="s">
        <v>36</v>
      </c>
      <c r="H52" t="s">
        <v>6</v>
      </c>
      <c r="I52" s="2">
        <f>+FY16Calc!I52*(1+FTE!H53)</f>
        <v>111.262124533245</v>
      </c>
      <c r="J52" s="2">
        <f>+FY16Calc!J52*(1+OpFee!H53)*(1+FTE!H53)</f>
        <v>3062559.3293855041</v>
      </c>
      <c r="K52" s="2">
        <f>+FY16Calc!K52*(1+OpFee!S53)*(1+FTE!H53)</f>
        <v>2089913.5879725583</v>
      </c>
      <c r="L52" s="2">
        <f t="shared" si="1"/>
        <v>83596.543518902341</v>
      </c>
      <c r="M52" s="2">
        <f>+FY16Calc!M52*(1+OpFee!H53)*(1+FTE!H53)</f>
        <v>0</v>
      </c>
      <c r="N52" s="2">
        <f>+FY16Calc!N52*(1+FTE!H53)*(1+OpFee!S53)</f>
        <v>65846.144598793631</v>
      </c>
      <c r="O52" s="2">
        <f>+FY16Calc!O52*(1+FTE!H53)*(1+OpFee!T53)</f>
        <v>359730.1942571525</v>
      </c>
      <c r="P52" s="2">
        <f t="shared" si="2"/>
        <v>425576.33885594615</v>
      </c>
      <c r="Q52" s="2">
        <f t="shared" si="3"/>
        <v>127669.32235053281</v>
      </c>
      <c r="R52" s="2">
        <f t="shared" si="4"/>
        <v>2425717.1246601231</v>
      </c>
      <c r="T52" s="3">
        <f t="shared" si="5"/>
        <v>2425717.1246601231</v>
      </c>
    </row>
    <row r="53" spans="1:20" x14ac:dyDescent="0.25">
      <c r="A53" t="s">
        <v>0</v>
      </c>
      <c r="B53" t="s">
        <v>24</v>
      </c>
      <c r="C53" t="s">
        <v>26</v>
      </c>
      <c r="D53" s="102" t="s">
        <v>156</v>
      </c>
      <c r="E53" t="s">
        <v>3</v>
      </c>
      <c r="F53" t="s">
        <v>76</v>
      </c>
      <c r="G53" t="s">
        <v>36</v>
      </c>
      <c r="H53" t="s">
        <v>4</v>
      </c>
      <c r="I53" s="2">
        <f>+FY16Calc!I53*(1+FTE!H54)</f>
        <v>64.860953732009705</v>
      </c>
      <c r="J53" s="2">
        <f>+FY16Calc!J53*(1+OpFee!H54)*(1+FTE!H54)</f>
        <v>1278694.4443721243</v>
      </c>
      <c r="K53" s="2">
        <f>+FY16Calc!K53*(1+OpFee!S54)*(1+FTE!H54)</f>
        <v>1278687.443380065</v>
      </c>
      <c r="L53" s="2">
        <f t="shared" si="1"/>
        <v>51147.497735202604</v>
      </c>
      <c r="M53" s="2">
        <f>+FY16Calc!M53*(1+OpFee!H54)*(1+FTE!H54)</f>
        <v>0</v>
      </c>
      <c r="N53" s="2">
        <f>+FY16Calc!N53*(1+FTE!H54)*(1+OpFee!S54)</f>
        <v>225229.12731658205</v>
      </c>
      <c r="O53" s="2">
        <f>+FY16Calc!O53*(1+FTE!H54)*(1+OpFee!T54)</f>
        <v>0</v>
      </c>
      <c r="P53" s="2">
        <f t="shared" si="2"/>
        <v>225229.12731658205</v>
      </c>
      <c r="Q53" s="2">
        <f t="shared" si="3"/>
        <v>50115.890966016988</v>
      </c>
      <c r="R53" s="2">
        <f t="shared" si="4"/>
        <v>952201.92835432268</v>
      </c>
      <c r="T53" s="3">
        <f t="shared" si="5"/>
        <v>952201.92835432268</v>
      </c>
    </row>
    <row r="54" spans="1:20" x14ac:dyDescent="0.25">
      <c r="A54" t="s">
        <v>0</v>
      </c>
      <c r="B54" t="s">
        <v>24</v>
      </c>
      <c r="C54" t="s">
        <v>26</v>
      </c>
      <c r="D54" s="102" t="s">
        <v>156</v>
      </c>
      <c r="E54" t="s">
        <v>5</v>
      </c>
      <c r="F54" t="s">
        <v>76</v>
      </c>
      <c r="G54" t="s">
        <v>36</v>
      </c>
      <c r="H54" t="s">
        <v>6</v>
      </c>
      <c r="I54" s="2">
        <f>+FY16Calc!I54*(1+FTE!H55)</f>
        <v>131.94877079724799</v>
      </c>
      <c r="J54" s="2">
        <f>+FY16Calc!J54*(1+OpFee!H55)*(1+FTE!H55)</f>
        <v>3709421.176402038</v>
      </c>
      <c r="K54" s="2">
        <f>+FY16Calc!K54*(1+OpFee!S55)*(1+FTE!H55)</f>
        <v>2531209.9172684378</v>
      </c>
      <c r="L54" s="2">
        <f t="shared" si="1"/>
        <v>101248.39669073751</v>
      </c>
      <c r="M54" s="2">
        <f>+FY16Calc!M54*(1+OpFee!H55)*(1+FTE!H55)</f>
        <v>0</v>
      </c>
      <c r="N54" s="2">
        <f>+FY16Calc!N54*(1+FTE!H55)*(1+OpFee!S55)</f>
        <v>301954.9165529529</v>
      </c>
      <c r="O54" s="2">
        <f>+FY16Calc!O54*(1+FTE!H55)*(1+OpFee!T55)</f>
        <v>404180.68477208377</v>
      </c>
      <c r="P54" s="2">
        <f t="shared" si="2"/>
        <v>706135.60132503673</v>
      </c>
      <c r="Q54" s="2">
        <f t="shared" si="3"/>
        <v>145101.85891931318</v>
      </c>
      <c r="R54" s="2">
        <f t="shared" si="4"/>
        <v>2756935.3194669504</v>
      </c>
      <c r="T54" s="3">
        <f t="shared" si="5"/>
        <v>2756935.3194669504</v>
      </c>
    </row>
    <row r="55" spans="1:20" x14ac:dyDescent="0.25">
      <c r="A55" t="s">
        <v>0</v>
      </c>
      <c r="B55" t="s">
        <v>29</v>
      </c>
      <c r="C55" t="s">
        <v>38</v>
      </c>
      <c r="D55" s="102" t="s">
        <v>37</v>
      </c>
      <c r="E55" t="s">
        <v>3</v>
      </c>
      <c r="F55" t="s">
        <v>39</v>
      </c>
      <c r="G55" t="s">
        <v>39</v>
      </c>
      <c r="H55" t="s">
        <v>4</v>
      </c>
      <c r="I55" s="2">
        <f>+FY16Calc!I55*(1+FTE!H56)</f>
        <v>498.99942999830103</v>
      </c>
      <c r="J55" s="2">
        <f>+FY16Calc!J55*(1+OpFee!H56)*(1+FTE!H56)</f>
        <v>9684814.9957989994</v>
      </c>
      <c r="K55" s="2">
        <f>+FY16Calc!K55*(1+OpFee!S56)*(1+FTE!H56)</f>
        <v>9684814.9957989994</v>
      </c>
      <c r="L55" s="2">
        <f t="shared" si="1"/>
        <v>387392.59983195999</v>
      </c>
      <c r="M55" s="2">
        <f>+FY16Calc!M55*(1+OpFee!H56)*(1+FTE!H56)</f>
        <v>71329.588878394294</v>
      </c>
      <c r="N55" s="2">
        <f>+FY16Calc!N55*(1+FTE!H56)*(1+OpFee!S56)</f>
        <v>114044.868944241</v>
      </c>
      <c r="O55" s="2">
        <f>+FY16Calc!O55*(1+FTE!H56)*(1+OpFee!T56)</f>
        <v>0</v>
      </c>
      <c r="P55" s="2">
        <f t="shared" si="2"/>
        <v>185374.4578226353</v>
      </c>
      <c r="Q55" s="2">
        <f t="shared" si="3"/>
        <v>455602.39690722025</v>
      </c>
      <c r="R55" s="2">
        <f t="shared" si="4"/>
        <v>8656445.5412371848</v>
      </c>
      <c r="T55" s="3">
        <f t="shared" si="5"/>
        <v>8656445.5412371848</v>
      </c>
    </row>
    <row r="56" spans="1:20" x14ac:dyDescent="0.25">
      <c r="A56" t="s">
        <v>0</v>
      </c>
      <c r="B56" t="s">
        <v>29</v>
      </c>
      <c r="C56" t="s">
        <v>38</v>
      </c>
      <c r="D56" s="102" t="s">
        <v>37</v>
      </c>
      <c r="E56" t="s">
        <v>5</v>
      </c>
      <c r="F56" t="s">
        <v>39</v>
      </c>
      <c r="G56" t="s">
        <v>39</v>
      </c>
      <c r="H56" t="s">
        <v>6</v>
      </c>
      <c r="I56" s="2">
        <f>+FY16Calc!I56*(1+FTE!H57)</f>
        <v>226.83927893269299</v>
      </c>
      <c r="J56" s="2">
        <f>+FY16Calc!J56*(1+OpFee!H57)*(1+FTE!H57)</f>
        <v>6087974.8970015664</v>
      </c>
      <c r="K56" s="2">
        <f>+FY16Calc!K56*(1+OpFee!S57)*(1+FTE!H57)</f>
        <v>4365874.6869029701</v>
      </c>
      <c r="L56" s="2">
        <f t="shared" si="1"/>
        <v>174634.98747611881</v>
      </c>
      <c r="M56" s="2">
        <f>+FY16Calc!M56*(1+OpFee!H57)*(1+FTE!H57)</f>
        <v>36661.664584007478</v>
      </c>
      <c r="N56" s="2">
        <f>+FY16Calc!N56*(1+FTE!H57)*(1+OpFee!S57)</f>
        <v>19833.373042640302</v>
      </c>
      <c r="O56" s="2">
        <f>+FY16Calc!O56*(1+FTE!H57)*(1+OpFee!T57)</f>
        <v>230847.94702720668</v>
      </c>
      <c r="P56" s="2">
        <f t="shared" si="2"/>
        <v>287342.98465385445</v>
      </c>
      <c r="Q56" s="2">
        <f t="shared" si="3"/>
        <v>281299.84624357964</v>
      </c>
      <c r="R56" s="2">
        <f t="shared" si="4"/>
        <v>5344697.0786280129</v>
      </c>
      <c r="T56" s="3">
        <f t="shared" si="5"/>
        <v>5344697.0786280129</v>
      </c>
    </row>
    <row r="57" spans="1:20" x14ac:dyDescent="0.25">
      <c r="A57" t="s">
        <v>0</v>
      </c>
      <c r="B57" t="s">
        <v>77</v>
      </c>
      <c r="C57" t="s">
        <v>41</v>
      </c>
      <c r="D57" s="102" t="s">
        <v>40</v>
      </c>
      <c r="E57" t="s">
        <v>3</v>
      </c>
      <c r="F57" t="s">
        <v>78</v>
      </c>
      <c r="G57" t="s">
        <v>42</v>
      </c>
      <c r="H57" t="s">
        <v>4</v>
      </c>
      <c r="I57" s="2">
        <f>+FY16Calc!I57*(1+FTE!H58)</f>
        <v>17.488931866648599</v>
      </c>
      <c r="J57" s="2">
        <f>+FY16Calc!J57*(1+OpFee!H58)*(1+FTE!H58)</f>
        <v>272247.8271248329</v>
      </c>
      <c r="K57" s="2">
        <f>+FY16Calc!K57*(1+OpFee!S58)*(1+FTE!H58)</f>
        <v>272251.7171760404</v>
      </c>
      <c r="L57" s="2">
        <f t="shared" si="1"/>
        <v>10890.068687041616</v>
      </c>
      <c r="M57" s="2">
        <f>+FY16Calc!M57*(1+OpFee!H58)*(1+FTE!H58)</f>
        <v>0</v>
      </c>
      <c r="N57" s="2">
        <f>+FY16Calc!N57*(1+FTE!H58)*(1+OpFee!S58)</f>
        <v>9389.0587644366442</v>
      </c>
      <c r="O57" s="2">
        <f>+FY16Calc!O57*(1+FTE!H58)*(1+OpFee!T58)</f>
        <v>0</v>
      </c>
      <c r="P57" s="2">
        <f t="shared" si="2"/>
        <v>9389.0587644366442</v>
      </c>
      <c r="Q57" s="2">
        <f t="shared" si="3"/>
        <v>12598.434983667734</v>
      </c>
      <c r="R57" s="2">
        <f t="shared" si="4"/>
        <v>239370.26468968691</v>
      </c>
      <c r="T57" s="3">
        <f t="shared" si="5"/>
        <v>239370.26468968691</v>
      </c>
    </row>
    <row r="58" spans="1:20" x14ac:dyDescent="0.25">
      <c r="A58" t="s">
        <v>0</v>
      </c>
      <c r="B58" t="s">
        <v>77</v>
      </c>
      <c r="C58" t="s">
        <v>41</v>
      </c>
      <c r="D58" s="102" t="s">
        <v>40</v>
      </c>
      <c r="E58" t="s">
        <v>5</v>
      </c>
      <c r="F58" t="s">
        <v>78</v>
      </c>
      <c r="G58" t="s">
        <v>42</v>
      </c>
      <c r="H58" t="s">
        <v>6</v>
      </c>
      <c r="I58" s="2">
        <f>+FY16Calc!I58*(1+FTE!H59)</f>
        <v>57.844972177701997</v>
      </c>
      <c r="J58" s="2">
        <f>+FY16Calc!J58*(1+OpFee!H59)*(1+FTE!H59)</f>
        <v>1451731.9438952198</v>
      </c>
      <c r="K58" s="2">
        <f>+FY16Calc!K58*(1+OpFee!S59)*(1+FTE!H59)</f>
        <v>854607.13573999656</v>
      </c>
      <c r="L58" s="2">
        <f t="shared" si="1"/>
        <v>34184.285429599862</v>
      </c>
      <c r="M58" s="2">
        <f>+FY16Calc!M58*(1+OpFee!H59)*(1+FTE!H59)</f>
        <v>114168.87476318338</v>
      </c>
      <c r="N58" s="2">
        <f>+FY16Calc!N58*(1+FTE!H59)*(1+OpFee!S59)</f>
        <v>0</v>
      </c>
      <c r="O58" s="2">
        <f>+FY16Calc!O58*(1+FTE!H59)*(1+OpFee!T59)</f>
        <v>10333.861662042762</v>
      </c>
      <c r="P58" s="2">
        <f t="shared" si="2"/>
        <v>124502.73642522615</v>
      </c>
      <c r="Q58" s="2">
        <f t="shared" si="3"/>
        <v>64652.246102019693</v>
      </c>
      <c r="R58" s="2">
        <f t="shared" si="4"/>
        <v>1228392.6759383741</v>
      </c>
      <c r="T58" s="3">
        <f t="shared" si="5"/>
        <v>1228392.6759383741</v>
      </c>
    </row>
    <row r="59" spans="1:20" x14ac:dyDescent="0.25">
      <c r="A59" t="s">
        <v>0</v>
      </c>
      <c r="B59" t="s">
        <v>40</v>
      </c>
      <c r="C59" t="s">
        <v>41</v>
      </c>
      <c r="D59" s="102" t="s">
        <v>40</v>
      </c>
      <c r="E59" t="s">
        <v>3</v>
      </c>
      <c r="F59" t="s">
        <v>79</v>
      </c>
      <c r="G59" t="s">
        <v>42</v>
      </c>
      <c r="H59" t="s">
        <v>4</v>
      </c>
      <c r="I59" s="2"/>
      <c r="J59" s="2">
        <f>+FY16Calc!J59*(1+OpFee!H60)*(1+FTE!H60)</f>
        <v>0</v>
      </c>
      <c r="K59" s="2">
        <f>+FY16Calc!K59*(1+OpFee!S60)*(1+FTE!H60)</f>
        <v>0</v>
      </c>
      <c r="L59" s="2">
        <f t="shared" si="1"/>
        <v>0</v>
      </c>
      <c r="M59" s="2">
        <f>+FY16Calc!M59*(1+OpFee!H60)*(1+FTE!H60)</f>
        <v>0</v>
      </c>
      <c r="N59" s="2">
        <f>+FY16Calc!N59*(1+FTE!H60)*(1+OpFee!S60)</f>
        <v>0</v>
      </c>
      <c r="O59" s="2">
        <f>+FY16Calc!O59*(1+FTE!H60)*(1+OpFee!T60)</f>
        <v>0</v>
      </c>
      <c r="P59" s="2">
        <f t="shared" si="2"/>
        <v>0</v>
      </c>
      <c r="Q59" s="2">
        <f t="shared" si="3"/>
        <v>0</v>
      </c>
      <c r="R59" s="2">
        <f t="shared" si="4"/>
        <v>0</v>
      </c>
      <c r="T59" s="3"/>
    </row>
    <row r="60" spans="1:20" x14ac:dyDescent="0.25">
      <c r="A60" t="s">
        <v>0</v>
      </c>
      <c r="B60" t="s">
        <v>40</v>
      </c>
      <c r="C60" t="s">
        <v>41</v>
      </c>
      <c r="D60" s="102" t="s">
        <v>40</v>
      </c>
      <c r="E60" t="s">
        <v>5</v>
      </c>
      <c r="F60" t="s">
        <v>79</v>
      </c>
      <c r="G60" t="s">
        <v>42</v>
      </c>
      <c r="H60" t="s">
        <v>6</v>
      </c>
      <c r="I60" s="2">
        <f>+FY16Calc!I60*(1+FTE!H61)</f>
        <v>15.7274893666702</v>
      </c>
      <c r="J60" s="2">
        <f>+FY16Calc!J60*(1+OpFee!H61)*(1+FTE!H61)</f>
        <v>523995.32806759607</v>
      </c>
      <c r="K60" s="2">
        <f>+FY16Calc!K60*(1+OpFee!S61)*(1+FTE!H61)</f>
        <v>270444.73794164043</v>
      </c>
      <c r="L60" s="2">
        <f t="shared" si="1"/>
        <v>10817.789517665617</v>
      </c>
      <c r="M60" s="2">
        <f>+FY16Calc!M60*(1+OpFee!H61)*(1+FTE!H61)</f>
        <v>0</v>
      </c>
      <c r="N60" s="2">
        <f>+FY16Calc!N60*(1+FTE!H61)*(1+OpFee!S61)</f>
        <v>0</v>
      </c>
      <c r="O60" s="2">
        <f>+FY16Calc!O60*(1+FTE!H61)*(1+OpFee!T61)</f>
        <v>6076.8490642344095</v>
      </c>
      <c r="P60" s="2">
        <f t="shared" si="2"/>
        <v>6076.8490642344095</v>
      </c>
      <c r="Q60" s="2">
        <f t="shared" si="3"/>
        <v>25355.034474284803</v>
      </c>
      <c r="R60" s="2">
        <f t="shared" si="4"/>
        <v>481745.65501141123</v>
      </c>
      <c r="T60" s="3">
        <f t="shared" ref="T60:T88" si="6">+J60-L60-P60-Q60-S60</f>
        <v>481745.65501141123</v>
      </c>
    </row>
    <row r="61" spans="1:20" x14ac:dyDescent="0.25">
      <c r="A61" t="s">
        <v>0</v>
      </c>
      <c r="B61" t="s">
        <v>20</v>
      </c>
      <c r="C61" t="s">
        <v>28</v>
      </c>
      <c r="D61" s="102" t="s">
        <v>159</v>
      </c>
      <c r="E61" t="s">
        <v>3</v>
      </c>
      <c r="F61" t="s">
        <v>83</v>
      </c>
      <c r="G61" t="s">
        <v>46</v>
      </c>
      <c r="H61" t="s">
        <v>4</v>
      </c>
      <c r="I61" s="2">
        <f>+FY16Calc!I61*(1+FTE!H62)</f>
        <v>868.91287832959404</v>
      </c>
      <c r="J61" s="2">
        <f>+FY16Calc!J61*(1+OpFee!H62)*(1+FTE!H62)</f>
        <v>14678033.713784702</v>
      </c>
      <c r="K61" s="2">
        <f>+FY16Calc!K61*(1+OpFee!S62)*(1+FTE!H62)</f>
        <v>14678168.759959692</v>
      </c>
      <c r="L61" s="2">
        <f t="shared" si="1"/>
        <v>587126.75039838767</v>
      </c>
      <c r="M61" s="2">
        <f>+FY16Calc!M61*(1+OpFee!H62)*(1+FTE!H62)</f>
        <v>0</v>
      </c>
      <c r="N61" s="2">
        <f>+FY16Calc!N61*(1+FTE!H62)*(1+OpFee!S62)</f>
        <v>33184.469930949825</v>
      </c>
      <c r="O61" s="2">
        <f>+FY16Calc!O61*(1+FTE!H62)*(1+OpFee!T62)</f>
        <v>0</v>
      </c>
      <c r="P61" s="2">
        <f t="shared" si="2"/>
        <v>33184.469930949825</v>
      </c>
      <c r="Q61" s="2">
        <f t="shared" si="3"/>
        <v>702886.12467276817</v>
      </c>
      <c r="R61" s="2">
        <f t="shared" si="4"/>
        <v>13354836.368782595</v>
      </c>
      <c r="T61" s="3">
        <f t="shared" si="6"/>
        <v>13354836.368782595</v>
      </c>
    </row>
    <row r="62" spans="1:20" x14ac:dyDescent="0.25">
      <c r="A62" t="s">
        <v>0</v>
      </c>
      <c r="B62" t="s">
        <v>20</v>
      </c>
      <c r="C62" t="s">
        <v>28</v>
      </c>
      <c r="D62" s="102" t="s">
        <v>159</v>
      </c>
      <c r="E62" t="s">
        <v>5</v>
      </c>
      <c r="F62" t="s">
        <v>83</v>
      </c>
      <c r="G62" t="s">
        <v>46</v>
      </c>
      <c r="H62" t="s">
        <v>6</v>
      </c>
      <c r="I62" s="2">
        <f>+FY16Calc!I62*(1+FTE!H63)</f>
        <v>581.20044915340702</v>
      </c>
      <c r="J62" s="2">
        <f>+FY16Calc!J62*(1+OpFee!H63)*(1+FTE!H63)</f>
        <v>18852924.959951252</v>
      </c>
      <c r="K62" s="2">
        <f>+FY16Calc!K62*(1+OpFee!S63)*(1+FTE!H63)</f>
        <v>9562180.1270274892</v>
      </c>
      <c r="L62" s="2">
        <f t="shared" si="1"/>
        <v>382487.20508109959</v>
      </c>
      <c r="M62" s="2">
        <f>+FY16Calc!M62*(1+OpFee!H63)*(1+FTE!H63)</f>
        <v>0</v>
      </c>
      <c r="N62" s="2">
        <f>+FY16Calc!N62*(1+FTE!H63)*(1+OpFee!S63)</f>
        <v>32855.964946064298</v>
      </c>
      <c r="O62" s="2">
        <f>+FY16Calc!O62*(1+FTE!H63)*(1+OpFee!T63)</f>
        <v>8746702.6851251684</v>
      </c>
      <c r="P62" s="2">
        <f t="shared" si="2"/>
        <v>8779558.6500712335</v>
      </c>
      <c r="Q62" s="2">
        <f t="shared" si="3"/>
        <v>484543.95523994602</v>
      </c>
      <c r="R62" s="2">
        <f t="shared" si="4"/>
        <v>9206335.1495589744</v>
      </c>
      <c r="T62" s="3">
        <f t="shared" si="6"/>
        <v>9206335.1495589744</v>
      </c>
    </row>
    <row r="63" spans="1:20" x14ac:dyDescent="0.25">
      <c r="A63" t="s">
        <v>0</v>
      </c>
      <c r="B63" t="s">
        <v>44</v>
      </c>
      <c r="C63" t="s">
        <v>47</v>
      </c>
      <c r="D63" s="102" t="s">
        <v>160</v>
      </c>
      <c r="E63" t="s">
        <v>3</v>
      </c>
      <c r="F63" t="s">
        <v>84</v>
      </c>
      <c r="G63" t="s">
        <v>48</v>
      </c>
      <c r="H63" t="s">
        <v>4</v>
      </c>
      <c r="I63" s="2">
        <f>+FY16Calc!I63*(1+FTE!H64)</f>
        <v>122.61688506647199</v>
      </c>
      <c r="J63" s="2">
        <f>+FY16Calc!J63*(1+OpFee!H64)*(1+FTE!H64)</f>
        <v>2252736.4340610909</v>
      </c>
      <c r="K63" s="2">
        <f>+FY16Calc!K63*(1+OpFee!S64)*(1+FTE!H64)</f>
        <v>2252726.2710805302</v>
      </c>
      <c r="L63" s="2">
        <f t="shared" si="1"/>
        <v>90109.050843221208</v>
      </c>
      <c r="M63" s="2">
        <f>+FY16Calc!M63*(1+OpFee!H64)*(1+FTE!H64)</f>
        <v>0</v>
      </c>
      <c r="N63" s="2">
        <f>+FY16Calc!N63*(1+FTE!H64)*(1+OpFee!S64)</f>
        <v>13329.234106201231</v>
      </c>
      <c r="O63" s="2">
        <f>+FY16Calc!O63*(1+FTE!H64)*(1+OpFee!T64)</f>
        <v>0</v>
      </c>
      <c r="P63" s="2">
        <f t="shared" si="2"/>
        <v>13329.234106201231</v>
      </c>
      <c r="Q63" s="2">
        <f t="shared" si="3"/>
        <v>107464.90745558344</v>
      </c>
      <c r="R63" s="2">
        <f t="shared" si="4"/>
        <v>2041833.2416560852</v>
      </c>
      <c r="T63" s="3">
        <f t="shared" si="6"/>
        <v>2041833.2416560852</v>
      </c>
    </row>
    <row r="64" spans="1:20" x14ac:dyDescent="0.25">
      <c r="A64" t="s">
        <v>0</v>
      </c>
      <c r="B64" t="s">
        <v>44</v>
      </c>
      <c r="C64" t="s">
        <v>47</v>
      </c>
      <c r="D64" s="102" t="s">
        <v>160</v>
      </c>
      <c r="E64" t="s">
        <v>5</v>
      </c>
      <c r="F64" t="s">
        <v>84</v>
      </c>
      <c r="G64" t="s">
        <v>48</v>
      </c>
      <c r="H64" t="s">
        <v>6</v>
      </c>
      <c r="I64" s="2">
        <f>+FY16Calc!I64*(1+FTE!H65)</f>
        <v>16.712520355516599</v>
      </c>
      <c r="J64" s="2">
        <f>+FY16Calc!J64*(1+OpFee!H65)*(1+FTE!H65)</f>
        <v>485339.12861510785</v>
      </c>
      <c r="K64" s="2">
        <f>+FY16Calc!K64*(1+OpFee!S65)*(1+FTE!H65)</f>
        <v>308275.00895142846</v>
      </c>
      <c r="L64" s="2">
        <f t="shared" si="1"/>
        <v>12331.000358057139</v>
      </c>
      <c r="M64" s="2">
        <f>+FY16Calc!M64*(1+OpFee!H65)*(1+FTE!H65)</f>
        <v>0</v>
      </c>
      <c r="N64" s="2">
        <f>+FY16Calc!N64*(1+FTE!H65)*(1+OpFee!S65)</f>
        <v>0</v>
      </c>
      <c r="O64" s="2">
        <f>+FY16Calc!O64*(1+FTE!H65)*(1+OpFee!T65)</f>
        <v>50589.748475336957</v>
      </c>
      <c r="P64" s="2">
        <f t="shared" si="2"/>
        <v>50589.748475336957</v>
      </c>
      <c r="Q64" s="2">
        <f t="shared" si="3"/>
        <v>21120.918989085691</v>
      </c>
      <c r="R64" s="2">
        <f t="shared" si="4"/>
        <v>401297.46079262806</v>
      </c>
      <c r="T64" s="3">
        <f t="shared" si="6"/>
        <v>401297.46079262806</v>
      </c>
    </row>
    <row r="65" spans="1:20" x14ac:dyDescent="0.25">
      <c r="A65" t="s">
        <v>0</v>
      </c>
      <c r="B65" t="s">
        <v>28</v>
      </c>
      <c r="C65" t="s">
        <v>47</v>
      </c>
      <c r="D65" s="102" t="s">
        <v>160</v>
      </c>
      <c r="E65" t="s">
        <v>3</v>
      </c>
      <c r="F65" t="s">
        <v>85</v>
      </c>
      <c r="G65" t="s">
        <v>48</v>
      </c>
      <c r="H65" t="s">
        <v>4</v>
      </c>
      <c r="I65" s="2">
        <f>+FY16Calc!I65*(1+FTE!H66)</f>
        <v>96.923515032597805</v>
      </c>
      <c r="J65" s="2">
        <f>+FY16Calc!J65*(1+OpFee!H66)*(1+FTE!H66)</f>
        <v>1692884.7758920682</v>
      </c>
      <c r="K65" s="2">
        <f>+FY16Calc!K65*(1+OpFee!S66)*(1+FTE!H66)</f>
        <v>1692877.1386226525</v>
      </c>
      <c r="L65" s="2">
        <f t="shared" si="1"/>
        <v>67715.085544906105</v>
      </c>
      <c r="M65" s="2">
        <f>+FY16Calc!M65*(1+OpFee!H66)*(1+FTE!H66)</f>
        <v>0</v>
      </c>
      <c r="N65" s="2">
        <f>+FY16Calc!N65*(1+FTE!H66)*(1+OpFee!S66)</f>
        <v>19994.611873495804</v>
      </c>
      <c r="O65" s="2">
        <f>+FY16Calc!O65*(1+FTE!H66)*(1+OpFee!T66)</f>
        <v>0</v>
      </c>
      <c r="P65" s="2">
        <f t="shared" si="2"/>
        <v>19994.611873495804</v>
      </c>
      <c r="Q65" s="2">
        <f t="shared" si="3"/>
        <v>80258.753923683311</v>
      </c>
      <c r="R65" s="2">
        <f t="shared" si="4"/>
        <v>1524916.3245499828</v>
      </c>
      <c r="T65" s="3">
        <f t="shared" si="6"/>
        <v>1524916.3245499828</v>
      </c>
    </row>
    <row r="66" spans="1:20" x14ac:dyDescent="0.25">
      <c r="A66" t="s">
        <v>0</v>
      </c>
      <c r="B66" t="s">
        <v>28</v>
      </c>
      <c r="C66" t="s">
        <v>47</v>
      </c>
      <c r="D66" s="102" t="s">
        <v>160</v>
      </c>
      <c r="E66" t="s">
        <v>5</v>
      </c>
      <c r="F66" t="s">
        <v>85</v>
      </c>
      <c r="G66" t="s">
        <v>48</v>
      </c>
      <c r="H66" t="s">
        <v>6</v>
      </c>
      <c r="I66" s="2">
        <f>+FY16Calc!I66*(1+FTE!H67)</f>
        <v>31.444462399759701</v>
      </c>
      <c r="J66" s="2">
        <f>+FY16Calc!J66*(1+OpFee!H67)*(1+FTE!H67)</f>
        <v>855121.32184566569</v>
      </c>
      <c r="K66" s="2">
        <f>+FY16Calc!K66*(1+OpFee!S67)*(1+FTE!H67)</f>
        <v>543151.20624775544</v>
      </c>
      <c r="L66" s="2">
        <f t="shared" si="1"/>
        <v>21726.048249910218</v>
      </c>
      <c r="M66" s="2">
        <f>+FY16Calc!M66*(1+OpFee!H67)*(1+FTE!H67)</f>
        <v>0</v>
      </c>
      <c r="N66" s="2">
        <f>+FY16Calc!N66*(1+FTE!H67)*(1+OpFee!S67)</f>
        <v>0</v>
      </c>
      <c r="O66" s="2">
        <f>+FY16Calc!O66*(1+FTE!H67)*(1+OpFee!T67)</f>
        <v>75884.62271300533</v>
      </c>
      <c r="P66" s="2">
        <f t="shared" si="2"/>
        <v>75884.62271300533</v>
      </c>
      <c r="Q66" s="2">
        <f t="shared" si="3"/>
        <v>37875.53254413751</v>
      </c>
      <c r="R66" s="2">
        <f t="shared" si="4"/>
        <v>719635.11833861261</v>
      </c>
      <c r="T66" s="3">
        <f t="shared" si="6"/>
        <v>719635.11833861261</v>
      </c>
    </row>
    <row r="67" spans="1:20" x14ac:dyDescent="0.25">
      <c r="A67" t="s">
        <v>0</v>
      </c>
      <c r="B67" t="s">
        <v>86</v>
      </c>
      <c r="C67" t="s">
        <v>47</v>
      </c>
      <c r="D67" s="102" t="s">
        <v>160</v>
      </c>
      <c r="E67" t="s">
        <v>3</v>
      </c>
      <c r="F67" t="s">
        <v>87</v>
      </c>
      <c r="G67" t="s">
        <v>48</v>
      </c>
      <c r="H67" t="s">
        <v>4</v>
      </c>
      <c r="I67" s="2">
        <f>+FY16Calc!I67*(1+FTE!H68)</f>
        <v>104.81440059637499</v>
      </c>
      <c r="J67" s="2">
        <f>+FY16Calc!J67*(1+OpFee!H68)*(1+FTE!H68)</f>
        <v>2172434.154316701</v>
      </c>
      <c r="K67" s="2">
        <f>+FY16Calc!K67*(1+OpFee!S68)*(1+FTE!H68)</f>
        <v>2172453.7586460663</v>
      </c>
      <c r="L67" s="2">
        <f t="shared" si="1"/>
        <v>86898.15034584266</v>
      </c>
      <c r="M67" s="2">
        <f>+FY16Calc!M67*(1+OpFee!H68)*(1+FTE!H68)</f>
        <v>0</v>
      </c>
      <c r="N67" s="2">
        <f>+FY16Calc!N67*(1+FTE!H68)*(1+OpFee!S68)</f>
        <v>0</v>
      </c>
      <c r="O67" s="2">
        <f>+FY16Calc!O67*(1+FTE!H68)*(1+OpFee!T68)</f>
        <v>0</v>
      </c>
      <c r="P67" s="2">
        <f t="shared" si="2"/>
        <v>0</v>
      </c>
      <c r="Q67" s="2">
        <f t="shared" si="3"/>
        <v>104276.80019854293</v>
      </c>
      <c r="R67" s="2">
        <f t="shared" si="4"/>
        <v>1981259.2037723155</v>
      </c>
      <c r="T67" s="3">
        <f t="shared" si="6"/>
        <v>1981259.2037723155</v>
      </c>
    </row>
    <row r="68" spans="1:20" x14ac:dyDescent="0.25">
      <c r="A68" t="s">
        <v>0</v>
      </c>
      <c r="B68" t="s">
        <v>86</v>
      </c>
      <c r="C68" t="s">
        <v>47</v>
      </c>
      <c r="D68" s="102" t="s">
        <v>160</v>
      </c>
      <c r="E68" t="s">
        <v>5</v>
      </c>
      <c r="F68" t="s">
        <v>87</v>
      </c>
      <c r="G68" t="s">
        <v>48</v>
      </c>
      <c r="H68" t="s">
        <v>6</v>
      </c>
      <c r="I68" s="2">
        <f>+FY16Calc!I68*(1+FTE!H69)</f>
        <v>15.4885674661192</v>
      </c>
      <c r="J68" s="2">
        <f>+FY16Calc!J68*(1+OpFee!H69)*(1+FTE!H69)</f>
        <v>485339.12861510785</v>
      </c>
      <c r="K68" s="2">
        <f>+FY16Calc!K68*(1+OpFee!S69)*(1+FTE!H69)</f>
        <v>308233.28626682848</v>
      </c>
      <c r="L68" s="2">
        <f t="shared" ref="L68:L114" si="7">0.04*K68</f>
        <v>12329.33145067314</v>
      </c>
      <c r="M68" s="2">
        <f>+FY16Calc!M68*(1+OpFee!H69)*(1+FTE!H69)</f>
        <v>0</v>
      </c>
      <c r="N68" s="2">
        <f>+FY16Calc!N68*(1+FTE!H69)*(1+OpFee!S69)</f>
        <v>0</v>
      </c>
      <c r="O68" s="2">
        <f>+FY16Calc!O68*(1+FTE!H69)*(1+OpFee!T69)</f>
        <v>75902.503863548423</v>
      </c>
      <c r="P68" s="2">
        <f t="shared" ref="P68:P114" si="8">+M68+N68+O68</f>
        <v>75902.503863548423</v>
      </c>
      <c r="Q68" s="2">
        <f t="shared" ref="Q68:Q114" si="9">0.05*(J68-L68-P68)</f>
        <v>19855.364665044315</v>
      </c>
      <c r="R68" s="2">
        <f t="shared" ref="R68:R114" si="10">+J68-L68-P68-Q68</f>
        <v>377251.92863584199</v>
      </c>
      <c r="T68" s="3">
        <f t="shared" si="6"/>
        <v>377251.92863584199</v>
      </c>
    </row>
    <row r="69" spans="1:20" x14ac:dyDescent="0.25">
      <c r="A69" t="s">
        <v>0</v>
      </c>
      <c r="B69" t="s">
        <v>88</v>
      </c>
      <c r="C69" t="s">
        <v>47</v>
      </c>
      <c r="D69" s="102" t="s">
        <v>160</v>
      </c>
      <c r="E69" t="s">
        <v>3</v>
      </c>
      <c r="F69" t="s">
        <v>89</v>
      </c>
      <c r="G69" t="s">
        <v>48</v>
      </c>
      <c r="H69" t="s">
        <v>4</v>
      </c>
      <c r="I69" s="2">
        <f>+FY16Calc!I69*(1+FTE!H70)</f>
        <v>105.238750396523</v>
      </c>
      <c r="J69" s="2">
        <f>+FY16Calc!J69*(1+OpFee!H70)*(1+FTE!H70)</f>
        <v>2222328.3034091811</v>
      </c>
      <c r="K69" s="2">
        <f>+FY16Calc!K69*(1+OpFee!S70)*(1+FTE!H70)</f>
        <v>2222333.7271748059</v>
      </c>
      <c r="L69" s="2">
        <f t="shared" si="7"/>
        <v>88893.349086992239</v>
      </c>
      <c r="M69" s="2">
        <f>+FY16Calc!M69*(1+OpFee!H70)*(1+FTE!H70)</f>
        <v>0</v>
      </c>
      <c r="N69" s="2">
        <f>+FY16Calc!N69*(1+FTE!H70)*(1+OpFee!S70)</f>
        <v>18480.087226035826</v>
      </c>
      <c r="O69" s="2">
        <f>+FY16Calc!O69*(1+FTE!H70)*(1+OpFee!T70)</f>
        <v>0</v>
      </c>
      <c r="P69" s="2">
        <f t="shared" si="8"/>
        <v>18480.087226035826</v>
      </c>
      <c r="Q69" s="2">
        <f t="shared" si="9"/>
        <v>105747.74335480764</v>
      </c>
      <c r="R69" s="2">
        <f t="shared" si="10"/>
        <v>2009207.123741345</v>
      </c>
      <c r="T69" s="3">
        <f t="shared" si="6"/>
        <v>2009207.123741345</v>
      </c>
    </row>
    <row r="70" spans="1:20" x14ac:dyDescent="0.25">
      <c r="A70" t="s">
        <v>0</v>
      </c>
      <c r="B70" t="s">
        <v>88</v>
      </c>
      <c r="C70" t="s">
        <v>47</v>
      </c>
      <c r="D70" s="102" t="s">
        <v>160</v>
      </c>
      <c r="E70" t="s">
        <v>5</v>
      </c>
      <c r="F70" t="s">
        <v>89</v>
      </c>
      <c r="G70" t="s">
        <v>48</v>
      </c>
      <c r="H70" t="s">
        <v>6</v>
      </c>
      <c r="I70" s="2">
        <f>+FY16Calc!I70*(1+FTE!H71)</f>
        <v>6.10863759982976</v>
      </c>
      <c r="J70" s="2">
        <f>+FY16Calc!J70*(1+OpFee!H71)*(1+FTE!H71)</f>
        <v>206224.19631690031</v>
      </c>
      <c r="K70" s="2">
        <f>+FY16Calc!K70*(1+OpFee!S71)*(1+FTE!H71)</f>
        <v>121066.32989260145</v>
      </c>
      <c r="L70" s="2">
        <f t="shared" si="7"/>
        <v>4842.6531957040579</v>
      </c>
      <c r="M70" s="2">
        <f>+FY16Calc!M70*(1+OpFee!H71)*(1+FTE!H71)</f>
        <v>0</v>
      </c>
      <c r="N70" s="2">
        <f>+FY16Calc!N70*(1+FTE!H71)*(1+OpFee!S71)</f>
        <v>0</v>
      </c>
      <c r="O70" s="2">
        <f>+FY16Calc!O70*(1+FTE!H71)*(1+OpFee!T71)</f>
        <v>85157.866822812561</v>
      </c>
      <c r="P70" s="2">
        <f t="shared" si="8"/>
        <v>85157.866822812561</v>
      </c>
      <c r="Q70" s="2">
        <f t="shared" si="9"/>
        <v>5811.1838149191844</v>
      </c>
      <c r="R70" s="2">
        <f t="shared" si="10"/>
        <v>110412.49248346449</v>
      </c>
      <c r="T70" s="3">
        <f t="shared" si="6"/>
        <v>110412.49248346449</v>
      </c>
    </row>
    <row r="71" spans="1:20" x14ac:dyDescent="0.25">
      <c r="A71" t="s">
        <v>0</v>
      </c>
      <c r="B71" t="s">
        <v>34</v>
      </c>
      <c r="C71" t="s">
        <v>31</v>
      </c>
      <c r="D71" s="102" t="s">
        <v>161</v>
      </c>
      <c r="E71" t="s">
        <v>3</v>
      </c>
      <c r="F71" t="s">
        <v>90</v>
      </c>
      <c r="G71" t="s">
        <v>49</v>
      </c>
      <c r="H71" t="s">
        <v>4</v>
      </c>
      <c r="I71" s="2">
        <f>+FY16Calc!I71*(1+FTE!H72)</f>
        <v>7.3063547998941099</v>
      </c>
      <c r="J71" s="2">
        <f>+FY16Calc!J71*(1+OpFee!H72)*(1+FTE!H72)</f>
        <v>108626.44131829361</v>
      </c>
      <c r="K71" s="2">
        <f>+FY16Calc!K71*(1+OpFee!S72)*(1+FTE!H72)</f>
        <v>108625.56501121452</v>
      </c>
      <c r="L71" s="2">
        <f t="shared" si="7"/>
        <v>4345.0226004485812</v>
      </c>
      <c r="M71" s="2">
        <f>+FY16Calc!M71*(1+OpFee!H72)*(1+FTE!H72)</f>
        <v>0</v>
      </c>
      <c r="N71" s="2">
        <f>+FY16Calc!N71*(1+FTE!H72)*(1+OpFee!S72)</f>
        <v>15624.893658123052</v>
      </c>
      <c r="O71" s="2">
        <f>+FY16Calc!O71*(1+FTE!H72)*(1+OpFee!T72)</f>
        <v>0</v>
      </c>
      <c r="P71" s="2">
        <f t="shared" si="8"/>
        <v>15624.893658123052</v>
      </c>
      <c r="Q71" s="2">
        <f t="shared" si="9"/>
        <v>4432.8262529860986</v>
      </c>
      <c r="R71" s="2">
        <f t="shared" si="10"/>
        <v>84223.698806735876</v>
      </c>
      <c r="T71" s="3">
        <f t="shared" si="6"/>
        <v>84223.698806735876</v>
      </c>
    </row>
    <row r="72" spans="1:20" x14ac:dyDescent="0.25">
      <c r="A72" t="s">
        <v>0</v>
      </c>
      <c r="B72" t="s">
        <v>34</v>
      </c>
      <c r="C72" t="s">
        <v>31</v>
      </c>
      <c r="D72" s="102" t="s">
        <v>161</v>
      </c>
      <c r="E72" t="s">
        <v>5</v>
      </c>
      <c r="F72" t="s">
        <v>90</v>
      </c>
      <c r="G72" t="s">
        <v>49</v>
      </c>
      <c r="H72" t="s">
        <v>6</v>
      </c>
      <c r="I72" s="2">
        <f>+FY16Calc!I72*(1+FTE!H73)</f>
        <v>9.9321159999111508</v>
      </c>
      <c r="J72" s="2">
        <f>+FY16Calc!J72*(1+OpFee!H73)*(1+FTE!H73)</f>
        <v>278866.88273842324</v>
      </c>
      <c r="K72" s="2">
        <f>+FY16Calc!K72*(1+OpFee!S73)*(1+FTE!H73)</f>
        <v>145150.34021351268</v>
      </c>
      <c r="L72" s="2">
        <f t="shared" si="7"/>
        <v>5806.0136085405074</v>
      </c>
      <c r="M72" s="2">
        <f>+FY16Calc!M72*(1+OpFee!H73)*(1+FTE!H73)</f>
        <v>54649.261236375103</v>
      </c>
      <c r="N72" s="2">
        <f>+FY16Calc!N72*(1+FTE!H73)*(1+OpFee!S73)</f>
        <v>0</v>
      </c>
      <c r="O72" s="2">
        <f>+FY16Calc!O72*(1+FTE!H73)*(1+OpFee!T73)</f>
        <v>21567.089278671163</v>
      </c>
      <c r="P72" s="2">
        <f t="shared" si="8"/>
        <v>76216.350515046273</v>
      </c>
      <c r="Q72" s="2">
        <f t="shared" si="9"/>
        <v>9842.2259307418226</v>
      </c>
      <c r="R72" s="2">
        <f t="shared" si="10"/>
        <v>187002.29268409463</v>
      </c>
      <c r="T72" s="3">
        <f t="shared" si="6"/>
        <v>187002.29268409463</v>
      </c>
    </row>
    <row r="73" spans="1:20" x14ac:dyDescent="0.25">
      <c r="A73" t="s">
        <v>0</v>
      </c>
      <c r="B73" t="s">
        <v>91</v>
      </c>
      <c r="C73" t="s">
        <v>31</v>
      </c>
      <c r="D73" s="102" t="s">
        <v>161</v>
      </c>
      <c r="E73" t="s">
        <v>3</v>
      </c>
      <c r="F73" t="s">
        <v>92</v>
      </c>
      <c r="G73" t="s">
        <v>49</v>
      </c>
      <c r="H73" t="s">
        <v>4</v>
      </c>
      <c r="I73" s="2">
        <f>+FY16Calc!I73*(1+FTE!H74)</f>
        <v>13.800892399731699</v>
      </c>
      <c r="J73" s="2">
        <f>+FY16Calc!J73*(1+OpFee!H74)*(1+FTE!H74)</f>
        <v>156189.02095014922</v>
      </c>
      <c r="K73" s="2">
        <f>+FY16Calc!K73*(1+OpFee!S74)*(1+FTE!H74)</f>
        <v>156184.86131459579</v>
      </c>
      <c r="L73" s="2">
        <f t="shared" si="7"/>
        <v>6247.3944525838315</v>
      </c>
      <c r="M73" s="2">
        <f>+FY16Calc!M73*(1+OpFee!H74)*(1+FTE!H74)</f>
        <v>0</v>
      </c>
      <c r="N73" s="2">
        <f>+FY16Calc!N73*(1+FTE!H74)*(1+OpFee!S74)</f>
        <v>0</v>
      </c>
      <c r="O73" s="2">
        <f>+FY16Calc!O73*(1+FTE!H74)*(1+OpFee!T74)</f>
        <v>0</v>
      </c>
      <c r="P73" s="2">
        <f t="shared" si="8"/>
        <v>0</v>
      </c>
      <c r="Q73" s="2">
        <f t="shared" si="9"/>
        <v>7497.0813248782697</v>
      </c>
      <c r="R73" s="2">
        <f t="shared" si="10"/>
        <v>142444.54517268713</v>
      </c>
      <c r="T73" s="3">
        <f t="shared" si="6"/>
        <v>142444.54517268713</v>
      </c>
    </row>
    <row r="74" spans="1:20" x14ac:dyDescent="0.25">
      <c r="A74" t="s">
        <v>0</v>
      </c>
      <c r="B74" t="s">
        <v>91</v>
      </c>
      <c r="C74" t="s">
        <v>31</v>
      </c>
      <c r="D74" s="102" t="s">
        <v>161</v>
      </c>
      <c r="E74" t="s">
        <v>5</v>
      </c>
      <c r="F74" t="s">
        <v>92</v>
      </c>
      <c r="G74" t="s">
        <v>49</v>
      </c>
      <c r="H74" t="s">
        <v>6</v>
      </c>
      <c r="I74" s="2">
        <f>+FY16Calc!I74*(1+FTE!H75)</f>
        <v>22.148935999631899</v>
      </c>
      <c r="J74" s="2">
        <f>+FY16Calc!J74*(1+OpFee!H75)*(1+FTE!H75)</f>
        <v>473409.48048992315</v>
      </c>
      <c r="K74" s="2">
        <f>+FY16Calc!K74*(1+OpFee!S75)*(1+FTE!H75)</f>
        <v>260776.66607333274</v>
      </c>
      <c r="L74" s="2">
        <f t="shared" si="7"/>
        <v>10431.066642933311</v>
      </c>
      <c r="M74" s="2">
        <f>+FY16Calc!M74*(1+OpFee!H75)*(1+FTE!H75)</f>
        <v>0</v>
      </c>
      <c r="N74" s="2">
        <f>+FY16Calc!N74*(1+FTE!H75)*(1+OpFee!S75)</f>
        <v>0</v>
      </c>
      <c r="O74" s="2">
        <f>+FY16Calc!O74*(1+FTE!H75)*(1+OpFee!T75)</f>
        <v>0</v>
      </c>
      <c r="P74" s="2">
        <f t="shared" si="8"/>
        <v>0</v>
      </c>
      <c r="Q74" s="2">
        <f t="shared" si="9"/>
        <v>23148.920692349493</v>
      </c>
      <c r="R74" s="2">
        <f t="shared" si="10"/>
        <v>439829.49315464037</v>
      </c>
      <c r="T74" s="3">
        <f t="shared" si="6"/>
        <v>439829.49315464037</v>
      </c>
    </row>
    <row r="75" spans="1:20" x14ac:dyDescent="0.25">
      <c r="A75" t="s">
        <v>0</v>
      </c>
      <c r="B75" t="s">
        <v>93</v>
      </c>
      <c r="C75" t="s">
        <v>31</v>
      </c>
      <c r="D75" s="102" t="s">
        <v>161</v>
      </c>
      <c r="E75" t="s">
        <v>3</v>
      </c>
      <c r="F75" t="s">
        <v>94</v>
      </c>
      <c r="G75" t="s">
        <v>49</v>
      </c>
      <c r="H75" t="s">
        <v>4</v>
      </c>
      <c r="I75" s="2">
        <f>+FY16Calc!I75*(1+FTE!H76)</f>
        <v>5.01208879992235</v>
      </c>
      <c r="J75" s="2">
        <f>+FY16Calc!J75*(1+OpFee!H76)*(1+FTE!H76)</f>
        <v>57260.786731314918</v>
      </c>
      <c r="K75" s="2">
        <f>+FY16Calc!K75*(1+OpFee!S76)*(1+FTE!H76)</f>
        <v>57261.164880001597</v>
      </c>
      <c r="L75" s="2">
        <f t="shared" si="7"/>
        <v>2290.4465952000642</v>
      </c>
      <c r="M75" s="2">
        <f>+FY16Calc!M75*(1+OpFee!H76)*(1+FTE!H76)</f>
        <v>0</v>
      </c>
      <c r="N75" s="2">
        <f>+FY16Calc!N75*(1+FTE!H76)*(1+OpFee!S76)</f>
        <v>0</v>
      </c>
      <c r="O75" s="2">
        <f>+FY16Calc!O75*(1+FTE!H76)*(1+OpFee!T76)</f>
        <v>0</v>
      </c>
      <c r="P75" s="2">
        <f t="shared" si="8"/>
        <v>0</v>
      </c>
      <c r="Q75" s="2">
        <f t="shared" si="9"/>
        <v>2748.5170068057432</v>
      </c>
      <c r="R75" s="2">
        <f t="shared" si="10"/>
        <v>52221.823129309116</v>
      </c>
      <c r="T75" s="3">
        <f t="shared" si="6"/>
        <v>52221.823129309116</v>
      </c>
    </row>
    <row r="76" spans="1:20" x14ac:dyDescent="0.25">
      <c r="A76" t="s">
        <v>0</v>
      </c>
      <c r="B76" t="s">
        <v>93</v>
      </c>
      <c r="C76" t="s">
        <v>31</v>
      </c>
      <c r="D76" s="102" t="s">
        <v>161</v>
      </c>
      <c r="E76" t="s">
        <v>5</v>
      </c>
      <c r="F76" t="s">
        <v>94</v>
      </c>
      <c r="G76" t="s">
        <v>49</v>
      </c>
      <c r="H76" t="s">
        <v>6</v>
      </c>
      <c r="I76" s="2">
        <f>+FY16Calc!I76*(1+FTE!H77)</f>
        <v>7.4252879999047998</v>
      </c>
      <c r="J76" s="2">
        <f>+FY16Calc!J76*(1+OpFee!H77)*(1+FTE!H77)</f>
        <v>141620.3712301144</v>
      </c>
      <c r="K76" s="2">
        <f>+FY16Calc!K76*(1+OpFee!S77)*(1+FTE!H77)</f>
        <v>85797.762376720711</v>
      </c>
      <c r="L76" s="2">
        <f t="shared" si="7"/>
        <v>3431.9104950688284</v>
      </c>
      <c r="M76" s="2">
        <f>+FY16Calc!M76*(1+OpFee!H77)*(1+FTE!H77)</f>
        <v>0</v>
      </c>
      <c r="N76" s="2">
        <f>+FY16Calc!N76*(1+FTE!H77)*(1+OpFee!S77)</f>
        <v>17159.55247534416</v>
      </c>
      <c r="O76" s="2">
        <f>+FY16Calc!O76*(1+FTE!H77)*(1+OpFee!T77)</f>
        <v>0</v>
      </c>
      <c r="P76" s="2">
        <f t="shared" si="8"/>
        <v>17159.55247534416</v>
      </c>
      <c r="Q76" s="2">
        <f t="shared" si="9"/>
        <v>6051.445412985071</v>
      </c>
      <c r="R76" s="2">
        <f t="shared" si="10"/>
        <v>114977.46284671634</v>
      </c>
      <c r="T76" s="3">
        <f t="shared" si="6"/>
        <v>114977.46284671634</v>
      </c>
    </row>
    <row r="77" spans="1:20" x14ac:dyDescent="0.25">
      <c r="A77" t="s">
        <v>0</v>
      </c>
      <c r="B77" t="s">
        <v>95</v>
      </c>
      <c r="C77" t="s">
        <v>31</v>
      </c>
      <c r="D77" s="102" t="s">
        <v>161</v>
      </c>
      <c r="E77" t="s">
        <v>3</v>
      </c>
      <c r="F77" t="s">
        <v>96</v>
      </c>
      <c r="G77" t="s">
        <v>49</v>
      </c>
      <c r="H77" t="s">
        <v>4</v>
      </c>
      <c r="I77" s="2">
        <f>+FY16Calc!I77*(1+FTE!H78)</f>
        <v>4.69442119992235</v>
      </c>
      <c r="J77" s="2">
        <f>+FY16Calc!J77*(1+OpFee!H78)*(1+FTE!H78)</f>
        <v>71752.356163261706</v>
      </c>
      <c r="K77" s="2">
        <f>+FY16Calc!K77*(1+OpFee!S78)*(1+FTE!H78)</f>
        <v>71752.728308630452</v>
      </c>
      <c r="L77" s="2">
        <f t="shared" si="7"/>
        <v>2870.1091323452183</v>
      </c>
      <c r="M77" s="2">
        <f>+FY16Calc!M77*(1+OpFee!H78)*(1+FTE!H78)</f>
        <v>0</v>
      </c>
      <c r="N77" s="2">
        <f>+FY16Calc!N77*(1+FTE!H78)*(1+OpFee!S78)</f>
        <v>0</v>
      </c>
      <c r="O77" s="2">
        <f>+FY16Calc!O77*(1+FTE!H78)*(1+OpFee!T78)</f>
        <v>0</v>
      </c>
      <c r="P77" s="2">
        <f t="shared" si="8"/>
        <v>0</v>
      </c>
      <c r="Q77" s="2">
        <f t="shared" si="9"/>
        <v>3444.1123515458248</v>
      </c>
      <c r="R77" s="2">
        <f t="shared" si="10"/>
        <v>65438.134679370669</v>
      </c>
      <c r="T77" s="3">
        <f t="shared" si="6"/>
        <v>65438.134679370669</v>
      </c>
    </row>
    <row r="78" spans="1:20" x14ac:dyDescent="0.25">
      <c r="A78" t="s">
        <v>0</v>
      </c>
      <c r="B78" t="s">
        <v>95</v>
      </c>
      <c r="C78" t="s">
        <v>31</v>
      </c>
      <c r="D78" s="102" t="s">
        <v>161</v>
      </c>
      <c r="E78" t="s">
        <v>5</v>
      </c>
      <c r="F78" t="s">
        <v>96</v>
      </c>
      <c r="G78" t="s">
        <v>49</v>
      </c>
      <c r="H78" t="s">
        <v>6</v>
      </c>
      <c r="I78" s="2">
        <f>+FY16Calc!I78*(1+FTE!H79)</f>
        <v>12.280283999819099</v>
      </c>
      <c r="J78" s="2">
        <f>+FY16Calc!J78*(1+OpFee!H79)*(1+FTE!H79)</f>
        <v>252213.04497323377</v>
      </c>
      <c r="K78" s="2">
        <f>+FY16Calc!K78*(1+OpFee!S79)*(1+FTE!H79)</f>
        <v>194554.65555481944</v>
      </c>
      <c r="L78" s="2">
        <f t="shared" si="7"/>
        <v>7782.1862221927777</v>
      </c>
      <c r="M78" s="2">
        <f>+FY16Calc!M78*(1+OpFee!H79)*(1+FTE!H79)</f>
        <v>0</v>
      </c>
      <c r="N78" s="2">
        <f>+FY16Calc!N78*(1+FTE!H79)*(1+OpFee!S79)</f>
        <v>0</v>
      </c>
      <c r="O78" s="2">
        <f>+FY16Calc!O78*(1+FTE!H79)*(1+OpFee!T79)</f>
        <v>2465.91886737607</v>
      </c>
      <c r="P78" s="2">
        <f t="shared" si="8"/>
        <v>2465.91886737607</v>
      </c>
      <c r="Q78" s="2">
        <f t="shared" si="9"/>
        <v>12098.246994183246</v>
      </c>
      <c r="R78" s="2">
        <f t="shared" si="10"/>
        <v>229866.69288948167</v>
      </c>
      <c r="T78" s="3">
        <f t="shared" si="6"/>
        <v>229866.69288948167</v>
      </c>
    </row>
    <row r="79" spans="1:20" x14ac:dyDescent="0.25">
      <c r="A79" t="s">
        <v>3</v>
      </c>
      <c r="B79" t="s">
        <v>1</v>
      </c>
      <c r="C79" t="s">
        <v>1</v>
      </c>
      <c r="D79" t="s">
        <v>1</v>
      </c>
      <c r="E79" t="s">
        <v>3</v>
      </c>
      <c r="F79" t="s">
        <v>2</v>
      </c>
      <c r="G79" t="s">
        <v>2</v>
      </c>
      <c r="H79" t="s">
        <v>4</v>
      </c>
      <c r="I79" s="2">
        <f>+FY16Calc!I79*(1+FTE!H80)</f>
        <v>3842.7115027608497</v>
      </c>
      <c r="J79" s="2">
        <f>+FY16Calc!J79*(1+OpFee!H80)*(1+FTE!H80)</f>
        <v>36357022.76192262</v>
      </c>
      <c r="K79" s="2">
        <f>+FY16Calc!K79*(1+OpFee!S80)*(1+FTE!H80)</f>
        <v>36356488.107685737</v>
      </c>
      <c r="L79" s="2">
        <f t="shared" si="7"/>
        <v>1454259.5243074296</v>
      </c>
      <c r="M79" s="2">
        <f>+FY16Calc!M79*(1+OpFee!H80)*(1+FTE!H80)</f>
        <v>0</v>
      </c>
      <c r="N79" s="2">
        <f>+FY16Calc!N79*(1+FTE!H80)*(1+OpFee!S80)</f>
        <v>249022.89378878305</v>
      </c>
      <c r="O79" s="2">
        <f>+FY16Calc!O79*(1+FTE!H80)*(1+OpFee!T80)</f>
        <v>0</v>
      </c>
      <c r="P79" s="2">
        <f t="shared" si="8"/>
        <v>249022.89378878305</v>
      </c>
      <c r="Q79" s="2">
        <f t="shared" si="9"/>
        <v>1732687.0171913204</v>
      </c>
      <c r="R79" s="2">
        <f t="shared" si="10"/>
        <v>32921053.326635085</v>
      </c>
      <c r="S79" s="2">
        <f>$U$3*I79</f>
        <v>2407266.6209045341</v>
      </c>
      <c r="T79" s="3">
        <f t="shared" si="6"/>
        <v>30513786.70573055</v>
      </c>
    </row>
    <row r="80" spans="1:20" x14ac:dyDescent="0.25">
      <c r="A80" t="s">
        <v>3</v>
      </c>
      <c r="B80" t="s">
        <v>1</v>
      </c>
      <c r="C80" t="s">
        <v>1</v>
      </c>
      <c r="D80" t="s">
        <v>1</v>
      </c>
      <c r="E80" t="s">
        <v>5</v>
      </c>
      <c r="F80" t="s">
        <v>2</v>
      </c>
      <c r="G80" t="s">
        <v>2</v>
      </c>
      <c r="H80" t="s">
        <v>6</v>
      </c>
      <c r="I80" s="2">
        <f>+FY16Calc!I80*(1+FTE!H81)</f>
        <v>461.06353852868199</v>
      </c>
      <c r="J80" s="2">
        <f>+FY16Calc!J80*(1+OpFee!H81)*(1+FTE!H81)</f>
        <v>14737371.667154687</v>
      </c>
      <c r="K80" s="2">
        <f>+FY16Calc!K80*(1+OpFee!S81)*(1+FTE!H81)</f>
        <v>4176513.3543960126</v>
      </c>
      <c r="L80" s="2">
        <f t="shared" si="7"/>
        <v>167060.5341758405</v>
      </c>
      <c r="M80" s="2">
        <f>+FY16Calc!M80*(1+OpFee!H81)*(1+FTE!H81)</f>
        <v>2484.4388561195915</v>
      </c>
      <c r="N80" s="2">
        <f>+FY16Calc!N80*(1+FTE!H81)*(1+OpFee!S81)</f>
        <v>1549.77088414019</v>
      </c>
      <c r="O80" s="2">
        <f>+FY16Calc!O80*(1+FTE!H81)*(1+OpFee!T81)</f>
        <v>0</v>
      </c>
      <c r="P80" s="2">
        <f t="shared" si="8"/>
        <v>4034.2097402597815</v>
      </c>
      <c r="Q80" s="2">
        <f t="shared" si="9"/>
        <v>728313.84616192931</v>
      </c>
      <c r="R80" s="2">
        <f t="shared" si="10"/>
        <v>13837963.077076655</v>
      </c>
      <c r="T80" s="3">
        <f t="shared" si="6"/>
        <v>13837963.077076655</v>
      </c>
    </row>
    <row r="81" spans="1:20" x14ac:dyDescent="0.25">
      <c r="A81" t="s">
        <v>3</v>
      </c>
      <c r="B81" t="s">
        <v>8</v>
      </c>
      <c r="C81" t="s">
        <v>1</v>
      </c>
      <c r="D81" t="s">
        <v>1</v>
      </c>
      <c r="E81" t="s">
        <v>3</v>
      </c>
      <c r="F81" t="s">
        <v>51</v>
      </c>
      <c r="G81" t="s">
        <v>2</v>
      </c>
      <c r="H81" t="s">
        <v>4</v>
      </c>
      <c r="I81" s="2">
        <f>+FY16Calc!I81*(1+FTE!H82)</f>
        <v>151.23532319826299</v>
      </c>
      <c r="J81" s="2">
        <f>+FY16Calc!J81*(1+OpFee!H82)*(1+FTE!H82)</f>
        <v>1533776.5090340681</v>
      </c>
      <c r="K81" s="2">
        <f>+FY16Calc!K81*(1+OpFee!S82)*(1+FTE!H82)</f>
        <v>1533753.9538288647</v>
      </c>
      <c r="L81" s="2">
        <f t="shared" si="7"/>
        <v>61350.158153154589</v>
      </c>
      <c r="M81" s="2">
        <f>+FY16Calc!M81*(1+OpFee!H82)*(1+FTE!H82)</f>
        <v>0</v>
      </c>
      <c r="N81" s="2">
        <f>+FY16Calc!N81*(1+FTE!H82)*(1+OpFee!S82)</f>
        <v>9520.4103071064164</v>
      </c>
      <c r="O81" s="2">
        <f>+FY16Calc!O81*(1+FTE!H82)*(1+OpFee!T82)</f>
        <v>0</v>
      </c>
      <c r="P81" s="2">
        <f t="shared" si="8"/>
        <v>9520.4103071064164</v>
      </c>
      <c r="Q81" s="2">
        <f t="shared" si="9"/>
        <v>73145.297028690358</v>
      </c>
      <c r="R81" s="2">
        <f t="shared" si="10"/>
        <v>1389760.6435451168</v>
      </c>
      <c r="S81" s="2">
        <f>$U$3*I81</f>
        <v>94741.368217551833</v>
      </c>
      <c r="T81" s="3">
        <f t="shared" si="6"/>
        <v>1295019.2753275649</v>
      </c>
    </row>
    <row r="82" spans="1:20" x14ac:dyDescent="0.25">
      <c r="A82" t="s">
        <v>3</v>
      </c>
      <c r="B82" t="s">
        <v>8</v>
      </c>
      <c r="C82" t="s">
        <v>1</v>
      </c>
      <c r="D82" t="s">
        <v>1</v>
      </c>
      <c r="E82" t="s">
        <v>5</v>
      </c>
      <c r="F82" t="s">
        <v>51</v>
      </c>
      <c r="G82" t="s">
        <v>2</v>
      </c>
      <c r="H82" t="s">
        <v>6</v>
      </c>
      <c r="I82" s="2">
        <f>+FY16Calc!I82*(1+FTE!H83)</f>
        <v>7.1427577332367402</v>
      </c>
      <c r="J82" s="2">
        <f>+FY16Calc!J82*(1+OpFee!H83)*(1+FTE!H83)</f>
        <v>239452.78119084248</v>
      </c>
      <c r="K82" s="2">
        <f>+FY16Calc!K82*(1+OpFee!S83)*(1+FTE!H83)</f>
        <v>67854.27912240001</v>
      </c>
      <c r="L82" s="2">
        <f t="shared" si="7"/>
        <v>2714.1711648960004</v>
      </c>
      <c r="M82" s="2">
        <f>+FY16Calc!M82*(1+OpFee!H83)*(1+FTE!H83)</f>
        <v>0</v>
      </c>
      <c r="N82" s="2">
        <f>+FY16Calc!N82*(1+FTE!H83)*(1+OpFee!S83)</f>
        <v>0</v>
      </c>
      <c r="O82" s="2">
        <f>+FY16Calc!O82*(1+FTE!H83)*(1+OpFee!T83)</f>
        <v>0</v>
      </c>
      <c r="P82" s="2">
        <f t="shared" si="8"/>
        <v>0</v>
      </c>
      <c r="Q82" s="2">
        <f t="shared" si="9"/>
        <v>11836.930501297325</v>
      </c>
      <c r="R82" s="2">
        <f t="shared" si="10"/>
        <v>224901.67952464917</v>
      </c>
      <c r="T82" s="3">
        <f t="shared" si="6"/>
        <v>224901.67952464917</v>
      </c>
    </row>
    <row r="83" spans="1:20" x14ac:dyDescent="0.25">
      <c r="A83" t="s">
        <v>3</v>
      </c>
      <c r="B83" t="s">
        <v>13</v>
      </c>
      <c r="C83" t="s">
        <v>8</v>
      </c>
      <c r="D83" t="s">
        <v>8</v>
      </c>
      <c r="E83" t="s">
        <v>3</v>
      </c>
      <c r="F83" t="s">
        <v>9</v>
      </c>
      <c r="G83" t="s">
        <v>9</v>
      </c>
      <c r="H83" t="s">
        <v>4</v>
      </c>
      <c r="I83" s="2">
        <f>+FY16Calc!I83*(1+FTE!H84)</f>
        <v>20.229609700056798</v>
      </c>
      <c r="J83" s="2">
        <f>+FY16Calc!J83*(1+OpFee!H84)*(1+FTE!H84)</f>
        <v>285393.41133681103</v>
      </c>
      <c r="K83" s="2">
        <f>+FY16Calc!K83*(1+OpFee!S84)*(1+FTE!H84)</f>
        <v>285393.41133681103</v>
      </c>
      <c r="L83" s="2">
        <f t="shared" si="7"/>
        <v>11415.736453472442</v>
      </c>
      <c r="M83" s="2">
        <f>+FY16Calc!M83*(1+OpFee!H84)*(1+FTE!H84)</f>
        <v>0</v>
      </c>
      <c r="N83" s="2">
        <f>+FY16Calc!N83*(1+FTE!H84)*(1+OpFee!S84)</f>
        <v>17761.727298557798</v>
      </c>
      <c r="O83" s="2">
        <f>+FY16Calc!O83*(1+FTE!H84)*(1+OpFee!T84)</f>
        <v>0</v>
      </c>
      <c r="P83" s="2">
        <f t="shared" si="8"/>
        <v>17761.727298557798</v>
      </c>
      <c r="Q83" s="2">
        <f t="shared" si="9"/>
        <v>12810.79737923904</v>
      </c>
      <c r="R83" s="2">
        <f t="shared" si="10"/>
        <v>243405.15020554175</v>
      </c>
      <c r="T83" s="3">
        <f t="shared" si="6"/>
        <v>243405.15020554175</v>
      </c>
    </row>
    <row r="84" spans="1:20" x14ac:dyDescent="0.25">
      <c r="A84" t="s">
        <v>3</v>
      </c>
      <c r="B84" t="s">
        <v>13</v>
      </c>
      <c r="C84" t="s">
        <v>8</v>
      </c>
      <c r="D84" t="s">
        <v>8</v>
      </c>
      <c r="E84" t="s">
        <v>5</v>
      </c>
      <c r="F84" t="s">
        <v>9</v>
      </c>
      <c r="G84" t="s">
        <v>9</v>
      </c>
      <c r="H84" t="s">
        <v>6</v>
      </c>
      <c r="I84" s="2">
        <f>+FY16Calc!I84*(1+FTE!H85)</f>
        <v>7.8230947889323001</v>
      </c>
      <c r="J84" s="2">
        <f>+FY16Calc!J84*(1+OpFee!H85)*(1+FTE!H85)</f>
        <v>193441.447775754</v>
      </c>
      <c r="K84" s="2">
        <f>+FY16Calc!K84*(1+OpFee!S85)*(1+FTE!H85)</f>
        <v>108492.25490058</v>
      </c>
      <c r="L84" s="2">
        <f t="shared" si="7"/>
        <v>4339.6901960231999</v>
      </c>
      <c r="M84" s="2">
        <f>+FY16Calc!M84*(1+OpFee!H85)*(1+FTE!H85)</f>
        <v>0</v>
      </c>
      <c r="N84" s="2">
        <f>+FY16Calc!N84*(1+FTE!H85)*(1+OpFee!S85)</f>
        <v>26038.141176139099</v>
      </c>
      <c r="O84" s="2">
        <f>+FY16Calc!O84*(1+FTE!H85)*(1+OpFee!T85)</f>
        <v>20387.806290041801</v>
      </c>
      <c r="P84" s="2">
        <f t="shared" si="8"/>
        <v>46425.9474661809</v>
      </c>
      <c r="Q84" s="2">
        <f t="shared" si="9"/>
        <v>7133.7905056774953</v>
      </c>
      <c r="R84" s="2">
        <f t="shared" si="10"/>
        <v>135542.01960787241</v>
      </c>
      <c r="T84" s="3">
        <f t="shared" si="6"/>
        <v>135542.01960787241</v>
      </c>
    </row>
    <row r="85" spans="1:20" x14ac:dyDescent="0.25">
      <c r="A85" t="s">
        <v>3</v>
      </c>
      <c r="B85" t="s">
        <v>10</v>
      </c>
      <c r="C85" t="s">
        <v>7</v>
      </c>
      <c r="D85" t="s">
        <v>7</v>
      </c>
      <c r="E85" t="s">
        <v>3</v>
      </c>
      <c r="F85" t="s">
        <v>11</v>
      </c>
      <c r="G85" t="s">
        <v>11</v>
      </c>
      <c r="H85" t="s">
        <v>4</v>
      </c>
      <c r="I85" s="2">
        <f>+FY16Calc!I85*(1+FTE!H86)</f>
        <v>127.88312023488</v>
      </c>
      <c r="J85" s="2">
        <f>+FY16Calc!J85*(1+OpFee!H86)*(1+FTE!H86)</f>
        <v>1853951.0869797301</v>
      </c>
      <c r="K85" s="2">
        <f>+FY16Calc!K85*(1+OpFee!S86)*(1+FTE!H86)</f>
        <v>1853951.0869797301</v>
      </c>
      <c r="L85" s="2">
        <f t="shared" si="7"/>
        <v>74158.043479189204</v>
      </c>
      <c r="M85" s="2">
        <f>+FY16Calc!M85*(1+OpFee!H86)*(1+FTE!H86)</f>
        <v>0</v>
      </c>
      <c r="N85" s="2">
        <f>+FY16Calc!N85*(1+FTE!H86)*(1+OpFee!S86)</f>
        <v>10655.7138268082</v>
      </c>
      <c r="O85" s="2">
        <f>+FY16Calc!O85*(1+FTE!H86)*(1+OpFee!T86)</f>
        <v>0</v>
      </c>
      <c r="P85" s="2">
        <f t="shared" si="8"/>
        <v>10655.7138268082</v>
      </c>
      <c r="Q85" s="2">
        <f t="shared" si="9"/>
        <v>88456.866483686637</v>
      </c>
      <c r="R85" s="2">
        <f t="shared" si="10"/>
        <v>1680680.4631900459</v>
      </c>
      <c r="T85" s="3">
        <f t="shared" si="6"/>
        <v>1680680.4631900459</v>
      </c>
    </row>
    <row r="86" spans="1:20" x14ac:dyDescent="0.25">
      <c r="A86" t="s">
        <v>3</v>
      </c>
      <c r="B86" t="s">
        <v>10</v>
      </c>
      <c r="C86" t="s">
        <v>7</v>
      </c>
      <c r="D86" t="s">
        <v>7</v>
      </c>
      <c r="E86" t="s">
        <v>5</v>
      </c>
      <c r="F86" t="s">
        <v>11</v>
      </c>
      <c r="G86" t="s">
        <v>11</v>
      </c>
      <c r="H86" t="s">
        <v>6</v>
      </c>
      <c r="I86" s="2">
        <f>+FY16Calc!I86*(1+FTE!H87)</f>
        <v>9.8207870223449802</v>
      </c>
      <c r="J86" s="2">
        <f>+FY16Calc!J86*(1+OpFee!H87)*(1+FTE!H87)</f>
        <v>253963.200185811</v>
      </c>
      <c r="K86" s="2">
        <f>+FY16Calc!K86*(1+OpFee!S87)*(1+FTE!H87)</f>
        <v>142998.69630812199</v>
      </c>
      <c r="L86" s="2">
        <f t="shared" si="7"/>
        <v>5719.9478523248799</v>
      </c>
      <c r="M86" s="2">
        <f>+FY16Calc!M86*(1+OpFee!H87)*(1+FTE!H87)</f>
        <v>0</v>
      </c>
      <c r="N86" s="2">
        <f>+FY16Calc!N86*(1+FTE!H87)*(1+OpFee!S87)</f>
        <v>0</v>
      </c>
      <c r="O86" s="2">
        <f>+FY16Calc!O86*(1+FTE!H87)*(1+OpFee!T87)</f>
        <v>0</v>
      </c>
      <c r="P86" s="2">
        <f t="shared" si="8"/>
        <v>0</v>
      </c>
      <c r="Q86" s="2">
        <f t="shared" si="9"/>
        <v>12412.162616674308</v>
      </c>
      <c r="R86" s="2">
        <f t="shared" si="10"/>
        <v>235831.08971681184</v>
      </c>
      <c r="T86" s="3">
        <f t="shared" si="6"/>
        <v>235831.08971681184</v>
      </c>
    </row>
    <row r="87" spans="1:20" x14ac:dyDescent="0.25">
      <c r="A87" t="s">
        <v>3</v>
      </c>
      <c r="B87" t="s">
        <v>7</v>
      </c>
      <c r="C87" t="s">
        <v>13</v>
      </c>
      <c r="D87" t="s">
        <v>13</v>
      </c>
      <c r="E87" t="s">
        <v>3</v>
      </c>
      <c r="F87" t="s">
        <v>52</v>
      </c>
      <c r="G87" t="s">
        <v>14</v>
      </c>
      <c r="H87" t="s">
        <v>4</v>
      </c>
      <c r="I87" s="2">
        <f>+FY16Calc!I87*(1+FTE!H88)</f>
        <v>0.1795659555578</v>
      </c>
      <c r="J87" s="2">
        <f>+FY16Calc!J87*(1+OpFee!H88)*(1+FTE!H88)</f>
        <v>3281.5092767542997</v>
      </c>
      <c r="K87" s="2">
        <f>+FY16Calc!K87*(1+OpFee!S88)*(1+FTE!H88)</f>
        <v>3281.5172755776402</v>
      </c>
      <c r="L87" s="2">
        <f t="shared" si="7"/>
        <v>131.26069102310561</v>
      </c>
      <c r="M87" s="2">
        <f>+FY16Calc!M87*(1+OpFee!H88)*(1+FTE!H88)</f>
        <v>0</v>
      </c>
      <c r="N87" s="2">
        <f>+FY16Calc!N87*(1+FTE!H88)*(1+OpFee!S88)</f>
        <v>0</v>
      </c>
      <c r="O87" s="2">
        <f>+FY16Calc!O87*(1+FTE!H88)*(1+OpFee!T88)</f>
        <v>0</v>
      </c>
      <c r="P87" s="2">
        <f t="shared" si="8"/>
        <v>0</v>
      </c>
      <c r="Q87" s="2">
        <f t="shared" si="9"/>
        <v>157.51242928655972</v>
      </c>
      <c r="R87" s="2">
        <f t="shared" si="10"/>
        <v>2992.7361564446342</v>
      </c>
      <c r="T87" s="3">
        <f t="shared" si="6"/>
        <v>2992.7361564446342</v>
      </c>
    </row>
    <row r="88" spans="1:20" x14ac:dyDescent="0.25">
      <c r="A88" t="s">
        <v>3</v>
      </c>
      <c r="B88" t="s">
        <v>7</v>
      </c>
      <c r="C88" t="s">
        <v>13</v>
      </c>
      <c r="D88" t="s">
        <v>13</v>
      </c>
      <c r="E88" t="s">
        <v>5</v>
      </c>
      <c r="F88" t="s">
        <v>52</v>
      </c>
      <c r="G88" t="s">
        <v>14</v>
      </c>
      <c r="H88" t="s">
        <v>6</v>
      </c>
      <c r="I88" s="2">
        <f>+FY16Calc!I88*(1+FTE!H89)</f>
        <v>0.65555555556</v>
      </c>
      <c r="J88" s="2">
        <f>+FY16Calc!J88*(1+OpFee!H89)*(1+FTE!H89)</f>
        <v>20660.181157230116</v>
      </c>
      <c r="K88" s="2">
        <f>+FY16Calc!K88*(1+OpFee!S89)*(1+FTE!H89)</f>
        <v>11652.343627263914</v>
      </c>
      <c r="L88" s="2">
        <f t="shared" si="7"/>
        <v>466.09374509055658</v>
      </c>
      <c r="M88" s="2">
        <f>+FY16Calc!M88*(1+OpFee!H89)*(1+FTE!H89)</f>
        <v>0</v>
      </c>
      <c r="N88" s="2">
        <f>+FY16Calc!N88*(1+FTE!H89)*(1+OpFee!S89)</f>
        <v>0</v>
      </c>
      <c r="O88" s="2">
        <f>+FY16Calc!O88*(1+FTE!H89)*(1+OpFee!T89)</f>
        <v>0</v>
      </c>
      <c r="P88" s="2">
        <f t="shared" si="8"/>
        <v>0</v>
      </c>
      <c r="Q88" s="2">
        <f t="shared" si="9"/>
        <v>1009.704370606978</v>
      </c>
      <c r="R88" s="2">
        <f t="shared" si="10"/>
        <v>19184.383041532583</v>
      </c>
      <c r="T88" s="3">
        <f t="shared" si="6"/>
        <v>19184.383041532583</v>
      </c>
    </row>
    <row r="89" spans="1:20" x14ac:dyDescent="0.25">
      <c r="A89" s="102" t="s">
        <v>3</v>
      </c>
      <c r="B89" t="s">
        <v>16</v>
      </c>
      <c r="C89" t="s">
        <v>13</v>
      </c>
      <c r="D89" t="s">
        <v>13</v>
      </c>
      <c r="E89" t="s">
        <v>3</v>
      </c>
      <c r="F89" t="s">
        <v>14</v>
      </c>
      <c r="G89" t="s">
        <v>14</v>
      </c>
      <c r="H89" t="s">
        <v>4</v>
      </c>
      <c r="I89" s="2">
        <f>+FY16Calc!I89*(1+FTE!H90)</f>
        <v>0</v>
      </c>
      <c r="J89" s="2">
        <f>+FY16Calc!J89*(1+OpFee!H90)*(1+FTE!H90)</f>
        <v>0</v>
      </c>
      <c r="K89" s="2">
        <f>+FY16Calc!K89*(1+OpFee!S90)*(1+FTE!H90)</f>
        <v>0</v>
      </c>
      <c r="L89" s="2">
        <f t="shared" si="7"/>
        <v>0</v>
      </c>
      <c r="M89" s="2">
        <f>+FY16Calc!M89*(1+OpFee!H90)*(1+FTE!H90)</f>
        <v>0</v>
      </c>
      <c r="N89" s="2">
        <f>+FY16Calc!N89*(1+FTE!H90)*(1+OpFee!S90)</f>
        <v>0</v>
      </c>
      <c r="O89" s="2">
        <f>+FY16Calc!O89*(1+FTE!H90)*(1+OpFee!T90)</f>
        <v>0</v>
      </c>
      <c r="P89" s="2">
        <f t="shared" si="8"/>
        <v>0</v>
      </c>
      <c r="Q89" s="2">
        <f t="shared" si="9"/>
        <v>0</v>
      </c>
      <c r="R89" s="2">
        <f t="shared" si="10"/>
        <v>0</v>
      </c>
      <c r="T89" s="3"/>
    </row>
    <row r="90" spans="1:20" x14ac:dyDescent="0.25">
      <c r="A90" s="102" t="s">
        <v>3</v>
      </c>
      <c r="B90" t="s">
        <v>16</v>
      </c>
      <c r="C90" t="s">
        <v>13</v>
      </c>
      <c r="D90" t="s">
        <v>13</v>
      </c>
      <c r="E90" t="s">
        <v>5</v>
      </c>
      <c r="F90" t="s">
        <v>14</v>
      </c>
      <c r="G90" t="s">
        <v>14</v>
      </c>
      <c r="H90" t="s">
        <v>6</v>
      </c>
      <c r="I90" s="2">
        <f>+FY16Calc!I90*(1+FTE!H91)</f>
        <v>0</v>
      </c>
      <c r="J90" s="2">
        <f>+FY16Calc!J90*(1+OpFee!H91)*(1+FTE!H91)</f>
        <v>0</v>
      </c>
      <c r="K90" s="2">
        <f>+FY16Calc!K90*(1+OpFee!S91)*(1+FTE!H91)</f>
        <v>0</v>
      </c>
      <c r="L90" s="2">
        <f t="shared" si="7"/>
        <v>0</v>
      </c>
      <c r="M90" s="2">
        <f>+FY16Calc!M90*(1+OpFee!H91)*(1+FTE!H91)</f>
        <v>0</v>
      </c>
      <c r="N90" s="2">
        <f>+FY16Calc!N90*(1+FTE!H91)*(1+OpFee!S91)</f>
        <v>0</v>
      </c>
      <c r="O90" s="2">
        <f>+FY16Calc!O90*(1+FTE!H91)*(1+OpFee!T91)</f>
        <v>0</v>
      </c>
      <c r="P90" s="2">
        <f t="shared" si="8"/>
        <v>0</v>
      </c>
      <c r="Q90" s="2">
        <f t="shared" si="9"/>
        <v>0</v>
      </c>
      <c r="R90" s="2">
        <f t="shared" si="10"/>
        <v>0</v>
      </c>
      <c r="T90" s="3"/>
    </row>
    <row r="91" spans="1:20" x14ac:dyDescent="0.25">
      <c r="A91" t="s">
        <v>3</v>
      </c>
      <c r="B91" t="s">
        <v>15</v>
      </c>
      <c r="C91" t="s">
        <v>16</v>
      </c>
      <c r="D91" t="s">
        <v>16</v>
      </c>
      <c r="E91" t="s">
        <v>3</v>
      </c>
      <c r="F91" t="s">
        <v>75</v>
      </c>
      <c r="G91" t="s">
        <v>36</v>
      </c>
      <c r="H91" t="s">
        <v>4</v>
      </c>
      <c r="I91" s="2">
        <f>+FY16Calc!I91*(1+FTE!H92)</f>
        <v>43.644629465534798</v>
      </c>
      <c r="J91" s="2">
        <f>+FY16Calc!J91*(1+OpFee!H92)*(1+FTE!H92)</f>
        <v>863869.96114800195</v>
      </c>
      <c r="K91" s="2">
        <f>+FY16Calc!K91*(1+OpFee!S92)*(1+FTE!H92)</f>
        <v>863869.96114800195</v>
      </c>
      <c r="L91" s="2">
        <f t="shared" si="7"/>
        <v>34554.798445920082</v>
      </c>
      <c r="M91" s="2">
        <f>+FY16Calc!M91*(1+OpFee!H92)*(1+FTE!H92)</f>
        <v>0</v>
      </c>
      <c r="N91" s="2">
        <f>+FY16Calc!N91*(1+FTE!H92)*(1+OpFee!S92)</f>
        <v>29585.393643921201</v>
      </c>
      <c r="O91" s="2">
        <f>+FY16Calc!O91*(1+FTE!H92)*(1+OpFee!T92)</f>
        <v>0</v>
      </c>
      <c r="P91" s="2">
        <f t="shared" si="8"/>
        <v>29585.393643921201</v>
      </c>
      <c r="Q91" s="2">
        <f t="shared" si="9"/>
        <v>39986.48845290803</v>
      </c>
      <c r="R91" s="2">
        <f t="shared" si="10"/>
        <v>759743.2806052526</v>
      </c>
      <c r="T91" s="3">
        <f>+J91-L91-P91-Q91-S91</f>
        <v>759743.2806052526</v>
      </c>
    </row>
    <row r="92" spans="1:20" x14ac:dyDescent="0.25">
      <c r="A92" t="s">
        <v>3</v>
      </c>
      <c r="B92" t="s">
        <v>15</v>
      </c>
      <c r="C92" t="s">
        <v>16</v>
      </c>
      <c r="D92" t="s">
        <v>16</v>
      </c>
      <c r="E92" t="s">
        <v>5</v>
      </c>
      <c r="F92" t="s">
        <v>75</v>
      </c>
      <c r="G92" t="s">
        <v>36</v>
      </c>
      <c r="H92" t="s">
        <v>6</v>
      </c>
      <c r="I92" s="2">
        <f>+FY16Calc!I92*(1+FTE!H93)</f>
        <v>7.8462886664614597</v>
      </c>
      <c r="J92" s="2">
        <f>+FY16Calc!J92*(1+OpFee!H93)*(1+FTE!H93)</f>
        <v>180414.80910766701</v>
      </c>
      <c r="K92" s="2">
        <f>+FY16Calc!K92*(1+OpFee!S93)*(1+FTE!H93)</f>
        <v>144652.23274052801</v>
      </c>
      <c r="L92" s="2">
        <f t="shared" si="7"/>
        <v>5786.0893096211203</v>
      </c>
      <c r="M92" s="2">
        <f>+FY16Calc!M92*(1+OpFee!H93)*(1+FTE!H93)</f>
        <v>0</v>
      </c>
      <c r="N92" s="2">
        <f>+FY16Calc!N92*(1+FTE!H93)*(1+OpFee!S93)</f>
        <v>0</v>
      </c>
      <c r="O92" s="2">
        <f>+FY16Calc!O92*(1+FTE!H93)*(1+OpFee!T93)</f>
        <v>0</v>
      </c>
      <c r="P92" s="2">
        <f t="shared" si="8"/>
        <v>0</v>
      </c>
      <c r="Q92" s="2">
        <f t="shared" si="9"/>
        <v>8731.4359899022948</v>
      </c>
      <c r="R92" s="2">
        <f t="shared" si="10"/>
        <v>165897.28380814361</v>
      </c>
      <c r="T92" s="3">
        <f>+J92-L92-P92-Q92-S92</f>
        <v>165897.28380814361</v>
      </c>
    </row>
    <row r="93" spans="1:20" x14ac:dyDescent="0.25">
      <c r="A93" t="s">
        <v>3</v>
      </c>
      <c r="B93" t="s">
        <v>24</v>
      </c>
      <c r="C93" t="s">
        <v>16</v>
      </c>
      <c r="D93" t="s">
        <v>16</v>
      </c>
      <c r="E93" t="s">
        <v>3</v>
      </c>
      <c r="F93" t="s">
        <v>76</v>
      </c>
      <c r="G93" t="s">
        <v>36</v>
      </c>
      <c r="H93" t="s">
        <v>4</v>
      </c>
      <c r="I93" s="2">
        <f>+FY16Calc!I93*(1+FTE!H94)</f>
        <v>55.115721398529097</v>
      </c>
      <c r="J93" s="2">
        <f>+FY16Calc!J93*(1+OpFee!H94)*(1+FTE!H94)</f>
        <v>995189.97242370504</v>
      </c>
      <c r="K93" s="2">
        <f>+FY16Calc!K93*(1+OpFee!S94)*(1+FTE!H94)</f>
        <v>995189.97242370504</v>
      </c>
      <c r="L93" s="2">
        <f t="shared" si="7"/>
        <v>39807.598896948206</v>
      </c>
      <c r="M93" s="2">
        <f>+FY16Calc!M93*(1+OpFee!H94)*(1+FTE!H94)</f>
        <v>0</v>
      </c>
      <c r="N93" s="2">
        <f>+FY16Calc!N93*(1+FTE!H94)*(1+OpFee!S94)</f>
        <v>5102.4086544459396</v>
      </c>
      <c r="O93" s="2">
        <f>+FY16Calc!O93*(1+FTE!H94)*(1+OpFee!T94)</f>
        <v>0</v>
      </c>
      <c r="P93" s="2">
        <f t="shared" si="8"/>
        <v>5102.4086544459396</v>
      </c>
      <c r="Q93" s="2">
        <f t="shared" si="9"/>
        <v>47513.998243615555</v>
      </c>
      <c r="R93" s="2">
        <f t="shared" si="10"/>
        <v>902765.96662869537</v>
      </c>
      <c r="T93" s="3">
        <f>+J93-L93-P93-Q93-S93</f>
        <v>902765.96662869537</v>
      </c>
    </row>
    <row r="94" spans="1:20" x14ac:dyDescent="0.25">
      <c r="A94" t="s">
        <v>3</v>
      </c>
      <c r="B94" t="s">
        <v>24</v>
      </c>
      <c r="C94" t="s">
        <v>16</v>
      </c>
      <c r="D94" t="s">
        <v>16</v>
      </c>
      <c r="E94" t="s">
        <v>5</v>
      </c>
      <c r="F94" t="s">
        <v>76</v>
      </c>
      <c r="G94" t="s">
        <v>36</v>
      </c>
      <c r="H94" t="s">
        <v>6</v>
      </c>
      <c r="I94" s="2">
        <f>+FY16Calc!I94*(1+FTE!H95)</f>
        <v>3.1988715332307298</v>
      </c>
      <c r="J94" s="2">
        <f>+FY16Calc!J94*(1+OpFee!H95)*(1+FTE!H95)</f>
        <v>63266.335687319697</v>
      </c>
      <c r="K94" s="2">
        <f>+FY16Calc!K94*(1+OpFee!S95)*(1+FTE!H95)</f>
        <v>50228.501609322797</v>
      </c>
      <c r="L94" s="2">
        <f t="shared" si="7"/>
        <v>2009.1400643729119</v>
      </c>
      <c r="M94" s="2">
        <f>+FY16Calc!M94*(1+OpFee!H95)*(1+FTE!H95)</f>
        <v>0</v>
      </c>
      <c r="N94" s="2">
        <f>+FY16Calc!N94*(1+FTE!H95)*(1+OpFee!S95)</f>
        <v>0</v>
      </c>
      <c r="O94" s="2">
        <f>+FY16Calc!O94*(1+FTE!H95)*(1+OpFee!T95)</f>
        <v>0</v>
      </c>
      <c r="P94" s="2">
        <f t="shared" si="8"/>
        <v>0</v>
      </c>
      <c r="Q94" s="2">
        <f t="shared" si="9"/>
        <v>3062.8597811473392</v>
      </c>
      <c r="R94" s="2">
        <f t="shared" si="10"/>
        <v>58194.335841799446</v>
      </c>
      <c r="T94" s="3">
        <f>+J94-L94-P94-Q94-S94</f>
        <v>58194.335841799446</v>
      </c>
    </row>
    <row r="95" spans="1:20" x14ac:dyDescent="0.25">
      <c r="A95" t="s">
        <v>3</v>
      </c>
      <c r="B95" t="s">
        <v>18</v>
      </c>
      <c r="C95" t="s">
        <v>24</v>
      </c>
      <c r="D95" s="102" t="s">
        <v>10</v>
      </c>
      <c r="E95" t="s">
        <v>3</v>
      </c>
      <c r="F95" t="s">
        <v>97</v>
      </c>
      <c r="G95" t="s">
        <v>50</v>
      </c>
      <c r="H95" t="s">
        <v>4</v>
      </c>
      <c r="I95" s="2">
        <f>+FY16Calc!I95*(1+FTE!H96)</f>
        <v>24.8739839112623</v>
      </c>
      <c r="J95" s="2">
        <f>+FY16Calc!J95*(1+OpFee!H96)*(1+FTE!H96)</f>
        <v>519970.30929358001</v>
      </c>
      <c r="K95" s="2">
        <f>+FY16Calc!K95*(1+OpFee!S96)*(1+FTE!H96)</f>
        <v>519970.30929358001</v>
      </c>
      <c r="L95" s="2">
        <f t="shared" si="7"/>
        <v>20798.812371743199</v>
      </c>
      <c r="M95" s="2">
        <f>+FY16Calc!M95*(1+OpFee!H96)*(1+FTE!H96)</f>
        <v>0</v>
      </c>
      <c r="N95" s="2">
        <f>+FY16Calc!N95*(1+FTE!H96)*(1+OpFee!S96)</f>
        <v>0</v>
      </c>
      <c r="O95" s="2">
        <f>+FY16Calc!O95*(1+FTE!H96)*(1+OpFee!T96)</f>
        <v>0</v>
      </c>
      <c r="P95" s="2">
        <f t="shared" si="8"/>
        <v>0</v>
      </c>
      <c r="Q95" s="2">
        <f t="shared" si="9"/>
        <v>24958.57484609184</v>
      </c>
      <c r="R95" s="2">
        <f t="shared" si="10"/>
        <v>474212.92207574495</v>
      </c>
      <c r="T95" s="3">
        <f>+J95-L95-P95-Q95-S95</f>
        <v>474212.92207574495</v>
      </c>
    </row>
    <row r="96" spans="1:20" x14ac:dyDescent="0.25">
      <c r="A96" t="s">
        <v>3</v>
      </c>
      <c r="B96" t="s">
        <v>18</v>
      </c>
      <c r="C96" t="s">
        <v>24</v>
      </c>
      <c r="D96" s="102" t="s">
        <v>10</v>
      </c>
      <c r="E96" s="102" t="s">
        <v>5</v>
      </c>
      <c r="F96" t="s">
        <v>97</v>
      </c>
      <c r="G96" t="s">
        <v>50</v>
      </c>
      <c r="H96" t="s">
        <v>6</v>
      </c>
      <c r="I96" s="2">
        <f>+FY16Calc!I96*(1+FTE!H97)</f>
        <v>0</v>
      </c>
      <c r="J96" s="2">
        <f>+FY16Calc!J96*(1+OpFee!H97)*(1+FTE!H97)</f>
        <v>0</v>
      </c>
      <c r="K96" s="2">
        <f>+FY16Calc!K96*(1+OpFee!S97)*(1+FTE!H97)</f>
        <v>0</v>
      </c>
      <c r="L96" s="2">
        <f t="shared" si="7"/>
        <v>0</v>
      </c>
      <c r="M96" s="2">
        <f>+FY16Calc!M96*(1+OpFee!H97)*(1+FTE!H97)</f>
        <v>0</v>
      </c>
      <c r="N96" s="2">
        <f>+FY16Calc!N96*(1+FTE!H97)*(1+OpFee!S97)</f>
        <v>0</v>
      </c>
      <c r="O96" s="2">
        <f>+FY16Calc!O96*(1+FTE!H97)*(1+OpFee!T97)</f>
        <v>0</v>
      </c>
      <c r="P96" s="2">
        <f t="shared" si="8"/>
        <v>0</v>
      </c>
      <c r="Q96" s="2">
        <f t="shared" si="9"/>
        <v>0</v>
      </c>
      <c r="R96" s="2">
        <f t="shared" si="10"/>
        <v>0</v>
      </c>
      <c r="T96" s="3"/>
    </row>
    <row r="97" spans="1:20" x14ac:dyDescent="0.25">
      <c r="A97" t="s">
        <v>5</v>
      </c>
      <c r="B97" t="s">
        <v>1</v>
      </c>
      <c r="C97" t="s">
        <v>1</v>
      </c>
      <c r="D97" t="s">
        <v>1</v>
      </c>
      <c r="E97" t="s">
        <v>3</v>
      </c>
      <c r="F97" t="s">
        <v>2</v>
      </c>
      <c r="G97" t="s">
        <v>2</v>
      </c>
      <c r="H97" t="s">
        <v>4</v>
      </c>
      <c r="I97" s="2">
        <f>+FY16Calc!I97*(1+FTE!H98)</f>
        <v>3467.1976488781002</v>
      </c>
      <c r="J97" s="2">
        <f>+FY16Calc!J97*(1+OpFee!H98)*(1+FTE!H98)</f>
        <v>32823492.791490246</v>
      </c>
      <c r="K97" s="2">
        <f>+FY16Calc!K97*(1+OpFee!S98)*(1+FTE!H98)</f>
        <v>32823010.10016524</v>
      </c>
      <c r="L97" s="2">
        <f t="shared" si="7"/>
        <v>1312920.4040066097</v>
      </c>
      <c r="M97" s="2">
        <f>+FY16Calc!M97*(1+OpFee!H98)*(1+FTE!H98)</f>
        <v>0</v>
      </c>
      <c r="N97" s="2">
        <f>+FY16Calc!N97*(1+FTE!H98)*(1+OpFee!S98)</f>
        <v>728235.87066630973</v>
      </c>
      <c r="O97" s="2">
        <f>+FY16Calc!O97*(1+FTE!H98)*(1+OpFee!T98)</f>
        <v>0</v>
      </c>
      <c r="P97" s="2">
        <f t="shared" si="8"/>
        <v>728235.87066630973</v>
      </c>
      <c r="Q97" s="2">
        <f t="shared" si="9"/>
        <v>1539116.8258408662</v>
      </c>
      <c r="R97" s="2">
        <f t="shared" si="10"/>
        <v>29243219.690976456</v>
      </c>
      <c r="S97" s="2">
        <f>$U$3*I97</f>
        <v>2172025.9671396855</v>
      </c>
      <c r="T97" s="3">
        <f t="shared" ref="T97:T105" si="11">+J97-L97-P97-Q97-S97</f>
        <v>27071193.723836772</v>
      </c>
    </row>
    <row r="98" spans="1:20" x14ac:dyDescent="0.25">
      <c r="A98" t="s">
        <v>5</v>
      </c>
      <c r="B98" t="s">
        <v>1</v>
      </c>
      <c r="C98" t="s">
        <v>1</v>
      </c>
      <c r="D98" t="s">
        <v>1</v>
      </c>
      <c r="E98" t="s">
        <v>5</v>
      </c>
      <c r="F98" t="s">
        <v>2</v>
      </c>
      <c r="G98" t="s">
        <v>2</v>
      </c>
      <c r="H98" t="s">
        <v>6</v>
      </c>
      <c r="I98" s="2">
        <f>+FY16Calc!I98*(1+FTE!H99)</f>
        <v>234.52344199756902</v>
      </c>
      <c r="J98" s="2">
        <f>+FY16Calc!J98*(1+OpFee!H99)*(1+FTE!H99)</f>
        <v>7607048.2341836924</v>
      </c>
      <c r="K98" s="2">
        <f>+FY16Calc!K98*(1+OpFee!S99)*(1+FTE!H99)</f>
        <v>2155831.9310376523</v>
      </c>
      <c r="L98" s="2">
        <f t="shared" si="7"/>
        <v>86233.27724150609</v>
      </c>
      <c r="M98" s="2">
        <f>+FY16Calc!M98*(1+OpFee!H99)*(1+FTE!H99)</f>
        <v>0</v>
      </c>
      <c r="N98" s="2">
        <f>+FY16Calc!N98*(1+FTE!H99)*(1+OpFee!S99)</f>
        <v>7929.3497897968873</v>
      </c>
      <c r="O98" s="2">
        <f>+FY16Calc!O98*(1+FTE!H99)*(1+OpFee!T99)</f>
        <v>0</v>
      </c>
      <c r="P98" s="2">
        <f t="shared" si="8"/>
        <v>7929.3497897968873</v>
      </c>
      <c r="Q98" s="2">
        <f t="shared" si="9"/>
        <v>375644.28035761951</v>
      </c>
      <c r="R98" s="2">
        <f t="shared" si="10"/>
        <v>7137241.3267947696</v>
      </c>
      <c r="T98" s="3">
        <f t="shared" si="11"/>
        <v>7137241.3267947696</v>
      </c>
    </row>
    <row r="99" spans="1:20" x14ac:dyDescent="0.25">
      <c r="A99" t="s">
        <v>5</v>
      </c>
      <c r="B99" t="s">
        <v>8</v>
      </c>
      <c r="C99" t="s">
        <v>1</v>
      </c>
      <c r="D99" t="s">
        <v>1</v>
      </c>
      <c r="E99" t="s">
        <v>3</v>
      </c>
      <c r="F99" t="s">
        <v>51</v>
      </c>
      <c r="G99" t="s">
        <v>2</v>
      </c>
      <c r="H99" t="s">
        <v>4</v>
      </c>
      <c r="I99" s="2">
        <f>+FY16Calc!I99*(1+FTE!H100)</f>
        <v>67.862463954885499</v>
      </c>
      <c r="J99" s="2">
        <f>+FY16Calc!J99*(1+OpFee!H100)*(1+FTE!H100)</f>
        <v>720517.61831285385</v>
      </c>
      <c r="K99" s="2">
        <f>+FY16Calc!K99*(1+OpFee!S100)*(1+FTE!H100)</f>
        <v>720507.02262134466</v>
      </c>
      <c r="L99" s="2">
        <f t="shared" si="7"/>
        <v>28820.280904853786</v>
      </c>
      <c r="M99" s="2">
        <f>+FY16Calc!M99*(1+OpFee!H100)*(1+FTE!H100)</f>
        <v>0</v>
      </c>
      <c r="N99" s="2">
        <f>+FY16Calc!N99*(1+FTE!H100)*(1+OpFee!S100)</f>
        <v>0</v>
      </c>
      <c r="O99" s="2">
        <f>+FY16Calc!O99*(1+FTE!H100)*(1+OpFee!T100)</f>
        <v>0</v>
      </c>
      <c r="P99" s="2">
        <f t="shared" si="8"/>
        <v>0</v>
      </c>
      <c r="Q99" s="2">
        <f t="shared" si="9"/>
        <v>34584.866870400001</v>
      </c>
      <c r="R99" s="2">
        <f t="shared" si="10"/>
        <v>657112.47053759999</v>
      </c>
      <c r="S99" s="2">
        <f>$U$3*I99</f>
        <v>42512.440544538018</v>
      </c>
      <c r="T99" s="3">
        <f t="shared" si="11"/>
        <v>614600.02999306202</v>
      </c>
    </row>
    <row r="100" spans="1:20" x14ac:dyDescent="0.25">
      <c r="A100" t="s">
        <v>5</v>
      </c>
      <c r="B100" t="s">
        <v>8</v>
      </c>
      <c r="C100" t="s">
        <v>1</v>
      </c>
      <c r="D100" t="s">
        <v>1</v>
      </c>
      <c r="E100" t="s">
        <v>5</v>
      </c>
      <c r="F100" t="s">
        <v>51</v>
      </c>
      <c r="G100" t="s">
        <v>2</v>
      </c>
      <c r="H100" t="s">
        <v>6</v>
      </c>
      <c r="I100" s="2">
        <f>+FY16Calc!I100*(1+FTE!H101)</f>
        <v>11.9194459998699</v>
      </c>
      <c r="J100" s="2">
        <f>+FY16Calc!J100*(1+OpFee!H101)*(1+FTE!H101)</f>
        <v>406607.38724776829</v>
      </c>
      <c r="K100" s="2">
        <f>+FY16Calc!K100*(1+OpFee!S101)*(1+FTE!H101)</f>
        <v>115223.83793395248</v>
      </c>
      <c r="L100" s="2">
        <f t="shared" si="7"/>
        <v>4608.9535173580998</v>
      </c>
      <c r="M100" s="2">
        <f>+FY16Calc!M100*(1+OpFee!H101)*(1+FTE!H101)</f>
        <v>35135.513857250007</v>
      </c>
      <c r="N100" s="2">
        <f>+FY16Calc!N100*(1+FTE!H101)*(1+OpFee!S101)</f>
        <v>0</v>
      </c>
      <c r="O100" s="2">
        <f>+FY16Calc!O100*(1+FTE!H101)*(1+OpFee!T101)</f>
        <v>0</v>
      </c>
      <c r="P100" s="2">
        <f t="shared" si="8"/>
        <v>35135.513857250007</v>
      </c>
      <c r="Q100" s="2">
        <f t="shared" si="9"/>
        <v>18343.14599365801</v>
      </c>
      <c r="R100" s="2">
        <f t="shared" si="10"/>
        <v>348519.7738795022</v>
      </c>
      <c r="T100" s="3">
        <f t="shared" si="11"/>
        <v>348519.7738795022</v>
      </c>
    </row>
    <row r="101" spans="1:20" x14ac:dyDescent="0.25">
      <c r="A101" t="s">
        <v>5</v>
      </c>
      <c r="B101" t="s">
        <v>13</v>
      </c>
      <c r="C101" t="s">
        <v>8</v>
      </c>
      <c r="D101" t="s">
        <v>8</v>
      </c>
      <c r="E101" t="s">
        <v>3</v>
      </c>
      <c r="F101" t="s">
        <v>9</v>
      </c>
      <c r="G101" t="s">
        <v>9</v>
      </c>
      <c r="H101" t="s">
        <v>4</v>
      </c>
      <c r="I101" s="2">
        <f>+FY16Calc!I101*(1+FTE!H102)</f>
        <v>122.647381089682</v>
      </c>
      <c r="J101" s="2">
        <f>+FY16Calc!J101*(1+OpFee!H102)*(1+FTE!H102)</f>
        <v>2134468.6318906499</v>
      </c>
      <c r="K101" s="2">
        <f>+FY16Calc!K101*(1+OpFee!S102)*(1+FTE!H102)</f>
        <v>2134468.6318906499</v>
      </c>
      <c r="L101" s="2">
        <f t="shared" si="7"/>
        <v>85378.745275626003</v>
      </c>
      <c r="M101" s="2">
        <f>+FY16Calc!M101*(1+OpFee!H102)*(1+FTE!H102)</f>
        <v>0</v>
      </c>
      <c r="N101" s="2">
        <f>+FY16Calc!N101*(1+FTE!H102)*(1+OpFee!S102)</f>
        <v>7037.2023470346503</v>
      </c>
      <c r="O101" s="2">
        <f>+FY16Calc!O101*(1+FTE!H102)*(1+OpFee!T102)</f>
        <v>0</v>
      </c>
      <c r="P101" s="2">
        <f t="shared" si="8"/>
        <v>7037.2023470346503</v>
      </c>
      <c r="Q101" s="2">
        <f t="shared" si="9"/>
        <v>102102.63421339948</v>
      </c>
      <c r="R101" s="2">
        <f t="shared" si="10"/>
        <v>1939950.05005459</v>
      </c>
      <c r="T101" s="3">
        <f t="shared" si="11"/>
        <v>1939950.05005459</v>
      </c>
    </row>
    <row r="102" spans="1:20" x14ac:dyDescent="0.25">
      <c r="A102" t="s">
        <v>5</v>
      </c>
      <c r="B102" t="s">
        <v>13</v>
      </c>
      <c r="C102" t="s">
        <v>8</v>
      </c>
      <c r="D102" t="s">
        <v>8</v>
      </c>
      <c r="E102" t="s">
        <v>5</v>
      </c>
      <c r="F102" t="s">
        <v>9</v>
      </c>
      <c r="G102" t="s">
        <v>9</v>
      </c>
      <c r="H102" t="s">
        <v>6</v>
      </c>
      <c r="I102" s="2">
        <f>+FY16Calc!I102*(1+FTE!H103)</f>
        <v>6.52377635558706</v>
      </c>
      <c r="J102" s="2">
        <f>+FY16Calc!J102*(1+OpFee!H103)*(1+FTE!H103)</f>
        <v>225625.78333299499</v>
      </c>
      <c r="K102" s="2">
        <f>+FY16Calc!K102*(1+OpFee!S103)*(1+FTE!H103)</f>
        <v>126550.47874321599</v>
      </c>
      <c r="L102" s="2">
        <f t="shared" si="7"/>
        <v>5062.0191497286396</v>
      </c>
      <c r="M102" s="2">
        <f>+FY16Calc!M102*(1+OpFee!H103)*(1+FTE!H103)</f>
        <v>0</v>
      </c>
      <c r="N102" s="2">
        <f>+FY16Calc!N102*(1+FTE!H103)*(1+OpFee!S103)</f>
        <v>0</v>
      </c>
      <c r="O102" s="2">
        <f>+FY16Calc!O102*(1+FTE!H103)*(1+OpFee!T103)</f>
        <v>0</v>
      </c>
      <c r="P102" s="2">
        <f t="shared" si="8"/>
        <v>0</v>
      </c>
      <c r="Q102" s="2">
        <f t="shared" si="9"/>
        <v>11028.188209163318</v>
      </c>
      <c r="R102" s="2">
        <f t="shared" si="10"/>
        <v>209535.57597410303</v>
      </c>
      <c r="T102" s="3">
        <f t="shared" si="11"/>
        <v>209535.57597410303</v>
      </c>
    </row>
    <row r="103" spans="1:20" x14ac:dyDescent="0.25">
      <c r="A103" t="s">
        <v>5</v>
      </c>
      <c r="B103" t="s">
        <v>10</v>
      </c>
      <c r="C103" t="s">
        <v>7</v>
      </c>
      <c r="D103" t="s">
        <v>7</v>
      </c>
      <c r="E103" t="s">
        <v>3</v>
      </c>
      <c r="F103" t="s">
        <v>11</v>
      </c>
      <c r="G103" t="s">
        <v>11</v>
      </c>
      <c r="H103" t="s">
        <v>4</v>
      </c>
      <c r="I103" s="2">
        <f>+FY16Calc!I103*(1+FTE!H104)</f>
        <v>122.664666265869</v>
      </c>
      <c r="J103" s="2">
        <f>+FY16Calc!J103*(1+OpFee!H104)*(1+FTE!H104)</f>
        <v>1618235.2660719401</v>
      </c>
      <c r="K103" s="2">
        <f>+FY16Calc!K103*(1+OpFee!S104)*(1+FTE!H104)</f>
        <v>1618235.2660719401</v>
      </c>
      <c r="L103" s="2">
        <f t="shared" si="7"/>
        <v>64729.410642877607</v>
      </c>
      <c r="M103" s="2">
        <f>+FY16Calc!M103*(1+OpFee!H104)*(1+FTE!H104)</f>
        <v>0</v>
      </c>
      <c r="N103" s="2">
        <f>+FY16Calc!N103*(1+FTE!H104)*(1+OpFee!S104)</f>
        <v>15127.409715448501</v>
      </c>
      <c r="O103" s="2">
        <f>+FY16Calc!O103*(1+FTE!H104)*(1+OpFee!T104)</f>
        <v>0</v>
      </c>
      <c r="P103" s="2">
        <f t="shared" si="8"/>
        <v>15127.409715448501</v>
      </c>
      <c r="Q103" s="2">
        <f t="shared" si="9"/>
        <v>76918.922285680703</v>
      </c>
      <c r="R103" s="2">
        <f t="shared" si="10"/>
        <v>1461459.5234279332</v>
      </c>
      <c r="T103" s="3">
        <f t="shared" si="11"/>
        <v>1461459.5234279332</v>
      </c>
    </row>
    <row r="104" spans="1:20" x14ac:dyDescent="0.25">
      <c r="A104" t="s">
        <v>5</v>
      </c>
      <c r="B104" t="s">
        <v>10</v>
      </c>
      <c r="C104" t="s">
        <v>7</v>
      </c>
      <c r="D104" t="s">
        <v>7</v>
      </c>
      <c r="E104" t="s">
        <v>5</v>
      </c>
      <c r="F104" t="s">
        <v>11</v>
      </c>
      <c r="G104" t="s">
        <v>11</v>
      </c>
      <c r="H104" t="s">
        <v>6</v>
      </c>
      <c r="I104" s="2">
        <f>+FY16Calc!I104*(1+FTE!H105)</f>
        <v>5.8666419999595396</v>
      </c>
      <c r="J104" s="2">
        <f>+FY16Calc!J104*(1+OpFee!H105)*(1+FTE!H105)</f>
        <v>132307.54609562</v>
      </c>
      <c r="K104" s="2">
        <f>+FY16Calc!K104*(1+OpFee!S105)*(1+FTE!H105)</f>
        <v>74498.502538571498</v>
      </c>
      <c r="L104" s="2">
        <f t="shared" si="7"/>
        <v>2979.9401015428598</v>
      </c>
      <c r="M104" s="2">
        <f>+FY16Calc!M104*(1+OpFee!H105)*(1+FTE!H105)</f>
        <v>0</v>
      </c>
      <c r="N104" s="2">
        <f>+FY16Calc!N104*(1+FTE!H105)*(1+OpFee!S105)</f>
        <v>0</v>
      </c>
      <c r="O104" s="2">
        <f>+FY16Calc!O104*(1+FTE!H105)*(1+OpFee!T105)</f>
        <v>0</v>
      </c>
      <c r="P104" s="2">
        <f t="shared" si="8"/>
        <v>0</v>
      </c>
      <c r="Q104" s="2">
        <f t="shared" si="9"/>
        <v>6466.3802997038574</v>
      </c>
      <c r="R104" s="2">
        <f t="shared" si="10"/>
        <v>122861.22569437328</v>
      </c>
      <c r="T104" s="3">
        <f t="shared" si="11"/>
        <v>122861.22569437328</v>
      </c>
    </row>
    <row r="105" spans="1:20" x14ac:dyDescent="0.25">
      <c r="A105" t="s">
        <v>5</v>
      </c>
      <c r="B105" t="s">
        <v>7</v>
      </c>
      <c r="C105" t="s">
        <v>13</v>
      </c>
      <c r="D105" t="s">
        <v>13</v>
      </c>
      <c r="E105" t="s">
        <v>3</v>
      </c>
      <c r="F105" t="s">
        <v>52</v>
      </c>
      <c r="G105" t="s">
        <v>14</v>
      </c>
      <c r="H105" t="s">
        <v>4</v>
      </c>
      <c r="I105" s="2">
        <f>+FY16Calc!I105*(1+FTE!H106)</f>
        <v>2.87183811111306</v>
      </c>
      <c r="J105" s="2">
        <f>+FY16Calc!J105*(1+OpFee!H106)*(1+FTE!H106)</f>
        <v>60400.092569816115</v>
      </c>
      <c r="K105" s="2">
        <f>+FY16Calc!K105*(1+OpFee!S106)*(1+FTE!H106)</f>
        <v>60400.239797701055</v>
      </c>
      <c r="L105" s="2">
        <f t="shared" si="7"/>
        <v>2416.0095919080422</v>
      </c>
      <c r="M105" s="2">
        <f>+FY16Calc!M105*(1+OpFee!H106)*(1+FTE!H106)</f>
        <v>0</v>
      </c>
      <c r="N105" s="2">
        <f>+FY16Calc!N105*(1+FTE!H106)*(1+OpFee!S106)</f>
        <v>0</v>
      </c>
      <c r="O105" s="2">
        <f>+FY16Calc!O105*(1+FTE!H106)*(1+OpFee!T106)</f>
        <v>0</v>
      </c>
      <c r="P105" s="2">
        <f t="shared" si="8"/>
        <v>0</v>
      </c>
      <c r="Q105" s="2">
        <f t="shared" si="9"/>
        <v>2899.2041488954037</v>
      </c>
      <c r="R105" s="2">
        <f t="shared" si="10"/>
        <v>55084.878829012669</v>
      </c>
      <c r="T105" s="3">
        <f t="shared" si="11"/>
        <v>55084.878829012669</v>
      </c>
    </row>
    <row r="106" spans="1:20" x14ac:dyDescent="0.25">
      <c r="A106" t="s">
        <v>5</v>
      </c>
      <c r="B106" t="s">
        <v>7</v>
      </c>
      <c r="C106" t="s">
        <v>13</v>
      </c>
      <c r="D106" t="s">
        <v>13</v>
      </c>
      <c r="E106" s="102" t="s">
        <v>5</v>
      </c>
      <c r="F106" t="s">
        <v>52</v>
      </c>
      <c r="G106" t="s">
        <v>14</v>
      </c>
      <c r="H106" t="s">
        <v>6</v>
      </c>
      <c r="I106" s="2">
        <f>+FY16Calc!I106*(1+FTE!H107)</f>
        <v>0</v>
      </c>
      <c r="J106" s="2">
        <f>+FY16Calc!J106*(1+OpFee!H107)*(1+FTE!H107)</f>
        <v>0</v>
      </c>
      <c r="K106" s="2">
        <f>+FY16Calc!K106*(1+OpFee!S107)*(1+FTE!H107)</f>
        <v>0</v>
      </c>
      <c r="L106" s="2">
        <f t="shared" si="7"/>
        <v>0</v>
      </c>
      <c r="M106" s="2">
        <f>+FY16Calc!M106*(1+OpFee!H107)*(1+FTE!H107)</f>
        <v>0</v>
      </c>
      <c r="N106" s="2">
        <f>+FY16Calc!N106*(1+FTE!H107)*(1+OpFee!S107)</f>
        <v>0</v>
      </c>
      <c r="O106" s="2">
        <f>+FY16Calc!O106*(1+FTE!H107)*(1+OpFee!T107)</f>
        <v>0</v>
      </c>
      <c r="P106" s="2">
        <f t="shared" si="8"/>
        <v>0</v>
      </c>
      <c r="Q106" s="2">
        <f t="shared" si="9"/>
        <v>0</v>
      </c>
      <c r="R106" s="2">
        <f t="shared" si="10"/>
        <v>0</v>
      </c>
      <c r="T106" s="3"/>
    </row>
    <row r="107" spans="1:20" x14ac:dyDescent="0.25">
      <c r="A107" t="s">
        <v>5</v>
      </c>
      <c r="B107" t="s">
        <v>16</v>
      </c>
      <c r="C107" t="s">
        <v>13</v>
      </c>
      <c r="D107" t="s">
        <v>13</v>
      </c>
      <c r="E107" t="s">
        <v>3</v>
      </c>
      <c r="F107" t="s">
        <v>14</v>
      </c>
      <c r="G107" t="s">
        <v>14</v>
      </c>
      <c r="H107" t="s">
        <v>4</v>
      </c>
      <c r="I107" s="2">
        <f>+FY16Calc!I107*(1+FTE!H108)</f>
        <v>60.4838311338913</v>
      </c>
      <c r="J107" s="2">
        <f>+FY16Calc!J107*(1+OpFee!H108)*(1+FTE!H108)</f>
        <v>1027772.7770956586</v>
      </c>
      <c r="K107" s="2">
        <f>+FY16Calc!K107*(1+OpFee!S108)*(1+FTE!H108)</f>
        <v>1027775.2823370537</v>
      </c>
      <c r="L107" s="2">
        <f t="shared" si="7"/>
        <v>41111.011293482145</v>
      </c>
      <c r="M107" s="2">
        <f>+FY16Calc!M107*(1+OpFee!H108)*(1+FTE!H108)</f>
        <v>0</v>
      </c>
      <c r="N107" s="2">
        <f>+FY16Calc!N107*(1+FTE!H108)*(1+OpFee!S108)</f>
        <v>0</v>
      </c>
      <c r="O107" s="2">
        <f>+FY16Calc!O107*(1+FTE!H108)*(1+OpFee!T108)</f>
        <v>0</v>
      </c>
      <c r="P107" s="2">
        <f t="shared" si="8"/>
        <v>0</v>
      </c>
      <c r="Q107" s="2">
        <f t="shared" si="9"/>
        <v>49333.088290108826</v>
      </c>
      <c r="R107" s="2">
        <f t="shared" si="10"/>
        <v>937328.6775120676</v>
      </c>
      <c r="T107" s="3">
        <f>+J107-L107-P107-Q107-S107</f>
        <v>937328.6775120676</v>
      </c>
    </row>
    <row r="108" spans="1:20" x14ac:dyDescent="0.25">
      <c r="A108" t="s">
        <v>5</v>
      </c>
      <c r="B108" t="s">
        <v>16</v>
      </c>
      <c r="C108" t="s">
        <v>13</v>
      </c>
      <c r="D108" s="102" t="s">
        <v>13</v>
      </c>
      <c r="E108" t="s">
        <v>5</v>
      </c>
      <c r="F108" t="s">
        <v>14</v>
      </c>
      <c r="G108" t="s">
        <v>14</v>
      </c>
      <c r="H108" t="s">
        <v>6</v>
      </c>
      <c r="I108" s="2">
        <f>+FY16Calc!I108*(1+FTE!H109)</f>
        <v>92.494946401314905</v>
      </c>
      <c r="J108" s="2">
        <f>+FY16Calc!J108*(1+OpFee!H109)*(1+FTE!H109)</f>
        <v>2598827.9647538178</v>
      </c>
      <c r="K108" s="2">
        <f>+FY16Calc!K108*(1+OpFee!S109)*(1+FTE!H109)</f>
        <v>1465710.6954707762</v>
      </c>
      <c r="L108" s="2">
        <f t="shared" si="7"/>
        <v>58628.427818831049</v>
      </c>
      <c r="M108" s="2">
        <f>+FY16Calc!M108*(1+OpFee!H109)*(1+FTE!H109)</f>
        <v>88366.64454246372</v>
      </c>
      <c r="N108" s="2">
        <f>+FY16Calc!N108*(1+FTE!H109)*(1+OpFee!S109)</f>
        <v>12288.054885527883</v>
      </c>
      <c r="O108" s="2">
        <f>+FY16Calc!O108*(1+FTE!H109)*(1+OpFee!T109)</f>
        <v>170981.99961455324</v>
      </c>
      <c r="P108" s="2">
        <f t="shared" si="8"/>
        <v>271636.69904254482</v>
      </c>
      <c r="Q108" s="2">
        <f t="shared" si="9"/>
        <v>113428.14189462211</v>
      </c>
      <c r="R108" s="2">
        <f t="shared" si="10"/>
        <v>2155134.6959978198</v>
      </c>
      <c r="T108" s="3">
        <f>+J108-L108-P108-Q108-S108</f>
        <v>2155134.6959978198</v>
      </c>
    </row>
    <row r="109" spans="1:20" x14ac:dyDescent="0.25">
      <c r="A109" t="s">
        <v>5</v>
      </c>
      <c r="B109" t="s">
        <v>15</v>
      </c>
      <c r="C109" t="s">
        <v>16</v>
      </c>
      <c r="D109" t="s">
        <v>16</v>
      </c>
      <c r="E109" t="s">
        <v>3</v>
      </c>
      <c r="F109" t="s">
        <v>75</v>
      </c>
      <c r="G109" t="s">
        <v>36</v>
      </c>
      <c r="H109" t="s">
        <v>4</v>
      </c>
      <c r="I109" s="2">
        <f>+FY16Calc!I109*(1+FTE!H110)</f>
        <v>20.472368399493401</v>
      </c>
      <c r="J109" s="2">
        <f>+FY16Calc!J109*(1+OpFee!H110)*(1+FTE!H110)</f>
        <v>427435.25865764712</v>
      </c>
      <c r="K109" s="2">
        <f>+FY16Calc!K109*(1+OpFee!S110)*(1+FTE!H110)</f>
        <v>427432.03874976182</v>
      </c>
      <c r="L109" s="2">
        <f t="shared" si="7"/>
        <v>17097.281549990472</v>
      </c>
      <c r="M109" s="2">
        <f>+FY16Calc!M109*(1+OpFee!H110)*(1+FTE!H110)</f>
        <v>0</v>
      </c>
      <c r="N109" s="2">
        <f>+FY16Calc!N109*(1+FTE!H110)*(1+OpFee!S110)</f>
        <v>3380.4461167567274</v>
      </c>
      <c r="O109" s="2">
        <f>+FY16Calc!O109*(1+FTE!H110)*(1+OpFee!T110)</f>
        <v>0</v>
      </c>
      <c r="P109" s="2">
        <f t="shared" si="8"/>
        <v>3380.4461167567274</v>
      </c>
      <c r="Q109" s="2">
        <f t="shared" si="9"/>
        <v>20347.876549544999</v>
      </c>
      <c r="R109" s="2">
        <f t="shared" si="10"/>
        <v>386609.65444135497</v>
      </c>
      <c r="T109" s="3">
        <f>+J109-L109-P109-Q109-S109</f>
        <v>386609.65444135497</v>
      </c>
    </row>
    <row r="110" spans="1:20" x14ac:dyDescent="0.25">
      <c r="A110" t="s">
        <v>5</v>
      </c>
      <c r="B110" t="s">
        <v>15</v>
      </c>
      <c r="C110" t="s">
        <v>16</v>
      </c>
      <c r="D110" t="s">
        <v>16</v>
      </c>
      <c r="E110" t="s">
        <v>5</v>
      </c>
      <c r="F110" t="s">
        <v>75</v>
      </c>
      <c r="G110" t="s">
        <v>36</v>
      </c>
      <c r="H110" t="s">
        <v>6</v>
      </c>
      <c r="I110" s="2">
        <f>+FY16Calc!I110*(1+FTE!H111)</f>
        <v>3.1111107999222201</v>
      </c>
      <c r="J110" s="2">
        <f>+FY16Calc!J110*(1+OpFee!H111)*(1+FTE!H111)</f>
        <v>108896.55995920736</v>
      </c>
      <c r="K110" s="2">
        <f>+FY16Calc!K110*(1+OpFee!S111)*(1+FTE!H111)</f>
        <v>65766.435082690412</v>
      </c>
      <c r="L110" s="2">
        <f t="shared" si="7"/>
        <v>2630.6574033076167</v>
      </c>
      <c r="M110" s="2">
        <f>+FY16Calc!M110*(1+OpFee!H111)*(1+FTE!H111)</f>
        <v>0</v>
      </c>
      <c r="N110" s="2">
        <f>+FY16Calc!N110*(1+FTE!H111)*(1+OpFee!S111)</f>
        <v>0</v>
      </c>
      <c r="O110" s="2">
        <f>+FY16Calc!O110*(1+FTE!H111)*(1+OpFee!T111)</f>
        <v>0</v>
      </c>
      <c r="P110" s="2">
        <f t="shared" si="8"/>
        <v>0</v>
      </c>
      <c r="Q110" s="2">
        <f t="shared" si="9"/>
        <v>5313.2951277949869</v>
      </c>
      <c r="R110" s="2">
        <f t="shared" si="10"/>
        <v>100952.60742810475</v>
      </c>
      <c r="T110" s="3">
        <f>+J110-L110-P110-Q110-S110</f>
        <v>100952.60742810475</v>
      </c>
    </row>
    <row r="111" spans="1:20" x14ac:dyDescent="0.25">
      <c r="A111" t="s">
        <v>5</v>
      </c>
      <c r="B111" t="s">
        <v>24</v>
      </c>
      <c r="C111" t="s">
        <v>16</v>
      </c>
      <c r="D111" t="s">
        <v>16</v>
      </c>
      <c r="E111" t="s">
        <v>3</v>
      </c>
      <c r="F111" t="s">
        <v>76</v>
      </c>
      <c r="G111" t="s">
        <v>36</v>
      </c>
      <c r="H111" t="s">
        <v>4</v>
      </c>
      <c r="I111" s="2">
        <f>+FY16Calc!I111*(1+FTE!H112)</f>
        <v>26.722070088232901</v>
      </c>
      <c r="J111" s="2">
        <f>+FY16Calc!J111*(1+OpFee!H112)*(1+FTE!H112)</f>
        <v>506889.28330465662</v>
      </c>
      <c r="K111" s="2">
        <f>+FY16Calc!K111*(1+OpFee!S112)*(1+FTE!H112)</f>
        <v>506884.14118808357</v>
      </c>
      <c r="L111" s="2">
        <f t="shared" si="7"/>
        <v>20275.365647523344</v>
      </c>
      <c r="M111" s="2">
        <f>+FY16Calc!M111*(1+OpFee!H112)*(1+FTE!H112)</f>
        <v>0</v>
      </c>
      <c r="N111" s="2">
        <f>+FY16Calc!N111*(1+FTE!H112)*(1+OpFee!S112)</f>
        <v>0</v>
      </c>
      <c r="O111" s="2">
        <f>+FY16Calc!O111*(1+FTE!H112)*(1+OpFee!T112)</f>
        <v>0</v>
      </c>
      <c r="P111" s="2">
        <f t="shared" si="8"/>
        <v>0</v>
      </c>
      <c r="Q111" s="2">
        <f t="shared" si="9"/>
        <v>24330.695882856668</v>
      </c>
      <c r="R111" s="2">
        <f t="shared" si="10"/>
        <v>462283.22177427664</v>
      </c>
      <c r="T111" s="3">
        <f>+J111-L111-P111-Q111-S111</f>
        <v>462283.22177427664</v>
      </c>
    </row>
    <row r="112" spans="1:20" x14ac:dyDescent="0.25">
      <c r="A112" t="s">
        <v>5</v>
      </c>
      <c r="B112" t="s">
        <v>24</v>
      </c>
      <c r="C112" t="s">
        <v>16</v>
      </c>
      <c r="D112" t="s">
        <v>16</v>
      </c>
      <c r="E112" s="102" t="s">
        <v>5</v>
      </c>
      <c r="F112" t="s">
        <v>76</v>
      </c>
      <c r="G112" t="s">
        <v>36</v>
      </c>
      <c r="H112" t="s">
        <v>6</v>
      </c>
      <c r="I112" s="2">
        <f>+FY16Calc!I112*(1+FTE!H113)</f>
        <v>0</v>
      </c>
      <c r="J112">
        <f>+FY16Calc!J112*(1+OpFee!H113)*(1+FTE!H113)</f>
        <v>0</v>
      </c>
      <c r="K112">
        <f>+FY16Calc!K112*(1+OpFee!S113)*(1+FTE!H113)</f>
        <v>0</v>
      </c>
      <c r="L112" s="2">
        <f t="shared" si="7"/>
        <v>0</v>
      </c>
      <c r="M112" s="2">
        <f>+FY16Calc!M112*(1+OpFee!H113)*(1+FTE!H113)</f>
        <v>0</v>
      </c>
      <c r="N112" s="2">
        <f>+FY16Calc!N112*(1+FTE!H113)*(1+OpFee!S113)</f>
        <v>0</v>
      </c>
      <c r="O112" s="2">
        <f>+FY16Calc!O112*(1+FTE!H113)*(1+OpFee!T113)</f>
        <v>0</v>
      </c>
      <c r="P112">
        <f t="shared" si="8"/>
        <v>0</v>
      </c>
      <c r="Q112">
        <f t="shared" si="9"/>
        <v>0</v>
      </c>
      <c r="R112">
        <f t="shared" si="10"/>
        <v>0</v>
      </c>
    </row>
    <row r="113" spans="1:20" x14ac:dyDescent="0.25">
      <c r="A113" t="s">
        <v>5</v>
      </c>
      <c r="B113" t="s">
        <v>18</v>
      </c>
      <c r="C113" t="s">
        <v>24</v>
      </c>
      <c r="D113" s="102" t="s">
        <v>10</v>
      </c>
      <c r="E113" t="s">
        <v>3</v>
      </c>
      <c r="F113" t="s">
        <v>97</v>
      </c>
      <c r="G113" t="s">
        <v>50</v>
      </c>
      <c r="H113" t="s">
        <v>4</v>
      </c>
      <c r="I113" s="2">
        <f>+FY16Calc!I113*(1+FTE!H114)</f>
        <v>23.407628988889702</v>
      </c>
      <c r="J113" s="2">
        <f>+FY16Calc!J113*(1+OpFee!H114)*(1+FTE!H114)</f>
        <v>455729.36570226803</v>
      </c>
      <c r="K113" s="2">
        <f>+FY16Calc!K113*(1+OpFee!S114)*(1+FTE!H114)</f>
        <v>455729.36570226803</v>
      </c>
      <c r="L113" s="2">
        <f t="shared" si="7"/>
        <v>18229.174628090721</v>
      </c>
      <c r="M113" s="2">
        <f>+FY16Calc!M113*(1+OpFee!H114)*(1+FTE!H114)</f>
        <v>0</v>
      </c>
      <c r="N113" s="2">
        <f>+FY16Calc!N113*(1+FTE!H114)*(1+OpFee!S114)</f>
        <v>0</v>
      </c>
      <c r="O113" s="2">
        <f>+FY16Calc!O113*(1+FTE!H114)*(1+OpFee!T114)</f>
        <v>0</v>
      </c>
      <c r="P113" s="2">
        <f t="shared" si="8"/>
        <v>0</v>
      </c>
      <c r="Q113" s="2">
        <f t="shared" si="9"/>
        <v>21875.009553708867</v>
      </c>
      <c r="R113" s="2">
        <f t="shared" si="10"/>
        <v>415625.18152046844</v>
      </c>
      <c r="T113" s="3">
        <f>+J113-L113-P113-Q113-S113</f>
        <v>415625.18152046844</v>
      </c>
    </row>
    <row r="114" spans="1:20" x14ac:dyDescent="0.25">
      <c r="A114" t="s">
        <v>5</v>
      </c>
      <c r="B114" t="s">
        <v>18</v>
      </c>
      <c r="C114" t="s">
        <v>24</v>
      </c>
      <c r="D114" s="102" t="s">
        <v>10</v>
      </c>
      <c r="E114" t="s">
        <v>5</v>
      </c>
      <c r="F114" t="s">
        <v>97</v>
      </c>
      <c r="G114" t="s">
        <v>50</v>
      </c>
      <c r="H114" t="s">
        <v>6</v>
      </c>
      <c r="I114" s="2">
        <f>+FY16Calc!I114*(1+FTE!H115)</f>
        <v>1.7606055999779899</v>
      </c>
      <c r="J114" s="2">
        <f>+FY16Calc!J114*(1+OpFee!H115)*(1+FTE!H115)</f>
        <v>66943.8109060633</v>
      </c>
      <c r="K114" s="2">
        <f>+FY16Calc!K114*(1+OpFee!S115)*(1+FTE!H115)</f>
        <v>37694.049280576597</v>
      </c>
      <c r="L114" s="2">
        <f t="shared" si="7"/>
        <v>1507.7619712230639</v>
      </c>
      <c r="M114" s="2">
        <f>+FY16Calc!M114*(1+OpFee!H115)*(1+FTE!H115)</f>
        <v>0</v>
      </c>
      <c r="N114" s="2">
        <f>+FY16Calc!N114*(1+FTE!H115)*(1+OpFee!S115)</f>
        <v>0</v>
      </c>
      <c r="O114" s="2">
        <f>+FY16Calc!O114*(1+FTE!H115)*(1+OpFee!T115)</f>
        <v>0</v>
      </c>
      <c r="P114" s="2">
        <f t="shared" si="8"/>
        <v>0</v>
      </c>
      <c r="Q114" s="2">
        <f t="shared" si="9"/>
        <v>3271.8024467420119</v>
      </c>
      <c r="R114" s="2">
        <f t="shared" si="10"/>
        <v>62164.246488098222</v>
      </c>
      <c r="T114" s="3">
        <f>+J114-L114-P114-Q114-S114</f>
        <v>62164.246488098222</v>
      </c>
    </row>
    <row r="116" spans="1:20" x14ac:dyDescent="0.25">
      <c r="E116" s="102"/>
    </row>
    <row r="117" spans="1:20" x14ac:dyDescent="0.25">
      <c r="E117" s="102"/>
    </row>
    <row r="118" spans="1:20" x14ac:dyDescent="0.25">
      <c r="F118" t="s">
        <v>120</v>
      </c>
      <c r="I118" s="2">
        <f t="shared" ref="I118:T118" si="12">SUMIF($A$3:$A$114,"0",I$3:I$114)</f>
        <v>38585.02062655372</v>
      </c>
      <c r="J118" s="2">
        <f t="shared" si="12"/>
        <v>674528554.51214397</v>
      </c>
      <c r="K118" s="2">
        <f t="shared" si="12"/>
        <v>423605927.73846966</v>
      </c>
      <c r="L118" s="2">
        <f t="shared" si="12"/>
        <v>16944237.109538786</v>
      </c>
      <c r="M118" s="2">
        <f t="shared" si="12"/>
        <v>4000048.1871025669</v>
      </c>
      <c r="N118" s="2">
        <f t="shared" si="12"/>
        <v>29310271.202225264</v>
      </c>
      <c r="O118" s="2">
        <f t="shared" si="12"/>
        <v>48043512.503937714</v>
      </c>
      <c r="P118" s="2">
        <f t="shared" si="12"/>
        <v>81353831.893265516</v>
      </c>
      <c r="Q118" s="2">
        <f t="shared" si="12"/>
        <v>28811524.27546696</v>
      </c>
      <c r="R118" s="2">
        <f t="shared" si="12"/>
        <v>547418961.23387265</v>
      </c>
      <c r="S118" s="2">
        <f t="shared" si="12"/>
        <v>24010218.718152989</v>
      </c>
      <c r="T118" s="2">
        <f t="shared" si="12"/>
        <v>523408742.51571941</v>
      </c>
    </row>
    <row r="119" spans="1:20" x14ac:dyDescent="0.25">
      <c r="F119" t="s">
        <v>121</v>
      </c>
      <c r="I119" s="2">
        <f t="shared" ref="I119:T119" si="13">SUMIF($A$3:$A$114,"1",I$3:I$114)</f>
        <v>4763.4243504533833</v>
      </c>
      <c r="J119" s="2">
        <f t="shared" si="13"/>
        <v>58101025.943674579</v>
      </c>
      <c r="K119" s="2">
        <f t="shared" si="13"/>
        <v>47114289.982676245</v>
      </c>
      <c r="L119" s="2">
        <f t="shared" si="13"/>
        <v>1884571.5993070495</v>
      </c>
      <c r="M119" s="2">
        <f t="shared" si="13"/>
        <v>2484.4388561195915</v>
      </c>
      <c r="N119" s="2">
        <f t="shared" si="13"/>
        <v>349236.45957990194</v>
      </c>
      <c r="O119" s="2">
        <f t="shared" si="13"/>
        <v>20387.806290041801</v>
      </c>
      <c r="P119" s="2">
        <f t="shared" si="13"/>
        <v>372108.7047260633</v>
      </c>
      <c r="Q119" s="2">
        <f t="shared" si="13"/>
        <v>2792217.2819820736</v>
      </c>
      <c r="R119" s="2">
        <f t="shared" si="13"/>
        <v>53052128.357659385</v>
      </c>
      <c r="S119" s="2">
        <f t="shared" si="13"/>
        <v>2502007.9891220857</v>
      </c>
      <c r="T119" s="2">
        <f t="shared" si="13"/>
        <v>50550120.368537299</v>
      </c>
    </row>
    <row r="120" spans="1:20" x14ac:dyDescent="0.25">
      <c r="F120" t="s">
        <v>142</v>
      </c>
      <c r="I120" s="2">
        <f t="shared" ref="I120:T120" si="14">SUMIF($A$3:$A$114,"2",I$3:I$114)</f>
        <v>4270.5298660643575</v>
      </c>
      <c r="J120" s="2">
        <f t="shared" si="14"/>
        <v>50921198.371574901</v>
      </c>
      <c r="K120" s="2">
        <f t="shared" si="14"/>
        <v>43815718.018611468</v>
      </c>
      <c r="L120" s="2">
        <f t="shared" si="14"/>
        <v>1752628.7207444592</v>
      </c>
      <c r="M120" s="2">
        <f t="shared" si="14"/>
        <v>123502.15839971372</v>
      </c>
      <c r="N120" s="2">
        <f t="shared" si="14"/>
        <v>773998.3335208745</v>
      </c>
      <c r="O120" s="2">
        <f t="shared" si="14"/>
        <v>170981.99961455324</v>
      </c>
      <c r="P120" s="2">
        <f t="shared" si="14"/>
        <v>1068482.4915351411</v>
      </c>
      <c r="Q120" s="2">
        <f t="shared" si="14"/>
        <v>2405004.3579647657</v>
      </c>
      <c r="R120" s="2">
        <f t="shared" si="14"/>
        <v>45695082.801330537</v>
      </c>
      <c r="S120" s="2">
        <f t="shared" si="14"/>
        <v>2214538.4076842237</v>
      </c>
      <c r="T120" s="2">
        <f t="shared" si="14"/>
        <v>43480544.393646307</v>
      </c>
    </row>
    <row r="121" spans="1:20" x14ac:dyDescent="0.25">
      <c r="F121" t="s">
        <v>141</v>
      </c>
      <c r="I121" s="2">
        <f t="shared" ref="I121:T121" si="15">SUM(I118:I120)</f>
        <v>47618.974843071461</v>
      </c>
      <c r="J121" s="2">
        <f t="shared" si="15"/>
        <v>783550778.82739341</v>
      </c>
      <c r="K121" s="2">
        <f t="shared" si="15"/>
        <v>514535935.73975742</v>
      </c>
      <c r="L121" s="2">
        <f t="shared" si="15"/>
        <v>20581437.429590296</v>
      </c>
      <c r="M121" s="2">
        <f t="shared" si="15"/>
        <v>4126034.7843584004</v>
      </c>
      <c r="N121" s="2">
        <f t="shared" si="15"/>
        <v>30433505.995326042</v>
      </c>
      <c r="O121" s="2">
        <f t="shared" si="15"/>
        <v>48234882.309842311</v>
      </c>
      <c r="P121" s="2">
        <f t="shared" si="15"/>
        <v>82794423.089526728</v>
      </c>
      <c r="Q121" s="2">
        <f t="shared" si="15"/>
        <v>34008745.915413804</v>
      </c>
      <c r="R121" s="2">
        <f t="shared" si="15"/>
        <v>646166172.39286256</v>
      </c>
      <c r="S121" s="2">
        <f t="shared" si="15"/>
        <v>28726765.1149593</v>
      </c>
      <c r="T121" s="2">
        <f t="shared" si="15"/>
        <v>617439407.27790308</v>
      </c>
    </row>
    <row r="122" spans="1:20" x14ac:dyDescent="0.25">
      <c r="I122" s="2"/>
      <c r="J122" s="2"/>
      <c r="K122" s="2"/>
      <c r="L122" s="2"/>
      <c r="P122" s="2"/>
      <c r="Q122" s="2"/>
      <c r="R122" s="2"/>
      <c r="S122" s="2"/>
      <c r="T122" s="2"/>
    </row>
    <row r="123" spans="1:20" x14ac:dyDescent="0.25">
      <c r="F123" t="s">
        <v>122</v>
      </c>
      <c r="I123" s="2">
        <f t="shared" ref="I123:T123" si="16">SUMIFS(I$3:I$114,$A$3:$A$114,"0",$C$3:$C$114,"01",$E$3:$E$114,"1")</f>
        <v>19171.871207842589</v>
      </c>
      <c r="J123" s="2">
        <f t="shared" si="16"/>
        <v>179707506.48031119</v>
      </c>
      <c r="K123" s="2">
        <f t="shared" si="16"/>
        <v>179704863.76172647</v>
      </c>
      <c r="L123" s="2">
        <f t="shared" si="16"/>
        <v>7188194.5504690586</v>
      </c>
      <c r="M123" s="2">
        <f t="shared" si="16"/>
        <v>77510.81801224059</v>
      </c>
      <c r="N123" s="2">
        <f t="shared" si="16"/>
        <v>775436.51571970258</v>
      </c>
      <c r="O123" s="2">
        <f t="shared" si="16"/>
        <v>0</v>
      </c>
      <c r="P123" s="2">
        <f t="shared" si="16"/>
        <v>852947.33373194316</v>
      </c>
      <c r="Q123" s="2">
        <f t="shared" si="16"/>
        <v>8583318.2298055086</v>
      </c>
      <c r="R123" s="2">
        <f t="shared" si="16"/>
        <v>163083046.36630467</v>
      </c>
      <c r="S123" s="2">
        <f t="shared" si="16"/>
        <v>12010218.718152989</v>
      </c>
      <c r="T123" s="2">
        <f t="shared" si="16"/>
        <v>151072827.6481517</v>
      </c>
    </row>
    <row r="124" spans="1:20" x14ac:dyDescent="0.25">
      <c r="F124" t="s">
        <v>123</v>
      </c>
      <c r="I124" s="2">
        <f t="shared" ref="I124:T124" si="17">SUMIFS(I$3:I$114,$A$3:$A$114,"1",$C$3:$C$114,"01",$E$3:$E$114,"1")</f>
        <v>3993.9468259591126</v>
      </c>
      <c r="J124" s="2">
        <f t="shared" si="17"/>
        <v>37890799.270956688</v>
      </c>
      <c r="K124" s="2">
        <f t="shared" si="17"/>
        <v>37890242.061514601</v>
      </c>
      <c r="L124" s="2">
        <f t="shared" si="17"/>
        <v>1515609.6824605842</v>
      </c>
      <c r="M124" s="2">
        <f t="shared" si="17"/>
        <v>0</v>
      </c>
      <c r="N124" s="2">
        <f t="shared" si="17"/>
        <v>258543.30409588947</v>
      </c>
      <c r="O124" s="2">
        <f t="shared" si="17"/>
        <v>0</v>
      </c>
      <c r="P124" s="2">
        <f t="shared" si="17"/>
        <v>258543.30409588947</v>
      </c>
      <c r="Q124" s="2">
        <f t="shared" si="17"/>
        <v>1805832.3142200108</v>
      </c>
      <c r="R124" s="2">
        <f t="shared" si="17"/>
        <v>34310813.970180199</v>
      </c>
      <c r="S124" s="2">
        <f t="shared" si="17"/>
        <v>2502007.9891220857</v>
      </c>
      <c r="T124" s="2">
        <f t="shared" si="17"/>
        <v>31808805.981058113</v>
      </c>
    </row>
    <row r="125" spans="1:20" x14ac:dyDescent="0.25">
      <c r="F125" t="s">
        <v>124</v>
      </c>
      <c r="I125" s="2">
        <f t="shared" ref="I125:T125" si="18">SUMIFS(I$3:I$114,$A$3:$A$114,"2",$C$3:$C$114,"01",$E$3:$E$114,"1")</f>
        <v>3535.0601128329859</v>
      </c>
      <c r="J125" s="2">
        <f t="shared" si="18"/>
        <v>33544010.4098031</v>
      </c>
      <c r="K125" s="2">
        <f t="shared" si="18"/>
        <v>33543517.122786585</v>
      </c>
      <c r="L125" s="2">
        <f t="shared" si="18"/>
        <v>1341740.6849114634</v>
      </c>
      <c r="M125" s="2">
        <f t="shared" si="18"/>
        <v>0</v>
      </c>
      <c r="N125" s="2">
        <f t="shared" si="18"/>
        <v>728235.87066630973</v>
      </c>
      <c r="O125" s="2">
        <f t="shared" si="18"/>
        <v>0</v>
      </c>
      <c r="P125" s="2">
        <f t="shared" si="18"/>
        <v>728235.87066630973</v>
      </c>
      <c r="Q125" s="2">
        <f t="shared" si="18"/>
        <v>1573701.6927112662</v>
      </c>
      <c r="R125" s="2">
        <f t="shared" si="18"/>
        <v>29900332.161514055</v>
      </c>
      <c r="S125" s="2">
        <f t="shared" si="18"/>
        <v>2214538.4076842237</v>
      </c>
      <c r="T125" s="2">
        <f t="shared" si="18"/>
        <v>27685793.753829833</v>
      </c>
    </row>
    <row r="126" spans="1:20" x14ac:dyDescent="0.25">
      <c r="F126" t="s">
        <v>140</v>
      </c>
      <c r="I126" s="2">
        <f>SUM(I123:I125)</f>
        <v>26700.878146634688</v>
      </c>
      <c r="J126" s="2">
        <f t="shared" ref="J126:T126" si="19">SUM(J123:J125)</f>
        <v>251142316.16107097</v>
      </c>
      <c r="K126" s="2">
        <f t="shared" si="19"/>
        <v>251138622.94602764</v>
      </c>
      <c r="L126" s="2">
        <f t="shared" si="19"/>
        <v>10045544.917841107</v>
      </c>
      <c r="M126" s="2">
        <f t="shared" si="19"/>
        <v>77510.81801224059</v>
      </c>
      <c r="N126" s="2">
        <f t="shared" si="19"/>
        <v>1762215.6904819016</v>
      </c>
      <c r="O126" s="2">
        <f t="shared" si="19"/>
        <v>0</v>
      </c>
      <c r="P126" s="2">
        <f t="shared" si="19"/>
        <v>1839726.5084941424</v>
      </c>
      <c r="Q126" s="2">
        <f t="shared" si="19"/>
        <v>11962852.236736786</v>
      </c>
      <c r="R126" s="2">
        <f t="shared" si="19"/>
        <v>227294192.49799889</v>
      </c>
      <c r="S126" s="2">
        <f t="shared" si="19"/>
        <v>16726765.114959298</v>
      </c>
      <c r="T126" s="2">
        <f t="shared" si="19"/>
        <v>210567427.38303965</v>
      </c>
    </row>
    <row r="127" spans="1:20" x14ac:dyDescent="0.25">
      <c r="I127" s="2"/>
      <c r="J127" s="2"/>
      <c r="K127" s="2"/>
      <c r="L127" s="2"/>
      <c r="P127" s="2"/>
      <c r="Q127" s="2"/>
      <c r="R127" s="2"/>
      <c r="S127" s="2"/>
      <c r="T127" s="2"/>
    </row>
    <row r="128" spans="1:20" x14ac:dyDescent="0.25">
      <c r="F128" t="s">
        <v>125</v>
      </c>
      <c r="I128" s="2">
        <f t="shared" ref="I128:T128" si="20">SUMIFS(I$3:I$114,$A$3:$A$114,"0",$C$3:$C$114,"01")</f>
        <v>27317.578205376372</v>
      </c>
      <c r="J128" s="2">
        <f t="shared" si="20"/>
        <v>438666673.02006108</v>
      </c>
      <c r="K128" s="2">
        <f t="shared" si="20"/>
        <v>253087665.20007813</v>
      </c>
      <c r="L128" s="2">
        <f t="shared" si="20"/>
        <v>10123506.608003126</v>
      </c>
      <c r="M128" s="2">
        <f t="shared" si="20"/>
        <v>81976.952663821285</v>
      </c>
      <c r="N128" s="2">
        <f t="shared" si="20"/>
        <v>790304.32810892048</v>
      </c>
      <c r="O128" s="2">
        <f t="shared" si="20"/>
        <v>24776.279696070138</v>
      </c>
      <c r="P128" s="2">
        <f t="shared" si="20"/>
        <v>897057.56046881189</v>
      </c>
      <c r="Q128" s="2">
        <f t="shared" si="20"/>
        <v>21382305.442579452</v>
      </c>
      <c r="R128" s="2">
        <f t="shared" si="20"/>
        <v>406263803.40900964</v>
      </c>
      <c r="S128" s="2">
        <f t="shared" si="20"/>
        <v>24010218.718152989</v>
      </c>
      <c r="T128" s="2">
        <f t="shared" si="20"/>
        <v>382253584.6908567</v>
      </c>
    </row>
    <row r="129" spans="6:20" x14ac:dyDescent="0.25">
      <c r="F129" t="s">
        <v>126</v>
      </c>
      <c r="I129" s="2">
        <f t="shared" ref="I129:T129" si="21">SUMIFS(I$3:I$114,$A$3:$A$114,"1",$C$3:$C$114,"01")</f>
        <v>4462.1531222210324</v>
      </c>
      <c r="J129" s="2">
        <f t="shared" si="21"/>
        <v>52867623.719302215</v>
      </c>
      <c r="K129" s="2">
        <f t="shared" si="21"/>
        <v>42134609.695033014</v>
      </c>
      <c r="L129" s="2">
        <f t="shared" si="21"/>
        <v>1685384.3878013208</v>
      </c>
      <c r="M129" s="2">
        <f t="shared" si="21"/>
        <v>2484.4388561195915</v>
      </c>
      <c r="N129" s="2">
        <f t="shared" si="21"/>
        <v>260093.07498002966</v>
      </c>
      <c r="O129" s="2">
        <f t="shared" si="21"/>
        <v>0</v>
      </c>
      <c r="P129" s="2">
        <f t="shared" si="21"/>
        <v>262577.51383614924</v>
      </c>
      <c r="Q129" s="2">
        <f t="shared" si="21"/>
        <v>2545983.0908832373</v>
      </c>
      <c r="R129" s="2">
        <f t="shared" si="21"/>
        <v>48373678.726781502</v>
      </c>
      <c r="S129" s="2">
        <f t="shared" si="21"/>
        <v>2502007.9891220857</v>
      </c>
      <c r="T129" s="2">
        <f t="shared" si="21"/>
        <v>45871670.737659417</v>
      </c>
    </row>
    <row r="130" spans="6:20" x14ac:dyDescent="0.25">
      <c r="F130" t="s">
        <v>127</v>
      </c>
      <c r="I130" s="2">
        <f t="shared" ref="I130:T130" si="22">SUMIFS(I$3:I$114,$A$3:$A$114,"2",$C$3:$C$114,"01")</f>
        <v>3781.5030008304248</v>
      </c>
      <c r="J130" s="2">
        <f t="shared" si="22"/>
        <v>41557666.031234562</v>
      </c>
      <c r="K130" s="2">
        <f t="shared" si="22"/>
        <v>35814572.891758181</v>
      </c>
      <c r="L130" s="2">
        <f t="shared" si="22"/>
        <v>1432582.9156703276</v>
      </c>
      <c r="M130" s="2">
        <f t="shared" si="22"/>
        <v>35135.513857250007</v>
      </c>
      <c r="N130" s="2">
        <f t="shared" si="22"/>
        <v>736165.22045610659</v>
      </c>
      <c r="O130" s="2">
        <f t="shared" si="22"/>
        <v>0</v>
      </c>
      <c r="P130" s="2">
        <f t="shared" si="22"/>
        <v>771300.73431335657</v>
      </c>
      <c r="Q130" s="2">
        <f t="shared" si="22"/>
        <v>1967689.1190625438</v>
      </c>
      <c r="R130" s="2">
        <f t="shared" si="22"/>
        <v>37386093.262188338</v>
      </c>
      <c r="S130" s="2">
        <f t="shared" si="22"/>
        <v>2214538.4076842237</v>
      </c>
      <c r="T130" s="2">
        <f t="shared" si="22"/>
        <v>35171554.854504108</v>
      </c>
    </row>
    <row r="131" spans="6:20" x14ac:dyDescent="0.25">
      <c r="F131" t="s">
        <v>139</v>
      </c>
      <c r="I131" s="2">
        <f>SUM(I128:I130)</f>
        <v>35561.234328427832</v>
      </c>
      <c r="J131" s="2">
        <f t="shared" ref="J131:T131" si="23">SUM(J128:J130)</f>
        <v>533091962.77059788</v>
      </c>
      <c r="K131" s="2">
        <f t="shared" si="23"/>
        <v>331036847.78686935</v>
      </c>
      <c r="L131" s="2">
        <f t="shared" si="23"/>
        <v>13241473.911474776</v>
      </c>
      <c r="M131" s="2">
        <f t="shared" si="23"/>
        <v>119596.90537719088</v>
      </c>
      <c r="N131" s="2">
        <f t="shared" si="23"/>
        <v>1786562.6235450567</v>
      </c>
      <c r="O131" s="2">
        <f t="shared" si="23"/>
        <v>24776.279696070138</v>
      </c>
      <c r="P131" s="2">
        <f t="shared" si="23"/>
        <v>1930935.8086183178</v>
      </c>
      <c r="Q131" s="2">
        <f t="shared" si="23"/>
        <v>25895977.652525231</v>
      </c>
      <c r="R131" s="2">
        <f t="shared" si="23"/>
        <v>492023575.39797944</v>
      </c>
      <c r="S131" s="2">
        <f t="shared" si="23"/>
        <v>28726765.1149593</v>
      </c>
      <c r="T131" s="2">
        <f t="shared" si="23"/>
        <v>463296810.2830202</v>
      </c>
    </row>
    <row r="132" spans="6:20" x14ac:dyDescent="0.25">
      <c r="I132" s="2"/>
      <c r="J132" s="2"/>
      <c r="K132" s="2"/>
      <c r="L132" s="2"/>
      <c r="P132" s="2"/>
      <c r="Q132" s="2"/>
      <c r="R132" s="2"/>
      <c r="S132" s="2"/>
      <c r="T132" s="2"/>
    </row>
    <row r="133" spans="6:20" x14ac:dyDescent="0.25">
      <c r="F133" t="s">
        <v>128</v>
      </c>
      <c r="I133" s="2">
        <f>+I118-I128</f>
        <v>11267.442421177348</v>
      </c>
      <c r="J133" s="2">
        <f t="shared" ref="J133:T135" si="24">+J118-J128</f>
        <v>235861881.49208289</v>
      </c>
      <c r="K133" s="2">
        <f t="shared" si="24"/>
        <v>170518262.53839153</v>
      </c>
      <c r="L133" s="2">
        <f t="shared" si="24"/>
        <v>6820730.5015356597</v>
      </c>
      <c r="M133" s="2">
        <f t="shared" si="24"/>
        <v>3918071.2344387458</v>
      </c>
      <c r="N133" s="2">
        <f t="shared" si="24"/>
        <v>28519966.874116343</v>
      </c>
      <c r="O133" s="2">
        <f t="shared" si="24"/>
        <v>48018736.224241644</v>
      </c>
      <c r="P133" s="2">
        <f t="shared" si="24"/>
        <v>80456774.332796708</v>
      </c>
      <c r="Q133" s="2">
        <f t="shared" si="24"/>
        <v>7429218.832887508</v>
      </c>
      <c r="R133" s="2">
        <f t="shared" si="24"/>
        <v>141155157.82486302</v>
      </c>
      <c r="S133" s="2">
        <f t="shared" si="24"/>
        <v>0</v>
      </c>
      <c r="T133" s="2">
        <f t="shared" si="24"/>
        <v>141155157.82486272</v>
      </c>
    </row>
    <row r="134" spans="6:20" x14ac:dyDescent="0.25">
      <c r="F134" t="s">
        <v>129</v>
      </c>
      <c r="I134" s="2">
        <f t="shared" ref="I134:R135" si="25">+I119-I129</f>
        <v>301.27122823235095</v>
      </c>
      <c r="J134" s="2">
        <f t="shared" si="25"/>
        <v>5233402.2243723646</v>
      </c>
      <c r="K134" s="2">
        <f t="shared" si="25"/>
        <v>4979680.2876432315</v>
      </c>
      <c r="L134" s="2">
        <f t="shared" si="25"/>
        <v>199187.21150572877</v>
      </c>
      <c r="M134" s="2">
        <f t="shared" si="24"/>
        <v>0</v>
      </c>
      <c r="N134" s="2">
        <f t="shared" si="24"/>
        <v>89143.384599872283</v>
      </c>
      <c r="O134" s="2">
        <f t="shared" si="24"/>
        <v>20387.806290041801</v>
      </c>
      <c r="P134" s="2">
        <f t="shared" si="25"/>
        <v>109531.19088991405</v>
      </c>
      <c r="Q134" s="2">
        <f t="shared" si="25"/>
        <v>246234.19109883625</v>
      </c>
      <c r="R134" s="2">
        <f t="shared" si="25"/>
        <v>4678449.6308778822</v>
      </c>
      <c r="S134" s="2">
        <f t="shared" si="24"/>
        <v>0</v>
      </c>
      <c r="T134" s="2">
        <f t="shared" si="24"/>
        <v>4678449.6308778822</v>
      </c>
    </row>
    <row r="135" spans="6:20" x14ac:dyDescent="0.25">
      <c r="F135" t="s">
        <v>130</v>
      </c>
      <c r="I135" s="2">
        <f t="shared" si="25"/>
        <v>489.02686523393277</v>
      </c>
      <c r="J135" s="2">
        <f t="shared" si="25"/>
        <v>9363532.3403403386</v>
      </c>
      <c r="K135" s="2">
        <f t="shared" si="25"/>
        <v>8001145.1268532872</v>
      </c>
      <c r="L135" s="2">
        <f t="shared" si="25"/>
        <v>320045.80507413158</v>
      </c>
      <c r="M135" s="2">
        <f t="shared" si="24"/>
        <v>88366.644542463706</v>
      </c>
      <c r="N135" s="2">
        <f t="shared" si="24"/>
        <v>37833.113064767909</v>
      </c>
      <c r="O135" s="2">
        <f t="shared" si="24"/>
        <v>170981.99961455324</v>
      </c>
      <c r="P135" s="2">
        <f t="shared" si="25"/>
        <v>297181.75722178456</v>
      </c>
      <c r="Q135" s="2">
        <f t="shared" si="25"/>
        <v>437315.2389022219</v>
      </c>
      <c r="R135" s="2">
        <f t="shared" si="25"/>
        <v>8308989.5391421989</v>
      </c>
      <c r="S135" s="2">
        <f t="shared" si="24"/>
        <v>0</v>
      </c>
      <c r="T135" s="2">
        <f t="shared" si="24"/>
        <v>8308989.5391421989</v>
      </c>
    </row>
    <row r="136" spans="6:20" x14ac:dyDescent="0.25">
      <c r="F136" t="s">
        <v>138</v>
      </c>
      <c r="I136" s="2">
        <f>SUM(I133:I135)</f>
        <v>12057.740514643632</v>
      </c>
      <c r="J136" s="2">
        <f t="shared" ref="J136:T136" si="26">SUM(J133:J135)</f>
        <v>250458816.0567956</v>
      </c>
      <c r="K136" s="2">
        <f t="shared" si="26"/>
        <v>183499087.95288804</v>
      </c>
      <c r="L136" s="2">
        <f t="shared" si="26"/>
        <v>7339963.5181155205</v>
      </c>
      <c r="M136" s="2">
        <f t="shared" si="26"/>
        <v>4006437.8789812094</v>
      </c>
      <c r="N136" s="2">
        <f t="shared" si="26"/>
        <v>28646943.371780984</v>
      </c>
      <c r="O136" s="2">
        <f t="shared" si="26"/>
        <v>48210106.030146241</v>
      </c>
      <c r="P136" s="2">
        <f t="shared" si="26"/>
        <v>80863487.280908406</v>
      </c>
      <c r="Q136" s="2">
        <f t="shared" si="26"/>
        <v>8112768.2628885657</v>
      </c>
      <c r="R136" s="2">
        <f t="shared" si="26"/>
        <v>154142596.99488309</v>
      </c>
      <c r="S136" s="2">
        <f t="shared" si="26"/>
        <v>0</v>
      </c>
      <c r="T136" s="2">
        <f t="shared" si="26"/>
        <v>154142596.99488279</v>
      </c>
    </row>
    <row r="137" spans="6:20" x14ac:dyDescent="0.25">
      <c r="I137" s="3"/>
      <c r="J137" s="3"/>
      <c r="K137" s="3"/>
      <c r="L137" s="3"/>
      <c r="P137" s="3"/>
      <c r="Q137" s="3"/>
      <c r="R137"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7"/>
  <sheetViews>
    <sheetView topLeftCell="G102" workbookViewId="0">
      <selection activeCell="W123" sqref="W123"/>
    </sheetView>
  </sheetViews>
  <sheetFormatPr defaultColWidth="8.85546875" defaultRowHeight="15" x14ac:dyDescent="0.25"/>
  <cols>
    <col min="6" max="6" width="44.140625" customWidth="1"/>
    <col min="7" max="7" width="13.42578125" customWidth="1"/>
    <col min="8" max="8" width="11.42578125" customWidth="1"/>
    <col min="9" max="9" width="9.7109375" bestFit="1" customWidth="1"/>
    <col min="10" max="11" width="13.85546875" bestFit="1" customWidth="1"/>
    <col min="12" max="12" width="12.140625" bestFit="1" customWidth="1"/>
    <col min="13" max="15" width="12.140625" style="2" customWidth="1"/>
    <col min="16" max="17" width="12.85546875" bestFit="1" customWidth="1"/>
    <col min="18" max="18" width="13.85546875" bestFit="1" customWidth="1"/>
    <col min="19" max="19" width="11.28515625" customWidth="1"/>
    <col min="20" max="20" width="11.42578125" bestFit="1" customWidth="1"/>
    <col min="22" max="22" width="10.42578125" bestFit="1" customWidth="1"/>
    <col min="23" max="23" width="12.85546875" customWidth="1"/>
  </cols>
  <sheetData>
    <row r="1" spans="1:21" x14ac:dyDescent="0.25">
      <c r="A1" t="s">
        <v>308</v>
      </c>
    </row>
    <row r="2" spans="1:21" x14ac:dyDescent="0.25">
      <c r="A2" t="s">
        <v>100</v>
      </c>
      <c r="B2" t="s">
        <v>101</v>
      </c>
      <c r="C2" t="s">
        <v>102</v>
      </c>
      <c r="D2" t="s">
        <v>169</v>
      </c>
      <c r="E2" s="1" t="s">
        <v>103</v>
      </c>
      <c r="F2" s="1" t="s">
        <v>104</v>
      </c>
      <c r="G2" s="1" t="s">
        <v>105</v>
      </c>
      <c r="H2" s="1" t="s">
        <v>106</v>
      </c>
      <c r="I2" s="1" t="s">
        <v>114</v>
      </c>
      <c r="J2" s="1" t="s">
        <v>116</v>
      </c>
      <c r="K2" s="1" t="s">
        <v>115</v>
      </c>
      <c r="L2" s="1" t="s">
        <v>117</v>
      </c>
      <c r="M2" s="2" t="s">
        <v>131</v>
      </c>
      <c r="N2" s="2" t="s">
        <v>132</v>
      </c>
      <c r="O2" s="2" t="s">
        <v>133</v>
      </c>
      <c r="P2" s="1" t="s">
        <v>113</v>
      </c>
      <c r="Q2" s="1" t="s">
        <v>118</v>
      </c>
      <c r="R2" s="1" t="s">
        <v>119</v>
      </c>
      <c r="S2" s="1" t="s">
        <v>143</v>
      </c>
      <c r="T2" s="1" t="s">
        <v>144</v>
      </c>
    </row>
    <row r="3" spans="1:21" x14ac:dyDescent="0.25">
      <c r="A3" t="s">
        <v>0</v>
      </c>
      <c r="B3" t="s">
        <v>1</v>
      </c>
      <c r="C3" t="s">
        <v>1</v>
      </c>
      <c r="D3" t="s">
        <v>1</v>
      </c>
      <c r="E3" t="s">
        <v>3</v>
      </c>
      <c r="F3" t="s">
        <v>2</v>
      </c>
      <c r="G3" t="s">
        <v>2</v>
      </c>
      <c r="H3" t="s">
        <v>4</v>
      </c>
      <c r="I3" s="2">
        <f>+FY16Calc0!I3*(1+FTE!H4)</f>
        <v>19054.472302063699</v>
      </c>
      <c r="J3" s="2">
        <f>+FY16Calc0!J3*(1+OpFee!Y4)*(1+FTE!H4)</f>
        <v>210117225.24374408</v>
      </c>
      <c r="K3" s="2">
        <f>+FY16Calc0!K3*(1+OpFee!AB4)*(1+FTE!H4)</f>
        <v>210117225.24374408</v>
      </c>
      <c r="L3" s="2">
        <f>0.04*K3</f>
        <v>8404689.0097497627</v>
      </c>
      <c r="M3" s="2">
        <f>+FY16Calc0!M3*(1+OpFee!Y4)*(1+FTE!H4)</f>
        <v>91187.710709288469</v>
      </c>
      <c r="N3" s="2">
        <f>+FY16Calc0!N3*(1+FTE!H4)*(1+OpFee!AB4)</f>
        <v>905124.82980828639</v>
      </c>
      <c r="O3" s="2">
        <f>+FY16Calc0!O3*(1+FTE!H4)*(1+OpFee!AC4)</f>
        <v>0</v>
      </c>
      <c r="P3" s="2">
        <f>+M3+N3+O3</f>
        <v>996312.54051757487</v>
      </c>
      <c r="Q3" s="132">
        <f>0.05*(J3-L3-P3)</f>
        <v>10035811.184673836</v>
      </c>
      <c r="R3" s="2">
        <f>+J3-L3-P3-Q3</f>
        <v>190680412.50880289</v>
      </c>
      <c r="S3" s="2">
        <f>$U$3*I3</f>
        <v>14043146.086620945</v>
      </c>
      <c r="T3" s="3">
        <f t="shared" ref="T3:T44" si="0">+J3-L3-P3-Q3-S3</f>
        <v>176637266.42218193</v>
      </c>
      <c r="U3" s="46">
        <v>737</v>
      </c>
    </row>
    <row r="4" spans="1:21" x14ac:dyDescent="0.25">
      <c r="A4" t="s">
        <v>0</v>
      </c>
      <c r="B4" t="s">
        <v>1</v>
      </c>
      <c r="C4" t="s">
        <v>1</v>
      </c>
      <c r="D4" t="s">
        <v>1</v>
      </c>
      <c r="E4" t="s">
        <v>5</v>
      </c>
      <c r="F4" t="s">
        <v>2</v>
      </c>
      <c r="G4" t="s">
        <v>2</v>
      </c>
      <c r="H4" t="s">
        <v>6</v>
      </c>
      <c r="I4" s="2">
        <f>+FY16Calc0!I4*(1+FTE!H5)</f>
        <v>8132.5161006227399</v>
      </c>
      <c r="J4" s="2">
        <f>+FY16Calc0!J4*(1+OpFee!Y5)*(1+FTE!H5)</f>
        <v>258504433.69789529</v>
      </c>
      <c r="K4" s="2">
        <f>+FY16Calc0!K4*(1+OpFee!AB5)*(1+FTE!H5)</f>
        <v>86180170.395970955</v>
      </c>
      <c r="L4" s="2">
        <f t="shared" ref="L4:L42" si="1">0.04*K4</f>
        <v>3447206.8158388385</v>
      </c>
      <c r="M4" s="2">
        <f>+FY16Calc0!M4*(1+OpFee!Y5)*(1+FTE!H5)</f>
        <v>4466.1346515806918</v>
      </c>
      <c r="N4" s="2">
        <f>+FY16Calc0!N4*(1+FTE!H5)*(1+OpFee!AB5)</f>
        <v>17491.06388487418</v>
      </c>
      <c r="O4" s="2">
        <f>+FY16Calc0!O4*(1+FTE!H5)*(1+OpFee!AC5)</f>
        <v>23030.367953408131</v>
      </c>
      <c r="P4" s="2">
        <f t="shared" ref="P4:P42" si="2">+M4+N4+O4</f>
        <v>44987.566489863006</v>
      </c>
      <c r="Q4" s="2">
        <f t="shared" ref="Q4:Q42" si="3">0.05*(J4-L4-P4)</f>
        <v>12750611.965778328</v>
      </c>
      <c r="R4" s="2">
        <f t="shared" ref="R4:R42" si="4">+J4-L4-P4-Q4</f>
        <v>242261627.34978825</v>
      </c>
      <c r="S4" s="2">
        <v>12000000</v>
      </c>
      <c r="T4" s="3">
        <f t="shared" si="0"/>
        <v>230261627.34978825</v>
      </c>
    </row>
    <row r="5" spans="1:21" x14ac:dyDescent="0.25">
      <c r="A5" t="s">
        <v>0</v>
      </c>
      <c r="B5" t="s">
        <v>8</v>
      </c>
      <c r="C5" t="s">
        <v>1</v>
      </c>
      <c r="D5" t="s">
        <v>1</v>
      </c>
      <c r="E5" t="s">
        <v>3</v>
      </c>
      <c r="F5" t="s">
        <v>51</v>
      </c>
      <c r="G5" t="s">
        <v>2</v>
      </c>
      <c r="H5" t="s">
        <v>4</v>
      </c>
      <c r="I5" s="2">
        <f>+FY16Calc0!I5*(1+FTE!H6)</f>
        <v>117.39890577889</v>
      </c>
      <c r="J5" s="2">
        <f>+FY16Calc0!J5*(1+OpFee!Y6)*(1+FTE!H6)</f>
        <v>1298503.9026782899</v>
      </c>
      <c r="K5" s="2">
        <f>+FY16Calc0!K5*(1+OpFee!AB6)*(1+FTE!H6)</f>
        <v>1298503.9026782899</v>
      </c>
      <c r="L5" s="2">
        <f t="shared" si="1"/>
        <v>51940.156107131595</v>
      </c>
      <c r="M5" s="2">
        <f>+FY16Calc0!M5*(1+OpFee!Y6)*(1+FTE!H6)</f>
        <v>0</v>
      </c>
      <c r="N5" s="2">
        <f>+FY16Calc0!N5*(1+FTE!H6)*(1+OpFee!AB6)</f>
        <v>7144.0341150308896</v>
      </c>
      <c r="O5" s="2">
        <f>+FY16Calc0!O5*(1+FTE!H6)*(1+OpFee!AC6)</f>
        <v>0</v>
      </c>
      <c r="P5" s="2">
        <f t="shared" si="2"/>
        <v>7144.0341150308896</v>
      </c>
      <c r="Q5" s="2">
        <f t="shared" si="3"/>
        <v>61970.985622806373</v>
      </c>
      <c r="R5" s="2">
        <f t="shared" si="4"/>
        <v>1177448.7268333209</v>
      </c>
      <c r="S5" s="2">
        <f>$U$3*I5</f>
        <v>86522.993559041934</v>
      </c>
      <c r="T5" s="3">
        <f t="shared" si="0"/>
        <v>1090925.7332742789</v>
      </c>
    </row>
    <row r="6" spans="1:21" x14ac:dyDescent="0.25">
      <c r="A6" t="s">
        <v>0</v>
      </c>
      <c r="B6" t="s">
        <v>8</v>
      </c>
      <c r="C6" t="s">
        <v>1</v>
      </c>
      <c r="D6" t="s">
        <v>1</v>
      </c>
      <c r="E6" t="s">
        <v>5</v>
      </c>
      <c r="F6" t="s">
        <v>51</v>
      </c>
      <c r="G6" t="s">
        <v>2</v>
      </c>
      <c r="H6" t="s">
        <v>6</v>
      </c>
      <c r="I6" s="2">
        <f>+FY16Calc0!I6*(1+FTE!H7)</f>
        <v>13.190896911045</v>
      </c>
      <c r="J6" s="2">
        <f>+FY16Calc0!J6*(1+OpFee!Y7)*(1+FTE!H7)</f>
        <v>454732.8418545695</v>
      </c>
      <c r="K6" s="2">
        <f>+FY16Calc0!K6*(1+OpFee!AB7)*(1+FTE!H7)</f>
        <v>151594.693812966</v>
      </c>
      <c r="L6" s="2">
        <f t="shared" si="1"/>
        <v>6063.7877525186404</v>
      </c>
      <c r="M6" s="2">
        <f>+FY16Calc0!M6*(1+OpFee!Y7)*(1+FTE!H7)</f>
        <v>0</v>
      </c>
      <c r="N6" s="2">
        <f>+FY16Calc0!N6*(1+FTE!H7)*(1+OpFee!AB7)</f>
        <v>0</v>
      </c>
      <c r="O6" s="2">
        <f>+FY16Calc0!O6*(1+FTE!H7)*(1+OpFee!AC7)</f>
        <v>0</v>
      </c>
      <c r="P6" s="2">
        <f t="shared" si="2"/>
        <v>0</v>
      </c>
      <c r="Q6" s="2">
        <f t="shared" si="3"/>
        <v>22433.452705102543</v>
      </c>
      <c r="R6" s="2">
        <f t="shared" si="4"/>
        <v>426235.60139694827</v>
      </c>
      <c r="T6" s="3">
        <f t="shared" si="0"/>
        <v>426235.60139694827</v>
      </c>
    </row>
    <row r="7" spans="1:21" x14ac:dyDescent="0.25">
      <c r="A7" t="s">
        <v>0</v>
      </c>
      <c r="B7" t="s">
        <v>13</v>
      </c>
      <c r="C7" t="s">
        <v>8</v>
      </c>
      <c r="D7" s="102" t="s">
        <v>7</v>
      </c>
      <c r="E7" t="s">
        <v>3</v>
      </c>
      <c r="F7" t="s">
        <v>9</v>
      </c>
      <c r="G7" t="s">
        <v>9</v>
      </c>
      <c r="H7" t="s">
        <v>4</v>
      </c>
      <c r="I7" s="2">
        <f>+FY16Calc0!I7*(1+FTE!H8)</f>
        <v>855.02113685670099</v>
      </c>
      <c r="J7" s="2">
        <f>+FY16Calc0!J7*(1+OpFee!Y8)*(1+FTE!H8)</f>
        <v>11563738.516017601</v>
      </c>
      <c r="K7" s="2">
        <f>+FY16Calc0!K7*(1+OpFee!AB8)*(1+FTE!H8)</f>
        <v>11563738.516017601</v>
      </c>
      <c r="L7" s="2">
        <f t="shared" si="1"/>
        <v>462549.54064070404</v>
      </c>
      <c r="M7" s="2">
        <f>+FY16Calc0!M7*(1+OpFee!Y8)*(1+FTE!H8)</f>
        <v>9359.1312202289992</v>
      </c>
      <c r="N7" s="2">
        <f>+FY16Calc0!N7*(1+FTE!H8)*(1+OpFee!AB8)</f>
        <v>4275516.1787826596</v>
      </c>
      <c r="O7" s="2">
        <f>+FY16Calc0!O7*(1+FTE!H8)*(1+OpFee!AC8)</f>
        <v>0</v>
      </c>
      <c r="P7" s="2">
        <f t="shared" si="2"/>
        <v>4284875.3100028886</v>
      </c>
      <c r="Q7" s="2">
        <f t="shared" si="3"/>
        <v>340815.68326870044</v>
      </c>
      <c r="R7" s="2">
        <f t="shared" si="4"/>
        <v>6475497.9821053073</v>
      </c>
      <c r="T7" s="3">
        <f t="shared" si="0"/>
        <v>6475497.9821053073</v>
      </c>
    </row>
    <row r="8" spans="1:21" x14ac:dyDescent="0.25">
      <c r="A8" t="s">
        <v>0</v>
      </c>
      <c r="B8" t="s">
        <v>13</v>
      </c>
      <c r="C8" t="s">
        <v>8</v>
      </c>
      <c r="D8" s="102" t="s">
        <v>7</v>
      </c>
      <c r="E8" t="s">
        <v>5</v>
      </c>
      <c r="F8" t="s">
        <v>9</v>
      </c>
      <c r="G8" t="s">
        <v>9</v>
      </c>
      <c r="H8" t="s">
        <v>6</v>
      </c>
      <c r="I8" s="2">
        <f>+FY16Calc0!I8*(1+FTE!H9)</f>
        <v>2146.4276774873902</v>
      </c>
      <c r="J8" s="2">
        <f>+FY16Calc0!J8*(1+OpFee!Y9)*(1+FTE!H9)</f>
        <v>50113968.033094503</v>
      </c>
      <c r="K8" s="2">
        <f>+FY16Calc0!K8*(1+OpFee!AB9)*(1+FTE!H9)</f>
        <v>28106108.608674198</v>
      </c>
      <c r="L8" s="2">
        <f t="shared" si="1"/>
        <v>1124244.344346968</v>
      </c>
      <c r="M8" s="2">
        <f>+FY16Calc0!M8*(1+OpFee!Y9)*(1+FTE!H9)</f>
        <v>901330.73139266204</v>
      </c>
      <c r="N8" s="2">
        <f>+FY16Calc0!N8*(1+FTE!H9)*(1+OpFee!AB9)</f>
        <v>13688304.269144</v>
      </c>
      <c r="O8" s="2">
        <f>+FY16Calc0!O8*(1+FTE!H9)*(1+OpFee!AC9)</f>
        <v>19969997.615480799</v>
      </c>
      <c r="P8" s="2">
        <f t="shared" si="2"/>
        <v>34559632.616017461</v>
      </c>
      <c r="Q8" s="2">
        <f t="shared" si="3"/>
        <v>721504.55363650364</v>
      </c>
      <c r="R8" s="2">
        <f t="shared" si="4"/>
        <v>13708586.519093568</v>
      </c>
      <c r="T8" s="3">
        <f t="shared" si="0"/>
        <v>13708586.519093568</v>
      </c>
    </row>
    <row r="9" spans="1:21" x14ac:dyDescent="0.25">
      <c r="A9" t="s">
        <v>0</v>
      </c>
      <c r="B9" t="s">
        <v>10</v>
      </c>
      <c r="C9" t="s">
        <v>7</v>
      </c>
      <c r="D9" s="102" t="s">
        <v>10</v>
      </c>
      <c r="E9" t="s">
        <v>3</v>
      </c>
      <c r="F9" t="s">
        <v>11</v>
      </c>
      <c r="G9" t="s">
        <v>11</v>
      </c>
      <c r="H9" t="s">
        <v>4</v>
      </c>
      <c r="I9" s="2">
        <f>+FY16Calc0!I9*(1+FTE!H10)</f>
        <v>96.216342277454402</v>
      </c>
      <c r="J9" s="2">
        <f>+FY16Calc0!J9*(1+OpFee!Y10)*(1+FTE!H10)</f>
        <v>1120920.72157535</v>
      </c>
      <c r="K9" s="2">
        <f>+FY16Calc0!K9*(1+OpFee!AB10)*(1+FTE!H10)</f>
        <v>1120920.72157535</v>
      </c>
      <c r="L9" s="2">
        <f t="shared" si="1"/>
        <v>44836.828863014001</v>
      </c>
      <c r="M9" s="2">
        <f>+FY16Calc0!M9*(1+OpFee!Y10)*(1+FTE!H10)</f>
        <v>0</v>
      </c>
      <c r="N9" s="2">
        <f>+FY16Calc0!N9*(1+FTE!H10)*(1+OpFee!AB10)</f>
        <v>112300.672744044</v>
      </c>
      <c r="O9" s="2">
        <f>+FY16Calc0!O9*(1+FTE!H10)*(1+OpFee!AC10)</f>
        <v>0</v>
      </c>
      <c r="P9" s="2">
        <f t="shared" si="2"/>
        <v>112300.672744044</v>
      </c>
      <c r="Q9" s="2">
        <f t="shared" si="3"/>
        <v>48189.160998414605</v>
      </c>
      <c r="R9" s="2">
        <f t="shared" si="4"/>
        <v>915594.05896987743</v>
      </c>
      <c r="T9" s="3">
        <f t="shared" si="0"/>
        <v>915594.05896987743</v>
      </c>
    </row>
    <row r="10" spans="1:21" x14ac:dyDescent="0.25">
      <c r="A10" t="s">
        <v>0</v>
      </c>
      <c r="B10" t="s">
        <v>10</v>
      </c>
      <c r="C10" t="s">
        <v>7</v>
      </c>
      <c r="D10" s="102" t="s">
        <v>10</v>
      </c>
      <c r="E10" t="s">
        <v>5</v>
      </c>
      <c r="F10" t="s">
        <v>11</v>
      </c>
      <c r="G10" t="s">
        <v>11</v>
      </c>
      <c r="H10" t="s">
        <v>6</v>
      </c>
      <c r="I10" s="2">
        <f>+FY16Calc0!I10*(1+FTE!H11)</f>
        <v>68.832847388375498</v>
      </c>
      <c r="J10" s="2">
        <f>+FY16Calc0!J10*(1+OpFee!Y11)*(1+FTE!H11)</f>
        <v>1403713.14406548</v>
      </c>
      <c r="K10" s="2">
        <f>+FY16Calc0!K10*(1+OpFee!AB11)*(1+FTE!H11)</f>
        <v>790404.65237811999</v>
      </c>
      <c r="L10" s="2">
        <f t="shared" si="1"/>
        <v>31616.186095124802</v>
      </c>
      <c r="M10" s="2">
        <f>+FY16Calc0!M10*(1+OpFee!Y11)*(1+FTE!H11)</f>
        <v>94945.325070939507</v>
      </c>
      <c r="N10" s="2">
        <f>+FY16Calc0!N10*(1+FTE!H11)*(1+OpFee!AB11)</f>
        <v>149638.108387905</v>
      </c>
      <c r="O10" s="2">
        <f>+FY16Calc0!O10*(1+FTE!H11)*(1+OpFee!AC11)</f>
        <v>254951.03009809199</v>
      </c>
      <c r="P10" s="2">
        <f t="shared" si="2"/>
        <v>499534.46355693648</v>
      </c>
      <c r="Q10" s="2">
        <f t="shared" si="3"/>
        <v>43628.124720670938</v>
      </c>
      <c r="R10" s="2">
        <f t="shared" si="4"/>
        <v>828934.36969274771</v>
      </c>
      <c r="T10" s="3">
        <f t="shared" si="0"/>
        <v>828934.36969274771</v>
      </c>
    </row>
    <row r="11" spans="1:21" x14ac:dyDescent="0.25">
      <c r="A11" t="s">
        <v>0</v>
      </c>
      <c r="B11" t="s">
        <v>7</v>
      </c>
      <c r="C11" t="s">
        <v>13</v>
      </c>
      <c r="D11" s="102" t="s">
        <v>12</v>
      </c>
      <c r="E11" t="s">
        <v>3</v>
      </c>
      <c r="F11" t="s">
        <v>52</v>
      </c>
      <c r="G11" t="s">
        <v>14</v>
      </c>
      <c r="H11" t="s">
        <v>4</v>
      </c>
      <c r="I11" s="2">
        <f>+FY16Calc0!I11*(1+FTE!H12)</f>
        <v>3.8997671110910899</v>
      </c>
      <c r="J11" s="2">
        <f>+FY16Calc0!J11*(1+OpFee!Y12)*(1+FTE!H12)</f>
        <v>63969.166414283209</v>
      </c>
      <c r="K11" s="2">
        <f>+FY16Calc0!K11*(1+OpFee!AB12)*(1+FTE!H12)</f>
        <v>63969.322341942789</v>
      </c>
      <c r="L11" s="2">
        <f t="shared" si="1"/>
        <v>2558.7728936777116</v>
      </c>
      <c r="M11" s="2">
        <f>+FY16Calc0!M11*(1+OpFee!Y12)*(1+FTE!H12)</f>
        <v>0</v>
      </c>
      <c r="N11" s="2">
        <f>+FY16Calc0!N11*(1+FTE!H12)*(1+OpFee!AB12)</f>
        <v>0</v>
      </c>
      <c r="O11" s="2">
        <f>+FY16Calc0!O11*(1+FTE!H12)*(1+OpFee!AC12)</f>
        <v>0</v>
      </c>
      <c r="P11" s="2">
        <f t="shared" si="2"/>
        <v>0</v>
      </c>
      <c r="Q11" s="2">
        <f t="shared" si="3"/>
        <v>3070.5196760302751</v>
      </c>
      <c r="R11" s="2">
        <f t="shared" si="4"/>
        <v>58339.873844575224</v>
      </c>
      <c r="T11" s="3">
        <f t="shared" si="0"/>
        <v>58339.873844575224</v>
      </c>
    </row>
    <row r="12" spans="1:21" x14ac:dyDescent="0.25">
      <c r="A12" t="s">
        <v>0</v>
      </c>
      <c r="B12" t="s">
        <v>7</v>
      </c>
      <c r="C12" t="s">
        <v>13</v>
      </c>
      <c r="D12" s="102" t="s">
        <v>12</v>
      </c>
      <c r="E12" t="s">
        <v>5</v>
      </c>
      <c r="F12" t="s">
        <v>52</v>
      </c>
      <c r="G12" t="s">
        <v>14</v>
      </c>
      <c r="H12" t="s">
        <v>6</v>
      </c>
      <c r="I12" s="2">
        <f>+FY16Calc0!I12*(1+FTE!H13)</f>
        <v>2.70333266665244</v>
      </c>
      <c r="J12" s="2">
        <f>+FY16Calc0!J12*(1+OpFee!Y13)*(1+FTE!H13)</f>
        <v>68929.190425518565</v>
      </c>
      <c r="K12" s="2">
        <f>+FY16Calc0!K12*(1+OpFee!AB13)*(1+FTE!H13)</f>
        <v>38871.827848312634</v>
      </c>
      <c r="L12" s="2">
        <f t="shared" si="1"/>
        <v>1554.8731139325055</v>
      </c>
      <c r="M12" s="2">
        <f>+FY16Calc0!M12*(1+OpFee!Y13)*(1+FTE!H13)</f>
        <v>0</v>
      </c>
      <c r="N12" s="2">
        <f>+FY16Calc0!N12*(1+FTE!H13)*(1+OpFee!AB13)</f>
        <v>0</v>
      </c>
      <c r="O12" s="2">
        <f>+FY16Calc0!O12*(1+FTE!H13)*(1+OpFee!AC13)</f>
        <v>0</v>
      </c>
      <c r="P12" s="2">
        <f t="shared" si="2"/>
        <v>0</v>
      </c>
      <c r="Q12" s="2">
        <f t="shared" si="3"/>
        <v>3368.7158655793028</v>
      </c>
      <c r="R12" s="2">
        <f t="shared" si="4"/>
        <v>64005.601446006753</v>
      </c>
      <c r="T12" s="3">
        <f t="shared" si="0"/>
        <v>64005.601446006753</v>
      </c>
    </row>
    <row r="13" spans="1:21" x14ac:dyDescent="0.25">
      <c r="A13" t="s">
        <v>0</v>
      </c>
      <c r="B13" t="s">
        <v>16</v>
      </c>
      <c r="C13" t="s">
        <v>13</v>
      </c>
      <c r="D13" s="102" t="s">
        <v>12</v>
      </c>
      <c r="E13" t="s">
        <v>3</v>
      </c>
      <c r="F13" t="s">
        <v>14</v>
      </c>
      <c r="G13" t="s">
        <v>14</v>
      </c>
      <c r="H13" t="s">
        <v>4</v>
      </c>
      <c r="I13" s="2">
        <f>+FY16Calc0!I13*(1+FTE!H14)</f>
        <v>251.51916879739099</v>
      </c>
      <c r="J13" s="2">
        <f>+FY16Calc0!J13*(1+OpFee!Y14)*(1+FTE!H14)</f>
        <v>3903745.1056304364</v>
      </c>
      <c r="K13" s="2">
        <f>+FY16Calc0!K13*(1+OpFee!AB14)*(1+FTE!H14)</f>
        <v>3903754.6211810056</v>
      </c>
      <c r="L13" s="2">
        <f t="shared" si="1"/>
        <v>156150.18484724022</v>
      </c>
      <c r="M13" s="2">
        <f>+FY16Calc0!M13*(1+OpFee!Y14)*(1+FTE!H14)</f>
        <v>15770.664262335171</v>
      </c>
      <c r="N13" s="2">
        <f>+FY16Calc0!N13*(1+FTE!H14)*(1+OpFee!AB14)</f>
        <v>909471.23956207384</v>
      </c>
      <c r="O13" s="2">
        <f>+FY16Calc0!O13*(1+FTE!H14)*(1+OpFee!AC14)</f>
        <v>0</v>
      </c>
      <c r="P13" s="2">
        <f t="shared" si="2"/>
        <v>925241.903824409</v>
      </c>
      <c r="Q13" s="2">
        <f t="shared" si="3"/>
        <v>141117.65084793937</v>
      </c>
      <c r="R13" s="2">
        <f t="shared" si="4"/>
        <v>2681235.3661108478</v>
      </c>
      <c r="T13" s="3">
        <f t="shared" si="0"/>
        <v>2681235.3661108478</v>
      </c>
    </row>
    <row r="14" spans="1:21" x14ac:dyDescent="0.25">
      <c r="A14" t="s">
        <v>0</v>
      </c>
      <c r="B14" t="s">
        <v>16</v>
      </c>
      <c r="C14" t="s">
        <v>13</v>
      </c>
      <c r="D14" s="102" t="s">
        <v>12</v>
      </c>
      <c r="E14" t="s">
        <v>5</v>
      </c>
      <c r="F14" t="s">
        <v>14</v>
      </c>
      <c r="G14" t="s">
        <v>14</v>
      </c>
      <c r="H14" t="s">
        <v>6</v>
      </c>
      <c r="I14" s="2">
        <f>+FY16Calc0!I14*(1+FTE!H15)</f>
        <v>931.65973368175798</v>
      </c>
      <c r="J14" s="2">
        <f>+FY16Calc0!J14*(1+OpFee!Y15)*(1+FTE!H15)</f>
        <v>23473012.795382939</v>
      </c>
      <c r="K14" s="2">
        <f>+FY16Calc0!K14*(1+OpFee!AB15)*(1+FTE!H15)</f>
        <v>13238382.666400045</v>
      </c>
      <c r="L14" s="2">
        <f t="shared" si="1"/>
        <v>529535.30665600183</v>
      </c>
      <c r="M14" s="2">
        <f>+FY16Calc0!M14*(1+OpFee!Y15)*(1+FTE!H15)</f>
        <v>268852.31887737149</v>
      </c>
      <c r="N14" s="2">
        <f>+FY16Calc0!N14*(1+FTE!H15)*(1+OpFee!AB15)</f>
        <v>3202536.6356596188</v>
      </c>
      <c r="O14" s="2">
        <f>+FY16Calc0!O14*(1+FTE!H15)*(1+OpFee!AC15)</f>
        <v>9027591.2820272967</v>
      </c>
      <c r="P14" s="2">
        <f t="shared" si="2"/>
        <v>12498980.236564286</v>
      </c>
      <c r="Q14" s="2">
        <f t="shared" si="3"/>
        <v>522224.86260813253</v>
      </c>
      <c r="R14" s="2">
        <f t="shared" si="4"/>
        <v>9922272.3895545173</v>
      </c>
      <c r="T14" s="3">
        <f t="shared" si="0"/>
        <v>9922272.3895545173</v>
      </c>
    </row>
    <row r="15" spans="1:21" x14ac:dyDescent="0.25">
      <c r="A15" t="s">
        <v>0</v>
      </c>
      <c r="B15" t="s">
        <v>47</v>
      </c>
      <c r="C15" t="s">
        <v>16</v>
      </c>
      <c r="D15" s="102" t="s">
        <v>15</v>
      </c>
      <c r="E15" t="s">
        <v>3</v>
      </c>
      <c r="F15" t="s">
        <v>53</v>
      </c>
      <c r="G15" t="s">
        <v>17</v>
      </c>
      <c r="H15" t="s">
        <v>4</v>
      </c>
      <c r="I15" s="2">
        <f>+FY16Calc0!I15*(1+FTE!H16)</f>
        <v>146.43536024887999</v>
      </c>
      <c r="J15" s="2">
        <f>+FY16Calc0!J15*(1+OpFee!Y16)*(1+FTE!H16)</f>
        <v>1970249.18079025</v>
      </c>
      <c r="K15" s="2">
        <f>+FY16Calc0!K15*(1+OpFee!AB16)*(1+FTE!H16)</f>
        <v>1970249.18079025</v>
      </c>
      <c r="L15" s="2">
        <f t="shared" si="1"/>
        <v>78809.967231610004</v>
      </c>
      <c r="M15" s="2">
        <f>+FY16Calc0!M15*(1+OpFee!Y16)*(1+FTE!H16)</f>
        <v>0</v>
      </c>
      <c r="N15" s="2">
        <f>+FY16Calc0!N15*(1+FTE!H16)*(1+OpFee!AB16)</f>
        <v>402762.86085513199</v>
      </c>
      <c r="O15" s="2">
        <f>+FY16Calc0!O15*(1+FTE!H16)*(1+OpFee!AC16)</f>
        <v>0</v>
      </c>
      <c r="P15" s="2">
        <f t="shared" si="2"/>
        <v>402762.86085513199</v>
      </c>
      <c r="Q15" s="2">
        <f t="shared" si="3"/>
        <v>74433.817635175408</v>
      </c>
      <c r="R15" s="2">
        <f t="shared" si="4"/>
        <v>1414242.5350683327</v>
      </c>
      <c r="T15" s="3">
        <f t="shared" si="0"/>
        <v>1414242.5350683327</v>
      </c>
    </row>
    <row r="16" spans="1:21" x14ac:dyDescent="0.25">
      <c r="A16" t="s">
        <v>0</v>
      </c>
      <c r="B16" t="s">
        <v>47</v>
      </c>
      <c r="C16" t="s">
        <v>16</v>
      </c>
      <c r="D16" s="102" t="s">
        <v>15</v>
      </c>
      <c r="E16" t="s">
        <v>5</v>
      </c>
      <c r="F16" t="s">
        <v>53</v>
      </c>
      <c r="G16" t="s">
        <v>17</v>
      </c>
      <c r="H16" t="s">
        <v>6</v>
      </c>
      <c r="I16" s="2">
        <f>+FY16Calc0!I16*(1+FTE!H17)</f>
        <v>332.822979941759</v>
      </c>
      <c r="J16" s="2">
        <f>+FY16Calc0!J16*(1+OpFee!Y17)*(1+FTE!H17)</f>
        <v>7122549.6898300601</v>
      </c>
      <c r="K16" s="2">
        <f>+FY16Calc0!K16*(1+OpFee!AB17)*(1+FTE!H17)</f>
        <v>4010546.4207832799</v>
      </c>
      <c r="L16" s="2">
        <f t="shared" si="1"/>
        <v>160421.85683133121</v>
      </c>
      <c r="M16" s="2">
        <f>+FY16Calc0!M16*(1+OpFee!Y17)*(1+FTE!H17)</f>
        <v>61731.047832293298</v>
      </c>
      <c r="N16" s="2">
        <f>+FY16Calc0!N16*(1+FTE!H17)*(1+OpFee!AB17)</f>
        <v>823620.57677203405</v>
      </c>
      <c r="O16" s="2">
        <f>+FY16Calc0!O16*(1+FTE!H17)*(1+OpFee!AC17)</f>
        <v>2703292.6007957701</v>
      </c>
      <c r="P16" s="2">
        <f t="shared" si="2"/>
        <v>3588644.2254000977</v>
      </c>
      <c r="Q16" s="2">
        <f t="shared" si="3"/>
        <v>168674.18037993158</v>
      </c>
      <c r="R16" s="2">
        <f t="shared" si="4"/>
        <v>3204809.4272186998</v>
      </c>
      <c r="T16" s="3">
        <f t="shared" si="0"/>
        <v>3204809.4272186998</v>
      </c>
    </row>
    <row r="17" spans="1:20" x14ac:dyDescent="0.25">
      <c r="A17" t="s">
        <v>0</v>
      </c>
      <c r="B17" t="s">
        <v>54</v>
      </c>
      <c r="C17" t="s">
        <v>16</v>
      </c>
      <c r="D17" s="102" t="s">
        <v>15</v>
      </c>
      <c r="E17" t="s">
        <v>3</v>
      </c>
      <c r="F17" t="s">
        <v>55</v>
      </c>
      <c r="G17" t="s">
        <v>17</v>
      </c>
      <c r="H17" t="s">
        <v>4</v>
      </c>
      <c r="I17" s="2">
        <f>+FY16Calc0!I17*(1+FTE!H18)</f>
        <v>14.7137724998206</v>
      </c>
      <c r="J17" s="2">
        <f>+FY16Calc0!J17*(1+OpFee!Y18)*(1+FTE!H18)</f>
        <v>228949.710870604</v>
      </c>
      <c r="K17" s="2">
        <f>+FY16Calc0!K17*(1+OpFee!AB18)*(1+FTE!H18)</f>
        <v>228949.710870604</v>
      </c>
      <c r="L17" s="2">
        <f t="shared" si="1"/>
        <v>9157.9884348241594</v>
      </c>
      <c r="M17" s="2">
        <f>+FY16Calc0!M17*(1+OpFee!Y18)*(1+FTE!H18)</f>
        <v>0</v>
      </c>
      <c r="N17" s="2">
        <f>+FY16Calc0!N17*(1+FTE!H18)*(1+OpFee!AB18)</f>
        <v>24640.1123040167</v>
      </c>
      <c r="O17" s="2">
        <f>+FY16Calc0!O17*(1+FTE!H18)*(1+OpFee!AC18)</f>
        <v>0</v>
      </c>
      <c r="P17" s="2">
        <f t="shared" si="2"/>
        <v>24640.1123040167</v>
      </c>
      <c r="Q17" s="2">
        <f t="shared" si="3"/>
        <v>9757.5805065881577</v>
      </c>
      <c r="R17" s="2">
        <f t="shared" si="4"/>
        <v>185394.029625175</v>
      </c>
      <c r="T17" s="3">
        <f t="shared" si="0"/>
        <v>185394.029625175</v>
      </c>
    </row>
    <row r="18" spans="1:20" x14ac:dyDescent="0.25">
      <c r="A18" t="s">
        <v>0</v>
      </c>
      <c r="B18" t="s">
        <v>54</v>
      </c>
      <c r="C18" t="s">
        <v>16</v>
      </c>
      <c r="D18" s="102" t="s">
        <v>15</v>
      </c>
      <c r="E18" t="s">
        <v>5</v>
      </c>
      <c r="F18" t="s">
        <v>55</v>
      </c>
      <c r="G18" t="s">
        <v>17</v>
      </c>
      <c r="H18" t="s">
        <v>6</v>
      </c>
      <c r="I18" s="2">
        <f>+FY16Calc0!I18*(1+FTE!H19)</f>
        <v>9.8182370443354703</v>
      </c>
      <c r="J18" s="2">
        <f>+FY16Calc0!J18*(1+OpFee!Y19)*(1+FTE!H19)</f>
        <v>263548.63884112402</v>
      </c>
      <c r="K18" s="2">
        <f>+FY16Calc0!K18*(1+OpFee!AB19)*(1+FTE!H19)</f>
        <v>148402.886666782</v>
      </c>
      <c r="L18" s="2">
        <f t="shared" si="1"/>
        <v>5936.11546667128</v>
      </c>
      <c r="M18" s="2">
        <f>+FY16Calc0!M18*(1+OpFee!Y19)*(1+FTE!H19)</f>
        <v>0</v>
      </c>
      <c r="N18" s="2">
        <f>+FY16Calc0!N18*(1+FTE!H19)*(1+OpFee!AB19)</f>
        <v>21092.0570800901</v>
      </c>
      <c r="O18" s="2">
        <f>+FY16Calc0!O18*(1+FTE!H19)*(1+OpFee!AC19)</f>
        <v>16369.7529759394</v>
      </c>
      <c r="P18" s="2">
        <f t="shared" si="2"/>
        <v>37461.810056029499</v>
      </c>
      <c r="Q18" s="2">
        <f t="shared" si="3"/>
        <v>11007.535665921163</v>
      </c>
      <c r="R18" s="2">
        <f t="shared" si="4"/>
        <v>209143.17765250208</v>
      </c>
      <c r="T18" s="3">
        <f t="shared" si="0"/>
        <v>209143.17765250208</v>
      </c>
    </row>
    <row r="19" spans="1:20" x14ac:dyDescent="0.25">
      <c r="A19" t="s">
        <v>0</v>
      </c>
      <c r="B19" t="s">
        <v>31</v>
      </c>
      <c r="C19" t="s">
        <v>12</v>
      </c>
      <c r="D19" s="102" t="s">
        <v>18</v>
      </c>
      <c r="E19" t="s">
        <v>3</v>
      </c>
      <c r="F19" t="s">
        <v>56</v>
      </c>
      <c r="G19" t="s">
        <v>19</v>
      </c>
      <c r="H19" t="s">
        <v>4</v>
      </c>
      <c r="I19" s="2">
        <f>+FY16Calc0!I19*(1+FTE!H20)</f>
        <v>330.12867185360199</v>
      </c>
      <c r="J19" s="2">
        <f>+FY16Calc0!J19*(1+OpFee!Y20)*(1+FTE!H20)</f>
        <v>3701973.2775338911</v>
      </c>
      <c r="K19" s="2">
        <f>+FY16Calc0!K19*(1+OpFee!AB20)*(1+FTE!H20)</f>
        <v>3701966.0897154524</v>
      </c>
      <c r="L19" s="2">
        <f t="shared" si="1"/>
        <v>148078.64358861811</v>
      </c>
      <c r="M19" s="2">
        <f>+FY16Calc0!M19*(1+OpFee!Y20)*(1+FTE!H20)</f>
        <v>0</v>
      </c>
      <c r="N19" s="2">
        <f>+FY16Calc0!N19*(1+FTE!H20)*(1+OpFee!AB20)</f>
        <v>263260.01142462535</v>
      </c>
      <c r="O19" s="2">
        <f>+FY16Calc0!O19*(1+FTE!H20)*(1+OpFee!AC20)</f>
        <v>0</v>
      </c>
      <c r="P19" s="2">
        <f t="shared" si="2"/>
        <v>263260.01142462535</v>
      </c>
      <c r="Q19" s="2">
        <f t="shared" si="3"/>
        <v>164531.73112603242</v>
      </c>
      <c r="R19" s="2">
        <f t="shared" si="4"/>
        <v>3126102.8913946156</v>
      </c>
      <c r="T19" s="3">
        <f t="shared" si="0"/>
        <v>3126102.8913946156</v>
      </c>
    </row>
    <row r="20" spans="1:20" x14ac:dyDescent="0.25">
      <c r="A20" t="s">
        <v>0</v>
      </c>
      <c r="B20" t="s">
        <v>31</v>
      </c>
      <c r="C20" t="s">
        <v>12</v>
      </c>
      <c r="D20" s="102" t="s">
        <v>18</v>
      </c>
      <c r="E20" t="s">
        <v>5</v>
      </c>
      <c r="F20" t="s">
        <v>56</v>
      </c>
      <c r="G20" t="s">
        <v>19</v>
      </c>
      <c r="H20" t="s">
        <v>6</v>
      </c>
      <c r="I20" s="2">
        <f>+FY16Calc0!I20*(1+FTE!H21)</f>
        <v>88.103417165904901</v>
      </c>
      <c r="J20" s="2">
        <f>+FY16Calc0!J20*(1+OpFee!Y21)*(1+FTE!H21)</f>
        <v>1931437.6999290551</v>
      </c>
      <c r="K20" s="2">
        <f>+FY16Calc0!K20*(1+OpFee!AB21)*(1+FTE!H21)</f>
        <v>1047181.9713522031</v>
      </c>
      <c r="L20" s="2">
        <f t="shared" si="1"/>
        <v>41887.278854088123</v>
      </c>
      <c r="M20" s="2">
        <f>+FY16Calc0!M20*(1+OpFee!Y21)*(1+FTE!H21)</f>
        <v>59916.725399394229</v>
      </c>
      <c r="N20" s="2">
        <f>+FY16Calc0!N20*(1+FTE!H21)*(1+OpFee!AB21)</f>
        <v>110021.65608620085</v>
      </c>
      <c r="O20" s="2">
        <f>+FY16Calc0!O20*(1+FTE!H21)*(1+OpFee!AC21)</f>
        <v>309684.82826811931</v>
      </c>
      <c r="P20" s="2">
        <f t="shared" si="2"/>
        <v>479623.20975371439</v>
      </c>
      <c r="Q20" s="2">
        <f t="shared" si="3"/>
        <v>70496.36056606262</v>
      </c>
      <c r="R20" s="2">
        <f t="shared" si="4"/>
        <v>1339430.8507551898</v>
      </c>
      <c r="T20" s="3">
        <f t="shared" si="0"/>
        <v>1339430.8507551898</v>
      </c>
    </row>
    <row r="21" spans="1:20" x14ac:dyDescent="0.25">
      <c r="A21" t="s">
        <v>0</v>
      </c>
      <c r="B21" t="s">
        <v>57</v>
      </c>
      <c r="C21" t="s">
        <v>12</v>
      </c>
      <c r="D21" s="102" t="s">
        <v>18</v>
      </c>
      <c r="E21" t="s">
        <v>3</v>
      </c>
      <c r="F21" t="s">
        <v>58</v>
      </c>
      <c r="G21" t="s">
        <v>19</v>
      </c>
      <c r="H21" t="s">
        <v>4</v>
      </c>
      <c r="I21" s="2">
        <f>+FY16Calc0!I21*(1+FTE!H22)</f>
        <v>122.13317516639199</v>
      </c>
      <c r="J21" s="2">
        <f>+FY16Calc0!J21*(1+OpFee!Y22)*(1+FTE!H22)</f>
        <v>1802173.9566261529</v>
      </c>
      <c r="K21" s="2">
        <f>+FY16Calc0!K21*(1+OpFee!AB22)*(1+FTE!H22)</f>
        <v>1802170.4574925224</v>
      </c>
      <c r="L21" s="2">
        <f t="shared" si="1"/>
        <v>72086.818299700899</v>
      </c>
      <c r="M21" s="2">
        <f>+FY16Calc0!M21*(1+OpFee!Y22)*(1+FTE!H22)</f>
        <v>0</v>
      </c>
      <c r="N21" s="2">
        <f>+FY16Calc0!N21*(1+FTE!H22)*(1+OpFee!AB22)</f>
        <v>522151.97250678722</v>
      </c>
      <c r="O21" s="2">
        <f>+FY16Calc0!O21*(1+FTE!H22)*(1+OpFee!AC22)</f>
        <v>0</v>
      </c>
      <c r="P21" s="2">
        <f t="shared" si="2"/>
        <v>522151.97250678722</v>
      </c>
      <c r="Q21" s="2">
        <f t="shared" si="3"/>
        <v>60396.758290983242</v>
      </c>
      <c r="R21" s="2">
        <f t="shared" si="4"/>
        <v>1147538.4075286814</v>
      </c>
      <c r="T21" s="3">
        <f t="shared" si="0"/>
        <v>1147538.4075286814</v>
      </c>
    </row>
    <row r="22" spans="1:20" x14ac:dyDescent="0.25">
      <c r="A22" t="s">
        <v>0</v>
      </c>
      <c r="B22" t="s">
        <v>57</v>
      </c>
      <c r="C22" t="s">
        <v>12</v>
      </c>
      <c r="D22" s="102" t="s">
        <v>18</v>
      </c>
      <c r="E22" t="s">
        <v>5</v>
      </c>
      <c r="F22" t="s">
        <v>58</v>
      </c>
      <c r="G22" t="s">
        <v>19</v>
      </c>
      <c r="H22" t="s">
        <v>6</v>
      </c>
      <c r="I22" s="2">
        <f>+FY16Calc0!I22*(1+FTE!H23)</f>
        <v>90.127293333105001</v>
      </c>
      <c r="J22" s="2">
        <f>+FY16Calc0!J22*(1+OpFee!Y23)*(1+FTE!H23)</f>
        <v>2377151.4433647157</v>
      </c>
      <c r="K22" s="2">
        <f>+FY16Calc0!K22*(1+OpFee!AB23)*(1+FTE!H23)</f>
        <v>1288846.3367928809</v>
      </c>
      <c r="L22" s="2">
        <f t="shared" si="1"/>
        <v>51553.853471715236</v>
      </c>
      <c r="M22" s="2">
        <f>+FY16Calc0!M22*(1+OpFee!Y23)*(1+FTE!H23)</f>
        <v>122280.02944082502</v>
      </c>
      <c r="N22" s="2">
        <f>+FY16Calc0!N22*(1+FTE!H23)*(1+OpFee!AB23)</f>
        <v>495515.58583378023</v>
      </c>
      <c r="O22" s="2">
        <f>+FY16Calc0!O22*(1+FTE!H23)*(1+OpFee!AC23)</f>
        <v>917818.07708166505</v>
      </c>
      <c r="P22" s="2">
        <f t="shared" si="2"/>
        <v>1535613.6923562703</v>
      </c>
      <c r="Q22" s="2">
        <f t="shared" si="3"/>
        <v>39499.194876836496</v>
      </c>
      <c r="R22" s="2">
        <f t="shared" si="4"/>
        <v>750484.70265989343</v>
      </c>
      <c r="T22" s="3">
        <f t="shared" si="0"/>
        <v>750484.70265989343</v>
      </c>
    </row>
    <row r="23" spans="1:20" x14ac:dyDescent="0.25">
      <c r="A23" t="s">
        <v>0</v>
      </c>
      <c r="B23" t="s">
        <v>41</v>
      </c>
      <c r="C23" t="s">
        <v>15</v>
      </c>
      <c r="D23" s="102" t="s">
        <v>21</v>
      </c>
      <c r="E23" t="s">
        <v>3</v>
      </c>
      <c r="F23" t="s">
        <v>59</v>
      </c>
      <c r="G23" t="s">
        <v>22</v>
      </c>
      <c r="H23" t="s">
        <v>4</v>
      </c>
      <c r="I23" s="2">
        <f>+FY16Calc0!I23*(1+FTE!H24)</f>
        <v>227.31430373215599</v>
      </c>
      <c r="J23" s="2">
        <f>+FY16Calc0!J23*(1+OpFee!Y24)*(1+FTE!H24)</f>
        <v>2930474.4017994725</v>
      </c>
      <c r="K23" s="2">
        <f>+FY16Calc0!K23*(1+OpFee!AB24)*(1+FTE!H24)</f>
        <v>2930392.2124654786</v>
      </c>
      <c r="L23" s="2">
        <f t="shared" si="1"/>
        <v>117215.68849861914</v>
      </c>
      <c r="M23" s="2">
        <f>+FY16Calc0!M23*(1+OpFee!Y24)*(1+FTE!H24)</f>
        <v>0</v>
      </c>
      <c r="N23" s="2">
        <f>+FY16Calc0!N23*(1+FTE!H24)*(1+OpFee!AB24)</f>
        <v>115232.91622972398</v>
      </c>
      <c r="O23" s="2">
        <f>+FY16Calc0!O23*(1+FTE!H24)*(1+OpFee!AC24)</f>
        <v>0</v>
      </c>
      <c r="P23" s="2">
        <f t="shared" si="2"/>
        <v>115232.91622972398</v>
      </c>
      <c r="Q23" s="2">
        <f t="shared" si="3"/>
        <v>134901.28985355649</v>
      </c>
      <c r="R23" s="2">
        <f t="shared" si="4"/>
        <v>2563124.507217573</v>
      </c>
      <c r="T23" s="3">
        <f t="shared" si="0"/>
        <v>2563124.507217573</v>
      </c>
    </row>
    <row r="24" spans="1:20" x14ac:dyDescent="0.25">
      <c r="A24" t="s">
        <v>0</v>
      </c>
      <c r="B24" t="s">
        <v>41</v>
      </c>
      <c r="C24" t="s">
        <v>15</v>
      </c>
      <c r="D24" s="102" t="s">
        <v>21</v>
      </c>
      <c r="E24" t="s">
        <v>5</v>
      </c>
      <c r="F24" t="s">
        <v>59</v>
      </c>
      <c r="G24" t="s">
        <v>22</v>
      </c>
      <c r="H24" t="s">
        <v>6</v>
      </c>
      <c r="I24" s="2">
        <f>+FY16Calc0!I24*(1+FTE!H25)</f>
        <v>102.758176732753</v>
      </c>
      <c r="J24" s="2">
        <f>+FY16Calc0!J24*(1+OpFee!Y25)*(1+FTE!H25)</f>
        <v>2249159.2761816182</v>
      </c>
      <c r="K24" s="2">
        <f>+FY16Calc0!K24*(1+OpFee!AB25)*(1+FTE!H25)</f>
        <v>1316007.2153294645</v>
      </c>
      <c r="L24" s="2">
        <f t="shared" si="1"/>
        <v>52640.288613178585</v>
      </c>
      <c r="M24" s="2">
        <f>+FY16Calc0!M24*(1+OpFee!Y25)*(1+FTE!H25)</f>
        <v>0</v>
      </c>
      <c r="N24" s="2">
        <f>+FY16Calc0!N24*(1+FTE!H25)*(1+OpFee!AB25)</f>
        <v>17211.585983142151</v>
      </c>
      <c r="O24" s="2">
        <f>+FY16Calc0!O24*(1+FTE!H25)*(1+OpFee!AC25)</f>
        <v>73223.291549674876</v>
      </c>
      <c r="P24" s="2">
        <f t="shared" si="2"/>
        <v>90434.87753281703</v>
      </c>
      <c r="Q24" s="2">
        <f t="shared" si="3"/>
        <v>105304.20550178114</v>
      </c>
      <c r="R24" s="2">
        <f t="shared" si="4"/>
        <v>2000779.9045338414</v>
      </c>
      <c r="T24" s="3">
        <f t="shared" si="0"/>
        <v>2000779.9045338414</v>
      </c>
    </row>
    <row r="25" spans="1:20" x14ac:dyDescent="0.25">
      <c r="A25" t="s">
        <v>0</v>
      </c>
      <c r="B25" t="s">
        <v>60</v>
      </c>
      <c r="C25" t="s">
        <v>24</v>
      </c>
      <c r="D25" s="102" t="s">
        <v>23</v>
      </c>
      <c r="E25" t="s">
        <v>3</v>
      </c>
      <c r="F25" t="s">
        <v>61</v>
      </c>
      <c r="G25" t="s">
        <v>25</v>
      </c>
      <c r="H25" t="s">
        <v>4</v>
      </c>
      <c r="I25" s="2">
        <f>+FY16Calc0!I25*(1+FTE!H26)</f>
        <v>118.957556998719</v>
      </c>
      <c r="J25" s="2">
        <f>+FY16Calc0!J25*(1+OpFee!Y26)*(1+FTE!H26)</f>
        <v>1845587.9800571431</v>
      </c>
      <c r="K25" s="2">
        <f>+FY16Calc0!K25*(1+OpFee!AB26)*(1+FTE!H26)</f>
        <v>1845566.3388008249</v>
      </c>
      <c r="L25" s="2">
        <f t="shared" si="1"/>
        <v>73822.653552032993</v>
      </c>
      <c r="M25" s="2">
        <f>+FY16Calc0!M25*(1+OpFee!Y26)*(1+FTE!H26)</f>
        <v>0</v>
      </c>
      <c r="N25" s="2">
        <f>+FY16Calc0!N25*(1+FTE!H26)*(1+OpFee!AB26)</f>
        <v>355387.69604815944</v>
      </c>
      <c r="O25" s="2">
        <f>+FY16Calc0!O25*(1+FTE!H26)*(1+OpFee!AC26)</f>
        <v>0</v>
      </c>
      <c r="P25" s="2">
        <f t="shared" si="2"/>
        <v>355387.69604815944</v>
      </c>
      <c r="Q25" s="2">
        <f t="shared" si="3"/>
        <v>70818.881522847543</v>
      </c>
      <c r="R25" s="2">
        <f t="shared" si="4"/>
        <v>1345558.7489341032</v>
      </c>
      <c r="T25" s="3">
        <f t="shared" si="0"/>
        <v>1345558.7489341032</v>
      </c>
    </row>
    <row r="26" spans="1:20" x14ac:dyDescent="0.25">
      <c r="A26" t="s">
        <v>0</v>
      </c>
      <c r="B26" t="s">
        <v>60</v>
      </c>
      <c r="C26" t="s">
        <v>24</v>
      </c>
      <c r="D26" s="102" t="s">
        <v>23</v>
      </c>
      <c r="E26" t="s">
        <v>5</v>
      </c>
      <c r="F26" t="s">
        <v>61</v>
      </c>
      <c r="G26" t="s">
        <v>25</v>
      </c>
      <c r="H26" t="s">
        <v>6</v>
      </c>
      <c r="I26" s="2">
        <f>+FY16Calc0!I26*(1+FTE!H27)</f>
        <v>197.34850104713499</v>
      </c>
      <c r="J26" s="2">
        <f>+FY16Calc0!J26*(1+OpFee!Y27)*(1+FTE!H27)</f>
        <v>4952700.6357468301</v>
      </c>
      <c r="K26" s="2">
        <f>+FY16Calc0!K26*(1+OpFee!AB27)*(1+FTE!H27)</f>
        <v>2903219.4264160041</v>
      </c>
      <c r="L26" s="2">
        <f t="shared" si="1"/>
        <v>116128.77705664016</v>
      </c>
      <c r="M26" s="2">
        <f>+FY16Calc0!M26*(1+OpFee!Y27)*(1+FTE!H27)</f>
        <v>27722.842084270611</v>
      </c>
      <c r="N26" s="2">
        <f>+FY16Calc0!N26*(1+FTE!H27)*(1+OpFee!AB27)</f>
        <v>716804.16313974024</v>
      </c>
      <c r="O26" s="2">
        <f>+FY16Calc0!O26*(1+FTE!H27)*(1+OpFee!AC27)</f>
        <v>1814404.9235761529</v>
      </c>
      <c r="P26" s="2">
        <f t="shared" si="2"/>
        <v>2558931.9288001638</v>
      </c>
      <c r="Q26" s="2">
        <f t="shared" si="3"/>
        <v>113881.99649450132</v>
      </c>
      <c r="R26" s="2">
        <f t="shared" si="4"/>
        <v>2163757.933395525</v>
      </c>
      <c r="T26" s="3">
        <f t="shared" si="0"/>
        <v>2163757.933395525</v>
      </c>
    </row>
    <row r="27" spans="1:20" x14ac:dyDescent="0.25">
      <c r="A27" t="s">
        <v>0</v>
      </c>
      <c r="B27" t="s">
        <v>62</v>
      </c>
      <c r="C27" t="s">
        <v>24</v>
      </c>
      <c r="D27" s="102" t="s">
        <v>23</v>
      </c>
      <c r="E27" t="s">
        <v>3</v>
      </c>
      <c r="F27" t="s">
        <v>63</v>
      </c>
      <c r="G27" t="s">
        <v>25</v>
      </c>
      <c r="H27" t="s">
        <v>4</v>
      </c>
      <c r="I27" s="2">
        <f>+FY16Calc0!I27*(1+FTE!H28)</f>
        <v>4.8589519999722297</v>
      </c>
      <c r="J27" s="2">
        <f>+FY16Calc0!J27*(1+OpFee!Y28)*(1+FTE!H28)</f>
        <v>76339.742444125543</v>
      </c>
      <c r="K27" s="2">
        <f>+FY16Calc0!K27*(1+OpFee!AB28)*(1+FTE!H28)</f>
        <v>76338.847288786783</v>
      </c>
      <c r="L27" s="2">
        <f t="shared" si="1"/>
        <v>3053.5538915514712</v>
      </c>
      <c r="M27" s="2">
        <f>+FY16Calc0!M27*(1+OpFee!Y28)*(1+FTE!H28)</f>
        <v>0</v>
      </c>
      <c r="N27" s="2">
        <f>+FY16Calc0!N27*(1+FTE!H28)*(1+OpFee!AB28)</f>
        <v>54835.802920337199</v>
      </c>
      <c r="O27" s="2">
        <f>+FY16Calc0!O27*(1+FTE!H28)*(1+OpFee!AC28)</f>
        <v>0</v>
      </c>
      <c r="P27" s="2">
        <f t="shared" si="2"/>
        <v>54835.802920337199</v>
      </c>
      <c r="Q27" s="2">
        <f t="shared" si="3"/>
        <v>922.51928161184333</v>
      </c>
      <c r="R27" s="2">
        <f t="shared" si="4"/>
        <v>17527.866350625023</v>
      </c>
      <c r="T27" s="3">
        <f t="shared" si="0"/>
        <v>17527.866350625023</v>
      </c>
    </row>
    <row r="28" spans="1:20" x14ac:dyDescent="0.25">
      <c r="A28" t="s">
        <v>0</v>
      </c>
      <c r="B28" t="s">
        <v>62</v>
      </c>
      <c r="C28" t="s">
        <v>24</v>
      </c>
      <c r="D28" s="102" t="s">
        <v>23</v>
      </c>
      <c r="E28" t="s">
        <v>5</v>
      </c>
      <c r="F28" t="s">
        <v>63</v>
      </c>
      <c r="G28" t="s">
        <v>25</v>
      </c>
      <c r="H28" t="s">
        <v>6</v>
      </c>
      <c r="I28" s="2">
        <f>+FY16Calc0!I28*(1+FTE!H29)</f>
        <v>15.2897505554691</v>
      </c>
      <c r="J28" s="2">
        <f>+FY16Calc0!J28*(1+OpFee!Y29)*(1+FTE!H29)</f>
        <v>300008.0326171178</v>
      </c>
      <c r="K28" s="2">
        <f>+FY16Calc0!K28*(1+OpFee!AB29)*(1+FTE!H29)</f>
        <v>175859.77396601858</v>
      </c>
      <c r="L28" s="2">
        <f t="shared" si="1"/>
        <v>7034.3909586407435</v>
      </c>
      <c r="M28" s="2">
        <f>+FY16Calc0!M28*(1+OpFee!Y29)*(1+FTE!H29)</f>
        <v>46206.014579322378</v>
      </c>
      <c r="N28" s="2">
        <f>+FY16Calc0!N28*(1+FTE!H29)*(1+OpFee!AB29)</f>
        <v>99230.026490898075</v>
      </c>
      <c r="O28" s="2">
        <f>+FY16Calc0!O28*(1+FTE!H29)*(1+OpFee!AC29)</f>
        <v>103420.44835405756</v>
      </c>
      <c r="P28" s="2">
        <f t="shared" si="2"/>
        <v>248856.48942427803</v>
      </c>
      <c r="Q28" s="2">
        <f t="shared" si="3"/>
        <v>2205.8576117099524</v>
      </c>
      <c r="R28" s="2">
        <f t="shared" si="4"/>
        <v>41911.294622489098</v>
      </c>
      <c r="T28" s="3">
        <f t="shared" si="0"/>
        <v>41911.294622489098</v>
      </c>
    </row>
    <row r="29" spans="1:20" x14ac:dyDescent="0.25">
      <c r="A29" t="s">
        <v>0</v>
      </c>
      <c r="B29" t="s">
        <v>26</v>
      </c>
      <c r="C29" t="s">
        <v>18</v>
      </c>
      <c r="D29" s="102" t="s">
        <v>26</v>
      </c>
      <c r="E29" t="s">
        <v>3</v>
      </c>
      <c r="F29" t="s">
        <v>64</v>
      </c>
      <c r="G29" t="s">
        <v>27</v>
      </c>
      <c r="H29" t="s">
        <v>4</v>
      </c>
      <c r="I29" s="2">
        <f>+FY16Calc0!I29*(1+FTE!H30)</f>
        <v>63.828208570985701</v>
      </c>
      <c r="J29" s="2">
        <f>+FY16Calc0!J29*(1+OpFee!Y30)*(1+FTE!H30)</f>
        <v>822807.38366833865</v>
      </c>
      <c r="K29" s="2">
        <f>+FY16Calc0!K29*(1+OpFee!AB30)*(1+FTE!H30)</f>
        <v>822789.87470680836</v>
      </c>
      <c r="L29" s="2">
        <f t="shared" si="1"/>
        <v>32911.594988272336</v>
      </c>
      <c r="M29" s="2">
        <f>+FY16Calc0!M29*(1+OpFee!Y30)*(1+FTE!H30)</f>
        <v>0</v>
      </c>
      <c r="N29" s="2">
        <f>+FY16Calc0!N29*(1+FTE!H30)*(1+OpFee!AB30)</f>
        <v>72058.362405881751</v>
      </c>
      <c r="O29" s="2">
        <f>+FY16Calc0!O29*(1+FTE!H30)*(1+OpFee!AC30)</f>
        <v>0</v>
      </c>
      <c r="P29" s="2">
        <f t="shared" si="2"/>
        <v>72058.362405881751</v>
      </c>
      <c r="Q29" s="2">
        <f t="shared" si="3"/>
        <v>35891.871313709235</v>
      </c>
      <c r="R29" s="2">
        <f t="shared" si="4"/>
        <v>681945.55496047542</v>
      </c>
      <c r="T29" s="3">
        <f t="shared" si="0"/>
        <v>681945.55496047542</v>
      </c>
    </row>
    <row r="30" spans="1:20" x14ac:dyDescent="0.25">
      <c r="A30" t="s">
        <v>0</v>
      </c>
      <c r="B30" t="s">
        <v>26</v>
      </c>
      <c r="C30" t="s">
        <v>18</v>
      </c>
      <c r="D30" s="102" t="s">
        <v>26</v>
      </c>
      <c r="E30" t="s">
        <v>5</v>
      </c>
      <c r="F30" t="s">
        <v>64</v>
      </c>
      <c r="G30" t="s">
        <v>27</v>
      </c>
      <c r="H30" t="s">
        <v>6</v>
      </c>
      <c r="I30" s="2">
        <f>+FY16Calc0!I30*(1+FTE!H31)</f>
        <v>99.680463375633494</v>
      </c>
      <c r="J30" s="2">
        <f>+FY16Calc0!J30*(1+OpFee!Y31)*(1+FTE!H31)</f>
        <v>2167983.8597772499</v>
      </c>
      <c r="K30" s="2">
        <f>+FY16Calc0!K30*(1+OpFee!AB31)*(1+FTE!H31)</f>
        <v>1251697.5727081262</v>
      </c>
      <c r="L30" s="2">
        <f t="shared" si="1"/>
        <v>50067.90290832505</v>
      </c>
      <c r="M30" s="2">
        <f>+FY16Calc0!M30*(1+OpFee!Y31)*(1+FTE!H31)</f>
        <v>385255.68738801999</v>
      </c>
      <c r="N30" s="2">
        <f>+FY16Calc0!N30*(1+FTE!H31)*(1+OpFee!AB31)</f>
        <v>187443.58178069576</v>
      </c>
      <c r="O30" s="2">
        <f>+FY16Calc0!O30*(1+FTE!H31)*(1+OpFee!AC31)</f>
        <v>357241.8936527191</v>
      </c>
      <c r="P30" s="2">
        <f t="shared" si="2"/>
        <v>929941.16282143479</v>
      </c>
      <c r="Q30" s="2">
        <f t="shared" si="3"/>
        <v>59398.739702374492</v>
      </c>
      <c r="R30" s="2">
        <f t="shared" si="4"/>
        <v>1128576.0543451153</v>
      </c>
      <c r="T30" s="3">
        <f t="shared" si="0"/>
        <v>1128576.0543451153</v>
      </c>
    </row>
    <row r="31" spans="1:20" x14ac:dyDescent="0.25">
      <c r="A31" t="s">
        <v>0</v>
      </c>
      <c r="B31" t="s">
        <v>38</v>
      </c>
      <c r="C31" t="s">
        <v>18</v>
      </c>
      <c r="D31" s="102" t="s">
        <v>26</v>
      </c>
      <c r="E31" t="s">
        <v>3</v>
      </c>
      <c r="F31" t="s">
        <v>65</v>
      </c>
      <c r="G31" t="s">
        <v>27</v>
      </c>
      <c r="H31" t="s">
        <v>4</v>
      </c>
      <c r="I31" s="2">
        <f>+FY16Calc0!I31*(1+FTE!H32)</f>
        <v>39.608056899780699</v>
      </c>
      <c r="J31" s="2">
        <f>+FY16Calc0!J31*(1+OpFee!Y32)*(1+FTE!H32)</f>
        <v>635392.02245163196</v>
      </c>
      <c r="K31" s="2">
        <f>+FY16Calc0!K31*(1+OpFee!AB32)*(1+FTE!H32)</f>
        <v>635400.36651422572</v>
      </c>
      <c r="L31" s="2">
        <f t="shared" si="1"/>
        <v>25416.014660569028</v>
      </c>
      <c r="M31" s="2">
        <f>+FY16Calc0!M31*(1+OpFee!Y32)*(1+FTE!H32)</f>
        <v>0</v>
      </c>
      <c r="N31" s="2">
        <f>+FY16Calc0!N31*(1+FTE!H32)*(1+OpFee!AB32)</f>
        <v>115405.56190069013</v>
      </c>
      <c r="O31" s="2">
        <f>+FY16Calc0!O31*(1+FTE!H32)*(1+OpFee!AC32)</f>
        <v>0</v>
      </c>
      <c r="P31" s="2">
        <f t="shared" si="2"/>
        <v>115405.56190069013</v>
      </c>
      <c r="Q31" s="2">
        <f t="shared" si="3"/>
        <v>24728.52229451864</v>
      </c>
      <c r="R31" s="2">
        <f t="shared" si="4"/>
        <v>469841.92359585414</v>
      </c>
      <c r="T31" s="3">
        <f t="shared" si="0"/>
        <v>469841.92359585414</v>
      </c>
    </row>
    <row r="32" spans="1:20" x14ac:dyDescent="0.25">
      <c r="A32" t="s">
        <v>0</v>
      </c>
      <c r="B32" t="s">
        <v>38</v>
      </c>
      <c r="C32" t="s">
        <v>18</v>
      </c>
      <c r="D32" s="102" t="s">
        <v>26</v>
      </c>
      <c r="E32" t="s">
        <v>5</v>
      </c>
      <c r="F32" t="s">
        <v>65</v>
      </c>
      <c r="G32" t="s">
        <v>27</v>
      </c>
      <c r="H32" t="s">
        <v>6</v>
      </c>
      <c r="I32" s="2">
        <f>+FY16Calc0!I32*(1+FTE!H33)</f>
        <v>36.902446844165603</v>
      </c>
      <c r="J32" s="2">
        <f>+FY16Calc0!J32*(1+OpFee!Y33)*(1+FTE!H33)</f>
        <v>951747.27752518898</v>
      </c>
      <c r="K32" s="2">
        <f>+FY16Calc0!K32*(1+OpFee!AB33)*(1+FTE!H33)</f>
        <v>534275.11657449976</v>
      </c>
      <c r="L32" s="2">
        <f t="shared" si="1"/>
        <v>21371.004662979991</v>
      </c>
      <c r="M32" s="2">
        <f>+FY16Calc0!M32*(1+OpFee!Y33)*(1+FTE!H33)</f>
        <v>92938.529538097093</v>
      </c>
      <c r="N32" s="2">
        <f>+FY16Calc0!N32*(1+FTE!H33)*(1+OpFee!AB33)</f>
        <v>173773.13810627582</v>
      </c>
      <c r="O32" s="2">
        <f>+FY16Calc0!O32*(1+FTE!H33)*(1+OpFee!AC33)</f>
        <v>277115.85750709206</v>
      </c>
      <c r="P32" s="2">
        <f t="shared" si="2"/>
        <v>543827.52515146497</v>
      </c>
      <c r="Q32" s="2">
        <f t="shared" si="3"/>
        <v>19327.437385537203</v>
      </c>
      <c r="R32" s="2">
        <f t="shared" si="4"/>
        <v>367221.31032520684</v>
      </c>
      <c r="T32" s="3">
        <f t="shared" si="0"/>
        <v>367221.31032520684</v>
      </c>
    </row>
    <row r="33" spans="1:20" x14ac:dyDescent="0.25">
      <c r="A33" t="s">
        <v>0</v>
      </c>
      <c r="B33" t="s">
        <v>21</v>
      </c>
      <c r="C33" t="s">
        <v>29</v>
      </c>
      <c r="D33" s="102" t="s">
        <v>28</v>
      </c>
      <c r="E33" t="s">
        <v>3</v>
      </c>
      <c r="F33" t="s">
        <v>66</v>
      </c>
      <c r="G33" t="s">
        <v>30</v>
      </c>
      <c r="H33" t="s">
        <v>4</v>
      </c>
      <c r="I33" s="2">
        <f>+FY16Calc0!I33*(1+FTE!H34)</f>
        <v>98.279961666940494</v>
      </c>
      <c r="J33" s="2">
        <f>+FY16Calc0!J33*(1+OpFee!Y34)*(1+FTE!H34)</f>
        <v>1298161.3379792499</v>
      </c>
      <c r="K33" s="2">
        <f>+FY16Calc0!K33*(1+OpFee!AB34)*(1+FTE!H34)</f>
        <v>1298161.3379792499</v>
      </c>
      <c r="L33" s="2">
        <f t="shared" si="1"/>
        <v>51926.453519169998</v>
      </c>
      <c r="M33" s="2">
        <f>+FY16Calc0!M33*(1+OpFee!Y34)*(1+FTE!H34)</f>
        <v>0</v>
      </c>
      <c r="N33" s="2">
        <f>+FY16Calc0!N33*(1+FTE!H34)*(1+OpFee!AB34)</f>
        <v>13563.1537371211</v>
      </c>
      <c r="O33" s="2">
        <f>+FY16Calc0!O33*(1+FTE!H34)*(1+OpFee!AC34)</f>
        <v>0</v>
      </c>
      <c r="P33" s="2">
        <f t="shared" si="2"/>
        <v>13563.1537371211</v>
      </c>
      <c r="Q33" s="2">
        <f t="shared" si="3"/>
        <v>61633.586536147952</v>
      </c>
      <c r="R33" s="2">
        <f t="shared" si="4"/>
        <v>1171038.1441868111</v>
      </c>
      <c r="T33" s="3">
        <f t="shared" si="0"/>
        <v>1171038.1441868111</v>
      </c>
    </row>
    <row r="34" spans="1:20" x14ac:dyDescent="0.25">
      <c r="A34" t="s">
        <v>0</v>
      </c>
      <c r="B34" t="s">
        <v>21</v>
      </c>
      <c r="C34" t="s">
        <v>29</v>
      </c>
      <c r="D34" s="102" t="s">
        <v>28</v>
      </c>
      <c r="E34" t="s">
        <v>5</v>
      </c>
      <c r="F34" t="s">
        <v>66</v>
      </c>
      <c r="G34" t="s">
        <v>30</v>
      </c>
      <c r="H34" t="s">
        <v>6</v>
      </c>
      <c r="I34" s="2">
        <f>+FY16Calc0!I34*(1+FTE!H35)</f>
        <v>121.07415676694799</v>
      </c>
      <c r="J34" s="2">
        <f>+FY16Calc0!J34*(1+OpFee!Y35)*(1+FTE!H35)</f>
        <v>3239367.7488024901</v>
      </c>
      <c r="K34" s="2">
        <f>+FY16Calc0!K34*(1+OpFee!AB35)*(1+FTE!H35)</f>
        <v>1546319.3296684001</v>
      </c>
      <c r="L34" s="2">
        <f t="shared" si="1"/>
        <v>61852.773186736005</v>
      </c>
      <c r="M34" s="2">
        <f>+FY16Calc0!M34*(1+OpFee!Y35)*(1+FTE!H35)</f>
        <v>24992.2457114555</v>
      </c>
      <c r="N34" s="2">
        <f>+FY16Calc0!N34*(1+FTE!H35)*(1+OpFee!AB35)</f>
        <v>41355.811614643899</v>
      </c>
      <c r="O34" s="2">
        <f>+FY16Calc0!O34*(1+FTE!H35)*(1+OpFee!AC35)</f>
        <v>336364.28912979801</v>
      </c>
      <c r="P34" s="2">
        <f t="shared" si="2"/>
        <v>402712.34645589744</v>
      </c>
      <c r="Q34" s="2">
        <f t="shared" si="3"/>
        <v>138740.13145799283</v>
      </c>
      <c r="R34" s="2">
        <f t="shared" si="4"/>
        <v>2636062.4977018638</v>
      </c>
      <c r="T34" s="3">
        <f t="shared" si="0"/>
        <v>2636062.4977018638</v>
      </c>
    </row>
    <row r="35" spans="1:20" x14ac:dyDescent="0.25">
      <c r="A35" t="s">
        <v>0</v>
      </c>
      <c r="B35" t="s">
        <v>37</v>
      </c>
      <c r="C35" t="s">
        <v>29</v>
      </c>
      <c r="D35" s="102" t="s">
        <v>28</v>
      </c>
      <c r="E35" t="s">
        <v>3</v>
      </c>
      <c r="F35" t="s">
        <v>67</v>
      </c>
      <c r="G35" t="s">
        <v>30</v>
      </c>
      <c r="H35" t="s">
        <v>4</v>
      </c>
      <c r="I35" s="2">
        <f>+FY16Calc0!I35*(1+FTE!H36)</f>
        <v>63.448812777856801</v>
      </c>
      <c r="J35" s="2">
        <f>+FY16Calc0!J35*(1+OpFee!Y36)*(1+FTE!H36)</f>
        <v>812462.18180515303</v>
      </c>
      <c r="K35" s="2">
        <f>+FY16Calc0!K35*(1+OpFee!AB36)*(1+FTE!H36)</f>
        <v>812462.18180515303</v>
      </c>
      <c r="L35" s="2">
        <f t="shared" si="1"/>
        <v>32498.487272206123</v>
      </c>
      <c r="M35" s="2">
        <f>+FY16Calc0!M35*(1+OpFee!Y36)*(1+FTE!H36)</f>
        <v>5237.0833042094901</v>
      </c>
      <c r="N35" s="2">
        <f>+FY16Calc0!N35*(1+FTE!H36)*(1+OpFee!AB36)</f>
        <v>35897.760817715702</v>
      </c>
      <c r="O35" s="2">
        <f>+FY16Calc0!O35*(1+FTE!H36)*(1+OpFee!AC36)</f>
        <v>0</v>
      </c>
      <c r="P35" s="2">
        <f t="shared" si="2"/>
        <v>41134.844121925191</v>
      </c>
      <c r="Q35" s="2">
        <f t="shared" si="3"/>
        <v>36941.442520551085</v>
      </c>
      <c r="R35" s="2">
        <f t="shared" si="4"/>
        <v>701887.4078904707</v>
      </c>
      <c r="T35" s="3">
        <f t="shared" si="0"/>
        <v>701887.4078904707</v>
      </c>
    </row>
    <row r="36" spans="1:20" x14ac:dyDescent="0.25">
      <c r="A36" t="s">
        <v>0</v>
      </c>
      <c r="B36" t="s">
        <v>37</v>
      </c>
      <c r="C36" t="s">
        <v>29</v>
      </c>
      <c r="D36" s="102" t="s">
        <v>28</v>
      </c>
      <c r="E36" t="s">
        <v>5</v>
      </c>
      <c r="F36" t="s">
        <v>67</v>
      </c>
      <c r="G36" t="s">
        <v>30</v>
      </c>
      <c r="H36" t="s">
        <v>6</v>
      </c>
      <c r="I36" s="2">
        <f>+FY16Calc0!I36*(1+FTE!H37)</f>
        <v>129.745700600178</v>
      </c>
      <c r="J36" s="2">
        <f>+FY16Calc0!J36*(1+OpFee!Y37)*(1+FTE!H37)</f>
        <v>2772615.1857583602</v>
      </c>
      <c r="K36" s="2">
        <f>+FY16Calc0!K36*(1+OpFee!AB37)*(1+FTE!H37)</f>
        <v>1564880.19630424</v>
      </c>
      <c r="L36" s="2">
        <f t="shared" si="1"/>
        <v>62595.207852169602</v>
      </c>
      <c r="M36" s="2">
        <f>+FY16Calc0!M36*(1+OpFee!Y37)*(1+FTE!H37)</f>
        <v>160255.68237540801</v>
      </c>
      <c r="N36" s="2">
        <f>+FY16Calc0!N36*(1+FTE!H37)*(1+OpFee!AB37)</f>
        <v>22341.0475039335</v>
      </c>
      <c r="O36" s="2">
        <f>+FY16Calc0!O36*(1+FTE!H37)*(1+OpFee!AC37)</f>
        <v>110256.330557436</v>
      </c>
      <c r="P36" s="2">
        <f t="shared" si="2"/>
        <v>292853.06043677748</v>
      </c>
      <c r="Q36" s="2">
        <f t="shared" si="3"/>
        <v>120858.34587347068</v>
      </c>
      <c r="R36" s="2">
        <f t="shared" si="4"/>
        <v>2296308.5715959426</v>
      </c>
      <c r="T36" s="3">
        <f t="shared" si="0"/>
        <v>2296308.5715959426</v>
      </c>
    </row>
    <row r="37" spans="1:20" x14ac:dyDescent="0.25">
      <c r="A37" t="s">
        <v>0</v>
      </c>
      <c r="B37" t="s">
        <v>68</v>
      </c>
      <c r="C37" t="s">
        <v>32</v>
      </c>
      <c r="D37" s="102" t="s">
        <v>31</v>
      </c>
      <c r="E37" t="s">
        <v>3</v>
      </c>
      <c r="F37" t="s">
        <v>69</v>
      </c>
      <c r="G37" t="s">
        <v>33</v>
      </c>
      <c r="H37" t="s">
        <v>4</v>
      </c>
      <c r="I37" s="2">
        <f>+FY16Calc0!I37*(1+FTE!H38)</f>
        <v>5.8109747110630003</v>
      </c>
      <c r="J37" s="2">
        <f>+FY16Calc0!J37*(1+OpFee!Y38)*(1+FTE!H38)</f>
        <v>101617.64308499599</v>
      </c>
      <c r="K37" s="2">
        <f>+FY16Calc0!K37*(1+OpFee!AB38)*(1+FTE!H38)</f>
        <v>101617.04828250861</v>
      </c>
      <c r="L37" s="2">
        <f t="shared" si="1"/>
        <v>4064.6819313003443</v>
      </c>
      <c r="M37" s="2">
        <f>+FY16Calc0!M37*(1+OpFee!Y38)*(1+FTE!H38)</f>
        <v>0</v>
      </c>
      <c r="N37" s="2">
        <f>+FY16Calc0!N37*(1+FTE!H38)*(1+OpFee!AB38)</f>
        <v>0</v>
      </c>
      <c r="O37" s="2">
        <f>+FY16Calc0!O37*(1+FTE!H38)*(1+OpFee!AC38)</f>
        <v>0</v>
      </c>
      <c r="P37" s="2">
        <f t="shared" si="2"/>
        <v>0</v>
      </c>
      <c r="Q37" s="2">
        <f t="shared" si="3"/>
        <v>4877.6480576847816</v>
      </c>
      <c r="R37" s="2">
        <f t="shared" si="4"/>
        <v>92675.313096010854</v>
      </c>
      <c r="T37" s="3">
        <f t="shared" si="0"/>
        <v>92675.313096010854</v>
      </c>
    </row>
    <row r="38" spans="1:20" x14ac:dyDescent="0.25">
      <c r="A38" t="s">
        <v>0</v>
      </c>
      <c r="B38" t="s">
        <v>68</v>
      </c>
      <c r="C38" t="s">
        <v>32</v>
      </c>
      <c r="D38" s="102" t="s">
        <v>31</v>
      </c>
      <c r="E38" t="s">
        <v>5</v>
      </c>
      <c r="F38" t="s">
        <v>69</v>
      </c>
      <c r="G38" t="s">
        <v>33</v>
      </c>
      <c r="H38" t="s">
        <v>6</v>
      </c>
      <c r="I38" s="2">
        <f>+FY16Calc0!I38*(1+FTE!H39)</f>
        <v>25.638404899652901</v>
      </c>
      <c r="J38" s="2">
        <f>+FY16Calc0!J38*(1+OpFee!Y39)*(1+FTE!H39)</f>
        <v>671758.18142781558</v>
      </c>
      <c r="K38" s="2">
        <f>+FY16Calc0!K38*(1+OpFee!AB39)*(1+FTE!H39)</f>
        <v>428262.65336062468</v>
      </c>
      <c r="L38" s="2">
        <f t="shared" si="1"/>
        <v>17130.506134424988</v>
      </c>
      <c r="M38" s="2">
        <f>+FY16Calc0!M38*(1+OpFee!Y39)*(1+FTE!H39)</f>
        <v>0</v>
      </c>
      <c r="N38" s="2">
        <f>+FY16Calc0!N38*(1+FTE!H39)*(1+OpFee!AB39)</f>
        <v>0</v>
      </c>
      <c r="O38" s="2">
        <f>+FY16Calc0!O38*(1+FTE!H39)*(1+OpFee!AC39)</f>
        <v>0</v>
      </c>
      <c r="P38" s="2">
        <f t="shared" si="2"/>
        <v>0</v>
      </c>
      <c r="Q38" s="2">
        <f t="shared" si="3"/>
        <v>32731.383764669532</v>
      </c>
      <c r="R38" s="2">
        <f t="shared" si="4"/>
        <v>621896.29152872111</v>
      </c>
      <c r="T38" s="3">
        <f t="shared" si="0"/>
        <v>621896.29152872111</v>
      </c>
    </row>
    <row r="39" spans="1:20" x14ac:dyDescent="0.25">
      <c r="A39" t="s">
        <v>0</v>
      </c>
      <c r="B39" t="s">
        <v>70</v>
      </c>
      <c r="C39" t="s">
        <v>32</v>
      </c>
      <c r="D39" s="102" t="s">
        <v>31</v>
      </c>
      <c r="E39" t="s">
        <v>3</v>
      </c>
      <c r="F39" t="s">
        <v>71</v>
      </c>
      <c r="G39" t="s">
        <v>33</v>
      </c>
      <c r="H39" t="s">
        <v>4</v>
      </c>
      <c r="I39" s="2">
        <f>+FY16Calc0!I39*(1+FTE!H40)</f>
        <v>8.3648425777241098</v>
      </c>
      <c r="J39" s="2">
        <f>+FY16Calc0!J39*(1+OpFee!Y40)*(1+FTE!H40)</f>
        <v>183870.22608129395</v>
      </c>
      <c r="K39" s="2">
        <f>+FY16Calc0!K39*(1+OpFee!AB40)*(1+FTE!H40)</f>
        <v>183869.14982657565</v>
      </c>
      <c r="L39" s="2">
        <f t="shared" si="1"/>
        <v>7354.7659930630261</v>
      </c>
      <c r="M39" s="2">
        <f>+FY16Calc0!M39*(1+OpFee!Y40)*(1+FTE!H40)</f>
        <v>0</v>
      </c>
      <c r="N39" s="2">
        <f>+FY16Calc0!N39*(1+FTE!H40)*(1+OpFee!AB40)</f>
        <v>0</v>
      </c>
      <c r="O39" s="2">
        <f>+FY16Calc0!O39*(1+FTE!H40)*(1+OpFee!AC40)</f>
        <v>0</v>
      </c>
      <c r="P39" s="2">
        <f t="shared" si="2"/>
        <v>0</v>
      </c>
      <c r="Q39" s="2">
        <f t="shared" si="3"/>
        <v>8825.7730044115469</v>
      </c>
      <c r="R39" s="2">
        <f t="shared" si="4"/>
        <v>167689.68708381939</v>
      </c>
      <c r="T39" s="3">
        <f t="shared" si="0"/>
        <v>167689.68708381939</v>
      </c>
    </row>
    <row r="40" spans="1:20" x14ac:dyDescent="0.25">
      <c r="A40" t="s">
        <v>0</v>
      </c>
      <c r="B40" t="s">
        <v>70</v>
      </c>
      <c r="C40" t="s">
        <v>32</v>
      </c>
      <c r="D40" s="102" t="s">
        <v>31</v>
      </c>
      <c r="E40" t="s">
        <v>5</v>
      </c>
      <c r="F40" t="s">
        <v>71</v>
      </c>
      <c r="G40" t="s">
        <v>33</v>
      </c>
      <c r="H40" t="s">
        <v>6</v>
      </c>
      <c r="I40" s="2">
        <f>+FY16Calc0!I40*(1+FTE!H41)</f>
        <v>26.708226744203099</v>
      </c>
      <c r="J40" s="2">
        <f>+FY16Calc0!J40*(1+OpFee!Y41)*(1+FTE!H41)</f>
        <v>749987.15151244181</v>
      </c>
      <c r="K40" s="2">
        <f>+FY16Calc0!K40*(1+OpFee!AB41)*(1+FTE!H41)</f>
        <v>478134.66998936917</v>
      </c>
      <c r="L40" s="2">
        <f t="shared" si="1"/>
        <v>19125.386799574768</v>
      </c>
      <c r="M40" s="2">
        <f>+FY16Calc0!M40*(1+OpFee!Y41)*(1+FTE!H41)</f>
        <v>0</v>
      </c>
      <c r="N40" s="2">
        <f>+FY16Calc0!N40*(1+FTE!H41)*(1+OpFee!AB41)</f>
        <v>3794.9563462308179</v>
      </c>
      <c r="O40" s="2">
        <f>+FY16Calc0!O40*(1+FTE!H41)*(1+OpFee!AC41)</f>
        <v>0</v>
      </c>
      <c r="P40" s="2">
        <f t="shared" si="2"/>
        <v>3794.9563462308179</v>
      </c>
      <c r="Q40" s="2">
        <f t="shared" si="3"/>
        <v>36353.340418331813</v>
      </c>
      <c r="R40" s="2">
        <f t="shared" si="4"/>
        <v>690713.46794830449</v>
      </c>
      <c r="T40" s="3">
        <f t="shared" si="0"/>
        <v>690713.46794830449</v>
      </c>
    </row>
    <row r="41" spans="1:20" x14ac:dyDescent="0.25">
      <c r="A41" t="s">
        <v>0</v>
      </c>
      <c r="B41" t="s">
        <v>72</v>
      </c>
      <c r="C41" t="s">
        <v>32</v>
      </c>
      <c r="D41" s="102" t="s">
        <v>31</v>
      </c>
      <c r="E41" t="s">
        <v>3</v>
      </c>
      <c r="F41" t="s">
        <v>73</v>
      </c>
      <c r="G41" t="s">
        <v>33</v>
      </c>
      <c r="H41" t="s">
        <v>4</v>
      </c>
      <c r="I41" s="2">
        <f>+FY16Calc0!I41*(1+FTE!H42)</f>
        <v>25.760754133288899</v>
      </c>
      <c r="J41" s="2">
        <f>+FY16Calc0!J41*(1+OpFee!Y42)*(1+FTE!H42)</f>
        <v>738632.30718626198</v>
      </c>
      <c r="K41" s="2">
        <f>+FY16Calc0!K41*(1+OpFee!AB42)*(1+FTE!H42)</f>
        <v>738627.98372116045</v>
      </c>
      <c r="L41" s="2">
        <f t="shared" si="1"/>
        <v>29545.11934884642</v>
      </c>
      <c r="M41" s="2">
        <f>+FY16Calc0!M41*(1+OpFee!Y42)*(1+FTE!H42)</f>
        <v>0</v>
      </c>
      <c r="N41" s="2">
        <f>+FY16Calc0!N41*(1+FTE!H42)*(1+OpFee!AB42)</f>
        <v>0</v>
      </c>
      <c r="O41" s="2">
        <f>+FY16Calc0!O41*(1+FTE!H42)*(1+OpFee!AC42)</f>
        <v>0</v>
      </c>
      <c r="P41" s="2">
        <f t="shared" si="2"/>
        <v>0</v>
      </c>
      <c r="Q41" s="2">
        <f t="shared" si="3"/>
        <v>35454.359391870785</v>
      </c>
      <c r="R41" s="2">
        <f t="shared" si="4"/>
        <v>673632.82844554482</v>
      </c>
      <c r="T41" s="3">
        <f t="shared" si="0"/>
        <v>673632.82844554482</v>
      </c>
    </row>
    <row r="42" spans="1:20" x14ac:dyDescent="0.25">
      <c r="A42" t="s">
        <v>0</v>
      </c>
      <c r="B42" t="s">
        <v>72</v>
      </c>
      <c r="C42" t="s">
        <v>32</v>
      </c>
      <c r="D42" s="102" t="s">
        <v>31</v>
      </c>
      <c r="E42" t="s">
        <v>5</v>
      </c>
      <c r="F42" t="s">
        <v>73</v>
      </c>
      <c r="G42" t="s">
        <v>33</v>
      </c>
      <c r="H42" t="s">
        <v>6</v>
      </c>
      <c r="I42" s="2">
        <f>+FY16Calc0!I42*(1+FTE!H43)</f>
        <v>1.1195809999999999</v>
      </c>
      <c r="J42" s="2">
        <f>+FY16Calc0!J42*(1+OpFee!Y43)*(1+FTE!H43)</f>
        <v>42518.159307811715</v>
      </c>
      <c r="K42" s="2">
        <f>+FY16Calc0!K42*(1+OpFee!AB43)*(1+FTE!H43)</f>
        <v>27103.002303674544</v>
      </c>
      <c r="L42" s="2">
        <f t="shared" si="1"/>
        <v>1084.1200921469817</v>
      </c>
      <c r="M42" s="2">
        <f>+FY16Calc0!M42*(1+OpFee!Y43)*(1+FTE!H43)</f>
        <v>0</v>
      </c>
      <c r="N42" s="2">
        <f>+FY16Calc0!N42*(1+FTE!H43)*(1+OpFee!AB43)</f>
        <v>0</v>
      </c>
      <c r="O42" s="2">
        <f>+FY16Calc0!O42*(1+FTE!H43)*(1+OpFee!AC43)</f>
        <v>0</v>
      </c>
      <c r="P42" s="2">
        <f t="shared" si="2"/>
        <v>0</v>
      </c>
      <c r="Q42" s="2">
        <f t="shared" si="3"/>
        <v>2071.7019607832367</v>
      </c>
      <c r="R42" s="2">
        <f t="shared" si="4"/>
        <v>39362.337254881502</v>
      </c>
      <c r="T42" s="3">
        <f t="shared" si="0"/>
        <v>39362.337254881502</v>
      </c>
    </row>
    <row r="43" spans="1:20" s="409" customFormat="1" x14ac:dyDescent="0.25">
      <c r="A43" s="409" t="s">
        <v>0</v>
      </c>
      <c r="B43" s="410"/>
      <c r="C43" s="410" t="s">
        <v>32</v>
      </c>
      <c r="D43" s="411" t="s">
        <v>31</v>
      </c>
      <c r="E43" s="410" t="s">
        <v>3</v>
      </c>
      <c r="F43" s="412" t="s">
        <v>135</v>
      </c>
      <c r="G43" s="410" t="s">
        <v>33</v>
      </c>
      <c r="H43" s="412" t="s">
        <v>4</v>
      </c>
      <c r="I43" s="413">
        <f>+FTE!O44</f>
        <v>4</v>
      </c>
      <c r="J43" s="414">
        <f>+I43*OpFee!N44</f>
        <v>120000</v>
      </c>
      <c r="K43" s="413">
        <f>+J43</f>
        <v>120000</v>
      </c>
      <c r="L43" s="413">
        <f t="shared" ref="L43:L70" si="5">0.04*K43</f>
        <v>4800</v>
      </c>
      <c r="M43" s="413">
        <v>0</v>
      </c>
      <c r="N43" s="413">
        <f>+FY16Calc0!N43*(1+FTE!H44)*(1+OpFee!S44)</f>
        <v>0</v>
      </c>
      <c r="O43" s="413">
        <f>+FY16Calc0!O43*(1+FTE!H44)*(1+OpFee!T44)</f>
        <v>0</v>
      </c>
      <c r="P43" s="413">
        <f t="shared" ref="P43:P67" si="6">+M43+N43+O43</f>
        <v>0</v>
      </c>
      <c r="Q43" s="413">
        <f t="shared" ref="Q43:Q67" si="7">0.05*(J43-L43-P43)</f>
        <v>5760</v>
      </c>
      <c r="R43" s="413">
        <f t="shared" ref="R43:R67" si="8">+J43-L43-P43-Q43</f>
        <v>109440</v>
      </c>
      <c r="T43" s="415">
        <f t="shared" si="0"/>
        <v>109440</v>
      </c>
    </row>
    <row r="44" spans="1:20" s="409" customFormat="1" ht="30" x14ac:dyDescent="0.25">
      <c r="A44" s="409" t="s">
        <v>0</v>
      </c>
      <c r="B44" s="410"/>
      <c r="C44" s="410" t="s">
        <v>32</v>
      </c>
      <c r="D44" s="411" t="s">
        <v>31</v>
      </c>
      <c r="E44" s="410" t="s">
        <v>5</v>
      </c>
      <c r="F44" s="412" t="s">
        <v>135</v>
      </c>
      <c r="G44" s="410" t="s">
        <v>33</v>
      </c>
      <c r="H44" s="412" t="s">
        <v>6</v>
      </c>
      <c r="I44" s="413">
        <f>+FTE!O45</f>
        <v>4</v>
      </c>
      <c r="J44" s="414">
        <f>+I44*OpFee!N45</f>
        <v>144000</v>
      </c>
      <c r="K44" s="413">
        <f>+(0.833333333333333)*J44</f>
        <v>119999.99999999996</v>
      </c>
      <c r="L44" s="413">
        <f t="shared" si="5"/>
        <v>4799.9999999999982</v>
      </c>
      <c r="M44" s="413">
        <v>0</v>
      </c>
      <c r="N44" s="413">
        <f>+FY16Calc0!N44*(1+FTE!H45)*(1+OpFee!S45)</f>
        <v>0</v>
      </c>
      <c r="O44" s="413">
        <f>+FY16Calc0!O44*(1+FTE!H45)*(1+OpFee!T45)</f>
        <v>0</v>
      </c>
      <c r="P44" s="413">
        <f t="shared" si="6"/>
        <v>0</v>
      </c>
      <c r="Q44" s="413">
        <f t="shared" si="7"/>
        <v>6960</v>
      </c>
      <c r="R44" s="413">
        <f t="shared" si="8"/>
        <v>132240</v>
      </c>
      <c r="T44" s="415">
        <f t="shared" si="0"/>
        <v>132240</v>
      </c>
    </row>
    <row r="45" spans="1:20" x14ac:dyDescent="0.25">
      <c r="A45" t="s">
        <v>0</v>
      </c>
      <c r="B45" t="s">
        <v>12</v>
      </c>
      <c r="C45" t="s">
        <v>21</v>
      </c>
      <c r="D45" s="102" t="s">
        <v>34</v>
      </c>
      <c r="E45" t="s">
        <v>3</v>
      </c>
      <c r="F45" t="s">
        <v>74</v>
      </c>
      <c r="G45" t="s">
        <v>35</v>
      </c>
      <c r="H45" t="s">
        <v>4</v>
      </c>
      <c r="I45" s="2">
        <f>+FY16Calc0!I45*(1+FTE!H46)</f>
        <v>209.08699266184399</v>
      </c>
      <c r="J45" s="2">
        <f>+FY16Calc0!J45*(1+OpFee!Y46)*(1+FTE!H46)</f>
        <v>3362309.0820513321</v>
      </c>
      <c r="K45" s="2">
        <f>+FY16Calc0!K45*(1+OpFee!AB46)*(1+FTE!H46)</f>
        <v>3362371.9206012166</v>
      </c>
      <c r="L45" s="2">
        <f t="shared" si="5"/>
        <v>134494.87682404867</v>
      </c>
      <c r="M45" s="2">
        <f>+FY16Calc0!M45*(1+OpFee!Y46)*(1+FTE!H46)</f>
        <v>0</v>
      </c>
      <c r="N45" s="2">
        <f>+FY16Calc0!N45*(1+FTE!H46)*(1+OpFee!AB46)</f>
        <v>171654.89451403302</v>
      </c>
      <c r="O45" s="2">
        <f>+FY16Calc0!O45*(1+FTE!H46)*(1+OpFee!AC46)</f>
        <v>0</v>
      </c>
      <c r="P45" s="2">
        <f t="shared" si="6"/>
        <v>171654.89451403302</v>
      </c>
      <c r="Q45" s="2">
        <f t="shared" si="7"/>
        <v>152807.96553566252</v>
      </c>
      <c r="R45" s="2">
        <f t="shared" si="8"/>
        <v>2903351.3451775876</v>
      </c>
      <c r="T45" s="3">
        <f t="shared" ref="T45:T58" si="9">+J45-L45-P45-Q45-S45</f>
        <v>2903351.3451775876</v>
      </c>
    </row>
    <row r="46" spans="1:20" x14ac:dyDescent="0.25">
      <c r="A46" t="s">
        <v>0</v>
      </c>
      <c r="B46" t="s">
        <v>12</v>
      </c>
      <c r="C46" t="s">
        <v>21</v>
      </c>
      <c r="D46" s="102" t="s">
        <v>34</v>
      </c>
      <c r="E46" t="s">
        <v>5</v>
      </c>
      <c r="F46" t="s">
        <v>74</v>
      </c>
      <c r="G46" t="s">
        <v>35</v>
      </c>
      <c r="H46" t="s">
        <v>6</v>
      </c>
      <c r="I46" s="2">
        <f>+FY16Calc0!I46*(1+FTE!H47)</f>
        <v>204.69038381721001</v>
      </c>
      <c r="J46" s="2">
        <f>+FY16Calc0!J46*(1+OpFee!Y47)*(1+FTE!H47)</f>
        <v>5545264.6578228595</v>
      </c>
      <c r="K46" s="2">
        <f>+FY16Calc0!K46*(1+OpFee!AB47)*(1+FTE!H47)</f>
        <v>3105671.942104633</v>
      </c>
      <c r="L46" s="2">
        <f t="shared" si="5"/>
        <v>124226.87768418533</v>
      </c>
      <c r="M46" s="2">
        <f>+FY16Calc0!M46*(1+OpFee!Y47)*(1+FTE!H47)</f>
        <v>0</v>
      </c>
      <c r="N46" s="2">
        <f>+FY16Calc0!N46*(1+FTE!H47)*(1+OpFee!AB47)</f>
        <v>207022.93976771194</v>
      </c>
      <c r="O46" s="2">
        <f>+FY16Calc0!O46*(1+FTE!H47)*(1+OpFee!AC47)</f>
        <v>1120277.9916586508</v>
      </c>
      <c r="P46" s="2">
        <f t="shared" si="6"/>
        <v>1327300.9314263628</v>
      </c>
      <c r="Q46" s="2">
        <f t="shared" si="7"/>
        <v>204686.84243561557</v>
      </c>
      <c r="R46" s="2">
        <f t="shared" si="8"/>
        <v>3889050.0062766955</v>
      </c>
      <c r="T46" s="3">
        <f t="shared" si="9"/>
        <v>3889050.0062766955</v>
      </c>
    </row>
    <row r="47" spans="1:20" x14ac:dyDescent="0.25">
      <c r="A47" t="s">
        <v>0</v>
      </c>
      <c r="B47" t="s">
        <v>80</v>
      </c>
      <c r="C47" t="s">
        <v>23</v>
      </c>
      <c r="D47" s="102" t="s">
        <v>157</v>
      </c>
      <c r="E47" t="s">
        <v>3</v>
      </c>
      <c r="F47" t="s">
        <v>81</v>
      </c>
      <c r="G47" t="s">
        <v>43</v>
      </c>
      <c r="H47" t="s">
        <v>4</v>
      </c>
      <c r="I47" s="2">
        <f>+FY16Calc0!I47*(1+FTE!H48)</f>
        <v>73.151185766722094</v>
      </c>
      <c r="J47" s="2">
        <f>+FY16Calc0!J47*(1+OpFee!Y48)*(1+FTE!H48)</f>
        <v>1765610.6402866894</v>
      </c>
      <c r="K47" s="2">
        <f>+FY16Calc0!K47*(1+OpFee!AB48)*(1+FTE!H48)</f>
        <v>1765616.8870639452</v>
      </c>
      <c r="L47" s="2">
        <f t="shared" si="5"/>
        <v>70624.67548255781</v>
      </c>
      <c r="M47" s="2">
        <f>+FY16Calc0!M47*(1+OpFee!Y48)*(1+FTE!H48)</f>
        <v>0</v>
      </c>
      <c r="N47" s="2">
        <f>+FY16Calc0!N47*(1+FTE!H48)*(1+OpFee!AB48)</f>
        <v>84857.983471262138</v>
      </c>
      <c r="O47" s="2">
        <f>+FY16Calc0!O47*(1+FTE!H48)*(1+OpFee!AC48)</f>
        <v>0</v>
      </c>
      <c r="P47" s="2">
        <f t="shared" si="6"/>
        <v>84857.983471262138</v>
      </c>
      <c r="Q47" s="2">
        <f t="shared" si="7"/>
        <v>80506.399066643484</v>
      </c>
      <c r="R47" s="2">
        <f t="shared" si="8"/>
        <v>1529621.5822662259</v>
      </c>
      <c r="T47" s="3">
        <f t="shared" si="9"/>
        <v>1529621.5822662259</v>
      </c>
    </row>
    <row r="48" spans="1:20" x14ac:dyDescent="0.25">
      <c r="A48" t="s">
        <v>0</v>
      </c>
      <c r="B48" t="s">
        <v>80</v>
      </c>
      <c r="C48" t="s">
        <v>23</v>
      </c>
      <c r="D48" s="102" t="s">
        <v>157</v>
      </c>
      <c r="E48" t="s">
        <v>5</v>
      </c>
      <c r="F48" t="s">
        <v>81</v>
      </c>
      <c r="G48" t="s">
        <v>43</v>
      </c>
      <c r="H48" t="s">
        <v>6</v>
      </c>
      <c r="I48" s="2">
        <f>+FY16Calc0!I48*(1+FTE!H49)</f>
        <v>19.325209600045302</v>
      </c>
      <c r="J48" s="2">
        <f>+FY16Calc0!J48*(1+OpFee!Y49)*(1+FTE!H49)</f>
        <v>840954.21532277379</v>
      </c>
      <c r="K48" s="2">
        <f>+FY16Calc0!K48*(1+OpFee!AB49)*(1+FTE!H49)</f>
        <v>469878.1122958599</v>
      </c>
      <c r="L48" s="2">
        <f t="shared" si="5"/>
        <v>18795.124491834398</v>
      </c>
      <c r="M48" s="2">
        <f>+FY16Calc0!M48*(1+OpFee!Y49)*(1+FTE!H49)</f>
        <v>91598.007779557214</v>
      </c>
      <c r="N48" s="2">
        <f>+FY16Calc0!N48*(1+FTE!H49)*(1+OpFee!AB49)</f>
        <v>25397.840438524399</v>
      </c>
      <c r="O48" s="2">
        <f>+FY16Calc0!O48*(1+FTE!H49)*(1+OpFee!AC49)</f>
        <v>154736.12317722559</v>
      </c>
      <c r="P48" s="2">
        <f t="shared" si="6"/>
        <v>271731.97139530722</v>
      </c>
      <c r="Q48" s="2">
        <f t="shared" si="7"/>
        <v>27521.35597178161</v>
      </c>
      <c r="R48" s="2">
        <f t="shared" si="8"/>
        <v>522905.76346385054</v>
      </c>
      <c r="T48" s="3">
        <f t="shared" si="9"/>
        <v>522905.76346385054</v>
      </c>
    </row>
    <row r="49" spans="1:20" x14ac:dyDescent="0.25">
      <c r="A49" t="s">
        <v>0</v>
      </c>
      <c r="B49" t="s">
        <v>32</v>
      </c>
      <c r="C49" t="s">
        <v>44</v>
      </c>
      <c r="D49" s="102" t="s">
        <v>158</v>
      </c>
      <c r="E49" t="s">
        <v>3</v>
      </c>
      <c r="F49" t="s">
        <v>82</v>
      </c>
      <c r="G49" t="s">
        <v>45</v>
      </c>
      <c r="H49" t="s">
        <v>4</v>
      </c>
      <c r="I49" s="2">
        <f>+FY16Calc0!I49*(1+FTE!H50)</f>
        <v>550.39808841054298</v>
      </c>
      <c r="J49" s="2">
        <f>+FY16Calc0!J49*(1+OpFee!Y50)*(1+FTE!H50)</f>
        <v>9934262.3536671586</v>
      </c>
      <c r="K49" s="2">
        <f>+FY16Calc0!K49*(1+OpFee!AB50)*(1+FTE!H50)</f>
        <v>9934204.0586239044</v>
      </c>
      <c r="L49" s="2">
        <f t="shared" si="5"/>
        <v>397368.16234495619</v>
      </c>
      <c r="M49" s="2">
        <f>+FY16Calc0!M49*(1+OpFee!Y50)*(1+FTE!H50)</f>
        <v>928572.7157392822</v>
      </c>
      <c r="N49" s="2">
        <f>+FY16Calc0!N49*(1+FTE!H50)*(1+OpFee!AB50)</f>
        <v>32179.732029275972</v>
      </c>
      <c r="O49" s="2">
        <f>+FY16Calc0!O49*(1+FTE!H50)*(1+OpFee!AC50)</f>
        <v>0</v>
      </c>
      <c r="P49" s="2">
        <f t="shared" si="6"/>
        <v>960752.44776855817</v>
      </c>
      <c r="Q49" s="2">
        <f t="shared" si="7"/>
        <v>428807.0871776822</v>
      </c>
      <c r="R49" s="2">
        <f t="shared" si="8"/>
        <v>8147334.6563759614</v>
      </c>
      <c r="T49" s="3">
        <f t="shared" si="9"/>
        <v>8147334.6563759614</v>
      </c>
    </row>
    <row r="50" spans="1:20" x14ac:dyDescent="0.25">
      <c r="A50" t="s">
        <v>0</v>
      </c>
      <c r="B50" t="s">
        <v>32</v>
      </c>
      <c r="C50" t="s">
        <v>44</v>
      </c>
      <c r="D50" s="102" t="s">
        <v>158</v>
      </c>
      <c r="E50" t="s">
        <v>5</v>
      </c>
      <c r="F50" t="s">
        <v>82</v>
      </c>
      <c r="G50" t="s">
        <v>45</v>
      </c>
      <c r="H50" t="s">
        <v>6</v>
      </c>
      <c r="I50" s="2">
        <f>+FY16Calc0!I50*(1+FTE!H51)</f>
        <v>90.468096766357206</v>
      </c>
      <c r="J50" s="2">
        <f>+FY16Calc0!J50*(1+OpFee!Y51)*(1+FTE!H51)</f>
        <v>2993443.4589469004</v>
      </c>
      <c r="K50" s="2">
        <f>+FY16Calc0!K50*(1+OpFee!AB51)*(1+FTE!H51)</f>
        <v>1667626.1140987175</v>
      </c>
      <c r="L50" s="2">
        <f t="shared" si="5"/>
        <v>66705.044563948701</v>
      </c>
      <c r="M50" s="2">
        <f>+FY16Calc0!M50*(1+OpFee!Y51)*(1+FTE!H51)</f>
        <v>344297.06298111239</v>
      </c>
      <c r="N50" s="2">
        <f>+FY16Calc0!N50*(1+FTE!H51)*(1+OpFee!AB51)</f>
        <v>0</v>
      </c>
      <c r="O50" s="2">
        <f>+FY16Calc0!O50*(1+FTE!H51)*(1+OpFee!AC51)</f>
        <v>402549.91642251296</v>
      </c>
      <c r="P50" s="2">
        <f t="shared" si="6"/>
        <v>746846.97940362536</v>
      </c>
      <c r="Q50" s="2">
        <f t="shared" si="7"/>
        <v>108994.57174896634</v>
      </c>
      <c r="R50" s="2">
        <f t="shared" si="8"/>
        <v>2070896.8632303602</v>
      </c>
      <c r="T50" s="3">
        <f t="shared" si="9"/>
        <v>2070896.8632303602</v>
      </c>
    </row>
    <row r="51" spans="1:20" x14ac:dyDescent="0.25">
      <c r="A51" t="s">
        <v>0</v>
      </c>
      <c r="B51" t="s">
        <v>15</v>
      </c>
      <c r="C51" t="s">
        <v>26</v>
      </c>
      <c r="D51" s="102" t="s">
        <v>156</v>
      </c>
      <c r="E51" t="s">
        <v>3</v>
      </c>
      <c r="F51" t="s">
        <v>75</v>
      </c>
      <c r="G51" t="s">
        <v>36</v>
      </c>
      <c r="H51" t="s">
        <v>4</v>
      </c>
      <c r="I51" s="2">
        <f>+FY16Calc0!I51*(1+FTE!H52)</f>
        <v>52.228318999930899</v>
      </c>
      <c r="J51" s="2">
        <f>+FY16Calc0!J51*(1+OpFee!Y52)*(1+FTE!H52)</f>
        <v>988071.6349281742</v>
      </c>
      <c r="K51" s="2">
        <f>+FY16Calc0!K51*(1+OpFee!AB52)*(1+FTE!H52)</f>
        <v>988071.6349281742</v>
      </c>
      <c r="L51" s="2">
        <f t="shared" si="5"/>
        <v>39522.865397126967</v>
      </c>
      <c r="M51" s="2">
        <f>+FY16Calc0!M51*(1+OpFee!Y52)*(1+FTE!H52)</f>
        <v>0</v>
      </c>
      <c r="N51" s="2">
        <f>+FY16Calc0!N51*(1+FTE!H52)*(1+OpFee!AB52)</f>
        <v>86759.678291506585</v>
      </c>
      <c r="O51" s="2">
        <f>+FY16Calc0!O51*(1+FTE!H52)*(1+OpFee!AC52)</f>
        <v>0</v>
      </c>
      <c r="P51" s="2">
        <f t="shared" si="6"/>
        <v>86759.678291506585</v>
      </c>
      <c r="Q51" s="2">
        <f t="shared" si="7"/>
        <v>43089.454561977036</v>
      </c>
      <c r="R51" s="2">
        <f t="shared" si="8"/>
        <v>818699.63667756354</v>
      </c>
      <c r="T51" s="3">
        <f t="shared" si="9"/>
        <v>818699.63667756354</v>
      </c>
    </row>
    <row r="52" spans="1:20" x14ac:dyDescent="0.25">
      <c r="A52" t="s">
        <v>0</v>
      </c>
      <c r="B52" t="s">
        <v>15</v>
      </c>
      <c r="C52" t="s">
        <v>26</v>
      </c>
      <c r="D52" s="102" t="s">
        <v>156</v>
      </c>
      <c r="E52" t="s">
        <v>5</v>
      </c>
      <c r="F52" t="s">
        <v>75</v>
      </c>
      <c r="G52" t="s">
        <v>36</v>
      </c>
      <c r="H52" t="s">
        <v>6</v>
      </c>
      <c r="I52" s="2">
        <f>+FY16Calc0!I52*(1+FTE!H53)</f>
        <v>111.262124533245</v>
      </c>
      <c r="J52" s="2">
        <f>+FY16Calc0!J52*(1+OpFee!Y53)*(1+FTE!H53)</f>
        <v>3062559.3293855041</v>
      </c>
      <c r="K52" s="2">
        <f>+FY16Calc0!K52*(1+OpFee!AB53)*(1+FTE!H53)</f>
        <v>2089913.5879725583</v>
      </c>
      <c r="L52" s="2">
        <f t="shared" si="5"/>
        <v>83596.543518902341</v>
      </c>
      <c r="M52" s="2">
        <f>+FY16Calc0!M52*(1+OpFee!Y53)*(1+FTE!H53)</f>
        <v>0</v>
      </c>
      <c r="N52" s="2">
        <f>+FY16Calc0!N52*(1+FTE!H53)*(1+OpFee!AB53)</f>
        <v>65846.144598793631</v>
      </c>
      <c r="O52" s="2">
        <f>+FY16Calc0!O52*(1+FTE!H53)*(1+OpFee!AC53)</f>
        <v>359730.1942571525</v>
      </c>
      <c r="P52" s="2">
        <f t="shared" si="6"/>
        <v>425576.33885594615</v>
      </c>
      <c r="Q52" s="2">
        <f t="shared" si="7"/>
        <v>127669.32235053281</v>
      </c>
      <c r="R52" s="2">
        <f t="shared" si="8"/>
        <v>2425717.1246601231</v>
      </c>
      <c r="T52" s="3">
        <f t="shared" si="9"/>
        <v>2425717.1246601231</v>
      </c>
    </row>
    <row r="53" spans="1:20" x14ac:dyDescent="0.25">
      <c r="A53" t="s">
        <v>0</v>
      </c>
      <c r="B53" t="s">
        <v>24</v>
      </c>
      <c r="C53" t="s">
        <v>26</v>
      </c>
      <c r="D53" s="102" t="s">
        <v>156</v>
      </c>
      <c r="E53" t="s">
        <v>3</v>
      </c>
      <c r="F53" t="s">
        <v>76</v>
      </c>
      <c r="G53" t="s">
        <v>36</v>
      </c>
      <c r="H53" t="s">
        <v>4</v>
      </c>
      <c r="I53" s="2">
        <f>+FY16Calc0!I53*(1+FTE!H54)</f>
        <v>64.860953732009705</v>
      </c>
      <c r="J53" s="2">
        <f>+FY16Calc0!J53*(1+OpFee!Y54)*(1+FTE!H54)</f>
        <v>1278694.4443721243</v>
      </c>
      <c r="K53" s="2">
        <f>+FY16Calc0!K53*(1+OpFee!AB54)*(1+FTE!H54)</f>
        <v>1278687.443380065</v>
      </c>
      <c r="L53" s="2">
        <f t="shared" si="5"/>
        <v>51147.497735202604</v>
      </c>
      <c r="M53" s="2">
        <f>+FY16Calc0!M53*(1+OpFee!Y54)*(1+FTE!H54)</f>
        <v>0</v>
      </c>
      <c r="N53" s="2">
        <f>+FY16Calc0!N53*(1+FTE!H54)*(1+OpFee!AB54)</f>
        <v>225229.12731658205</v>
      </c>
      <c r="O53" s="2">
        <f>+FY16Calc0!O53*(1+FTE!H54)*(1+OpFee!AC54)</f>
        <v>0</v>
      </c>
      <c r="P53" s="2">
        <f t="shared" si="6"/>
        <v>225229.12731658205</v>
      </c>
      <c r="Q53" s="2">
        <f t="shared" si="7"/>
        <v>50115.890966016988</v>
      </c>
      <c r="R53" s="2">
        <f t="shared" si="8"/>
        <v>952201.92835432268</v>
      </c>
      <c r="T53" s="3">
        <f t="shared" si="9"/>
        <v>952201.92835432268</v>
      </c>
    </row>
    <row r="54" spans="1:20" x14ac:dyDescent="0.25">
      <c r="A54" t="s">
        <v>0</v>
      </c>
      <c r="B54" t="s">
        <v>24</v>
      </c>
      <c r="C54" t="s">
        <v>26</v>
      </c>
      <c r="D54" s="102" t="s">
        <v>156</v>
      </c>
      <c r="E54" t="s">
        <v>5</v>
      </c>
      <c r="F54" t="s">
        <v>76</v>
      </c>
      <c r="G54" t="s">
        <v>36</v>
      </c>
      <c r="H54" t="s">
        <v>6</v>
      </c>
      <c r="I54" s="2">
        <f>+FY16Calc0!I54*(1+FTE!H55)</f>
        <v>131.94877079724799</v>
      </c>
      <c r="J54" s="2">
        <f>+FY16Calc0!J54*(1+OpFee!Y55)*(1+FTE!H55)</f>
        <v>3709421.176402038</v>
      </c>
      <c r="K54" s="2">
        <f>+FY16Calc0!K54*(1+OpFee!AB55)*(1+FTE!H55)</f>
        <v>2531209.9172684378</v>
      </c>
      <c r="L54" s="2">
        <f t="shared" si="5"/>
        <v>101248.39669073751</v>
      </c>
      <c r="M54" s="2">
        <f>+FY16Calc0!M54*(1+OpFee!Y55)*(1+FTE!H55)</f>
        <v>0</v>
      </c>
      <c r="N54" s="2">
        <f>+FY16Calc0!N54*(1+FTE!H55)*(1+OpFee!AB55)</f>
        <v>301954.9165529529</v>
      </c>
      <c r="O54" s="2">
        <f>+FY16Calc0!O54*(1+FTE!H55)*(1+OpFee!AC55)</f>
        <v>404180.68477208377</v>
      </c>
      <c r="P54" s="2">
        <f t="shared" si="6"/>
        <v>706135.60132503673</v>
      </c>
      <c r="Q54" s="2">
        <f t="shared" si="7"/>
        <v>145101.85891931318</v>
      </c>
      <c r="R54" s="2">
        <f t="shared" si="8"/>
        <v>2756935.3194669504</v>
      </c>
      <c r="T54" s="3">
        <f t="shared" si="9"/>
        <v>2756935.3194669504</v>
      </c>
    </row>
    <row r="55" spans="1:20" x14ac:dyDescent="0.25">
      <c r="A55" t="s">
        <v>0</v>
      </c>
      <c r="B55" t="s">
        <v>29</v>
      </c>
      <c r="C55" t="s">
        <v>38</v>
      </c>
      <c r="D55" s="102" t="s">
        <v>37</v>
      </c>
      <c r="E55" t="s">
        <v>3</v>
      </c>
      <c r="F55" t="s">
        <v>39</v>
      </c>
      <c r="G55" t="s">
        <v>39</v>
      </c>
      <c r="H55" t="s">
        <v>4</v>
      </c>
      <c r="I55" s="2">
        <f>+FY16Calc0!I55*(1+FTE!H56)</f>
        <v>498.99942999830103</v>
      </c>
      <c r="J55" s="2">
        <f>+FY16Calc0!J55*(1+OpFee!Y56)*(1+FTE!H56)</f>
        <v>9684814.9957989994</v>
      </c>
      <c r="K55" s="2">
        <f>+FY16Calc0!K55*(1+OpFee!AB56)*(1+FTE!H56)</f>
        <v>9684814.9957989994</v>
      </c>
      <c r="L55" s="2">
        <f t="shared" si="5"/>
        <v>387392.59983195999</v>
      </c>
      <c r="M55" s="2">
        <f>+FY16Calc0!M55*(1+OpFee!Y56)*(1+FTE!H56)</f>
        <v>71329.588878394294</v>
      </c>
      <c r="N55" s="2">
        <f>+FY16Calc0!N55*(1+FTE!H56)*(1+OpFee!AB56)</f>
        <v>114044.868944241</v>
      </c>
      <c r="O55" s="2">
        <f>+FY16Calc0!O55*(1+FTE!H56)*(1+OpFee!AC56)</f>
        <v>0</v>
      </c>
      <c r="P55" s="2">
        <f t="shared" si="6"/>
        <v>185374.4578226353</v>
      </c>
      <c r="Q55" s="2">
        <f t="shared" si="7"/>
        <v>455602.39690722025</v>
      </c>
      <c r="R55" s="2">
        <f t="shared" si="8"/>
        <v>8656445.5412371848</v>
      </c>
      <c r="T55" s="3">
        <f t="shared" si="9"/>
        <v>8656445.5412371848</v>
      </c>
    </row>
    <row r="56" spans="1:20" x14ac:dyDescent="0.25">
      <c r="A56" t="s">
        <v>0</v>
      </c>
      <c r="B56" t="s">
        <v>29</v>
      </c>
      <c r="C56" t="s">
        <v>38</v>
      </c>
      <c r="D56" s="102" t="s">
        <v>37</v>
      </c>
      <c r="E56" t="s">
        <v>5</v>
      </c>
      <c r="F56" t="s">
        <v>39</v>
      </c>
      <c r="G56" t="s">
        <v>39</v>
      </c>
      <c r="H56" t="s">
        <v>6</v>
      </c>
      <c r="I56" s="2">
        <f>+FY16Calc0!I56*(1+FTE!H57)</f>
        <v>226.83927893269299</v>
      </c>
      <c r="J56" s="2">
        <f>+FY16Calc0!J56*(1+OpFee!Y57)*(1+FTE!H57)</f>
        <v>6087974.8970015664</v>
      </c>
      <c r="K56" s="2">
        <f>+FY16Calc0!K56*(1+OpFee!AB57)*(1+FTE!H57)</f>
        <v>4365874.6869029701</v>
      </c>
      <c r="L56" s="2">
        <f t="shared" si="5"/>
        <v>174634.98747611881</v>
      </c>
      <c r="M56" s="2">
        <f>+FY16Calc0!M56*(1+OpFee!Y57)*(1+FTE!H57)</f>
        <v>36661.664584007478</v>
      </c>
      <c r="N56" s="2">
        <f>+FY16Calc0!N56*(1+FTE!H57)*(1+OpFee!AB57)</f>
        <v>19833.373042640302</v>
      </c>
      <c r="O56" s="2">
        <f>+FY16Calc0!O56*(1+FTE!H57)*(1+OpFee!AC57)</f>
        <v>230847.94702720668</v>
      </c>
      <c r="P56" s="2">
        <f t="shared" si="6"/>
        <v>287342.98465385445</v>
      </c>
      <c r="Q56" s="2">
        <f t="shared" si="7"/>
        <v>281299.84624357964</v>
      </c>
      <c r="R56" s="2">
        <f t="shared" si="8"/>
        <v>5344697.0786280129</v>
      </c>
      <c r="T56" s="3">
        <f t="shared" si="9"/>
        <v>5344697.0786280129</v>
      </c>
    </row>
    <row r="57" spans="1:20" x14ac:dyDescent="0.25">
      <c r="A57" t="s">
        <v>0</v>
      </c>
      <c r="B57" t="s">
        <v>77</v>
      </c>
      <c r="C57" t="s">
        <v>41</v>
      </c>
      <c r="D57" s="102" t="s">
        <v>40</v>
      </c>
      <c r="E57" t="s">
        <v>3</v>
      </c>
      <c r="F57" t="s">
        <v>78</v>
      </c>
      <c r="G57" t="s">
        <v>42</v>
      </c>
      <c r="H57" t="s">
        <v>4</v>
      </c>
      <c r="I57" s="2">
        <f>+FY16Calc0!I57*(1+FTE!H58)</f>
        <v>17.488931866648599</v>
      </c>
      <c r="J57" s="2">
        <f>+FY16Calc0!J57*(1+OpFee!Y58)*(1+FTE!H58)</f>
        <v>272247.8271248329</v>
      </c>
      <c r="K57" s="2">
        <f>+FY16Calc0!K57*(1+OpFee!AB58)*(1+FTE!H58)</f>
        <v>272251.7171760404</v>
      </c>
      <c r="L57" s="2">
        <f t="shared" si="5"/>
        <v>10890.068687041616</v>
      </c>
      <c r="M57" s="2">
        <f>+FY16Calc0!M57*(1+OpFee!Y58)*(1+FTE!H58)</f>
        <v>0</v>
      </c>
      <c r="N57" s="2">
        <f>+FY16Calc0!N57*(1+FTE!H58)*(1+OpFee!AB58)</f>
        <v>9389.0587644366442</v>
      </c>
      <c r="O57" s="2">
        <f>+FY16Calc0!O57*(1+FTE!H58)*(1+OpFee!AC58)</f>
        <v>0</v>
      </c>
      <c r="P57" s="2">
        <f t="shared" si="6"/>
        <v>9389.0587644366442</v>
      </c>
      <c r="Q57" s="2">
        <f t="shared" si="7"/>
        <v>12598.434983667734</v>
      </c>
      <c r="R57" s="2">
        <f t="shared" si="8"/>
        <v>239370.26468968691</v>
      </c>
      <c r="T57" s="3">
        <f t="shared" si="9"/>
        <v>239370.26468968691</v>
      </c>
    </row>
    <row r="58" spans="1:20" x14ac:dyDescent="0.25">
      <c r="A58" t="s">
        <v>0</v>
      </c>
      <c r="B58" t="s">
        <v>77</v>
      </c>
      <c r="C58" t="s">
        <v>41</v>
      </c>
      <c r="D58" s="102" t="s">
        <v>40</v>
      </c>
      <c r="E58" t="s">
        <v>5</v>
      </c>
      <c r="F58" t="s">
        <v>78</v>
      </c>
      <c r="G58" t="s">
        <v>42</v>
      </c>
      <c r="H58" t="s">
        <v>6</v>
      </c>
      <c r="I58" s="2">
        <f>+FY16Calc0!I58*(1+FTE!H59)</f>
        <v>57.844972177701997</v>
      </c>
      <c r="J58" s="2">
        <f>+FY16Calc0!J58*(1+OpFee!Y59)*(1+FTE!H59)</f>
        <v>1451731.9438952198</v>
      </c>
      <c r="K58" s="2">
        <f>+FY16Calc0!K58*(1+OpFee!AB59)*(1+FTE!H59)</f>
        <v>854607.13573999656</v>
      </c>
      <c r="L58" s="2">
        <f t="shared" si="5"/>
        <v>34184.285429599862</v>
      </c>
      <c r="M58" s="2">
        <f>+FY16Calc0!M58*(1+OpFee!Y59)*(1+FTE!H59)</f>
        <v>114168.87476318338</v>
      </c>
      <c r="N58" s="2">
        <f>+FY16Calc0!N58*(1+FTE!H59)*(1+OpFee!AB59)</f>
        <v>0</v>
      </c>
      <c r="O58" s="2">
        <f>+FY16Calc0!O58*(1+FTE!H59)*(1+OpFee!AC59)</f>
        <v>10333.861662042762</v>
      </c>
      <c r="P58" s="2">
        <f t="shared" si="6"/>
        <v>124502.73642522615</v>
      </c>
      <c r="Q58" s="2">
        <f t="shared" si="7"/>
        <v>64652.246102019693</v>
      </c>
      <c r="R58" s="2">
        <f t="shared" si="8"/>
        <v>1228392.6759383741</v>
      </c>
      <c r="T58" s="3">
        <f t="shared" si="9"/>
        <v>1228392.6759383741</v>
      </c>
    </row>
    <row r="59" spans="1:20" x14ac:dyDescent="0.25">
      <c r="A59" t="s">
        <v>0</v>
      </c>
      <c r="B59" t="s">
        <v>40</v>
      </c>
      <c r="C59" t="s">
        <v>41</v>
      </c>
      <c r="D59" s="102" t="s">
        <v>40</v>
      </c>
      <c r="E59" t="s">
        <v>3</v>
      </c>
      <c r="F59" t="s">
        <v>79</v>
      </c>
      <c r="G59" t="s">
        <v>42</v>
      </c>
      <c r="H59" t="s">
        <v>4</v>
      </c>
      <c r="I59" s="2"/>
      <c r="J59" s="2">
        <f>+FY16Calc0!J59*(1+OpFee!Y60)*(1+FTE!H60)</f>
        <v>0</v>
      </c>
      <c r="K59" s="2">
        <f>+FY16Calc0!K59*(1+OpFee!AB60)*(1+FTE!H60)</f>
        <v>0</v>
      </c>
      <c r="L59" s="2">
        <f t="shared" si="5"/>
        <v>0</v>
      </c>
      <c r="M59" s="2">
        <f>+FY16Calc0!M59*(1+OpFee!Y60)*(1+FTE!H60)</f>
        <v>0</v>
      </c>
      <c r="N59" s="2">
        <f>+FY16Calc0!N59*(1+FTE!H60)*(1+OpFee!AB60)</f>
        <v>0</v>
      </c>
      <c r="O59" s="2">
        <f>+FY16Calc0!O59*(1+FTE!H60)*(1+OpFee!AC60)</f>
        <v>0</v>
      </c>
      <c r="P59" s="2">
        <f t="shared" si="6"/>
        <v>0</v>
      </c>
      <c r="Q59" s="2">
        <f t="shared" si="7"/>
        <v>0</v>
      </c>
      <c r="R59" s="2">
        <f t="shared" si="8"/>
        <v>0</v>
      </c>
      <c r="T59" s="3"/>
    </row>
    <row r="60" spans="1:20" x14ac:dyDescent="0.25">
      <c r="A60" t="s">
        <v>0</v>
      </c>
      <c r="B60" t="s">
        <v>40</v>
      </c>
      <c r="C60" t="s">
        <v>41</v>
      </c>
      <c r="D60" s="102" t="s">
        <v>40</v>
      </c>
      <c r="E60" t="s">
        <v>5</v>
      </c>
      <c r="F60" t="s">
        <v>79</v>
      </c>
      <c r="G60" t="s">
        <v>42</v>
      </c>
      <c r="H60" t="s">
        <v>6</v>
      </c>
      <c r="I60" s="2">
        <f>+FY16Calc0!I60*(1+FTE!H61)</f>
        <v>15.7274893666702</v>
      </c>
      <c r="J60" s="2">
        <f>+FY16Calc0!J60*(1+OpFee!Y61)*(1+FTE!H61)</f>
        <v>523995.32806759607</v>
      </c>
      <c r="K60" s="2">
        <f>+FY16Calc0!K60*(1+OpFee!AB61)*(1+FTE!H61)</f>
        <v>270444.73794164043</v>
      </c>
      <c r="L60" s="2">
        <f t="shared" si="5"/>
        <v>10817.789517665617</v>
      </c>
      <c r="M60" s="2">
        <f>+FY16Calc0!M60*(1+OpFee!Y61)*(1+FTE!H61)</f>
        <v>0</v>
      </c>
      <c r="N60" s="2">
        <f>+FY16Calc0!N60*(1+FTE!H61)*(1+OpFee!AB61)</f>
        <v>0</v>
      </c>
      <c r="O60" s="2">
        <f>+FY16Calc0!O60*(1+FTE!H61)*(1+OpFee!AC61)</f>
        <v>6076.8490642344095</v>
      </c>
      <c r="P60" s="2">
        <f t="shared" si="6"/>
        <v>6076.8490642344095</v>
      </c>
      <c r="Q60" s="2">
        <f t="shared" si="7"/>
        <v>25355.034474284803</v>
      </c>
      <c r="R60" s="2">
        <f t="shared" si="8"/>
        <v>481745.65501141123</v>
      </c>
      <c r="T60" s="3">
        <f t="shared" ref="T60:T88" si="10">+J60-L60-P60-Q60-S60</f>
        <v>481745.65501141123</v>
      </c>
    </row>
    <row r="61" spans="1:20" x14ac:dyDescent="0.25">
      <c r="A61" t="s">
        <v>0</v>
      </c>
      <c r="B61" t="s">
        <v>20</v>
      </c>
      <c r="C61" t="s">
        <v>28</v>
      </c>
      <c r="D61" s="102" t="s">
        <v>159</v>
      </c>
      <c r="E61" t="s">
        <v>3</v>
      </c>
      <c r="F61" t="s">
        <v>83</v>
      </c>
      <c r="G61" t="s">
        <v>46</v>
      </c>
      <c r="H61" t="s">
        <v>4</v>
      </c>
      <c r="I61" s="2">
        <f>+FY16Calc0!I61*(1+FTE!H62)</f>
        <v>868.91287832959404</v>
      </c>
      <c r="J61" s="2">
        <f>+FY16Calc0!J61*(1+OpFee!Y62)*(1+FTE!H62)</f>
        <v>14678033.713784702</v>
      </c>
      <c r="K61" s="2">
        <f>+FY16Calc0!K61*(1+OpFee!AB62)*(1+FTE!H62)</f>
        <v>14678168.759959692</v>
      </c>
      <c r="L61" s="2">
        <f t="shared" si="5"/>
        <v>587126.75039838767</v>
      </c>
      <c r="M61" s="2">
        <f>+FY16Calc0!M61*(1+OpFee!Y62)*(1+FTE!H62)</f>
        <v>0</v>
      </c>
      <c r="N61" s="2">
        <f>+FY16Calc0!N61*(1+FTE!H62)*(1+OpFee!AB62)</f>
        <v>33184.469930949825</v>
      </c>
      <c r="O61" s="2">
        <f>+FY16Calc0!O61*(1+FTE!H62)*(1+OpFee!AC62)</f>
        <v>0</v>
      </c>
      <c r="P61" s="2">
        <f t="shared" si="6"/>
        <v>33184.469930949825</v>
      </c>
      <c r="Q61" s="2">
        <f t="shared" si="7"/>
        <v>702886.12467276817</v>
      </c>
      <c r="R61" s="2">
        <f t="shared" si="8"/>
        <v>13354836.368782595</v>
      </c>
      <c r="T61" s="3">
        <f t="shared" si="10"/>
        <v>13354836.368782595</v>
      </c>
    </row>
    <row r="62" spans="1:20" x14ac:dyDescent="0.25">
      <c r="A62" t="s">
        <v>0</v>
      </c>
      <c r="B62" t="s">
        <v>20</v>
      </c>
      <c r="C62" t="s">
        <v>28</v>
      </c>
      <c r="D62" s="102" t="s">
        <v>159</v>
      </c>
      <c r="E62" t="s">
        <v>5</v>
      </c>
      <c r="F62" t="s">
        <v>83</v>
      </c>
      <c r="G62" t="s">
        <v>46</v>
      </c>
      <c r="H62" t="s">
        <v>6</v>
      </c>
      <c r="I62" s="2">
        <f>+FY16Calc0!I62*(1+FTE!H63)</f>
        <v>581.20044915340702</v>
      </c>
      <c r="J62" s="2">
        <f>+FY16Calc0!J62*(1+OpFee!Y63)*(1+FTE!H63)</f>
        <v>18852924.959951252</v>
      </c>
      <c r="K62" s="2">
        <f>+FY16Calc0!K62*(1+OpFee!AB63)*(1+FTE!H63)</f>
        <v>9562180.1270274892</v>
      </c>
      <c r="L62" s="2">
        <f t="shared" si="5"/>
        <v>382487.20508109959</v>
      </c>
      <c r="M62" s="2">
        <f>+FY16Calc0!M62*(1+OpFee!Y63)*(1+FTE!H63)</f>
        <v>0</v>
      </c>
      <c r="N62" s="2">
        <f>+FY16Calc0!N62*(1+FTE!H63)*(1+OpFee!AB63)</f>
        <v>32855.964946064298</v>
      </c>
      <c r="O62" s="2">
        <f>+FY16Calc0!O62*(1+FTE!H63)*(1+OpFee!AC63)</f>
        <v>8746702.6851251684</v>
      </c>
      <c r="P62" s="2">
        <f t="shared" si="6"/>
        <v>8779558.6500712335</v>
      </c>
      <c r="Q62" s="2">
        <f t="shared" si="7"/>
        <v>484543.95523994602</v>
      </c>
      <c r="R62" s="2">
        <f t="shared" si="8"/>
        <v>9206335.1495589744</v>
      </c>
      <c r="T62" s="3">
        <f t="shared" si="10"/>
        <v>9206335.1495589744</v>
      </c>
    </row>
    <row r="63" spans="1:20" x14ac:dyDescent="0.25">
      <c r="A63" t="s">
        <v>0</v>
      </c>
      <c r="B63" t="s">
        <v>44</v>
      </c>
      <c r="C63" t="s">
        <v>47</v>
      </c>
      <c r="D63" s="102" t="s">
        <v>160</v>
      </c>
      <c r="E63" t="s">
        <v>3</v>
      </c>
      <c r="F63" t="s">
        <v>84</v>
      </c>
      <c r="G63" t="s">
        <v>48</v>
      </c>
      <c r="H63" t="s">
        <v>4</v>
      </c>
      <c r="I63" s="2">
        <f>+FY16Calc0!I63*(1+FTE!H64)</f>
        <v>122.61688506647199</v>
      </c>
      <c r="J63" s="2">
        <f>+FY16Calc0!J63*(1+OpFee!Y64)*(1+FTE!H64)</f>
        <v>2252736.4340610909</v>
      </c>
      <c r="K63" s="2">
        <f>+FY16Calc0!K63*(1+OpFee!AB64)*(1+FTE!H64)</f>
        <v>2252726.2710805302</v>
      </c>
      <c r="L63" s="2">
        <f t="shared" si="5"/>
        <v>90109.050843221208</v>
      </c>
      <c r="M63" s="2">
        <f>+FY16Calc0!M63*(1+OpFee!Y64)*(1+FTE!H64)</f>
        <v>0</v>
      </c>
      <c r="N63" s="2">
        <f>+FY16Calc0!N63*(1+FTE!H64)*(1+OpFee!AB64)</f>
        <v>13329.234106201231</v>
      </c>
      <c r="O63" s="2">
        <f>+FY16Calc0!O63*(1+FTE!H64)*(1+OpFee!AC64)</f>
        <v>0</v>
      </c>
      <c r="P63" s="2">
        <f t="shared" si="6"/>
        <v>13329.234106201231</v>
      </c>
      <c r="Q63" s="2">
        <f t="shared" si="7"/>
        <v>107464.90745558344</v>
      </c>
      <c r="R63" s="2">
        <f t="shared" si="8"/>
        <v>2041833.2416560852</v>
      </c>
      <c r="T63" s="3">
        <f t="shared" si="10"/>
        <v>2041833.2416560852</v>
      </c>
    </row>
    <row r="64" spans="1:20" x14ac:dyDescent="0.25">
      <c r="A64" t="s">
        <v>0</v>
      </c>
      <c r="B64" t="s">
        <v>44</v>
      </c>
      <c r="C64" t="s">
        <v>47</v>
      </c>
      <c r="D64" s="102" t="s">
        <v>160</v>
      </c>
      <c r="E64" t="s">
        <v>5</v>
      </c>
      <c r="F64" t="s">
        <v>84</v>
      </c>
      <c r="G64" t="s">
        <v>48</v>
      </c>
      <c r="H64" t="s">
        <v>6</v>
      </c>
      <c r="I64" s="2">
        <f>+FY16Calc0!I64*(1+FTE!H65)</f>
        <v>16.712520355516599</v>
      </c>
      <c r="J64" s="2">
        <f>+FY16Calc0!J64*(1+OpFee!Y65)*(1+FTE!H65)</f>
        <v>485339.12861510785</v>
      </c>
      <c r="K64" s="2">
        <f>+FY16Calc0!K64*(1+OpFee!AB65)*(1+FTE!H65)</f>
        <v>308275.00895142846</v>
      </c>
      <c r="L64" s="2">
        <f t="shared" si="5"/>
        <v>12331.000358057139</v>
      </c>
      <c r="M64" s="2">
        <f>+FY16Calc0!M64*(1+OpFee!Y65)*(1+FTE!H65)</f>
        <v>0</v>
      </c>
      <c r="N64" s="2">
        <f>+FY16Calc0!N64*(1+FTE!H65)*(1+OpFee!AB65)</f>
        <v>0</v>
      </c>
      <c r="O64" s="2">
        <f>+FY16Calc0!O64*(1+FTE!H65)*(1+OpFee!AC65)</f>
        <v>50589.748475336957</v>
      </c>
      <c r="P64" s="2">
        <f t="shared" si="6"/>
        <v>50589.748475336957</v>
      </c>
      <c r="Q64" s="2">
        <f t="shared" si="7"/>
        <v>21120.918989085691</v>
      </c>
      <c r="R64" s="2">
        <f t="shared" si="8"/>
        <v>401297.46079262806</v>
      </c>
      <c r="T64" s="3">
        <f t="shared" si="10"/>
        <v>401297.46079262806</v>
      </c>
    </row>
    <row r="65" spans="1:20" x14ac:dyDescent="0.25">
      <c r="A65" t="s">
        <v>0</v>
      </c>
      <c r="B65" t="s">
        <v>28</v>
      </c>
      <c r="C65" t="s">
        <v>47</v>
      </c>
      <c r="D65" s="102" t="s">
        <v>160</v>
      </c>
      <c r="E65" t="s">
        <v>3</v>
      </c>
      <c r="F65" t="s">
        <v>85</v>
      </c>
      <c r="G65" t="s">
        <v>48</v>
      </c>
      <c r="H65" t="s">
        <v>4</v>
      </c>
      <c r="I65" s="2">
        <f>+FY16Calc0!I65*(1+FTE!H66)</f>
        <v>96.923515032597805</v>
      </c>
      <c r="J65" s="2">
        <f>+FY16Calc0!J65*(1+OpFee!Y66)*(1+FTE!H66)</f>
        <v>1692884.7758920682</v>
      </c>
      <c r="K65" s="2">
        <f>+FY16Calc0!K65*(1+OpFee!AB66)*(1+FTE!H66)</f>
        <v>1692877.1386226525</v>
      </c>
      <c r="L65" s="2">
        <f t="shared" si="5"/>
        <v>67715.085544906105</v>
      </c>
      <c r="M65" s="2">
        <f>+FY16Calc0!M65*(1+OpFee!Y66)*(1+FTE!H66)</f>
        <v>0</v>
      </c>
      <c r="N65" s="2">
        <f>+FY16Calc0!N65*(1+FTE!H66)*(1+OpFee!AB66)</f>
        <v>19994.611873495804</v>
      </c>
      <c r="O65" s="2">
        <f>+FY16Calc0!O65*(1+FTE!H66)*(1+OpFee!AC66)</f>
        <v>0</v>
      </c>
      <c r="P65" s="2">
        <f t="shared" si="6"/>
        <v>19994.611873495804</v>
      </c>
      <c r="Q65" s="2">
        <f t="shared" si="7"/>
        <v>80258.753923683311</v>
      </c>
      <c r="R65" s="2">
        <f t="shared" si="8"/>
        <v>1524916.3245499828</v>
      </c>
      <c r="T65" s="3">
        <f t="shared" si="10"/>
        <v>1524916.3245499828</v>
      </c>
    </row>
    <row r="66" spans="1:20" x14ac:dyDescent="0.25">
      <c r="A66" t="s">
        <v>0</v>
      </c>
      <c r="B66" t="s">
        <v>28</v>
      </c>
      <c r="C66" t="s">
        <v>47</v>
      </c>
      <c r="D66" s="102" t="s">
        <v>160</v>
      </c>
      <c r="E66" t="s">
        <v>5</v>
      </c>
      <c r="F66" t="s">
        <v>85</v>
      </c>
      <c r="G66" t="s">
        <v>48</v>
      </c>
      <c r="H66" t="s">
        <v>6</v>
      </c>
      <c r="I66" s="2">
        <f>+FY16Calc0!I66*(1+FTE!H67)</f>
        <v>31.444462399759701</v>
      </c>
      <c r="J66" s="2">
        <f>+FY16Calc0!J66*(1+OpFee!Y67)*(1+FTE!H67)</f>
        <v>855121.32184566569</v>
      </c>
      <c r="K66" s="2">
        <f>+FY16Calc0!K66*(1+OpFee!AB67)*(1+FTE!H67)</f>
        <v>543151.20624775544</v>
      </c>
      <c r="L66" s="2">
        <f t="shared" si="5"/>
        <v>21726.048249910218</v>
      </c>
      <c r="M66" s="2">
        <f>+FY16Calc0!M66*(1+OpFee!Y67)*(1+FTE!H67)</f>
        <v>0</v>
      </c>
      <c r="N66" s="2">
        <f>+FY16Calc0!N66*(1+FTE!H67)*(1+OpFee!AB67)</f>
        <v>0</v>
      </c>
      <c r="O66" s="2">
        <f>+FY16Calc0!O66*(1+FTE!H67)*(1+OpFee!AC67)</f>
        <v>75884.62271300533</v>
      </c>
      <c r="P66" s="2">
        <f t="shared" si="6"/>
        <v>75884.62271300533</v>
      </c>
      <c r="Q66" s="2">
        <f t="shared" si="7"/>
        <v>37875.53254413751</v>
      </c>
      <c r="R66" s="2">
        <f t="shared" si="8"/>
        <v>719635.11833861261</v>
      </c>
      <c r="T66" s="3">
        <f t="shared" si="10"/>
        <v>719635.11833861261</v>
      </c>
    </row>
    <row r="67" spans="1:20" x14ac:dyDescent="0.25">
      <c r="A67" t="s">
        <v>0</v>
      </c>
      <c r="B67" t="s">
        <v>86</v>
      </c>
      <c r="C67" t="s">
        <v>47</v>
      </c>
      <c r="D67" s="102" t="s">
        <v>160</v>
      </c>
      <c r="E67" t="s">
        <v>3</v>
      </c>
      <c r="F67" t="s">
        <v>87</v>
      </c>
      <c r="G67" t="s">
        <v>48</v>
      </c>
      <c r="H67" t="s">
        <v>4</v>
      </c>
      <c r="I67" s="2">
        <f>+FY16Calc0!I67*(1+FTE!H68)</f>
        <v>104.81440059637499</v>
      </c>
      <c r="J67" s="2">
        <f>+FY16Calc0!J67*(1+OpFee!Y68)*(1+FTE!H68)</f>
        <v>2172434.154316701</v>
      </c>
      <c r="K67" s="2">
        <f>+FY16Calc0!K67*(1+OpFee!AB68)*(1+FTE!H68)</f>
        <v>2172453.7586460663</v>
      </c>
      <c r="L67" s="2">
        <f t="shared" si="5"/>
        <v>86898.15034584266</v>
      </c>
      <c r="M67" s="2">
        <f>+FY16Calc0!M67*(1+OpFee!Y68)*(1+FTE!H68)</f>
        <v>0</v>
      </c>
      <c r="N67" s="2">
        <f>+FY16Calc0!N67*(1+FTE!H68)*(1+OpFee!AB68)</f>
        <v>0</v>
      </c>
      <c r="O67" s="2">
        <f>+FY16Calc0!O67*(1+FTE!H68)*(1+OpFee!AC68)</f>
        <v>0</v>
      </c>
      <c r="P67" s="2">
        <f t="shared" si="6"/>
        <v>0</v>
      </c>
      <c r="Q67" s="2">
        <f t="shared" si="7"/>
        <v>104276.80019854293</v>
      </c>
      <c r="R67" s="2">
        <f t="shared" si="8"/>
        <v>1981259.2037723155</v>
      </c>
      <c r="T67" s="3">
        <f t="shared" si="10"/>
        <v>1981259.2037723155</v>
      </c>
    </row>
    <row r="68" spans="1:20" x14ac:dyDescent="0.25">
      <c r="A68" t="s">
        <v>0</v>
      </c>
      <c r="B68" t="s">
        <v>86</v>
      </c>
      <c r="C68" t="s">
        <v>47</v>
      </c>
      <c r="D68" s="102" t="s">
        <v>160</v>
      </c>
      <c r="E68" t="s">
        <v>5</v>
      </c>
      <c r="F68" t="s">
        <v>87</v>
      </c>
      <c r="G68" t="s">
        <v>48</v>
      </c>
      <c r="H68" t="s">
        <v>6</v>
      </c>
      <c r="I68" s="2">
        <f>+FY16Calc0!I68*(1+FTE!H69)</f>
        <v>15.4885674661192</v>
      </c>
      <c r="J68" s="2">
        <f>+FY16Calc0!J68*(1+OpFee!Y69)*(1+FTE!H69)</f>
        <v>485339.12861510785</v>
      </c>
      <c r="K68" s="2">
        <f>+FY16Calc0!K68*(1+OpFee!AB69)*(1+FTE!H69)</f>
        <v>308233.28626682848</v>
      </c>
      <c r="L68" s="2">
        <f t="shared" si="5"/>
        <v>12329.33145067314</v>
      </c>
      <c r="M68" s="2">
        <f>+FY16Calc0!M68*(1+OpFee!Y69)*(1+FTE!H69)</f>
        <v>0</v>
      </c>
      <c r="N68" s="2">
        <f>+FY16Calc0!N68*(1+FTE!H69)*(1+OpFee!AB69)</f>
        <v>0</v>
      </c>
      <c r="O68" s="2">
        <f>+FY16Calc0!O68*(1+FTE!H69)*(1+OpFee!AC69)</f>
        <v>75902.503863548423</v>
      </c>
      <c r="P68" s="2">
        <f t="shared" ref="P68:P114" si="11">+M68+N68+O68</f>
        <v>75902.503863548423</v>
      </c>
      <c r="Q68" s="2">
        <f t="shared" ref="Q68:Q114" si="12">0.05*(J68-L68-P68)</f>
        <v>19855.364665044315</v>
      </c>
      <c r="R68" s="2">
        <f t="shared" ref="R68:R114" si="13">+J68-L68-P68-Q68</f>
        <v>377251.92863584199</v>
      </c>
      <c r="T68" s="3">
        <f t="shared" si="10"/>
        <v>377251.92863584199</v>
      </c>
    </row>
    <row r="69" spans="1:20" x14ac:dyDescent="0.25">
      <c r="A69" t="s">
        <v>0</v>
      </c>
      <c r="B69" t="s">
        <v>88</v>
      </c>
      <c r="C69" t="s">
        <v>47</v>
      </c>
      <c r="D69" s="102" t="s">
        <v>160</v>
      </c>
      <c r="E69" t="s">
        <v>3</v>
      </c>
      <c r="F69" t="s">
        <v>89</v>
      </c>
      <c r="G69" t="s">
        <v>48</v>
      </c>
      <c r="H69" t="s">
        <v>4</v>
      </c>
      <c r="I69" s="2">
        <f>+FY16Calc0!I69*(1+FTE!H70)</f>
        <v>105.238750396523</v>
      </c>
      <c r="J69" s="2">
        <f>+FY16Calc0!J69*(1+OpFee!Y70)*(1+FTE!H70)</f>
        <v>2222328.3034091811</v>
      </c>
      <c r="K69" s="2">
        <f>+FY16Calc0!K69*(1+OpFee!AB70)*(1+FTE!H70)</f>
        <v>2222333.7271748059</v>
      </c>
      <c r="L69" s="2">
        <f t="shared" si="5"/>
        <v>88893.349086992239</v>
      </c>
      <c r="M69" s="2">
        <f>+FY16Calc0!M69*(1+OpFee!Y70)*(1+FTE!H70)</f>
        <v>0</v>
      </c>
      <c r="N69" s="2">
        <f>+FY16Calc0!N69*(1+FTE!H70)*(1+OpFee!AB70)</f>
        <v>18480.087226035826</v>
      </c>
      <c r="O69" s="2">
        <f>+FY16Calc0!O69*(1+FTE!H70)*(1+OpFee!AC70)</f>
        <v>0</v>
      </c>
      <c r="P69" s="2">
        <f t="shared" si="11"/>
        <v>18480.087226035826</v>
      </c>
      <c r="Q69" s="2">
        <f t="shared" si="12"/>
        <v>105747.74335480764</v>
      </c>
      <c r="R69" s="2">
        <f t="shared" si="13"/>
        <v>2009207.123741345</v>
      </c>
      <c r="T69" s="3">
        <f t="shared" si="10"/>
        <v>2009207.123741345</v>
      </c>
    </row>
    <row r="70" spans="1:20" x14ac:dyDescent="0.25">
      <c r="A70" t="s">
        <v>0</v>
      </c>
      <c r="B70" t="s">
        <v>88</v>
      </c>
      <c r="C70" t="s">
        <v>47</v>
      </c>
      <c r="D70" s="102" t="s">
        <v>160</v>
      </c>
      <c r="E70" t="s">
        <v>5</v>
      </c>
      <c r="F70" t="s">
        <v>89</v>
      </c>
      <c r="G70" t="s">
        <v>48</v>
      </c>
      <c r="H70" t="s">
        <v>6</v>
      </c>
      <c r="I70" s="2">
        <f>+FY16Calc0!I70*(1+FTE!H71)</f>
        <v>6.10863759982976</v>
      </c>
      <c r="J70" s="2">
        <f>+FY16Calc0!J70*(1+OpFee!Y71)*(1+FTE!H71)</f>
        <v>206224.19631690031</v>
      </c>
      <c r="K70" s="2">
        <f>+FY16Calc0!K70*(1+OpFee!AB71)*(1+FTE!H71)</f>
        <v>121066.32989260145</v>
      </c>
      <c r="L70" s="2">
        <f t="shared" si="5"/>
        <v>4842.6531957040579</v>
      </c>
      <c r="M70" s="2">
        <f>+FY16Calc0!M70*(1+OpFee!Y71)*(1+FTE!H71)</f>
        <v>0</v>
      </c>
      <c r="N70" s="2">
        <f>+FY16Calc0!N70*(1+FTE!H71)*(1+OpFee!AB71)</f>
        <v>0</v>
      </c>
      <c r="O70" s="2">
        <f>+FY16Calc0!O70*(1+FTE!H71)*(1+OpFee!AC71)</f>
        <v>85157.866822812561</v>
      </c>
      <c r="P70" s="2">
        <f t="shared" si="11"/>
        <v>85157.866822812561</v>
      </c>
      <c r="Q70" s="2">
        <f t="shared" si="12"/>
        <v>5811.1838149191844</v>
      </c>
      <c r="R70" s="2">
        <f t="shared" si="13"/>
        <v>110412.49248346449</v>
      </c>
      <c r="T70" s="3">
        <f t="shared" si="10"/>
        <v>110412.49248346449</v>
      </c>
    </row>
    <row r="71" spans="1:20" x14ac:dyDescent="0.25">
      <c r="A71" t="s">
        <v>0</v>
      </c>
      <c r="B71" t="s">
        <v>34</v>
      </c>
      <c r="C71" t="s">
        <v>31</v>
      </c>
      <c r="D71" s="102" t="s">
        <v>161</v>
      </c>
      <c r="E71" t="s">
        <v>3</v>
      </c>
      <c r="F71" t="s">
        <v>90</v>
      </c>
      <c r="G71" t="s">
        <v>49</v>
      </c>
      <c r="H71" t="s">
        <v>4</v>
      </c>
      <c r="I71" s="2">
        <f>+FY16Calc0!I71*(1+FTE!H72)</f>
        <v>7.3063547998941099</v>
      </c>
      <c r="J71" s="2">
        <f>+FY16Calc0!J71*(1+OpFee!Y72)*(1+FTE!H72)</f>
        <v>108626.44131829361</v>
      </c>
      <c r="K71" s="2">
        <f>+FY16Calc0!K71*(1+OpFee!AB72)*(1+FTE!H72)</f>
        <v>108625.56501121452</v>
      </c>
      <c r="L71" s="2">
        <f t="shared" ref="L71:L114" si="14">0.04*K71</f>
        <v>4345.0226004485812</v>
      </c>
      <c r="M71" s="2">
        <f>+FY16Calc0!M71*(1+OpFee!Y72)*(1+FTE!H72)</f>
        <v>0</v>
      </c>
      <c r="N71" s="2">
        <f>+FY16Calc0!N71*(1+FTE!H72)*(1+OpFee!AB72)</f>
        <v>15624.893658123052</v>
      </c>
      <c r="O71" s="2">
        <f>+FY16Calc0!O71*(1+FTE!H72)*(1+OpFee!AC72)</f>
        <v>0</v>
      </c>
      <c r="P71" s="2">
        <f t="shared" si="11"/>
        <v>15624.893658123052</v>
      </c>
      <c r="Q71" s="2">
        <f t="shared" si="12"/>
        <v>4432.8262529860986</v>
      </c>
      <c r="R71" s="2">
        <f t="shared" si="13"/>
        <v>84223.698806735876</v>
      </c>
      <c r="T71" s="3">
        <f t="shared" si="10"/>
        <v>84223.698806735876</v>
      </c>
    </row>
    <row r="72" spans="1:20" x14ac:dyDescent="0.25">
      <c r="A72" t="s">
        <v>0</v>
      </c>
      <c r="B72" t="s">
        <v>34</v>
      </c>
      <c r="C72" t="s">
        <v>31</v>
      </c>
      <c r="D72" s="102" t="s">
        <v>161</v>
      </c>
      <c r="E72" t="s">
        <v>5</v>
      </c>
      <c r="F72" t="s">
        <v>90</v>
      </c>
      <c r="G72" t="s">
        <v>49</v>
      </c>
      <c r="H72" t="s">
        <v>6</v>
      </c>
      <c r="I72" s="2">
        <f>+FY16Calc0!I72*(1+FTE!H73)</f>
        <v>9.9321159999111508</v>
      </c>
      <c r="J72" s="2">
        <f>+FY16Calc0!J72*(1+OpFee!Y73)*(1+FTE!H73)</f>
        <v>278866.88273842324</v>
      </c>
      <c r="K72" s="2">
        <f>+FY16Calc0!K72*(1+OpFee!AB73)*(1+FTE!H73)</f>
        <v>145150.34021351268</v>
      </c>
      <c r="L72" s="2">
        <f t="shared" si="14"/>
        <v>5806.0136085405074</v>
      </c>
      <c r="M72" s="2">
        <f>+FY16Calc0!M72*(1+OpFee!Y73)*(1+FTE!H73)</f>
        <v>54649.261236375103</v>
      </c>
      <c r="N72" s="2">
        <f>+FY16Calc0!N72*(1+FTE!H73)*(1+OpFee!AB73)</f>
        <v>0</v>
      </c>
      <c r="O72" s="2">
        <f>+FY16Calc0!O72*(1+FTE!H73)*(1+OpFee!AC73)</f>
        <v>21567.089278671163</v>
      </c>
      <c r="P72" s="2">
        <f t="shared" si="11"/>
        <v>76216.350515046273</v>
      </c>
      <c r="Q72" s="2">
        <f t="shared" si="12"/>
        <v>9842.2259307418226</v>
      </c>
      <c r="R72" s="2">
        <f t="shared" si="13"/>
        <v>187002.29268409463</v>
      </c>
      <c r="T72" s="3">
        <f t="shared" si="10"/>
        <v>187002.29268409463</v>
      </c>
    </row>
    <row r="73" spans="1:20" x14ac:dyDescent="0.25">
      <c r="A73" t="s">
        <v>0</v>
      </c>
      <c r="B73" t="s">
        <v>91</v>
      </c>
      <c r="C73" t="s">
        <v>31</v>
      </c>
      <c r="D73" s="102" t="s">
        <v>161</v>
      </c>
      <c r="E73" t="s">
        <v>3</v>
      </c>
      <c r="F73" t="s">
        <v>92</v>
      </c>
      <c r="G73" t="s">
        <v>49</v>
      </c>
      <c r="H73" t="s">
        <v>4</v>
      </c>
      <c r="I73" s="2">
        <f>+FY16Calc0!I73*(1+FTE!H74)</f>
        <v>13.800892399731699</v>
      </c>
      <c r="J73" s="2">
        <f>+FY16Calc0!J73*(1+OpFee!Y74)*(1+FTE!H74)</f>
        <v>156189.02095014922</v>
      </c>
      <c r="K73" s="2">
        <f>+FY16Calc0!K73*(1+OpFee!AB74)*(1+FTE!H74)</f>
        <v>156184.86131459579</v>
      </c>
      <c r="L73" s="2">
        <f t="shared" si="14"/>
        <v>6247.3944525838315</v>
      </c>
      <c r="M73" s="2">
        <f>+FY16Calc0!M73*(1+OpFee!Y74)*(1+FTE!H74)</f>
        <v>0</v>
      </c>
      <c r="N73" s="2">
        <f>+FY16Calc0!N73*(1+FTE!H74)*(1+OpFee!AB74)</f>
        <v>0</v>
      </c>
      <c r="O73" s="2">
        <f>+FY16Calc0!O73*(1+FTE!H74)*(1+OpFee!AC74)</f>
        <v>0</v>
      </c>
      <c r="P73" s="2">
        <f t="shared" si="11"/>
        <v>0</v>
      </c>
      <c r="Q73" s="2">
        <f t="shared" si="12"/>
        <v>7497.0813248782697</v>
      </c>
      <c r="R73" s="2">
        <f t="shared" si="13"/>
        <v>142444.54517268713</v>
      </c>
      <c r="T73" s="3">
        <f t="shared" si="10"/>
        <v>142444.54517268713</v>
      </c>
    </row>
    <row r="74" spans="1:20" x14ac:dyDescent="0.25">
      <c r="A74" t="s">
        <v>0</v>
      </c>
      <c r="B74" t="s">
        <v>91</v>
      </c>
      <c r="C74" t="s">
        <v>31</v>
      </c>
      <c r="D74" s="102" t="s">
        <v>161</v>
      </c>
      <c r="E74" t="s">
        <v>5</v>
      </c>
      <c r="F74" t="s">
        <v>92</v>
      </c>
      <c r="G74" t="s">
        <v>49</v>
      </c>
      <c r="H74" t="s">
        <v>6</v>
      </c>
      <c r="I74" s="2">
        <f>+FY16Calc0!I74*(1+FTE!H75)</f>
        <v>22.148935999631899</v>
      </c>
      <c r="J74" s="2">
        <f>+FY16Calc0!J74*(1+OpFee!Y75)*(1+FTE!H75)</f>
        <v>473409.48048992315</v>
      </c>
      <c r="K74" s="2">
        <f>+FY16Calc0!K74*(1+OpFee!AB75)*(1+FTE!H75)</f>
        <v>260776.66607333274</v>
      </c>
      <c r="L74" s="2">
        <f t="shared" si="14"/>
        <v>10431.066642933311</v>
      </c>
      <c r="M74" s="2">
        <f>+FY16Calc0!M74*(1+OpFee!Y75)*(1+FTE!H75)</f>
        <v>0</v>
      </c>
      <c r="N74" s="2">
        <f>+FY16Calc0!N74*(1+FTE!H75)*(1+OpFee!AB75)</f>
        <v>0</v>
      </c>
      <c r="O74" s="2">
        <f>+FY16Calc0!O74*(1+FTE!H75)*(1+OpFee!AC75)</f>
        <v>0</v>
      </c>
      <c r="P74" s="2">
        <f t="shared" si="11"/>
        <v>0</v>
      </c>
      <c r="Q74" s="2">
        <f t="shared" si="12"/>
        <v>23148.920692349493</v>
      </c>
      <c r="R74" s="2">
        <f t="shared" si="13"/>
        <v>439829.49315464037</v>
      </c>
      <c r="T74" s="3">
        <f t="shared" si="10"/>
        <v>439829.49315464037</v>
      </c>
    </row>
    <row r="75" spans="1:20" x14ac:dyDescent="0.25">
      <c r="A75" t="s">
        <v>0</v>
      </c>
      <c r="B75" t="s">
        <v>93</v>
      </c>
      <c r="C75" t="s">
        <v>31</v>
      </c>
      <c r="D75" s="102" t="s">
        <v>161</v>
      </c>
      <c r="E75" t="s">
        <v>3</v>
      </c>
      <c r="F75" t="s">
        <v>94</v>
      </c>
      <c r="G75" t="s">
        <v>49</v>
      </c>
      <c r="H75" t="s">
        <v>4</v>
      </c>
      <c r="I75" s="2">
        <f>+FY16Calc0!I75*(1+FTE!H76)</f>
        <v>5.01208879992235</v>
      </c>
      <c r="J75" s="2">
        <f>+FY16Calc0!J75*(1+OpFee!Y76)*(1+FTE!H76)</f>
        <v>57260.786731314918</v>
      </c>
      <c r="K75" s="2">
        <f>+FY16Calc0!K75*(1+OpFee!AB76)*(1+FTE!H76)</f>
        <v>57261.164880001597</v>
      </c>
      <c r="L75" s="2">
        <f t="shared" si="14"/>
        <v>2290.4465952000642</v>
      </c>
      <c r="M75" s="2">
        <f>+FY16Calc0!M75*(1+OpFee!Y76)*(1+FTE!H76)</f>
        <v>0</v>
      </c>
      <c r="N75" s="2">
        <f>+FY16Calc0!N75*(1+FTE!H76)*(1+OpFee!AB76)</f>
        <v>0</v>
      </c>
      <c r="O75" s="2">
        <f>+FY16Calc0!O75*(1+FTE!H76)*(1+OpFee!AC76)</f>
        <v>0</v>
      </c>
      <c r="P75" s="2">
        <f t="shared" si="11"/>
        <v>0</v>
      </c>
      <c r="Q75" s="2">
        <f t="shared" si="12"/>
        <v>2748.5170068057432</v>
      </c>
      <c r="R75" s="2">
        <f t="shared" si="13"/>
        <v>52221.823129309116</v>
      </c>
      <c r="T75" s="3">
        <f t="shared" si="10"/>
        <v>52221.823129309116</v>
      </c>
    </row>
    <row r="76" spans="1:20" x14ac:dyDescent="0.25">
      <c r="A76" t="s">
        <v>0</v>
      </c>
      <c r="B76" t="s">
        <v>93</v>
      </c>
      <c r="C76" t="s">
        <v>31</v>
      </c>
      <c r="D76" s="102" t="s">
        <v>161</v>
      </c>
      <c r="E76" t="s">
        <v>5</v>
      </c>
      <c r="F76" t="s">
        <v>94</v>
      </c>
      <c r="G76" t="s">
        <v>49</v>
      </c>
      <c r="H76" t="s">
        <v>6</v>
      </c>
      <c r="I76" s="2">
        <f>+FY16Calc0!I76*(1+FTE!H77)</f>
        <v>7.4252879999047998</v>
      </c>
      <c r="J76" s="2">
        <f>+FY16Calc0!J76*(1+OpFee!Y77)*(1+FTE!H77)</f>
        <v>141620.3712301144</v>
      </c>
      <c r="K76" s="2">
        <f>+FY16Calc0!K76*(1+OpFee!AB77)*(1+FTE!H77)</f>
        <v>85797.762376720711</v>
      </c>
      <c r="L76" s="2">
        <f t="shared" si="14"/>
        <v>3431.9104950688284</v>
      </c>
      <c r="M76" s="2">
        <f>+FY16Calc0!M76*(1+OpFee!Y77)*(1+FTE!H77)</f>
        <v>0</v>
      </c>
      <c r="N76" s="2">
        <f>+FY16Calc0!N76*(1+FTE!H77)*(1+OpFee!AB77)</f>
        <v>17159.55247534416</v>
      </c>
      <c r="O76" s="2">
        <f>+FY16Calc0!O76*(1+FTE!H77)*(1+OpFee!AC77)</f>
        <v>0</v>
      </c>
      <c r="P76" s="2">
        <f t="shared" si="11"/>
        <v>17159.55247534416</v>
      </c>
      <c r="Q76" s="2">
        <f t="shared" si="12"/>
        <v>6051.445412985071</v>
      </c>
      <c r="R76" s="2">
        <f t="shared" si="13"/>
        <v>114977.46284671634</v>
      </c>
      <c r="T76" s="3">
        <f t="shared" si="10"/>
        <v>114977.46284671634</v>
      </c>
    </row>
    <row r="77" spans="1:20" x14ac:dyDescent="0.25">
      <c r="A77" t="s">
        <v>0</v>
      </c>
      <c r="B77" t="s">
        <v>95</v>
      </c>
      <c r="C77" t="s">
        <v>31</v>
      </c>
      <c r="D77" s="102" t="s">
        <v>161</v>
      </c>
      <c r="E77" t="s">
        <v>3</v>
      </c>
      <c r="F77" t="s">
        <v>96</v>
      </c>
      <c r="G77" t="s">
        <v>49</v>
      </c>
      <c r="H77" t="s">
        <v>4</v>
      </c>
      <c r="I77" s="2">
        <f>+FY16Calc0!I77*(1+FTE!H78)</f>
        <v>4.69442119992235</v>
      </c>
      <c r="J77" s="2">
        <f>+FY16Calc0!J77*(1+OpFee!Y78)*(1+FTE!H78)</f>
        <v>71752.356163261706</v>
      </c>
      <c r="K77" s="2">
        <f>+FY16Calc0!K77*(1+OpFee!AB78)*(1+FTE!H78)</f>
        <v>71752.728308630452</v>
      </c>
      <c r="L77" s="2">
        <f t="shared" si="14"/>
        <v>2870.1091323452183</v>
      </c>
      <c r="M77" s="2">
        <f>+FY16Calc0!M77*(1+OpFee!Y78)*(1+FTE!H78)</f>
        <v>0</v>
      </c>
      <c r="N77" s="2">
        <f>+FY16Calc0!N77*(1+FTE!H78)*(1+OpFee!AB78)</f>
        <v>0</v>
      </c>
      <c r="O77" s="2">
        <f>+FY16Calc0!O77*(1+FTE!H78)*(1+OpFee!AC78)</f>
        <v>0</v>
      </c>
      <c r="P77" s="2">
        <f t="shared" si="11"/>
        <v>0</v>
      </c>
      <c r="Q77" s="2">
        <f t="shared" si="12"/>
        <v>3444.1123515458248</v>
      </c>
      <c r="R77" s="2">
        <f t="shared" si="13"/>
        <v>65438.134679370669</v>
      </c>
      <c r="T77" s="3">
        <f t="shared" si="10"/>
        <v>65438.134679370669</v>
      </c>
    </row>
    <row r="78" spans="1:20" x14ac:dyDescent="0.25">
      <c r="A78" t="s">
        <v>0</v>
      </c>
      <c r="B78" t="s">
        <v>95</v>
      </c>
      <c r="C78" t="s">
        <v>31</v>
      </c>
      <c r="D78" s="102" t="s">
        <v>161</v>
      </c>
      <c r="E78" t="s">
        <v>5</v>
      </c>
      <c r="F78" t="s">
        <v>96</v>
      </c>
      <c r="G78" t="s">
        <v>49</v>
      </c>
      <c r="H78" t="s">
        <v>6</v>
      </c>
      <c r="I78" s="2">
        <f>+FY16Calc0!I78*(1+FTE!H79)</f>
        <v>12.280283999819099</v>
      </c>
      <c r="J78" s="2">
        <f>+FY16Calc0!J78*(1+OpFee!Y79)*(1+FTE!H79)</f>
        <v>252213.04497323377</v>
      </c>
      <c r="K78" s="2">
        <f>+FY16Calc0!K78*(1+OpFee!AB79)*(1+FTE!H79)</f>
        <v>194554.65555481944</v>
      </c>
      <c r="L78" s="2">
        <f t="shared" si="14"/>
        <v>7782.1862221927777</v>
      </c>
      <c r="M78" s="2">
        <f>+FY16Calc0!M78*(1+OpFee!Y79)*(1+FTE!H79)</f>
        <v>0</v>
      </c>
      <c r="N78" s="2">
        <f>+FY16Calc0!N78*(1+FTE!H79)*(1+OpFee!AB79)</f>
        <v>0</v>
      </c>
      <c r="O78" s="2">
        <f>+FY16Calc0!O78*(1+FTE!H79)*(1+OpFee!AC79)</f>
        <v>2465.91886737607</v>
      </c>
      <c r="P78" s="2">
        <f t="shared" si="11"/>
        <v>2465.91886737607</v>
      </c>
      <c r="Q78" s="2">
        <f t="shared" si="12"/>
        <v>12098.246994183246</v>
      </c>
      <c r="R78" s="2">
        <f t="shared" si="13"/>
        <v>229866.69288948167</v>
      </c>
      <c r="T78" s="3">
        <f t="shared" si="10"/>
        <v>229866.69288948167</v>
      </c>
    </row>
    <row r="79" spans="1:20" x14ac:dyDescent="0.25">
      <c r="A79" t="s">
        <v>3</v>
      </c>
      <c r="B79" t="s">
        <v>1</v>
      </c>
      <c r="C79" t="s">
        <v>1</v>
      </c>
      <c r="D79" t="s">
        <v>1</v>
      </c>
      <c r="E79" t="s">
        <v>3</v>
      </c>
      <c r="F79" t="s">
        <v>2</v>
      </c>
      <c r="G79" t="s">
        <v>2</v>
      </c>
      <c r="H79" t="s">
        <v>4</v>
      </c>
      <c r="I79" s="2">
        <f>+FY16Calc0!I79*(1+FTE!H80)</f>
        <v>3842.7115027608497</v>
      </c>
      <c r="J79" s="2">
        <f>+FY16Calc0!J79*(1+OpFee!Y80)*(1+FTE!H80)</f>
        <v>42771691.449079573</v>
      </c>
      <c r="K79" s="2">
        <f>+FY16Calc0!K79*(1+OpFee!AB80)*(1+FTE!H80)</f>
        <v>42771691.449079573</v>
      </c>
      <c r="L79" s="2">
        <f t="shared" si="14"/>
        <v>1710867.657963183</v>
      </c>
      <c r="M79" s="2">
        <f>+FY16Calc0!M79*(1+OpFee!Y80)*(1+FTE!H80)</f>
        <v>0</v>
      </c>
      <c r="N79" s="2">
        <f>+FY16Calc0!N79*(1+FTE!H80)*(1+OpFee!AB80)</f>
        <v>292955.81598412851</v>
      </c>
      <c r="O79" s="2">
        <f>+FY16Calc0!O79*(1+FTE!H80)*(1+OpFee!AC80)</f>
        <v>0</v>
      </c>
      <c r="P79" s="2">
        <f t="shared" si="11"/>
        <v>292955.81598412851</v>
      </c>
      <c r="Q79" s="2">
        <f t="shared" si="12"/>
        <v>2038393.398756613</v>
      </c>
      <c r="R79" s="2">
        <f t="shared" si="13"/>
        <v>38729474.576375641</v>
      </c>
      <c r="S79" s="2">
        <f>$U$3*I79</f>
        <v>2832078.3775347462</v>
      </c>
      <c r="T79" s="3">
        <f t="shared" si="10"/>
        <v>35897396.198840894</v>
      </c>
    </row>
    <row r="80" spans="1:20" x14ac:dyDescent="0.25">
      <c r="A80" t="s">
        <v>3</v>
      </c>
      <c r="B80" t="s">
        <v>1</v>
      </c>
      <c r="C80" t="s">
        <v>1</v>
      </c>
      <c r="D80" t="s">
        <v>1</v>
      </c>
      <c r="E80" t="s">
        <v>5</v>
      </c>
      <c r="F80" t="s">
        <v>2</v>
      </c>
      <c r="G80" t="s">
        <v>2</v>
      </c>
      <c r="H80" t="s">
        <v>6</v>
      </c>
      <c r="I80" s="2">
        <f>+FY16Calc0!I80*(1+FTE!H81)</f>
        <v>461.06353852868199</v>
      </c>
      <c r="J80" s="2">
        <f>+FY16Calc0!J80*(1+OpFee!Y81)*(1+FTE!H81)</f>
        <v>14737371.667154687</v>
      </c>
      <c r="K80" s="2">
        <f>+FY16Calc0!K80*(1+OpFee!AB81)*(1+FTE!H81)</f>
        <v>4913405.7710640831</v>
      </c>
      <c r="L80" s="2">
        <f t="shared" si="14"/>
        <v>196536.23084256332</v>
      </c>
      <c r="M80" s="2">
        <f>+FY16Calc0!M80*(1+OpFee!Y81)*(1+FTE!H81)</f>
        <v>2484.4388561195915</v>
      </c>
      <c r="N80" s="2">
        <f>+FY16Calc0!N80*(1+FTE!H81)*(1+OpFee!AB81)</f>
        <v>1823.2598636943401</v>
      </c>
      <c r="O80" s="2">
        <f>+FY16Calc0!O80*(1+FTE!H81)*(1+OpFee!AC81)</f>
        <v>0</v>
      </c>
      <c r="P80" s="2">
        <f t="shared" si="11"/>
        <v>4307.6987198139313</v>
      </c>
      <c r="Q80" s="2">
        <f t="shared" si="12"/>
        <v>726826.38687961549</v>
      </c>
      <c r="R80" s="2">
        <f t="shared" si="13"/>
        <v>13809701.350712694</v>
      </c>
      <c r="T80" s="3">
        <f t="shared" si="10"/>
        <v>13809701.350712694</v>
      </c>
    </row>
    <row r="81" spans="1:20" x14ac:dyDescent="0.25">
      <c r="A81" t="s">
        <v>3</v>
      </c>
      <c r="B81" t="s">
        <v>8</v>
      </c>
      <c r="C81" t="s">
        <v>1</v>
      </c>
      <c r="D81" t="s">
        <v>1</v>
      </c>
      <c r="E81" t="s">
        <v>3</v>
      </c>
      <c r="F81" t="s">
        <v>51</v>
      </c>
      <c r="G81" t="s">
        <v>2</v>
      </c>
      <c r="H81" t="s">
        <v>4</v>
      </c>
      <c r="I81" s="2">
        <f>+FY16Calc0!I81*(1+FTE!H82)</f>
        <v>151.23532319826299</v>
      </c>
      <c r="J81" s="2">
        <f>+FY16Calc0!J81*(1+OpFee!Y82)*(1+FTE!H82)</f>
        <v>1804356.41525151</v>
      </c>
      <c r="K81" s="2">
        <f>+FY16Calc0!K81*(1+OpFee!AB82)*(1+FTE!H82)</f>
        <v>1804356.41525151</v>
      </c>
      <c r="L81" s="2">
        <f t="shared" si="14"/>
        <v>72174.256610060402</v>
      </c>
      <c r="M81" s="2">
        <f>+FY16Calc0!M81*(1+OpFee!Y82)*(1+FTE!H82)</f>
        <v>0</v>
      </c>
      <c r="N81" s="2">
        <f>+FY16Calc0!N81*(1+FTE!H82)*(1+OpFee!AB82)</f>
        <v>11200.4827142428</v>
      </c>
      <c r="O81" s="2">
        <f>+FY16Calc0!O81*(1+FTE!H82)*(1+OpFee!AC82)</f>
        <v>0</v>
      </c>
      <c r="P81" s="2">
        <f t="shared" si="11"/>
        <v>11200.4827142428</v>
      </c>
      <c r="Q81" s="2">
        <f t="shared" si="12"/>
        <v>86049.083796360355</v>
      </c>
      <c r="R81" s="2">
        <f t="shared" si="13"/>
        <v>1634932.5921308466</v>
      </c>
      <c r="S81" s="2">
        <f>$U$3*I81</f>
        <v>111460.43319711983</v>
      </c>
      <c r="T81" s="3">
        <f t="shared" si="10"/>
        <v>1523472.1589337268</v>
      </c>
    </row>
    <row r="82" spans="1:20" x14ac:dyDescent="0.25">
      <c r="A82" t="s">
        <v>3</v>
      </c>
      <c r="B82" t="s">
        <v>8</v>
      </c>
      <c r="C82" t="s">
        <v>1</v>
      </c>
      <c r="D82" t="s">
        <v>1</v>
      </c>
      <c r="E82" t="s">
        <v>5</v>
      </c>
      <c r="F82" t="s">
        <v>51</v>
      </c>
      <c r="G82" t="s">
        <v>2</v>
      </c>
      <c r="H82" t="s">
        <v>6</v>
      </c>
      <c r="I82" s="2">
        <f>+FY16Calc0!I82*(1+FTE!H83)</f>
        <v>7.1427577332367402</v>
      </c>
      <c r="J82" s="2">
        <f>+FY16Calc0!J82*(1+OpFee!Y83)*(1+FTE!H83)</f>
        <v>239452.78119084248</v>
      </c>
      <c r="K82" s="2">
        <f>+FY16Calc0!K82*(1+OpFee!AB83)*(1+FTE!H83)</f>
        <v>79823.047743938907</v>
      </c>
      <c r="L82" s="2">
        <f t="shared" si="14"/>
        <v>3192.9219097575565</v>
      </c>
      <c r="M82" s="2">
        <f>+FY16Calc0!M82*(1+OpFee!Y83)*(1+FTE!H83)</f>
        <v>0</v>
      </c>
      <c r="N82" s="2">
        <f>+FY16Calc0!N82*(1+FTE!H83)*(1+OpFee!AB83)</f>
        <v>0</v>
      </c>
      <c r="O82" s="2">
        <f>+FY16Calc0!O82*(1+FTE!H83)*(1+OpFee!AC83)</f>
        <v>0</v>
      </c>
      <c r="P82" s="2">
        <f t="shared" si="11"/>
        <v>0</v>
      </c>
      <c r="Q82" s="2">
        <f t="shared" si="12"/>
        <v>11812.992964054247</v>
      </c>
      <c r="R82" s="2">
        <f t="shared" si="13"/>
        <v>224446.86631703065</v>
      </c>
      <c r="T82" s="3">
        <f t="shared" si="10"/>
        <v>224446.86631703065</v>
      </c>
    </row>
    <row r="83" spans="1:20" x14ac:dyDescent="0.25">
      <c r="A83" t="s">
        <v>3</v>
      </c>
      <c r="B83" t="s">
        <v>13</v>
      </c>
      <c r="C83" t="s">
        <v>8</v>
      </c>
      <c r="D83" t="s">
        <v>8</v>
      </c>
      <c r="E83" t="s">
        <v>3</v>
      </c>
      <c r="F83" t="s">
        <v>9</v>
      </c>
      <c r="G83" t="s">
        <v>9</v>
      </c>
      <c r="H83" t="s">
        <v>4</v>
      </c>
      <c r="I83" s="2">
        <f>+FY16Calc0!I83*(1+FTE!H84)</f>
        <v>20.229609700056798</v>
      </c>
      <c r="J83" s="2">
        <f>+FY16Calc0!J83*(1+OpFee!Y84)*(1+FTE!H84)</f>
        <v>285393.41133681103</v>
      </c>
      <c r="K83" s="2">
        <f>+FY16Calc0!K83*(1+OpFee!AB84)*(1+FTE!H84)</f>
        <v>285393.41133681103</v>
      </c>
      <c r="L83" s="2">
        <f t="shared" si="14"/>
        <v>11415.736453472442</v>
      </c>
      <c r="M83" s="2">
        <f>+FY16Calc0!M83*(1+OpFee!Y84)*(1+FTE!H84)</f>
        <v>0</v>
      </c>
      <c r="N83" s="2">
        <f>+FY16Calc0!N83*(1+FTE!H84)*(1+OpFee!AB84)</f>
        <v>17761.727298557798</v>
      </c>
      <c r="O83" s="2">
        <f>+FY16Calc0!O83*(1+FTE!H84)*(1+OpFee!AC84)</f>
        <v>0</v>
      </c>
      <c r="P83" s="2">
        <f t="shared" si="11"/>
        <v>17761.727298557798</v>
      </c>
      <c r="Q83" s="2">
        <f t="shared" si="12"/>
        <v>12810.79737923904</v>
      </c>
      <c r="R83" s="2">
        <f t="shared" si="13"/>
        <v>243405.15020554175</v>
      </c>
      <c r="T83" s="3">
        <f t="shared" si="10"/>
        <v>243405.15020554175</v>
      </c>
    </row>
    <row r="84" spans="1:20" x14ac:dyDescent="0.25">
      <c r="A84" t="s">
        <v>3</v>
      </c>
      <c r="B84" t="s">
        <v>13</v>
      </c>
      <c r="C84" t="s">
        <v>8</v>
      </c>
      <c r="D84" t="s">
        <v>8</v>
      </c>
      <c r="E84" t="s">
        <v>5</v>
      </c>
      <c r="F84" t="s">
        <v>9</v>
      </c>
      <c r="G84" t="s">
        <v>9</v>
      </c>
      <c r="H84" t="s">
        <v>6</v>
      </c>
      <c r="I84" s="2">
        <f>+FY16Calc0!I84*(1+FTE!H85)</f>
        <v>7.8230947889323001</v>
      </c>
      <c r="J84" s="2">
        <f>+FY16Calc0!J84*(1+OpFee!Y85)*(1+FTE!H85)</f>
        <v>193441.447775754</v>
      </c>
      <c r="K84" s="2">
        <f>+FY16Calc0!K84*(1+OpFee!AB85)*(1+FTE!H85)</f>
        <v>108492.25490058</v>
      </c>
      <c r="L84" s="2">
        <f t="shared" si="14"/>
        <v>4339.6901960231999</v>
      </c>
      <c r="M84" s="2">
        <f>+FY16Calc0!M84*(1+OpFee!Y85)*(1+FTE!H85)</f>
        <v>0</v>
      </c>
      <c r="N84" s="2">
        <f>+FY16Calc0!N84*(1+FTE!H85)*(1+OpFee!AB85)</f>
        <v>26038.141176139099</v>
      </c>
      <c r="O84" s="2">
        <f>+FY16Calc0!O84*(1+FTE!H85)*(1+OpFee!AC85)</f>
        <v>20387.806290041801</v>
      </c>
      <c r="P84" s="2">
        <f t="shared" si="11"/>
        <v>46425.9474661809</v>
      </c>
      <c r="Q84" s="2">
        <f t="shared" si="12"/>
        <v>7133.7905056774953</v>
      </c>
      <c r="R84" s="2">
        <f t="shared" si="13"/>
        <v>135542.01960787241</v>
      </c>
      <c r="T84" s="3">
        <f t="shared" si="10"/>
        <v>135542.01960787241</v>
      </c>
    </row>
    <row r="85" spans="1:20" x14ac:dyDescent="0.25">
      <c r="A85" t="s">
        <v>3</v>
      </c>
      <c r="B85" t="s">
        <v>10</v>
      </c>
      <c r="C85" t="s">
        <v>7</v>
      </c>
      <c r="D85" t="s">
        <v>7</v>
      </c>
      <c r="E85" t="s">
        <v>3</v>
      </c>
      <c r="F85" t="s">
        <v>11</v>
      </c>
      <c r="G85" t="s">
        <v>11</v>
      </c>
      <c r="H85" t="s">
        <v>4</v>
      </c>
      <c r="I85" s="2">
        <f>+FY16Calc0!I85*(1+FTE!H86)</f>
        <v>127.88312023488</v>
      </c>
      <c r="J85" s="2">
        <f>+FY16Calc0!J85*(1+OpFee!Y86)*(1+FTE!H86)</f>
        <v>1853951.0869797301</v>
      </c>
      <c r="K85" s="2">
        <f>+FY16Calc0!K85*(1+OpFee!AB86)*(1+FTE!H86)</f>
        <v>1853951.0869797301</v>
      </c>
      <c r="L85" s="2">
        <f t="shared" si="14"/>
        <v>74158.043479189204</v>
      </c>
      <c r="M85" s="2">
        <f>+FY16Calc0!M85*(1+OpFee!Y86)*(1+FTE!H86)</f>
        <v>0</v>
      </c>
      <c r="N85" s="2">
        <f>+FY16Calc0!N85*(1+FTE!H86)*(1+OpFee!AB86)</f>
        <v>10655.7138268082</v>
      </c>
      <c r="O85" s="2">
        <f>+FY16Calc0!O85*(1+FTE!H86)*(1+OpFee!AC86)</f>
        <v>0</v>
      </c>
      <c r="P85" s="2">
        <f t="shared" si="11"/>
        <v>10655.7138268082</v>
      </c>
      <c r="Q85" s="2">
        <f t="shared" si="12"/>
        <v>88456.866483686637</v>
      </c>
      <c r="R85" s="2">
        <f t="shared" si="13"/>
        <v>1680680.4631900459</v>
      </c>
      <c r="T85" s="3">
        <f t="shared" si="10"/>
        <v>1680680.4631900459</v>
      </c>
    </row>
    <row r="86" spans="1:20" x14ac:dyDescent="0.25">
      <c r="A86" t="s">
        <v>3</v>
      </c>
      <c r="B86" t="s">
        <v>10</v>
      </c>
      <c r="C86" t="s">
        <v>7</v>
      </c>
      <c r="D86" t="s">
        <v>7</v>
      </c>
      <c r="E86" t="s">
        <v>5</v>
      </c>
      <c r="F86" t="s">
        <v>11</v>
      </c>
      <c r="G86" t="s">
        <v>11</v>
      </c>
      <c r="H86" t="s">
        <v>6</v>
      </c>
      <c r="I86" s="2">
        <f>+FY16Calc0!I86*(1+FTE!H87)</f>
        <v>9.8207870223449802</v>
      </c>
      <c r="J86" s="2">
        <f>+FY16Calc0!J86*(1+OpFee!Y87)*(1+FTE!H87)</f>
        <v>253963.200185811</v>
      </c>
      <c r="K86" s="2">
        <f>+FY16Calc0!K86*(1+OpFee!AB87)*(1+FTE!H87)</f>
        <v>142998.69630812199</v>
      </c>
      <c r="L86" s="2">
        <f t="shared" si="14"/>
        <v>5719.9478523248799</v>
      </c>
      <c r="M86" s="2">
        <f>+FY16Calc0!M86*(1+OpFee!Y87)*(1+FTE!H87)</f>
        <v>0</v>
      </c>
      <c r="N86" s="2">
        <f>+FY16Calc0!N86*(1+FTE!H87)*(1+OpFee!AB87)</f>
        <v>0</v>
      </c>
      <c r="O86" s="2">
        <f>+FY16Calc0!O86*(1+FTE!H87)*(1+OpFee!AC87)</f>
        <v>0</v>
      </c>
      <c r="P86" s="2">
        <f t="shared" si="11"/>
        <v>0</v>
      </c>
      <c r="Q86" s="2">
        <f t="shared" si="12"/>
        <v>12412.162616674308</v>
      </c>
      <c r="R86" s="2">
        <f t="shared" si="13"/>
        <v>235831.08971681184</v>
      </c>
      <c r="T86" s="3">
        <f t="shared" si="10"/>
        <v>235831.08971681184</v>
      </c>
    </row>
    <row r="87" spans="1:20" x14ac:dyDescent="0.25">
      <c r="A87" t="s">
        <v>3</v>
      </c>
      <c r="B87" t="s">
        <v>7</v>
      </c>
      <c r="C87" t="s">
        <v>13</v>
      </c>
      <c r="D87" t="s">
        <v>13</v>
      </c>
      <c r="E87" t="s">
        <v>3</v>
      </c>
      <c r="F87" t="s">
        <v>52</v>
      </c>
      <c r="G87" t="s">
        <v>14</v>
      </c>
      <c r="H87" t="s">
        <v>4</v>
      </c>
      <c r="I87" s="2">
        <f>+FY16Calc0!I87*(1+FTE!H88)</f>
        <v>0.1795659555578</v>
      </c>
      <c r="J87" s="2">
        <f>+FY16Calc0!J87*(1+OpFee!Y88)*(1+FTE!H88)</f>
        <v>3281.5092767542997</v>
      </c>
      <c r="K87" s="2">
        <f>+FY16Calc0!K87*(1+OpFee!AB88)*(1+FTE!H88)</f>
        <v>3281.5172755776402</v>
      </c>
      <c r="L87" s="2">
        <f t="shared" si="14"/>
        <v>131.26069102310561</v>
      </c>
      <c r="M87" s="2">
        <f>+FY16Calc0!M87*(1+OpFee!Y88)*(1+FTE!H88)</f>
        <v>0</v>
      </c>
      <c r="N87" s="2">
        <f>+FY16Calc0!N87*(1+FTE!H88)*(1+OpFee!AB88)</f>
        <v>0</v>
      </c>
      <c r="O87" s="2">
        <f>+FY16Calc0!O87*(1+FTE!H88)*(1+OpFee!AC88)</f>
        <v>0</v>
      </c>
      <c r="P87" s="2">
        <f t="shared" si="11"/>
        <v>0</v>
      </c>
      <c r="Q87" s="2">
        <f t="shared" si="12"/>
        <v>157.51242928655972</v>
      </c>
      <c r="R87" s="2">
        <f t="shared" si="13"/>
        <v>2992.7361564446342</v>
      </c>
      <c r="T87" s="3">
        <f t="shared" si="10"/>
        <v>2992.7361564446342</v>
      </c>
    </row>
    <row r="88" spans="1:20" x14ac:dyDescent="0.25">
      <c r="A88" t="s">
        <v>3</v>
      </c>
      <c r="B88" t="s">
        <v>7</v>
      </c>
      <c r="C88" t="s">
        <v>13</v>
      </c>
      <c r="D88" t="s">
        <v>13</v>
      </c>
      <c r="E88" t="s">
        <v>5</v>
      </c>
      <c r="F88" t="s">
        <v>52</v>
      </c>
      <c r="G88" t="s">
        <v>14</v>
      </c>
      <c r="H88" t="s">
        <v>6</v>
      </c>
      <c r="I88" s="2">
        <f>+FY16Calc0!I88*(1+FTE!H89)</f>
        <v>0.65555555556</v>
      </c>
      <c r="J88" s="2">
        <f>+FY16Calc0!J88*(1+OpFee!Y89)*(1+FTE!H89)</f>
        <v>20660.181157230116</v>
      </c>
      <c r="K88" s="2">
        <f>+FY16Calc0!K88*(1+OpFee!AB89)*(1+FTE!H89)</f>
        <v>11652.343627263914</v>
      </c>
      <c r="L88" s="2">
        <f t="shared" si="14"/>
        <v>466.09374509055658</v>
      </c>
      <c r="M88" s="2">
        <f>+FY16Calc0!M88*(1+OpFee!Y89)*(1+FTE!H89)</f>
        <v>0</v>
      </c>
      <c r="N88" s="2">
        <f>+FY16Calc0!N88*(1+FTE!H89)*(1+OpFee!AB89)</f>
        <v>0</v>
      </c>
      <c r="O88" s="2">
        <f>+FY16Calc0!O88*(1+FTE!H89)*(1+OpFee!AC89)</f>
        <v>0</v>
      </c>
      <c r="P88" s="2">
        <f t="shared" si="11"/>
        <v>0</v>
      </c>
      <c r="Q88" s="2">
        <f t="shared" si="12"/>
        <v>1009.704370606978</v>
      </c>
      <c r="R88" s="2">
        <f t="shared" si="13"/>
        <v>19184.383041532583</v>
      </c>
      <c r="T88" s="3">
        <f t="shared" si="10"/>
        <v>19184.383041532583</v>
      </c>
    </row>
    <row r="89" spans="1:20" x14ac:dyDescent="0.25">
      <c r="A89" s="102" t="s">
        <v>3</v>
      </c>
      <c r="B89" t="s">
        <v>16</v>
      </c>
      <c r="C89" t="s">
        <v>13</v>
      </c>
      <c r="D89" t="s">
        <v>13</v>
      </c>
      <c r="E89" t="s">
        <v>3</v>
      </c>
      <c r="F89" t="s">
        <v>14</v>
      </c>
      <c r="G89" t="s">
        <v>14</v>
      </c>
      <c r="H89" t="s">
        <v>4</v>
      </c>
      <c r="I89" s="2">
        <f>+FY16Calc0!I89*(1+FTE!H90)</f>
        <v>0</v>
      </c>
      <c r="J89" s="2">
        <f>+FY16Calc0!J89*(1+OpFee!Y90)*(1+FTE!H90)</f>
        <v>0</v>
      </c>
      <c r="K89" s="2">
        <f>+FY16Calc0!K89*(1+OpFee!AB90)*(1+FTE!H90)</f>
        <v>0</v>
      </c>
      <c r="L89" s="2">
        <f t="shared" si="14"/>
        <v>0</v>
      </c>
      <c r="M89" s="2">
        <f>+FY16Calc0!M89*(1+OpFee!Y90)*(1+FTE!H90)</f>
        <v>0</v>
      </c>
      <c r="N89" s="2">
        <f>+FY16Calc0!N89*(1+FTE!H90)*(1+OpFee!AB90)</f>
        <v>0</v>
      </c>
      <c r="O89" s="2">
        <f>+FY16Calc0!O89*(1+FTE!H90)*(1+OpFee!AC90)</f>
        <v>0</v>
      </c>
      <c r="P89" s="2">
        <f t="shared" si="11"/>
        <v>0</v>
      </c>
      <c r="Q89" s="2">
        <f t="shared" si="12"/>
        <v>0</v>
      </c>
      <c r="R89" s="2">
        <f t="shared" si="13"/>
        <v>0</v>
      </c>
      <c r="T89" s="3"/>
    </row>
    <row r="90" spans="1:20" x14ac:dyDescent="0.25">
      <c r="A90" s="102" t="s">
        <v>3</v>
      </c>
      <c r="B90" t="s">
        <v>16</v>
      </c>
      <c r="C90" t="s">
        <v>13</v>
      </c>
      <c r="D90" t="s">
        <v>13</v>
      </c>
      <c r="E90" t="s">
        <v>5</v>
      </c>
      <c r="F90" t="s">
        <v>14</v>
      </c>
      <c r="G90" t="s">
        <v>14</v>
      </c>
      <c r="H90" t="s">
        <v>6</v>
      </c>
      <c r="I90" s="2">
        <f>+FY16Calc0!I90*(1+FTE!H91)</f>
        <v>0</v>
      </c>
      <c r="J90" s="2">
        <f>+FY16Calc0!J90*(1+OpFee!Y91)*(1+FTE!H91)</f>
        <v>0</v>
      </c>
      <c r="K90" s="2">
        <f>+FY16Calc0!K90*(1+OpFee!AB91)*(1+FTE!H91)</f>
        <v>0</v>
      </c>
      <c r="L90" s="2">
        <f t="shared" si="14"/>
        <v>0</v>
      </c>
      <c r="M90" s="2">
        <f>+FY16Calc0!M90*(1+OpFee!Y91)*(1+FTE!H91)</f>
        <v>0</v>
      </c>
      <c r="N90" s="2">
        <f>+FY16Calc0!N90*(1+FTE!H91)*(1+OpFee!AB91)</f>
        <v>0</v>
      </c>
      <c r="O90" s="2">
        <f>+FY16Calc0!O90*(1+FTE!H91)*(1+OpFee!AC91)</f>
        <v>0</v>
      </c>
      <c r="P90" s="2">
        <f t="shared" si="11"/>
        <v>0</v>
      </c>
      <c r="Q90" s="2">
        <f t="shared" si="12"/>
        <v>0</v>
      </c>
      <c r="R90" s="2">
        <f t="shared" si="13"/>
        <v>0</v>
      </c>
      <c r="T90" s="3"/>
    </row>
    <row r="91" spans="1:20" x14ac:dyDescent="0.25">
      <c r="A91" t="s">
        <v>3</v>
      </c>
      <c r="B91" t="s">
        <v>15</v>
      </c>
      <c r="C91" t="s">
        <v>16</v>
      </c>
      <c r="D91" t="s">
        <v>16</v>
      </c>
      <c r="E91" t="s">
        <v>3</v>
      </c>
      <c r="F91" t="s">
        <v>75</v>
      </c>
      <c r="G91" t="s">
        <v>36</v>
      </c>
      <c r="H91" t="s">
        <v>4</v>
      </c>
      <c r="I91" s="2">
        <f>+FY16Calc0!I91*(1+FTE!H92)</f>
        <v>43.644629465534798</v>
      </c>
      <c r="J91" s="2">
        <f>+FY16Calc0!J91*(1+OpFee!Y92)*(1+FTE!H92)</f>
        <v>863869.96114800195</v>
      </c>
      <c r="K91" s="2">
        <f>+FY16Calc0!K91*(1+OpFee!AB92)*(1+FTE!H92)</f>
        <v>863869.96114800195</v>
      </c>
      <c r="L91" s="2">
        <f t="shared" si="14"/>
        <v>34554.798445920082</v>
      </c>
      <c r="M91" s="2">
        <f>+FY16Calc0!M91*(1+OpFee!Y92)*(1+FTE!H92)</f>
        <v>0</v>
      </c>
      <c r="N91" s="2">
        <f>+FY16Calc0!N91*(1+FTE!H92)*(1+OpFee!AB92)</f>
        <v>29585.393643921201</v>
      </c>
      <c r="O91" s="2">
        <f>+FY16Calc0!O91*(1+FTE!H92)*(1+OpFee!AC92)</f>
        <v>0</v>
      </c>
      <c r="P91" s="2">
        <f t="shared" si="11"/>
        <v>29585.393643921201</v>
      </c>
      <c r="Q91" s="2">
        <f t="shared" si="12"/>
        <v>39986.48845290803</v>
      </c>
      <c r="R91" s="2">
        <f t="shared" si="13"/>
        <v>759743.2806052526</v>
      </c>
      <c r="T91" s="3">
        <f>+J91-L91-P91-Q91-S91</f>
        <v>759743.2806052526</v>
      </c>
    </row>
    <row r="92" spans="1:20" x14ac:dyDescent="0.25">
      <c r="A92" t="s">
        <v>3</v>
      </c>
      <c r="B92" t="s">
        <v>15</v>
      </c>
      <c r="C92" t="s">
        <v>16</v>
      </c>
      <c r="D92" t="s">
        <v>16</v>
      </c>
      <c r="E92" t="s">
        <v>5</v>
      </c>
      <c r="F92" t="s">
        <v>75</v>
      </c>
      <c r="G92" t="s">
        <v>36</v>
      </c>
      <c r="H92" t="s">
        <v>6</v>
      </c>
      <c r="I92" s="2">
        <f>+FY16Calc0!I92*(1+FTE!H93)</f>
        <v>7.8462886664614597</v>
      </c>
      <c r="J92" s="2">
        <f>+FY16Calc0!J92*(1+OpFee!Y93)*(1+FTE!H93)</f>
        <v>180414.80910766701</v>
      </c>
      <c r="K92" s="2">
        <f>+FY16Calc0!K92*(1+OpFee!AB93)*(1+FTE!H93)</f>
        <v>144652.23274052801</v>
      </c>
      <c r="L92" s="2">
        <f t="shared" si="14"/>
        <v>5786.0893096211203</v>
      </c>
      <c r="M92" s="2">
        <f>+FY16Calc0!M92*(1+OpFee!Y93)*(1+FTE!H93)</f>
        <v>0</v>
      </c>
      <c r="N92" s="2">
        <f>+FY16Calc0!N92*(1+FTE!H93)*(1+OpFee!AB93)</f>
        <v>0</v>
      </c>
      <c r="O92" s="2">
        <f>+FY16Calc0!O92*(1+FTE!H93)*(1+OpFee!AC93)</f>
        <v>0</v>
      </c>
      <c r="P92" s="2">
        <f t="shared" si="11"/>
        <v>0</v>
      </c>
      <c r="Q92" s="2">
        <f t="shared" si="12"/>
        <v>8731.4359899022948</v>
      </c>
      <c r="R92" s="2">
        <f t="shared" si="13"/>
        <v>165897.28380814361</v>
      </c>
      <c r="T92" s="3">
        <f>+J92-L92-P92-Q92-S92</f>
        <v>165897.28380814361</v>
      </c>
    </row>
    <row r="93" spans="1:20" x14ac:dyDescent="0.25">
      <c r="A93" t="s">
        <v>3</v>
      </c>
      <c r="B93" t="s">
        <v>24</v>
      </c>
      <c r="C93" t="s">
        <v>16</v>
      </c>
      <c r="D93" t="s">
        <v>16</v>
      </c>
      <c r="E93" t="s">
        <v>3</v>
      </c>
      <c r="F93" t="s">
        <v>76</v>
      </c>
      <c r="G93" t="s">
        <v>36</v>
      </c>
      <c r="H93" t="s">
        <v>4</v>
      </c>
      <c r="I93" s="2">
        <f>+FY16Calc0!I93*(1+FTE!H94)</f>
        <v>55.115721398529097</v>
      </c>
      <c r="J93" s="2">
        <f>+FY16Calc0!J93*(1+OpFee!Y94)*(1+FTE!H94)</f>
        <v>995189.97242370504</v>
      </c>
      <c r="K93" s="2">
        <f>+FY16Calc0!K93*(1+OpFee!AB94)*(1+FTE!H94)</f>
        <v>995189.97242370504</v>
      </c>
      <c r="L93" s="2">
        <f t="shared" si="14"/>
        <v>39807.598896948206</v>
      </c>
      <c r="M93" s="2">
        <f>+FY16Calc0!M93*(1+OpFee!Y94)*(1+FTE!H94)</f>
        <v>0</v>
      </c>
      <c r="N93" s="2">
        <f>+FY16Calc0!N93*(1+FTE!H94)*(1+OpFee!AB94)</f>
        <v>5102.4086544459396</v>
      </c>
      <c r="O93" s="2">
        <f>+FY16Calc0!O93*(1+FTE!H94)*(1+OpFee!AC94)</f>
        <v>0</v>
      </c>
      <c r="P93" s="2">
        <f t="shared" si="11"/>
        <v>5102.4086544459396</v>
      </c>
      <c r="Q93" s="2">
        <f t="shared" si="12"/>
        <v>47513.998243615555</v>
      </c>
      <c r="R93" s="2">
        <f t="shared" si="13"/>
        <v>902765.96662869537</v>
      </c>
      <c r="T93" s="3">
        <f>+J93-L93-P93-Q93-S93</f>
        <v>902765.96662869537</v>
      </c>
    </row>
    <row r="94" spans="1:20" x14ac:dyDescent="0.25">
      <c r="A94" t="s">
        <v>3</v>
      </c>
      <c r="B94" t="s">
        <v>24</v>
      </c>
      <c r="C94" t="s">
        <v>16</v>
      </c>
      <c r="D94" t="s">
        <v>16</v>
      </c>
      <c r="E94" t="s">
        <v>5</v>
      </c>
      <c r="F94" t="s">
        <v>76</v>
      </c>
      <c r="G94" t="s">
        <v>36</v>
      </c>
      <c r="H94" t="s">
        <v>6</v>
      </c>
      <c r="I94" s="2">
        <f>+FY16Calc0!I94*(1+FTE!H95)</f>
        <v>3.1988715332307298</v>
      </c>
      <c r="J94" s="2">
        <f>+FY16Calc0!J94*(1+OpFee!Y95)*(1+FTE!H95)</f>
        <v>63266.335687319697</v>
      </c>
      <c r="K94" s="2">
        <f>+FY16Calc0!K94*(1+OpFee!AB95)*(1+FTE!H95)</f>
        <v>50228.501609322797</v>
      </c>
      <c r="L94" s="2">
        <f t="shared" si="14"/>
        <v>2009.1400643729119</v>
      </c>
      <c r="M94" s="2">
        <f>+FY16Calc0!M94*(1+OpFee!Y95)*(1+FTE!H95)</f>
        <v>0</v>
      </c>
      <c r="N94" s="2">
        <f>+FY16Calc0!N94*(1+FTE!H95)*(1+OpFee!AB95)</f>
        <v>0</v>
      </c>
      <c r="O94" s="2">
        <f>+FY16Calc0!O94*(1+FTE!H95)*(1+OpFee!AC95)</f>
        <v>0</v>
      </c>
      <c r="P94" s="2">
        <f t="shared" si="11"/>
        <v>0</v>
      </c>
      <c r="Q94" s="2">
        <f t="shared" si="12"/>
        <v>3062.8597811473392</v>
      </c>
      <c r="R94" s="2">
        <f t="shared" si="13"/>
        <v>58194.335841799446</v>
      </c>
      <c r="T94" s="3">
        <f>+J94-L94-P94-Q94-S94</f>
        <v>58194.335841799446</v>
      </c>
    </row>
    <row r="95" spans="1:20" x14ac:dyDescent="0.25">
      <c r="A95" t="s">
        <v>3</v>
      </c>
      <c r="B95" t="s">
        <v>18</v>
      </c>
      <c r="C95" t="s">
        <v>24</v>
      </c>
      <c r="D95" s="102" t="s">
        <v>10</v>
      </c>
      <c r="E95" t="s">
        <v>3</v>
      </c>
      <c r="F95" t="s">
        <v>97</v>
      </c>
      <c r="G95" t="s">
        <v>50</v>
      </c>
      <c r="H95" t="s">
        <v>4</v>
      </c>
      <c r="I95" s="2">
        <f>+FY16Calc0!I95*(1+FTE!H96)</f>
        <v>24.8739839112623</v>
      </c>
      <c r="J95" s="2">
        <f>+FY16Calc0!J95*(1+OpFee!Y96)*(1+FTE!H96)</f>
        <v>519970.30929358001</v>
      </c>
      <c r="K95" s="2">
        <f>+FY16Calc0!K95*(1+OpFee!AB96)*(1+FTE!H96)</f>
        <v>519970.30929358001</v>
      </c>
      <c r="L95" s="2">
        <f t="shared" si="14"/>
        <v>20798.812371743199</v>
      </c>
      <c r="M95" s="2">
        <f>+FY16Calc0!M95*(1+OpFee!Y96)*(1+FTE!H96)</f>
        <v>0</v>
      </c>
      <c r="N95" s="2">
        <f>+FY16Calc0!N95*(1+FTE!H96)*(1+OpFee!AB96)</f>
        <v>0</v>
      </c>
      <c r="O95" s="2">
        <f>+FY16Calc0!O95*(1+FTE!H96)*(1+OpFee!AC96)</f>
        <v>0</v>
      </c>
      <c r="P95" s="2">
        <f t="shared" si="11"/>
        <v>0</v>
      </c>
      <c r="Q95" s="2">
        <f t="shared" si="12"/>
        <v>24958.57484609184</v>
      </c>
      <c r="R95" s="2">
        <f t="shared" si="13"/>
        <v>474212.92207574495</v>
      </c>
      <c r="T95" s="3">
        <f>+J95-L95-P95-Q95-S95</f>
        <v>474212.92207574495</v>
      </c>
    </row>
    <row r="96" spans="1:20" x14ac:dyDescent="0.25">
      <c r="A96" t="s">
        <v>3</v>
      </c>
      <c r="B96" t="s">
        <v>18</v>
      </c>
      <c r="C96" t="s">
        <v>24</v>
      </c>
      <c r="D96" s="102" t="s">
        <v>10</v>
      </c>
      <c r="E96" s="102" t="s">
        <v>5</v>
      </c>
      <c r="F96" t="s">
        <v>97</v>
      </c>
      <c r="G96" t="s">
        <v>50</v>
      </c>
      <c r="H96" t="s">
        <v>6</v>
      </c>
      <c r="I96" s="2">
        <f>+FY16Calc0!I96*(1+FTE!H97)</f>
        <v>0</v>
      </c>
      <c r="J96" s="2">
        <f>+FY16Calc0!J96*(1+OpFee!Y97)*(1+FTE!H97)</f>
        <v>0</v>
      </c>
      <c r="K96" s="2">
        <f>+FY16Calc0!K96*(1+OpFee!AB97)*(1+FTE!H97)</f>
        <v>0</v>
      </c>
      <c r="L96" s="2">
        <f t="shared" si="14"/>
        <v>0</v>
      </c>
      <c r="M96" s="2">
        <f>+FY16Calc0!M96*(1+OpFee!Y97)*(1+FTE!H97)</f>
        <v>0</v>
      </c>
      <c r="N96" s="2">
        <f>+FY16Calc0!N96*(1+FTE!H97)*(1+OpFee!AB97)</f>
        <v>0</v>
      </c>
      <c r="O96" s="2">
        <f>+FY16Calc0!O96*(1+FTE!H97)*(1+OpFee!AC97)</f>
        <v>0</v>
      </c>
      <c r="P96" s="2">
        <f t="shared" si="11"/>
        <v>0</v>
      </c>
      <c r="Q96" s="2">
        <f t="shared" si="12"/>
        <v>0</v>
      </c>
      <c r="R96" s="2">
        <f t="shared" si="13"/>
        <v>0</v>
      </c>
      <c r="T96" s="3"/>
    </row>
    <row r="97" spans="1:20" x14ac:dyDescent="0.25">
      <c r="A97" t="s">
        <v>5</v>
      </c>
      <c r="B97" t="s">
        <v>1</v>
      </c>
      <c r="C97" t="s">
        <v>1</v>
      </c>
      <c r="D97" t="s">
        <v>1</v>
      </c>
      <c r="E97" t="s">
        <v>3</v>
      </c>
      <c r="F97" t="s">
        <v>2</v>
      </c>
      <c r="G97" t="s">
        <v>2</v>
      </c>
      <c r="H97" t="s">
        <v>4</v>
      </c>
      <c r="I97" s="2">
        <f>+FY16Calc0!I97*(1+FTE!H98)</f>
        <v>3467.1976488781002</v>
      </c>
      <c r="J97" s="2">
        <f>+FY16Calc0!J97*(1+OpFee!Y98)*(1+FTE!H98)</f>
        <v>38614566.676971562</v>
      </c>
      <c r="K97" s="2">
        <f>+FY16Calc0!K97*(1+OpFee!AB98)*(1+FTE!H98)</f>
        <v>38614566.676971562</v>
      </c>
      <c r="L97" s="2">
        <f t="shared" si="14"/>
        <v>1544582.6670788624</v>
      </c>
      <c r="M97" s="2">
        <f>+FY16Calc0!M97*(1+OpFee!Y98)*(1+FTE!H98)</f>
        <v>0</v>
      </c>
      <c r="N97" s="2">
        <f>+FY16Calc0!N97*(1+FTE!H98)*(1+OpFee!AB98)</f>
        <v>856740.183230764</v>
      </c>
      <c r="O97" s="2">
        <f>+FY16Calc0!O97*(1+FTE!H98)*(1+OpFee!AC98)</f>
        <v>0</v>
      </c>
      <c r="P97" s="2">
        <f t="shared" si="11"/>
        <v>856740.183230764</v>
      </c>
      <c r="Q97" s="2">
        <f t="shared" si="12"/>
        <v>1810662.1913330969</v>
      </c>
      <c r="R97" s="2">
        <f t="shared" si="13"/>
        <v>34402581.635328837</v>
      </c>
      <c r="S97" s="2">
        <f>$U$3*I97</f>
        <v>2555324.6672231597</v>
      </c>
      <c r="T97" s="3">
        <f t="shared" ref="T97:T105" si="15">+J97-L97-P97-Q97-S97</f>
        <v>31847256.968105678</v>
      </c>
    </row>
    <row r="98" spans="1:20" x14ac:dyDescent="0.25">
      <c r="A98" t="s">
        <v>5</v>
      </c>
      <c r="B98" t="s">
        <v>1</v>
      </c>
      <c r="C98" t="s">
        <v>1</v>
      </c>
      <c r="D98" t="s">
        <v>1</v>
      </c>
      <c r="E98" t="s">
        <v>5</v>
      </c>
      <c r="F98" t="s">
        <v>2</v>
      </c>
      <c r="G98" t="s">
        <v>2</v>
      </c>
      <c r="H98" t="s">
        <v>6</v>
      </c>
      <c r="I98" s="2">
        <f>+FY16Calc0!I98*(1+FTE!H99)</f>
        <v>234.52344199756902</v>
      </c>
      <c r="J98" s="2">
        <f>+FY16Calc0!J98*(1+OpFee!Y99)*(1+FTE!H99)</f>
        <v>7607048.2341836924</v>
      </c>
      <c r="K98" s="2">
        <f>+FY16Calc0!K98*(1+OpFee!AB99)*(1+FTE!H99)</f>
        <v>2536185.8816795852</v>
      </c>
      <c r="L98" s="2">
        <f t="shared" si="14"/>
        <v>101447.43526718341</v>
      </c>
      <c r="M98" s="2">
        <f>+FY16Calc0!M98*(1+OpFee!Y99)*(1+FTE!H99)</f>
        <v>0</v>
      </c>
      <c r="N98" s="2">
        <f>+FY16Calc0!N98*(1+FTE!H99)*(1+OpFee!AB99)</f>
        <v>9328.6468115257503</v>
      </c>
      <c r="O98" s="2">
        <f>+FY16Calc0!O98*(1+FTE!H99)*(1+OpFee!AC99)</f>
        <v>0</v>
      </c>
      <c r="P98" s="2">
        <f t="shared" si="11"/>
        <v>9328.6468115257503</v>
      </c>
      <c r="Q98" s="2">
        <f t="shared" si="12"/>
        <v>374813.60760524921</v>
      </c>
      <c r="R98" s="2">
        <f t="shared" si="13"/>
        <v>7121458.5444997344</v>
      </c>
      <c r="T98" s="3">
        <f t="shared" si="15"/>
        <v>7121458.5444997344</v>
      </c>
    </row>
    <row r="99" spans="1:20" x14ac:dyDescent="0.25">
      <c r="A99" t="s">
        <v>5</v>
      </c>
      <c r="B99" t="s">
        <v>8</v>
      </c>
      <c r="C99" t="s">
        <v>1</v>
      </c>
      <c r="D99" t="s">
        <v>1</v>
      </c>
      <c r="E99" t="s">
        <v>3</v>
      </c>
      <c r="F99" t="s">
        <v>51</v>
      </c>
      <c r="G99" t="s">
        <v>2</v>
      </c>
      <c r="H99" t="s">
        <v>4</v>
      </c>
      <c r="I99" s="2">
        <f>+FY16Calc0!I99*(1+FTE!H100)</f>
        <v>67.862463954885499</v>
      </c>
      <c r="J99" s="2">
        <f>+FY16Calc0!J99*(1+OpFee!Y100)*(1+FTE!H100)</f>
        <v>847613.36042179202</v>
      </c>
      <c r="K99" s="2">
        <f>+FY16Calc0!K99*(1+OpFee!AB100)*(1+FTE!H100)</f>
        <v>847613.36042179202</v>
      </c>
      <c r="L99" s="2">
        <f t="shared" si="14"/>
        <v>33904.534416871684</v>
      </c>
      <c r="M99" s="2">
        <f>+FY16Calc0!M99*(1+OpFee!Y100)*(1+FTE!H100)</f>
        <v>0</v>
      </c>
      <c r="N99" s="2">
        <f>+FY16Calc0!N99*(1+FTE!H100)*(1+OpFee!AB100)</f>
        <v>0</v>
      </c>
      <c r="O99" s="2">
        <f>+FY16Calc0!O99*(1+FTE!H100)*(1+OpFee!AC100)</f>
        <v>0</v>
      </c>
      <c r="P99" s="2">
        <f t="shared" si="11"/>
        <v>0</v>
      </c>
      <c r="Q99" s="2">
        <f t="shared" si="12"/>
        <v>40685.441300246021</v>
      </c>
      <c r="R99" s="2">
        <f t="shared" si="13"/>
        <v>773023.38470467424</v>
      </c>
      <c r="S99" s="2">
        <f>$U$3*I99</f>
        <v>50014.635934750615</v>
      </c>
      <c r="T99" s="3">
        <f t="shared" si="15"/>
        <v>723008.74876992358</v>
      </c>
    </row>
    <row r="100" spans="1:20" x14ac:dyDescent="0.25">
      <c r="A100" t="s">
        <v>5</v>
      </c>
      <c r="B100" t="s">
        <v>8</v>
      </c>
      <c r="C100" t="s">
        <v>1</v>
      </c>
      <c r="D100" t="s">
        <v>1</v>
      </c>
      <c r="E100" t="s">
        <v>5</v>
      </c>
      <c r="F100" t="s">
        <v>51</v>
      </c>
      <c r="G100" t="s">
        <v>2</v>
      </c>
      <c r="H100" t="s">
        <v>6</v>
      </c>
      <c r="I100" s="2">
        <f>+FY16Calc0!I100*(1+FTE!H101)</f>
        <v>11.9194459998699</v>
      </c>
      <c r="J100" s="2">
        <f>+FY16Calc0!J100*(1+OpFee!Y101)*(1+FTE!H101)</f>
        <v>406607.38724776829</v>
      </c>
      <c r="K100" s="2">
        <f>+FY16Calc0!K100*(1+OpFee!AB101)*(1+FTE!H101)</f>
        <v>135554.381170023</v>
      </c>
      <c r="L100" s="2">
        <f t="shared" si="14"/>
        <v>5422.1752468009199</v>
      </c>
      <c r="M100" s="2">
        <f>+FY16Calc0!M100*(1+OpFee!Y101)*(1+FTE!H101)</f>
        <v>35135.513857250007</v>
      </c>
      <c r="N100" s="2">
        <f>+FY16Calc0!N100*(1+FTE!H101)*(1+OpFee!AB101)</f>
        <v>0</v>
      </c>
      <c r="O100" s="2">
        <f>+FY16Calc0!O100*(1+FTE!H101)*(1+OpFee!AC101)</f>
        <v>0</v>
      </c>
      <c r="P100" s="2">
        <f t="shared" si="11"/>
        <v>35135.513857250007</v>
      </c>
      <c r="Q100" s="2">
        <f t="shared" si="12"/>
        <v>18302.48490718587</v>
      </c>
      <c r="R100" s="2">
        <f t="shared" si="13"/>
        <v>347747.21323653148</v>
      </c>
      <c r="T100" s="3">
        <f t="shared" si="15"/>
        <v>347747.21323653148</v>
      </c>
    </row>
    <row r="101" spans="1:20" x14ac:dyDescent="0.25">
      <c r="A101" t="s">
        <v>5</v>
      </c>
      <c r="B101" t="s">
        <v>13</v>
      </c>
      <c r="C101" t="s">
        <v>8</v>
      </c>
      <c r="D101" t="s">
        <v>8</v>
      </c>
      <c r="E101" t="s">
        <v>3</v>
      </c>
      <c r="F101" t="s">
        <v>9</v>
      </c>
      <c r="G101" t="s">
        <v>9</v>
      </c>
      <c r="H101" t="s">
        <v>4</v>
      </c>
      <c r="I101" s="2">
        <f>+FY16Calc0!I101*(1+FTE!H102)</f>
        <v>122.647381089682</v>
      </c>
      <c r="J101" s="2">
        <f>+FY16Calc0!J101*(1+OpFee!Y102)*(1+FTE!H102)</f>
        <v>2134468.6318906499</v>
      </c>
      <c r="K101" s="2">
        <f>+FY16Calc0!K101*(1+OpFee!AB102)*(1+FTE!H102)</f>
        <v>2134468.6318906499</v>
      </c>
      <c r="L101" s="2">
        <f t="shared" si="14"/>
        <v>85378.745275626003</v>
      </c>
      <c r="M101" s="2">
        <f>+FY16Calc0!M101*(1+OpFee!Y102)*(1+FTE!H102)</f>
        <v>0</v>
      </c>
      <c r="N101" s="2">
        <f>+FY16Calc0!N101*(1+FTE!H102)*(1+OpFee!AB102)</f>
        <v>7037.2023470346503</v>
      </c>
      <c r="O101" s="2">
        <f>+FY16Calc0!O101*(1+FTE!H102)*(1+OpFee!AC102)</f>
        <v>0</v>
      </c>
      <c r="P101" s="2">
        <f t="shared" si="11"/>
        <v>7037.2023470346503</v>
      </c>
      <c r="Q101" s="2">
        <f t="shared" si="12"/>
        <v>102102.63421339948</v>
      </c>
      <c r="R101" s="2">
        <f t="shared" si="13"/>
        <v>1939950.05005459</v>
      </c>
      <c r="T101" s="3">
        <f t="shared" si="15"/>
        <v>1939950.05005459</v>
      </c>
    </row>
    <row r="102" spans="1:20" x14ac:dyDescent="0.25">
      <c r="A102" t="s">
        <v>5</v>
      </c>
      <c r="B102" t="s">
        <v>13</v>
      </c>
      <c r="C102" t="s">
        <v>8</v>
      </c>
      <c r="D102" t="s">
        <v>8</v>
      </c>
      <c r="E102" t="s">
        <v>5</v>
      </c>
      <c r="F102" t="s">
        <v>9</v>
      </c>
      <c r="G102" t="s">
        <v>9</v>
      </c>
      <c r="H102" t="s">
        <v>6</v>
      </c>
      <c r="I102" s="2">
        <f>+FY16Calc0!I102*(1+FTE!H103)</f>
        <v>6.52377635558706</v>
      </c>
      <c r="J102" s="2">
        <f>+FY16Calc0!J102*(1+OpFee!Y103)*(1+FTE!H103)</f>
        <v>225625.78333299499</v>
      </c>
      <c r="K102" s="2">
        <f>+FY16Calc0!K102*(1+OpFee!AB103)*(1+FTE!H103)</f>
        <v>126550.47874321599</v>
      </c>
      <c r="L102" s="2">
        <f t="shared" si="14"/>
        <v>5062.0191497286396</v>
      </c>
      <c r="M102" s="2">
        <f>+FY16Calc0!M102*(1+OpFee!Y103)*(1+FTE!H103)</f>
        <v>0</v>
      </c>
      <c r="N102" s="2">
        <f>+FY16Calc0!N102*(1+FTE!H103)*(1+OpFee!AB103)</f>
        <v>0</v>
      </c>
      <c r="O102" s="2">
        <f>+FY16Calc0!O102*(1+FTE!H103)*(1+OpFee!AC103)</f>
        <v>0</v>
      </c>
      <c r="P102" s="2">
        <f t="shared" si="11"/>
        <v>0</v>
      </c>
      <c r="Q102" s="2">
        <f t="shared" si="12"/>
        <v>11028.188209163318</v>
      </c>
      <c r="R102" s="2">
        <f t="shared" si="13"/>
        <v>209535.57597410303</v>
      </c>
      <c r="T102" s="3">
        <f t="shared" si="15"/>
        <v>209535.57597410303</v>
      </c>
    </row>
    <row r="103" spans="1:20" x14ac:dyDescent="0.25">
      <c r="A103" t="s">
        <v>5</v>
      </c>
      <c r="B103" t="s">
        <v>10</v>
      </c>
      <c r="C103" t="s">
        <v>7</v>
      </c>
      <c r="D103" t="s">
        <v>7</v>
      </c>
      <c r="E103" t="s">
        <v>3</v>
      </c>
      <c r="F103" t="s">
        <v>11</v>
      </c>
      <c r="G103" t="s">
        <v>11</v>
      </c>
      <c r="H103" t="s">
        <v>4</v>
      </c>
      <c r="I103" s="2">
        <f>+FY16Calc0!I103*(1+FTE!H104)</f>
        <v>122.664666265869</v>
      </c>
      <c r="J103" s="2">
        <f>+FY16Calc0!J103*(1+OpFee!Y104)*(1+FTE!H104)</f>
        <v>1618235.2660719401</v>
      </c>
      <c r="K103" s="2">
        <f>+FY16Calc0!K103*(1+OpFee!AB104)*(1+FTE!H104)</f>
        <v>1618235.2660719401</v>
      </c>
      <c r="L103" s="2">
        <f t="shared" si="14"/>
        <v>64729.410642877607</v>
      </c>
      <c r="M103" s="2">
        <f>+FY16Calc0!M103*(1+OpFee!Y104)*(1+FTE!H104)</f>
        <v>0</v>
      </c>
      <c r="N103" s="2">
        <f>+FY16Calc0!N103*(1+FTE!H104)*(1+OpFee!AB104)</f>
        <v>15127.409715448501</v>
      </c>
      <c r="O103" s="2">
        <f>+FY16Calc0!O103*(1+FTE!H104)*(1+OpFee!AC104)</f>
        <v>0</v>
      </c>
      <c r="P103" s="2">
        <f t="shared" si="11"/>
        <v>15127.409715448501</v>
      </c>
      <c r="Q103" s="2">
        <f t="shared" si="12"/>
        <v>76918.922285680703</v>
      </c>
      <c r="R103" s="2">
        <f t="shared" si="13"/>
        <v>1461459.5234279332</v>
      </c>
      <c r="T103" s="3">
        <f t="shared" si="15"/>
        <v>1461459.5234279332</v>
      </c>
    </row>
    <row r="104" spans="1:20" x14ac:dyDescent="0.25">
      <c r="A104" t="s">
        <v>5</v>
      </c>
      <c r="B104" t="s">
        <v>10</v>
      </c>
      <c r="C104" t="s">
        <v>7</v>
      </c>
      <c r="D104" t="s">
        <v>7</v>
      </c>
      <c r="E104" t="s">
        <v>5</v>
      </c>
      <c r="F104" t="s">
        <v>11</v>
      </c>
      <c r="G104" t="s">
        <v>11</v>
      </c>
      <c r="H104" t="s">
        <v>6</v>
      </c>
      <c r="I104" s="2">
        <f>+FY16Calc0!I104*(1+FTE!H105)</f>
        <v>5.8666419999595396</v>
      </c>
      <c r="J104" s="2">
        <f>+FY16Calc0!J104*(1+OpFee!Y105)*(1+FTE!H105)</f>
        <v>132307.54609562</v>
      </c>
      <c r="K104" s="2">
        <f>+FY16Calc0!K104*(1+OpFee!AB105)*(1+FTE!H105)</f>
        <v>74498.502538571498</v>
      </c>
      <c r="L104" s="2">
        <f t="shared" si="14"/>
        <v>2979.9401015428598</v>
      </c>
      <c r="M104" s="2">
        <f>+FY16Calc0!M104*(1+OpFee!Y105)*(1+FTE!H105)</f>
        <v>0</v>
      </c>
      <c r="N104" s="2">
        <f>+FY16Calc0!N104*(1+FTE!H105)*(1+OpFee!AB105)</f>
        <v>0</v>
      </c>
      <c r="O104" s="2">
        <f>+FY16Calc0!O104*(1+FTE!H105)*(1+OpFee!AC105)</f>
        <v>0</v>
      </c>
      <c r="P104" s="2">
        <f t="shared" si="11"/>
        <v>0</v>
      </c>
      <c r="Q104" s="2">
        <f t="shared" si="12"/>
        <v>6466.3802997038574</v>
      </c>
      <c r="R104" s="2">
        <f t="shared" si="13"/>
        <v>122861.22569437328</v>
      </c>
      <c r="T104" s="3">
        <f t="shared" si="15"/>
        <v>122861.22569437328</v>
      </c>
    </row>
    <row r="105" spans="1:20" x14ac:dyDescent="0.25">
      <c r="A105" t="s">
        <v>5</v>
      </c>
      <c r="B105" t="s">
        <v>7</v>
      </c>
      <c r="C105" t="s">
        <v>13</v>
      </c>
      <c r="D105" t="s">
        <v>13</v>
      </c>
      <c r="E105" t="s">
        <v>3</v>
      </c>
      <c r="F105" t="s">
        <v>52</v>
      </c>
      <c r="G105" t="s">
        <v>14</v>
      </c>
      <c r="H105" t="s">
        <v>4</v>
      </c>
      <c r="I105" s="2">
        <f>+FY16Calc0!I105*(1+FTE!H106)</f>
        <v>2.87183811111306</v>
      </c>
      <c r="J105" s="2">
        <f>+FY16Calc0!J105*(1+OpFee!Y106)*(1+FTE!H106)</f>
        <v>60400.092569816115</v>
      </c>
      <c r="K105" s="2">
        <f>+FY16Calc0!K105*(1+OpFee!AB106)*(1+FTE!H106)</f>
        <v>60400.239797701055</v>
      </c>
      <c r="L105" s="2">
        <f t="shared" si="14"/>
        <v>2416.0095919080422</v>
      </c>
      <c r="M105" s="2">
        <f>+FY16Calc0!M105*(1+OpFee!Y106)*(1+FTE!H106)</f>
        <v>0</v>
      </c>
      <c r="N105" s="2">
        <f>+FY16Calc0!N105*(1+FTE!H106)*(1+OpFee!AB106)</f>
        <v>0</v>
      </c>
      <c r="O105" s="2">
        <f>+FY16Calc0!O105*(1+FTE!H106)*(1+OpFee!AC106)</f>
        <v>0</v>
      </c>
      <c r="P105" s="2">
        <f t="shared" si="11"/>
        <v>0</v>
      </c>
      <c r="Q105" s="2">
        <f t="shared" si="12"/>
        <v>2899.2041488954037</v>
      </c>
      <c r="R105" s="2">
        <f t="shared" si="13"/>
        <v>55084.878829012669</v>
      </c>
      <c r="T105" s="3">
        <f t="shared" si="15"/>
        <v>55084.878829012669</v>
      </c>
    </row>
    <row r="106" spans="1:20" x14ac:dyDescent="0.25">
      <c r="A106" t="s">
        <v>5</v>
      </c>
      <c r="B106" t="s">
        <v>7</v>
      </c>
      <c r="C106" t="s">
        <v>13</v>
      </c>
      <c r="D106" t="s">
        <v>13</v>
      </c>
      <c r="E106" s="102" t="s">
        <v>5</v>
      </c>
      <c r="F106" t="s">
        <v>52</v>
      </c>
      <c r="G106" t="s">
        <v>14</v>
      </c>
      <c r="H106" t="s">
        <v>6</v>
      </c>
      <c r="I106" s="2">
        <f>+FY16Calc0!I106*(1+FTE!H107)</f>
        <v>0</v>
      </c>
      <c r="J106" s="2">
        <f>+FY16Calc0!J106*(1+OpFee!Y107)*(1+FTE!H107)</f>
        <v>0</v>
      </c>
      <c r="K106" s="2">
        <f>+FY16Calc0!K106*(1+OpFee!AB107)*(1+FTE!H107)</f>
        <v>0</v>
      </c>
      <c r="L106" s="2">
        <f t="shared" si="14"/>
        <v>0</v>
      </c>
      <c r="M106" s="2">
        <f>+FY16Calc0!M106*(1+OpFee!Y107)*(1+FTE!H107)</f>
        <v>0</v>
      </c>
      <c r="N106" s="2">
        <f>+FY16Calc0!N106*(1+FTE!H107)*(1+OpFee!AB107)</f>
        <v>0</v>
      </c>
      <c r="O106" s="2">
        <f>+FY16Calc0!O106*(1+FTE!H107)*(1+OpFee!AC107)</f>
        <v>0</v>
      </c>
      <c r="P106" s="2">
        <f t="shared" si="11"/>
        <v>0</v>
      </c>
      <c r="Q106" s="2">
        <f t="shared" si="12"/>
        <v>0</v>
      </c>
      <c r="R106" s="2">
        <f t="shared" si="13"/>
        <v>0</v>
      </c>
      <c r="T106" s="3"/>
    </row>
    <row r="107" spans="1:20" x14ac:dyDescent="0.25">
      <c r="A107" t="s">
        <v>5</v>
      </c>
      <c r="B107" t="s">
        <v>16</v>
      </c>
      <c r="C107" t="s">
        <v>13</v>
      </c>
      <c r="D107" t="s">
        <v>13</v>
      </c>
      <c r="E107" t="s">
        <v>3</v>
      </c>
      <c r="F107" t="s">
        <v>14</v>
      </c>
      <c r="G107" t="s">
        <v>14</v>
      </c>
      <c r="H107" t="s">
        <v>4</v>
      </c>
      <c r="I107" s="2">
        <f>+FY16Calc0!I107*(1+FTE!H108)</f>
        <v>60.4838311338913</v>
      </c>
      <c r="J107" s="2">
        <f>+FY16Calc0!J107*(1+OpFee!Y108)*(1+FTE!H108)</f>
        <v>1027772.7770956586</v>
      </c>
      <c r="K107" s="2">
        <f>+FY16Calc0!K107*(1+OpFee!AB108)*(1+FTE!H108)</f>
        <v>1027775.2823370537</v>
      </c>
      <c r="L107" s="2">
        <f t="shared" si="14"/>
        <v>41111.011293482145</v>
      </c>
      <c r="M107" s="2">
        <f>+FY16Calc0!M107*(1+OpFee!Y108)*(1+FTE!H108)</f>
        <v>0</v>
      </c>
      <c r="N107" s="2">
        <f>+FY16Calc0!N107*(1+FTE!H108)*(1+OpFee!AB108)</f>
        <v>0</v>
      </c>
      <c r="O107" s="2">
        <f>+FY16Calc0!O107*(1+FTE!H108)*(1+OpFee!AC108)</f>
        <v>0</v>
      </c>
      <c r="P107" s="2">
        <f t="shared" si="11"/>
        <v>0</v>
      </c>
      <c r="Q107" s="2">
        <f t="shared" si="12"/>
        <v>49333.088290108826</v>
      </c>
      <c r="R107" s="2">
        <f t="shared" si="13"/>
        <v>937328.6775120676</v>
      </c>
      <c r="T107" s="3">
        <f>+J107-L107-P107-Q107-S107</f>
        <v>937328.6775120676</v>
      </c>
    </row>
    <row r="108" spans="1:20" x14ac:dyDescent="0.25">
      <c r="A108" t="s">
        <v>5</v>
      </c>
      <c r="B108" t="s">
        <v>16</v>
      </c>
      <c r="C108" t="s">
        <v>13</v>
      </c>
      <c r="D108" s="102" t="s">
        <v>13</v>
      </c>
      <c r="E108" t="s">
        <v>5</v>
      </c>
      <c r="F108" t="s">
        <v>14</v>
      </c>
      <c r="G108" t="s">
        <v>14</v>
      </c>
      <c r="H108" t="s">
        <v>6</v>
      </c>
      <c r="I108" s="2">
        <f>+FY16Calc0!I108*(1+FTE!H109)</f>
        <v>92.494946401314905</v>
      </c>
      <c r="J108" s="2">
        <f>+FY16Calc0!J108*(1+OpFee!Y109)*(1+FTE!H109)</f>
        <v>2598827.9647538178</v>
      </c>
      <c r="K108" s="2">
        <f>+FY16Calc0!K108*(1+OpFee!AB109)*(1+FTE!H109)</f>
        <v>1465710.6954707762</v>
      </c>
      <c r="L108" s="2">
        <f t="shared" si="14"/>
        <v>58628.427818831049</v>
      </c>
      <c r="M108" s="2">
        <f>+FY16Calc0!M108*(1+OpFee!Y109)*(1+FTE!H109)</f>
        <v>88366.64454246372</v>
      </c>
      <c r="N108" s="2">
        <f>+FY16Calc0!N108*(1+FTE!H109)*(1+OpFee!AB109)</f>
        <v>12288.054885527883</v>
      </c>
      <c r="O108" s="2">
        <f>+FY16Calc0!O108*(1+FTE!H109)*(1+OpFee!AC109)</f>
        <v>170981.99961455324</v>
      </c>
      <c r="P108" s="2">
        <f t="shared" si="11"/>
        <v>271636.69904254482</v>
      </c>
      <c r="Q108" s="2">
        <f t="shared" si="12"/>
        <v>113428.14189462211</v>
      </c>
      <c r="R108" s="2">
        <f t="shared" si="13"/>
        <v>2155134.6959978198</v>
      </c>
      <c r="T108" s="3">
        <f>+J108-L108-P108-Q108-S108</f>
        <v>2155134.6959978198</v>
      </c>
    </row>
    <row r="109" spans="1:20" x14ac:dyDescent="0.25">
      <c r="A109" t="s">
        <v>5</v>
      </c>
      <c r="B109" t="s">
        <v>15</v>
      </c>
      <c r="C109" t="s">
        <v>16</v>
      </c>
      <c r="D109" t="s">
        <v>16</v>
      </c>
      <c r="E109" t="s">
        <v>3</v>
      </c>
      <c r="F109" t="s">
        <v>75</v>
      </c>
      <c r="G109" t="s">
        <v>36</v>
      </c>
      <c r="H109" t="s">
        <v>4</v>
      </c>
      <c r="I109" s="2">
        <f>+FY16Calc0!I109*(1+FTE!H110)</f>
        <v>20.472368399493401</v>
      </c>
      <c r="J109" s="2">
        <f>+FY16Calc0!J109*(1+OpFee!Y110)*(1+FTE!H110)</f>
        <v>427435.25865764712</v>
      </c>
      <c r="K109" s="2">
        <f>+FY16Calc0!K109*(1+OpFee!AB110)*(1+FTE!H110)</f>
        <v>427432.03874976182</v>
      </c>
      <c r="L109" s="2">
        <f t="shared" si="14"/>
        <v>17097.281549990472</v>
      </c>
      <c r="M109" s="2">
        <f>+FY16Calc0!M109*(1+OpFee!Y110)*(1+FTE!H110)</f>
        <v>0</v>
      </c>
      <c r="N109" s="2">
        <f>+FY16Calc0!N109*(1+FTE!H110)*(1+OpFee!AB110)</f>
        <v>3380.4461167567274</v>
      </c>
      <c r="O109" s="2">
        <f>+FY16Calc0!O109*(1+FTE!H110)*(1+OpFee!AC110)</f>
        <v>0</v>
      </c>
      <c r="P109" s="2">
        <f t="shared" si="11"/>
        <v>3380.4461167567274</v>
      </c>
      <c r="Q109" s="2">
        <f t="shared" si="12"/>
        <v>20347.876549544999</v>
      </c>
      <c r="R109" s="2">
        <f t="shared" si="13"/>
        <v>386609.65444135497</v>
      </c>
      <c r="T109" s="3">
        <f>+J109-L109-P109-Q109-S109</f>
        <v>386609.65444135497</v>
      </c>
    </row>
    <row r="110" spans="1:20" x14ac:dyDescent="0.25">
      <c r="A110" t="s">
        <v>5</v>
      </c>
      <c r="B110" t="s">
        <v>15</v>
      </c>
      <c r="C110" t="s">
        <v>16</v>
      </c>
      <c r="D110" t="s">
        <v>16</v>
      </c>
      <c r="E110" t="s">
        <v>5</v>
      </c>
      <c r="F110" t="s">
        <v>75</v>
      </c>
      <c r="G110" t="s">
        <v>36</v>
      </c>
      <c r="H110" t="s">
        <v>6</v>
      </c>
      <c r="I110" s="2">
        <f>+FY16Calc0!I110*(1+FTE!H111)</f>
        <v>3.1111107999222201</v>
      </c>
      <c r="J110" s="2">
        <f>+FY16Calc0!J110*(1+OpFee!Y111)*(1+FTE!H111)</f>
        <v>108896.55995920736</v>
      </c>
      <c r="K110" s="2">
        <f>+FY16Calc0!K110*(1+OpFee!AB111)*(1+FTE!H111)</f>
        <v>65766.435082690412</v>
      </c>
      <c r="L110" s="2">
        <f t="shared" si="14"/>
        <v>2630.6574033076167</v>
      </c>
      <c r="M110" s="2">
        <f>+FY16Calc0!M110*(1+OpFee!Y111)*(1+FTE!H111)</f>
        <v>0</v>
      </c>
      <c r="N110" s="2">
        <f>+FY16Calc0!N110*(1+FTE!H111)*(1+OpFee!AB111)</f>
        <v>0</v>
      </c>
      <c r="O110" s="2">
        <f>+FY16Calc0!O110*(1+FTE!H111)*(1+OpFee!AC111)</f>
        <v>0</v>
      </c>
      <c r="P110" s="2">
        <f t="shared" si="11"/>
        <v>0</v>
      </c>
      <c r="Q110" s="2">
        <f t="shared" si="12"/>
        <v>5313.2951277949869</v>
      </c>
      <c r="R110" s="2">
        <f t="shared" si="13"/>
        <v>100952.60742810475</v>
      </c>
      <c r="T110" s="3">
        <f>+J110-L110-P110-Q110-S110</f>
        <v>100952.60742810475</v>
      </c>
    </row>
    <row r="111" spans="1:20" x14ac:dyDescent="0.25">
      <c r="A111" t="s">
        <v>5</v>
      </c>
      <c r="B111" t="s">
        <v>24</v>
      </c>
      <c r="C111" t="s">
        <v>16</v>
      </c>
      <c r="D111" t="s">
        <v>16</v>
      </c>
      <c r="E111" t="s">
        <v>3</v>
      </c>
      <c r="F111" t="s">
        <v>76</v>
      </c>
      <c r="G111" t="s">
        <v>36</v>
      </c>
      <c r="H111" t="s">
        <v>4</v>
      </c>
      <c r="I111" s="2">
        <f>+FY16Calc0!I111*(1+FTE!H112)</f>
        <v>26.722070088232901</v>
      </c>
      <c r="J111" s="2">
        <f>+FY16Calc0!J111*(1+OpFee!Y112)*(1+FTE!H112)</f>
        <v>506889.28330465662</v>
      </c>
      <c r="K111" s="2">
        <f>+FY16Calc0!K111*(1+OpFee!AB112)*(1+FTE!H112)</f>
        <v>506884.14118808357</v>
      </c>
      <c r="L111" s="2">
        <f t="shared" si="14"/>
        <v>20275.365647523344</v>
      </c>
      <c r="M111" s="2">
        <f>+FY16Calc0!M111*(1+OpFee!Y112)*(1+FTE!H112)</f>
        <v>0</v>
      </c>
      <c r="N111" s="2">
        <f>+FY16Calc0!N111*(1+FTE!H112)*(1+OpFee!AB112)</f>
        <v>0</v>
      </c>
      <c r="O111" s="2">
        <f>+FY16Calc0!O111*(1+FTE!H112)*(1+OpFee!AC112)</f>
        <v>0</v>
      </c>
      <c r="P111" s="2">
        <f t="shared" si="11"/>
        <v>0</v>
      </c>
      <c r="Q111" s="2">
        <f t="shared" si="12"/>
        <v>24330.695882856668</v>
      </c>
      <c r="R111" s="2">
        <f t="shared" si="13"/>
        <v>462283.22177427664</v>
      </c>
      <c r="T111" s="3">
        <f>+J111-L111-P111-Q111-S111</f>
        <v>462283.22177427664</v>
      </c>
    </row>
    <row r="112" spans="1:20" x14ac:dyDescent="0.25">
      <c r="A112" t="s">
        <v>5</v>
      </c>
      <c r="B112" t="s">
        <v>24</v>
      </c>
      <c r="C112" t="s">
        <v>16</v>
      </c>
      <c r="D112" t="s">
        <v>16</v>
      </c>
      <c r="E112" s="102" t="s">
        <v>5</v>
      </c>
      <c r="F112" t="s">
        <v>76</v>
      </c>
      <c r="G112" t="s">
        <v>36</v>
      </c>
      <c r="H112" t="s">
        <v>6</v>
      </c>
      <c r="I112" s="2">
        <f>+FY16Calc0!I112*(1+FTE!H113)</f>
        <v>0</v>
      </c>
      <c r="J112" s="2">
        <f>+FY16Calc0!J112*(1+OpFee!Y113)*(1+FTE!H113)</f>
        <v>0</v>
      </c>
      <c r="K112">
        <f>+FY16Calc0!K112*(1+OpFee!AB113)*(1+FTE!H113)</f>
        <v>0</v>
      </c>
      <c r="L112" s="2">
        <f t="shared" si="14"/>
        <v>0</v>
      </c>
      <c r="M112" s="2">
        <f>+FY16Calc0!M112*(1+OpFee!Y113)*(1+FTE!H113)</f>
        <v>0</v>
      </c>
      <c r="N112" s="2">
        <f>+FY16Calc0!N112*(1+FTE!H113)*(1+OpFee!AB113)</f>
        <v>0</v>
      </c>
      <c r="O112" s="2">
        <f>+FY16Calc0!O112*(1+FTE!H113)*(1+OpFee!AC113)</f>
        <v>0</v>
      </c>
      <c r="P112">
        <f t="shared" si="11"/>
        <v>0</v>
      </c>
      <c r="Q112">
        <f t="shared" si="12"/>
        <v>0</v>
      </c>
      <c r="R112">
        <f t="shared" si="13"/>
        <v>0</v>
      </c>
    </row>
    <row r="113" spans="1:23" x14ac:dyDescent="0.25">
      <c r="A113" t="s">
        <v>5</v>
      </c>
      <c r="B113" t="s">
        <v>18</v>
      </c>
      <c r="C113" t="s">
        <v>24</v>
      </c>
      <c r="D113" s="102" t="s">
        <v>10</v>
      </c>
      <c r="E113" t="s">
        <v>3</v>
      </c>
      <c r="F113" t="s">
        <v>97</v>
      </c>
      <c r="G113" t="s">
        <v>50</v>
      </c>
      <c r="H113" t="s">
        <v>4</v>
      </c>
      <c r="I113" s="2">
        <f>+FY16Calc0!I113*(1+FTE!H114)</f>
        <v>23.407628988889702</v>
      </c>
      <c r="J113" s="2">
        <f>+FY16Calc0!J113*(1+OpFee!Y114)*(1+FTE!H114)</f>
        <v>455729.36570226803</v>
      </c>
      <c r="K113" s="2">
        <f>+FY16Calc0!K113*(1+OpFee!AB114)*(1+FTE!H114)</f>
        <v>455729.36570226803</v>
      </c>
      <c r="L113" s="2">
        <f t="shared" si="14"/>
        <v>18229.174628090721</v>
      </c>
      <c r="M113" s="2">
        <f>+FY16Calc0!M113*(1+OpFee!Y114)*(1+FTE!H114)</f>
        <v>0</v>
      </c>
      <c r="N113" s="2">
        <f>+FY16Calc0!N113*(1+FTE!H114)*(1+OpFee!AB114)</f>
        <v>0</v>
      </c>
      <c r="O113" s="2">
        <f>+FY16Calc0!O113*(1+FTE!H114)*(1+OpFee!AC114)</f>
        <v>0</v>
      </c>
      <c r="P113" s="2">
        <f t="shared" si="11"/>
        <v>0</v>
      </c>
      <c r="Q113" s="2">
        <f t="shared" si="12"/>
        <v>21875.009553708867</v>
      </c>
      <c r="R113" s="2">
        <f t="shared" si="13"/>
        <v>415625.18152046844</v>
      </c>
      <c r="T113" s="3">
        <f>+J113-L113-P113-Q113-S113</f>
        <v>415625.18152046844</v>
      </c>
    </row>
    <row r="114" spans="1:23" x14ac:dyDescent="0.25">
      <c r="A114" t="s">
        <v>5</v>
      </c>
      <c r="B114" t="s">
        <v>18</v>
      </c>
      <c r="C114" t="s">
        <v>24</v>
      </c>
      <c r="D114" s="102" t="s">
        <v>10</v>
      </c>
      <c r="E114" t="s">
        <v>5</v>
      </c>
      <c r="F114" t="s">
        <v>97</v>
      </c>
      <c r="G114" t="s">
        <v>50</v>
      </c>
      <c r="H114" t="s">
        <v>6</v>
      </c>
      <c r="I114" s="2">
        <f>+FY16Calc0!I114*(1+FTE!H115)</f>
        <v>1.7606055999779899</v>
      </c>
      <c r="J114" s="2">
        <f>+FY16Calc0!J114*(1+OpFee!Y115)*(1+FTE!H115)</f>
        <v>66943.8109060633</v>
      </c>
      <c r="K114" s="2">
        <f>+FY16Calc0!K114*(1+OpFee!AB115)*(1+FTE!H115)</f>
        <v>37694.049280576597</v>
      </c>
      <c r="L114" s="2">
        <f t="shared" si="14"/>
        <v>1507.7619712230639</v>
      </c>
      <c r="M114" s="2">
        <f>+FY16Calc0!M114*(1+OpFee!Y115)*(1+FTE!H115)</f>
        <v>0</v>
      </c>
      <c r="N114" s="2">
        <f>+FY16Calc0!N114*(1+FTE!H115)*(1+OpFee!AB115)</f>
        <v>0</v>
      </c>
      <c r="O114" s="2">
        <f>+FY16Calc0!O114*(1+FTE!H115)*(1+OpFee!AC115)</f>
        <v>0</v>
      </c>
      <c r="P114" s="2">
        <f t="shared" si="11"/>
        <v>0</v>
      </c>
      <c r="Q114" s="2">
        <f t="shared" si="12"/>
        <v>3271.8024467420119</v>
      </c>
      <c r="R114" s="2">
        <f t="shared" si="13"/>
        <v>62164.246488098222</v>
      </c>
      <c r="T114" s="3">
        <f>+J114-L114-P114-Q114-S114</f>
        <v>62164.246488098222</v>
      </c>
    </row>
    <row r="116" spans="1:23" x14ac:dyDescent="0.25">
      <c r="E116" s="102"/>
    </row>
    <row r="117" spans="1:23" x14ac:dyDescent="0.25">
      <c r="E117" s="102"/>
    </row>
    <row r="118" spans="1:23" x14ac:dyDescent="0.25">
      <c r="F118" t="s">
        <v>120</v>
      </c>
      <c r="I118" s="2">
        <f t="shared" ref="I118:T118" si="16">SUMIF($A$3:$A$114,"0",I$3:I$114)</f>
        <v>38585.02062655372</v>
      </c>
      <c r="J118" s="2">
        <f t="shared" si="16"/>
        <v>706236777.17825532</v>
      </c>
      <c r="K118" s="2">
        <f t="shared" si="16"/>
        <v>468265756.77459782</v>
      </c>
      <c r="L118" s="2">
        <f t="shared" si="16"/>
        <v>18730630.270983908</v>
      </c>
      <c r="M118" s="2">
        <f t="shared" si="16"/>
        <v>4013725.0797996153</v>
      </c>
      <c r="N118" s="2">
        <f t="shared" si="16"/>
        <v>29449726.801924538</v>
      </c>
      <c r="O118" s="2">
        <f t="shared" si="16"/>
        <v>48041766.592195056</v>
      </c>
      <c r="P118" s="2">
        <f t="shared" si="16"/>
        <v>81505218.473919168</v>
      </c>
      <c r="Q118" s="2">
        <f t="shared" si="16"/>
        <v>30300046.421667587</v>
      </c>
      <c r="R118" s="2">
        <f t="shared" si="16"/>
        <v>575700882.01168454</v>
      </c>
      <c r="S118" s="2">
        <f t="shared" si="16"/>
        <v>26129669.080179986</v>
      </c>
      <c r="T118" s="2">
        <f t="shared" si="16"/>
        <v>549571212.93150437</v>
      </c>
    </row>
    <row r="119" spans="1:23" x14ac:dyDescent="0.25">
      <c r="F119" t="s">
        <v>121</v>
      </c>
      <c r="I119" s="2">
        <f t="shared" ref="I119:T119" si="17">SUMIF($A$3:$A$114,"1",I$3:I$114)</f>
        <v>4763.4243504533833</v>
      </c>
      <c r="J119" s="2">
        <f t="shared" si="17"/>
        <v>64786274.537048973</v>
      </c>
      <c r="K119" s="2">
        <f t="shared" si="17"/>
        <v>54548956.970782332</v>
      </c>
      <c r="L119" s="2">
        <f t="shared" si="17"/>
        <v>2181958.2788312933</v>
      </c>
      <c r="M119" s="2">
        <f t="shared" si="17"/>
        <v>2484.4388561195915</v>
      </c>
      <c r="N119" s="2">
        <f t="shared" si="17"/>
        <v>395122.94316193793</v>
      </c>
      <c r="O119" s="2">
        <f t="shared" si="17"/>
        <v>20387.806290041801</v>
      </c>
      <c r="P119" s="2">
        <f t="shared" si="17"/>
        <v>417995.18830809934</v>
      </c>
      <c r="Q119" s="2">
        <f t="shared" si="17"/>
        <v>3109316.0534954797</v>
      </c>
      <c r="R119" s="2">
        <f t="shared" si="17"/>
        <v>59077005.016414098</v>
      </c>
      <c r="S119" s="2">
        <f t="shared" si="17"/>
        <v>2943538.8107318659</v>
      </c>
      <c r="T119" s="2">
        <f t="shared" si="17"/>
        <v>56133466.205682233</v>
      </c>
    </row>
    <row r="120" spans="1:23" x14ac:dyDescent="0.25">
      <c r="F120" t="s">
        <v>142</v>
      </c>
      <c r="I120" s="2">
        <f t="shared" ref="I120:T120" si="18">SUMIF($A$3:$A$114,"2",I$3:I$114)</f>
        <v>4270.5298660643575</v>
      </c>
      <c r="J120" s="2">
        <f t="shared" si="18"/>
        <v>56839367.999165155</v>
      </c>
      <c r="K120" s="2">
        <f t="shared" si="18"/>
        <v>50135065.427096248</v>
      </c>
      <c r="L120" s="2">
        <f t="shared" si="18"/>
        <v>2005402.6170838501</v>
      </c>
      <c r="M120" s="2">
        <f t="shared" si="18"/>
        <v>123502.15839971372</v>
      </c>
      <c r="N120" s="2">
        <f t="shared" si="18"/>
        <v>903901.94310705771</v>
      </c>
      <c r="O120" s="2">
        <f t="shared" si="18"/>
        <v>170981.99961455324</v>
      </c>
      <c r="P120" s="2">
        <f t="shared" si="18"/>
        <v>1198386.1011213246</v>
      </c>
      <c r="Q120" s="2">
        <f t="shared" si="18"/>
        <v>2681778.9640480001</v>
      </c>
      <c r="R120" s="2">
        <f t="shared" si="18"/>
        <v>50953800.316911973</v>
      </c>
      <c r="S120" s="2">
        <f t="shared" si="18"/>
        <v>2605339.3031579102</v>
      </c>
      <c r="T120" s="2">
        <f t="shared" si="18"/>
        <v>48348461.01375407</v>
      </c>
    </row>
    <row r="121" spans="1:23" x14ac:dyDescent="0.25">
      <c r="F121" t="s">
        <v>141</v>
      </c>
      <c r="I121" s="2">
        <f t="shared" ref="I121:T121" si="19">SUM(I118:I120)</f>
        <v>47618.974843071461</v>
      </c>
      <c r="J121" s="2">
        <f t="shared" si="19"/>
        <v>827862419.71446943</v>
      </c>
      <c r="K121" s="2">
        <f t="shared" si="19"/>
        <v>572949779.17247641</v>
      </c>
      <c r="L121" s="2">
        <f t="shared" si="19"/>
        <v>22917991.166899052</v>
      </c>
      <c r="M121" s="2">
        <f t="shared" si="19"/>
        <v>4139711.6770554488</v>
      </c>
      <c r="N121" s="2">
        <f t="shared" si="19"/>
        <v>30748751.688193534</v>
      </c>
      <c r="O121" s="2">
        <f t="shared" si="19"/>
        <v>48233136.398099653</v>
      </c>
      <c r="P121" s="2">
        <f t="shared" si="19"/>
        <v>83121599.763348594</v>
      </c>
      <c r="Q121" s="2">
        <f t="shared" si="19"/>
        <v>36091141.439211063</v>
      </c>
      <c r="R121" s="2">
        <f t="shared" si="19"/>
        <v>685731687.34501052</v>
      </c>
      <c r="S121" s="2">
        <f t="shared" si="19"/>
        <v>31678547.194069762</v>
      </c>
      <c r="T121" s="2">
        <f t="shared" si="19"/>
        <v>654053140.15094066</v>
      </c>
    </row>
    <row r="122" spans="1:23" x14ac:dyDescent="0.25">
      <c r="I122" s="2"/>
      <c r="J122" s="2"/>
      <c r="K122" s="2"/>
      <c r="L122" s="2"/>
      <c r="P122" s="2"/>
      <c r="Q122" s="2"/>
      <c r="R122" s="2"/>
      <c r="S122" s="2"/>
      <c r="T122" s="2"/>
      <c r="V122" t="s">
        <v>309</v>
      </c>
    </row>
    <row r="123" spans="1:23" x14ac:dyDescent="0.25">
      <c r="F123" t="s">
        <v>122</v>
      </c>
      <c r="I123" s="2">
        <f t="shared" ref="I123:T123" si="20">SUMIFS(I$3:I$114,$A$3:$A$114,"0",$C$3:$C$114,"01",$E$3:$E$114,"1")</f>
        <v>19171.871207842589</v>
      </c>
      <c r="J123" s="2">
        <f t="shared" si="20"/>
        <v>211415729.14642236</v>
      </c>
      <c r="K123" s="2">
        <f t="shared" si="20"/>
        <v>211415729.14642236</v>
      </c>
      <c r="L123" s="2">
        <f t="shared" si="20"/>
        <v>8456629.1658568941</v>
      </c>
      <c r="M123" s="2">
        <f t="shared" si="20"/>
        <v>91187.710709288469</v>
      </c>
      <c r="N123" s="2">
        <f t="shared" si="20"/>
        <v>912268.86392331729</v>
      </c>
      <c r="O123" s="2">
        <f t="shared" si="20"/>
        <v>0</v>
      </c>
      <c r="P123" s="2">
        <f t="shared" si="20"/>
        <v>1003456.5746326058</v>
      </c>
      <c r="Q123" s="2">
        <f t="shared" si="20"/>
        <v>10097782.170296643</v>
      </c>
      <c r="R123" s="2">
        <f t="shared" si="20"/>
        <v>191857861.2356362</v>
      </c>
      <c r="S123" s="2">
        <f t="shared" si="20"/>
        <v>14129669.080179987</v>
      </c>
      <c r="T123" s="2">
        <f t="shared" si="20"/>
        <v>177728192.15545622</v>
      </c>
      <c r="V123" s="3">
        <f>+T123-FY17Calc!T123</f>
        <v>26655364.507304519</v>
      </c>
      <c r="W123" s="3">
        <f>+V123-FY16Calc0!V123</f>
        <v>17819080.217241466</v>
      </c>
    </row>
    <row r="124" spans="1:23" x14ac:dyDescent="0.25">
      <c r="F124" t="s">
        <v>123</v>
      </c>
      <c r="I124" s="2">
        <f t="shared" ref="I124:T124" si="21">SUMIFS(I$3:I$114,$A$3:$A$114,"1",$C$3:$C$114,"01",$E$3:$E$114,"1")</f>
        <v>3993.9468259591126</v>
      </c>
      <c r="J124" s="2">
        <f t="shared" si="21"/>
        <v>44576047.864331082</v>
      </c>
      <c r="K124" s="2">
        <f t="shared" si="21"/>
        <v>44576047.864331082</v>
      </c>
      <c r="L124" s="2">
        <f t="shared" si="21"/>
        <v>1783041.9145732434</v>
      </c>
      <c r="M124" s="2">
        <f t="shared" si="21"/>
        <v>0</v>
      </c>
      <c r="N124" s="2">
        <f t="shared" si="21"/>
        <v>304156.29869837133</v>
      </c>
      <c r="O124" s="2">
        <f t="shared" si="21"/>
        <v>0</v>
      </c>
      <c r="P124" s="2">
        <f t="shared" si="21"/>
        <v>304156.29869837133</v>
      </c>
      <c r="Q124" s="2">
        <f t="shared" si="21"/>
        <v>2124442.4825529736</v>
      </c>
      <c r="R124" s="2">
        <f t="shared" si="21"/>
        <v>40364407.168506488</v>
      </c>
      <c r="S124" s="2">
        <f t="shared" si="21"/>
        <v>2943538.8107318659</v>
      </c>
      <c r="T124" s="2">
        <f t="shared" si="21"/>
        <v>37420868.357774623</v>
      </c>
      <c r="V124" s="3">
        <f>+T124-FY17Calc!T124</f>
        <v>5612062.3767165095</v>
      </c>
      <c r="W124" s="3">
        <f>+V124-FY16Calc0!V124</f>
        <v>3828729.5206992328</v>
      </c>
    </row>
    <row r="125" spans="1:23" x14ac:dyDescent="0.25">
      <c r="F125" t="s">
        <v>124</v>
      </c>
      <c r="I125" s="2">
        <f t="shared" ref="I125:T125" si="22">SUMIFS(I$3:I$114,$A$3:$A$114,"2",$C$3:$C$114,"01",$E$3:$E$114,"1")</f>
        <v>3535.0601128329859</v>
      </c>
      <c r="J125" s="2">
        <f t="shared" si="22"/>
        <v>39462180.037393354</v>
      </c>
      <c r="K125" s="2">
        <f t="shared" si="22"/>
        <v>39462180.037393354</v>
      </c>
      <c r="L125" s="2">
        <f t="shared" si="22"/>
        <v>1578487.201495734</v>
      </c>
      <c r="M125" s="2">
        <f t="shared" si="22"/>
        <v>0</v>
      </c>
      <c r="N125" s="2">
        <f t="shared" si="22"/>
        <v>856740.183230764</v>
      </c>
      <c r="O125" s="2">
        <f t="shared" si="22"/>
        <v>0</v>
      </c>
      <c r="P125" s="2">
        <f t="shared" si="22"/>
        <v>856740.183230764</v>
      </c>
      <c r="Q125" s="2">
        <f t="shared" si="22"/>
        <v>1851347.6326333429</v>
      </c>
      <c r="R125" s="2">
        <f t="shared" si="22"/>
        <v>35175605.020033509</v>
      </c>
      <c r="S125" s="2">
        <f t="shared" si="22"/>
        <v>2605339.3031579102</v>
      </c>
      <c r="T125" s="2">
        <f t="shared" si="22"/>
        <v>32570265.716875602</v>
      </c>
      <c r="V125" s="3">
        <f>+T125-FY17Calc!T125</f>
        <v>4884471.9630457684</v>
      </c>
      <c r="W125" s="3">
        <f>+V125-FY16Calc0!V125</f>
        <v>3334416.612927299</v>
      </c>
    </row>
    <row r="126" spans="1:23" x14ac:dyDescent="0.25">
      <c r="F126" t="s">
        <v>140</v>
      </c>
      <c r="I126" s="2">
        <f>SUM(I123:I125)</f>
        <v>26700.878146634688</v>
      </c>
      <c r="J126" s="2">
        <f t="shared" ref="J126:T126" si="23">SUM(J123:J125)</f>
        <v>295453957.04814678</v>
      </c>
      <c r="K126" s="2">
        <f t="shared" si="23"/>
        <v>295453957.04814678</v>
      </c>
      <c r="L126" s="2">
        <f t="shared" si="23"/>
        <v>11818158.281925872</v>
      </c>
      <c r="M126" s="2">
        <f t="shared" si="23"/>
        <v>91187.710709288469</v>
      </c>
      <c r="N126" s="2">
        <f t="shared" si="23"/>
        <v>2073165.3458524526</v>
      </c>
      <c r="O126" s="2">
        <f t="shared" si="23"/>
        <v>0</v>
      </c>
      <c r="P126" s="2">
        <f t="shared" si="23"/>
        <v>2164353.056561741</v>
      </c>
      <c r="Q126" s="2">
        <f t="shared" si="23"/>
        <v>14073572.28548296</v>
      </c>
      <c r="R126" s="2">
        <f t="shared" si="23"/>
        <v>267397873.42417619</v>
      </c>
      <c r="S126" s="2">
        <f t="shared" si="23"/>
        <v>19678547.194069766</v>
      </c>
      <c r="T126" s="2">
        <f t="shared" si="23"/>
        <v>247719326.23010644</v>
      </c>
      <c r="V126" s="3">
        <f>SUM(V123:V125)</f>
        <v>37151898.847066797</v>
      </c>
      <c r="W126" s="3">
        <f>SUM(W123:W125)</f>
        <v>24982226.350867998</v>
      </c>
    </row>
    <row r="127" spans="1:23" x14ac:dyDescent="0.25">
      <c r="I127" s="2"/>
      <c r="J127" s="2"/>
      <c r="K127" s="2"/>
      <c r="L127" s="2"/>
      <c r="P127" s="2"/>
      <c r="Q127" s="2"/>
      <c r="R127" s="2"/>
      <c r="S127" s="2"/>
      <c r="T127" s="2"/>
    </row>
    <row r="128" spans="1:23" x14ac:dyDescent="0.25">
      <c r="F128" t="s">
        <v>125</v>
      </c>
      <c r="I128" s="2">
        <f t="shared" ref="I128:T128" si="24">SUMIFS(I$3:I$114,$A$3:$A$114,"0",$C$3:$C$114,"01")</f>
        <v>27317.578205376372</v>
      </c>
      <c r="J128" s="2">
        <f t="shared" si="24"/>
        <v>470374895.68617225</v>
      </c>
      <c r="K128" s="2">
        <f t="shared" si="24"/>
        <v>297747494.23620629</v>
      </c>
      <c r="L128" s="2">
        <f t="shared" si="24"/>
        <v>11909899.769448251</v>
      </c>
      <c r="M128" s="2">
        <f t="shared" si="24"/>
        <v>95653.845360869163</v>
      </c>
      <c r="N128" s="2">
        <f t="shared" si="24"/>
        <v>929759.92780819151</v>
      </c>
      <c r="O128" s="2">
        <f t="shared" si="24"/>
        <v>23030.367953408131</v>
      </c>
      <c r="P128" s="2">
        <f t="shared" si="24"/>
        <v>1048444.1411224687</v>
      </c>
      <c r="Q128" s="2">
        <f t="shared" si="24"/>
        <v>22870827.588780075</v>
      </c>
      <c r="R128" s="2">
        <f t="shared" si="24"/>
        <v>434545724.18682146</v>
      </c>
      <c r="S128" s="2">
        <f t="shared" si="24"/>
        <v>26129669.080179986</v>
      </c>
      <c r="T128" s="2">
        <f t="shared" si="24"/>
        <v>408416055.10664141</v>
      </c>
    </row>
    <row r="129" spans="6:20" x14ac:dyDescent="0.25">
      <c r="F129" t="s">
        <v>126</v>
      </c>
      <c r="I129" s="2">
        <f t="shared" ref="I129:T129" si="25">SUMIFS(I$3:I$114,$A$3:$A$114,"1",$C$3:$C$114,"01")</f>
        <v>4462.1531222210324</v>
      </c>
      <c r="J129" s="2">
        <f t="shared" si="25"/>
        <v>59552872.312676609</v>
      </c>
      <c r="K129" s="2">
        <f t="shared" si="25"/>
        <v>49569276.683139101</v>
      </c>
      <c r="L129" s="2">
        <f t="shared" si="25"/>
        <v>1982771.0673255643</v>
      </c>
      <c r="M129" s="2">
        <f t="shared" si="25"/>
        <v>2484.4388561195915</v>
      </c>
      <c r="N129" s="2">
        <f t="shared" si="25"/>
        <v>305979.55856206565</v>
      </c>
      <c r="O129" s="2">
        <f t="shared" si="25"/>
        <v>0</v>
      </c>
      <c r="P129" s="2">
        <f t="shared" si="25"/>
        <v>308463.99741818529</v>
      </c>
      <c r="Q129" s="2">
        <f t="shared" si="25"/>
        <v>2863081.8623966435</v>
      </c>
      <c r="R129" s="2">
        <f t="shared" si="25"/>
        <v>54398555.385536216</v>
      </c>
      <c r="S129" s="2">
        <f t="shared" si="25"/>
        <v>2943538.8107318659</v>
      </c>
      <c r="T129" s="2">
        <f t="shared" si="25"/>
        <v>51455016.574804351</v>
      </c>
    </row>
    <row r="130" spans="6:20" x14ac:dyDescent="0.25">
      <c r="F130" t="s">
        <v>127</v>
      </c>
      <c r="I130" s="2">
        <f t="shared" ref="I130:T130" si="26">SUMIFS(I$3:I$114,$A$3:$A$114,"2",$C$3:$C$114,"01")</f>
        <v>3781.5030008304248</v>
      </c>
      <c r="J130" s="2">
        <f t="shared" si="26"/>
        <v>47475835.658824816</v>
      </c>
      <c r="K130" s="2">
        <f t="shared" si="26"/>
        <v>42133920.30024296</v>
      </c>
      <c r="L130" s="2">
        <f t="shared" si="26"/>
        <v>1685356.8120097185</v>
      </c>
      <c r="M130" s="2">
        <f t="shared" si="26"/>
        <v>35135.513857250007</v>
      </c>
      <c r="N130" s="2">
        <f t="shared" si="26"/>
        <v>866068.8300422898</v>
      </c>
      <c r="O130" s="2">
        <f t="shared" si="26"/>
        <v>0</v>
      </c>
      <c r="P130" s="2">
        <f t="shared" si="26"/>
        <v>901204.34389953979</v>
      </c>
      <c r="Q130" s="2">
        <f t="shared" si="26"/>
        <v>2244463.7251457777</v>
      </c>
      <c r="R130" s="2">
        <f t="shared" si="26"/>
        <v>42644810.777769774</v>
      </c>
      <c r="S130" s="2">
        <f t="shared" si="26"/>
        <v>2605339.3031579102</v>
      </c>
      <c r="T130" s="2">
        <f t="shared" si="26"/>
        <v>40039471.474611871</v>
      </c>
    </row>
    <row r="131" spans="6:20" x14ac:dyDescent="0.25">
      <c r="F131" t="s">
        <v>139</v>
      </c>
      <c r="I131" s="2">
        <f>SUM(I128:I130)</f>
        <v>35561.234328427832</v>
      </c>
      <c r="J131" s="2">
        <f t="shared" ref="J131:T131" si="27">SUM(J128:J130)</f>
        <v>577403603.65767372</v>
      </c>
      <c r="K131" s="2">
        <f t="shared" si="27"/>
        <v>389450691.21958834</v>
      </c>
      <c r="L131" s="2">
        <f t="shared" si="27"/>
        <v>15578027.648783533</v>
      </c>
      <c r="M131" s="2">
        <f t="shared" si="27"/>
        <v>133273.79807423876</v>
      </c>
      <c r="N131" s="2">
        <f t="shared" si="27"/>
        <v>2101808.3164125467</v>
      </c>
      <c r="O131" s="2">
        <f t="shared" si="27"/>
        <v>23030.367953408131</v>
      </c>
      <c r="P131" s="2">
        <f t="shared" si="27"/>
        <v>2258112.4824401936</v>
      </c>
      <c r="Q131" s="2">
        <f t="shared" si="27"/>
        <v>27978373.176322497</v>
      </c>
      <c r="R131" s="2">
        <f t="shared" si="27"/>
        <v>531589090.35012746</v>
      </c>
      <c r="S131" s="2">
        <f t="shared" si="27"/>
        <v>31678547.194069762</v>
      </c>
      <c r="T131" s="2">
        <f t="shared" si="27"/>
        <v>499910543.15605766</v>
      </c>
    </row>
    <row r="132" spans="6:20" x14ac:dyDescent="0.25">
      <c r="I132" s="2"/>
      <c r="J132" s="2"/>
      <c r="K132" s="2"/>
      <c r="L132" s="2"/>
      <c r="P132" s="2"/>
      <c r="Q132" s="2"/>
      <c r="R132" s="2"/>
      <c r="S132" s="2"/>
      <c r="T132" s="2"/>
    </row>
    <row r="133" spans="6:20" x14ac:dyDescent="0.25">
      <c r="F133" t="s">
        <v>128</v>
      </c>
      <c r="I133" s="2">
        <f>+I118-I128</f>
        <v>11267.442421177348</v>
      </c>
      <c r="J133" s="2">
        <f t="shared" ref="J133:T135" si="28">+J118-J128</f>
        <v>235861881.49208307</v>
      </c>
      <c r="K133" s="2">
        <f t="shared" si="28"/>
        <v>170518262.53839153</v>
      </c>
      <c r="L133" s="2">
        <f t="shared" si="28"/>
        <v>6820730.5015356578</v>
      </c>
      <c r="M133" s="2">
        <f t="shared" si="28"/>
        <v>3918071.2344387462</v>
      </c>
      <c r="N133" s="2">
        <f t="shared" si="28"/>
        <v>28519966.874116346</v>
      </c>
      <c r="O133" s="2">
        <f t="shared" si="28"/>
        <v>48018736.224241652</v>
      </c>
      <c r="P133" s="2">
        <f t="shared" si="28"/>
        <v>80456774.332796693</v>
      </c>
      <c r="Q133" s="2">
        <f t="shared" si="28"/>
        <v>7429218.8328875117</v>
      </c>
      <c r="R133" s="2">
        <f t="shared" si="28"/>
        <v>141155157.82486308</v>
      </c>
      <c r="S133" s="2">
        <f t="shared" si="28"/>
        <v>0</v>
      </c>
      <c r="T133" s="2">
        <f t="shared" si="28"/>
        <v>141155157.82486296</v>
      </c>
    </row>
    <row r="134" spans="6:20" x14ac:dyDescent="0.25">
      <c r="F134" t="s">
        <v>129</v>
      </c>
      <c r="I134" s="2">
        <f t="shared" ref="I134:R135" si="29">+I119-I129</f>
        <v>301.27122823235095</v>
      </c>
      <c r="J134" s="2">
        <f t="shared" si="29"/>
        <v>5233402.2243723646</v>
      </c>
      <c r="K134" s="2">
        <f t="shared" si="29"/>
        <v>4979680.2876432315</v>
      </c>
      <c r="L134" s="2">
        <f t="shared" si="29"/>
        <v>199187.21150572901</v>
      </c>
      <c r="M134" s="2">
        <f t="shared" si="28"/>
        <v>0</v>
      </c>
      <c r="N134" s="2">
        <f t="shared" si="28"/>
        <v>89143.384599872283</v>
      </c>
      <c r="O134" s="2">
        <f t="shared" si="28"/>
        <v>20387.806290041801</v>
      </c>
      <c r="P134" s="2">
        <f t="shared" si="29"/>
        <v>109531.19088991405</v>
      </c>
      <c r="Q134" s="2">
        <f t="shared" si="29"/>
        <v>246234.19109883625</v>
      </c>
      <c r="R134" s="2">
        <f t="shared" si="29"/>
        <v>4678449.6308778822</v>
      </c>
      <c r="S134" s="2">
        <f t="shared" si="28"/>
        <v>0</v>
      </c>
      <c r="T134" s="2">
        <f t="shared" si="28"/>
        <v>4678449.6308778822</v>
      </c>
    </row>
    <row r="135" spans="6:20" x14ac:dyDescent="0.25">
      <c r="F135" t="s">
        <v>130</v>
      </c>
      <c r="I135" s="2">
        <f t="shared" si="29"/>
        <v>489.02686523393277</v>
      </c>
      <c r="J135" s="2">
        <f t="shared" si="29"/>
        <v>9363532.3403403386</v>
      </c>
      <c r="K135" s="2">
        <f t="shared" si="29"/>
        <v>8001145.1268532872</v>
      </c>
      <c r="L135" s="2">
        <f t="shared" si="29"/>
        <v>320045.80507413158</v>
      </c>
      <c r="M135" s="2">
        <f t="shared" si="28"/>
        <v>88366.644542463706</v>
      </c>
      <c r="N135" s="2">
        <f t="shared" si="28"/>
        <v>37833.113064767909</v>
      </c>
      <c r="O135" s="2">
        <f t="shared" si="28"/>
        <v>170981.99961455324</v>
      </c>
      <c r="P135" s="2">
        <f t="shared" si="29"/>
        <v>297181.75722178479</v>
      </c>
      <c r="Q135" s="2">
        <f t="shared" si="29"/>
        <v>437315.23890222237</v>
      </c>
      <c r="R135" s="2">
        <f t="shared" si="29"/>
        <v>8308989.5391421989</v>
      </c>
      <c r="S135" s="2">
        <f t="shared" si="28"/>
        <v>0</v>
      </c>
      <c r="T135" s="2">
        <f t="shared" si="28"/>
        <v>8308989.5391421989</v>
      </c>
    </row>
    <row r="136" spans="6:20" x14ac:dyDescent="0.25">
      <c r="F136" t="s">
        <v>138</v>
      </c>
      <c r="I136" s="2">
        <f>SUM(I133:I135)</f>
        <v>12057.740514643632</v>
      </c>
      <c r="J136" s="2">
        <f t="shared" ref="J136:T136" si="30">SUM(J133:J135)</f>
        <v>250458816.05679578</v>
      </c>
      <c r="K136" s="2">
        <f t="shared" si="30"/>
        <v>183499087.95288804</v>
      </c>
      <c r="L136" s="2">
        <f t="shared" si="30"/>
        <v>7339963.5181155186</v>
      </c>
      <c r="M136" s="2">
        <f t="shared" si="30"/>
        <v>4006437.8789812098</v>
      </c>
      <c r="N136" s="2">
        <f t="shared" si="30"/>
        <v>28646943.371780988</v>
      </c>
      <c r="O136" s="2">
        <f t="shared" si="30"/>
        <v>48210106.030146249</v>
      </c>
      <c r="P136" s="2">
        <f t="shared" si="30"/>
        <v>80863487.280908391</v>
      </c>
      <c r="Q136" s="2">
        <f t="shared" si="30"/>
        <v>8112768.2628885703</v>
      </c>
      <c r="R136" s="2">
        <f t="shared" si="30"/>
        <v>154142596.99488315</v>
      </c>
      <c r="S136" s="2">
        <f t="shared" si="30"/>
        <v>0</v>
      </c>
      <c r="T136" s="2">
        <f t="shared" si="30"/>
        <v>154142596.99488303</v>
      </c>
    </row>
    <row r="137" spans="6:20" x14ac:dyDescent="0.25">
      <c r="I137" s="3"/>
      <c r="J137" s="3"/>
      <c r="K137" s="3"/>
      <c r="L137" s="3"/>
      <c r="P137" s="3"/>
      <c r="Q137" s="3"/>
      <c r="R137"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topLeftCell="A3" workbookViewId="0">
      <selection activeCell="C4" sqref="C4"/>
    </sheetView>
  </sheetViews>
  <sheetFormatPr defaultColWidth="8.85546875" defaultRowHeight="15" x14ac:dyDescent="0.25"/>
  <cols>
    <col min="1" max="1" width="5.140625" customWidth="1"/>
    <col min="2" max="2" width="19.7109375" customWidth="1"/>
    <col min="3" max="4" width="15.85546875" customWidth="1"/>
    <col min="5" max="5" width="18.140625" customWidth="1"/>
    <col min="6" max="6" width="18.7109375" customWidth="1"/>
    <col min="7" max="7" width="22.42578125" customWidth="1"/>
    <col min="8" max="8" width="21.85546875" customWidth="1"/>
    <col min="9" max="9" width="40.42578125" style="47" hidden="1" customWidth="1"/>
    <col min="10" max="10" width="13.140625" style="47" hidden="1" customWidth="1"/>
    <col min="11" max="11" width="15.42578125" style="47" hidden="1" customWidth="1"/>
    <col min="12" max="14" width="14.42578125" style="47" hidden="1" customWidth="1"/>
    <col min="15" max="15" width="15.42578125" hidden="1" customWidth="1"/>
    <col min="16" max="16" width="14.85546875" style="48" hidden="1" customWidth="1"/>
  </cols>
  <sheetData>
    <row r="1" spans="1:16" ht="28.5" customHeight="1" x14ac:dyDescent="0.25">
      <c r="B1" s="490" t="s">
        <v>145</v>
      </c>
      <c r="C1" s="490"/>
      <c r="D1" s="490"/>
      <c r="E1" s="490"/>
      <c r="F1" s="490"/>
    </row>
    <row r="2" spans="1:16" s="1" customFormat="1" ht="30" x14ac:dyDescent="0.25">
      <c r="B2" s="49" t="s">
        <v>105</v>
      </c>
      <c r="C2" s="49" t="s">
        <v>114</v>
      </c>
      <c r="D2" s="50" t="s">
        <v>119</v>
      </c>
      <c r="E2" s="51" t="s">
        <v>146</v>
      </c>
      <c r="F2" s="52" t="s">
        <v>147</v>
      </c>
      <c r="G2" s="53"/>
      <c r="P2" s="54"/>
    </row>
    <row r="3" spans="1:16" s="1" customFormat="1" ht="15" customHeight="1" x14ac:dyDescent="0.25">
      <c r="B3" s="55"/>
      <c r="C3" s="56"/>
      <c r="D3" s="57"/>
      <c r="E3" s="103">
        <v>5.0000000000000001E-3</v>
      </c>
      <c r="F3" s="58"/>
      <c r="G3" s="53"/>
      <c r="I3" s="59" t="s">
        <v>148</v>
      </c>
      <c r="J3" s="59" t="s">
        <v>149</v>
      </c>
      <c r="K3" s="59" t="s">
        <v>150</v>
      </c>
      <c r="L3" s="59" t="s">
        <v>151</v>
      </c>
      <c r="M3" s="59" t="s">
        <v>152</v>
      </c>
      <c r="N3" s="59" t="s">
        <v>153</v>
      </c>
      <c r="O3" s="59" t="s">
        <v>154</v>
      </c>
      <c r="P3" s="54"/>
    </row>
    <row r="4" spans="1:16" ht="18.95" customHeight="1" x14ac:dyDescent="0.25">
      <c r="A4" t="s">
        <v>1</v>
      </c>
      <c r="B4" s="60" t="s">
        <v>2</v>
      </c>
      <c r="C4" s="61">
        <f>SUMIF(FY16Calc!$D$3:$D$78,$A4,FY16Calc!$I$3:$I$78)</f>
        <v>27067.578205376372</v>
      </c>
      <c r="D4" s="61">
        <f>SUMIF(FY16Calc!$D$3:$D$78,$A4,FY16Calc!$T$3:$T$78)</f>
        <v>392564071.14942843</v>
      </c>
      <c r="E4" s="63">
        <f>+(1-$E$3)*D4</f>
        <v>390601250.79368126</v>
      </c>
      <c r="F4" s="64">
        <f>+E4*0.7</f>
        <v>273420875.55557686</v>
      </c>
      <c r="G4" s="65"/>
      <c r="I4" s="66" t="s">
        <v>2</v>
      </c>
      <c r="J4" s="67">
        <v>27216.738749455024</v>
      </c>
      <c r="K4" s="67">
        <v>458514580.44778383</v>
      </c>
      <c r="L4" s="67">
        <v>11268293.183462847</v>
      </c>
      <c r="M4" s="67">
        <v>981824.07106655231</v>
      </c>
      <c r="N4" s="67">
        <v>22313223.159662709</v>
      </c>
      <c r="O4" s="67">
        <v>423951240.03359103</v>
      </c>
    </row>
    <row r="5" spans="1:16" ht="18.95" customHeight="1" x14ac:dyDescent="0.25">
      <c r="A5" t="s">
        <v>7</v>
      </c>
      <c r="B5" s="68" t="s">
        <v>9</v>
      </c>
      <c r="C5" s="69">
        <f>SUMIF(FY16Calc!$D$3:$D$78,$A5,FY16Calc!$I$3:$I$78)</f>
        <v>3001.4488143440913</v>
      </c>
      <c r="D5" s="70">
        <f>SUMIF(FY16Calc!$D$3:$D$78,$A5,FY16Calc!$T$3:$T$78)</f>
        <v>18287393.598028459</v>
      </c>
      <c r="E5" s="71">
        <f t="shared" ref="E5:E24" si="0">+(1-$E$3)*D5</f>
        <v>18195956.630038317</v>
      </c>
      <c r="F5" s="72">
        <f t="shared" ref="F5:F24" si="1">+E5*0.7</f>
        <v>12737169.641026821</v>
      </c>
      <c r="G5" s="65"/>
      <c r="H5" s="73"/>
      <c r="I5" s="66" t="s">
        <v>9</v>
      </c>
      <c r="J5" s="67">
        <v>2987.2444444276334</v>
      </c>
      <c r="K5" s="67">
        <v>60794681.547260709</v>
      </c>
      <c r="L5" s="67">
        <v>1580337.3170779936</v>
      </c>
      <c r="M5" s="67">
        <v>37993351.423641443</v>
      </c>
      <c r="N5" s="67">
        <v>1061049.6403270641</v>
      </c>
      <c r="O5" s="67">
        <v>20159943.166214217</v>
      </c>
    </row>
    <row r="6" spans="1:16" ht="18.95" customHeight="1" x14ac:dyDescent="0.25">
      <c r="A6" t="s">
        <v>10</v>
      </c>
      <c r="B6" s="68" t="s">
        <v>11</v>
      </c>
      <c r="C6" s="69">
        <f>SUMIF(FY16Calc!$D$3:$D$78,$A6,FY16Calc!$I$3:$I$78)</f>
        <v>165.04918966582989</v>
      </c>
      <c r="D6" s="70">
        <f>SUMIF(FY16Calc!$D$3:$D$78,$A6,FY16Calc!$T$3:$T$78)</f>
        <v>1718683.9381011226</v>
      </c>
      <c r="E6" s="71">
        <f t="shared" si="0"/>
        <v>1710090.518410617</v>
      </c>
      <c r="F6" s="72">
        <f t="shared" si="1"/>
        <v>1197063.3628874319</v>
      </c>
      <c r="G6" s="65"/>
      <c r="I6" s="66" t="s">
        <v>11</v>
      </c>
      <c r="J6" s="67">
        <v>157.23888888812041</v>
      </c>
      <c r="K6" s="67">
        <v>2344795.5954718241</v>
      </c>
      <c r="L6" s="67">
        <v>72879.074864658323</v>
      </c>
      <c r="M6" s="67">
        <v>540860.49378181447</v>
      </c>
      <c r="N6" s="67">
        <v>86552.80134126771</v>
      </c>
      <c r="O6" s="67">
        <v>1644503.2254840855</v>
      </c>
    </row>
    <row r="7" spans="1:16" ht="18.95" customHeight="1" x14ac:dyDescent="0.25">
      <c r="A7" t="s">
        <v>12</v>
      </c>
      <c r="B7" s="68" t="s">
        <v>14</v>
      </c>
      <c r="C7" s="69">
        <f>SUMIF(FY16Calc!$D$3:$D$78,$A7,FY16Calc!$I$3:$I$78)</f>
        <v>1189.7820022568926</v>
      </c>
      <c r="D7" s="70">
        <f>SUMIF(FY16Calc!$D$3:$D$78,$A7,FY16Calc!$T$3:$T$78)</f>
        <v>11717011.61962712</v>
      </c>
      <c r="E7" s="71">
        <f t="shared" si="0"/>
        <v>11658426.561528984</v>
      </c>
      <c r="F7" s="72">
        <f t="shared" si="1"/>
        <v>8160898.5930702882</v>
      </c>
      <c r="G7" s="65"/>
      <c r="I7" s="66" t="s">
        <v>14</v>
      </c>
      <c r="J7" s="67">
        <v>1165.6444444296301</v>
      </c>
      <c r="K7" s="67">
        <v>25855486.590973187</v>
      </c>
      <c r="L7" s="67">
        <v>655309.23754839075</v>
      </c>
      <c r="M7" s="67">
        <v>12624602.907788677</v>
      </c>
      <c r="N7" s="67">
        <v>628778.72228180582</v>
      </c>
      <c r="O7" s="67">
        <v>11946795.723354323</v>
      </c>
    </row>
    <row r="8" spans="1:16" ht="18.95" customHeight="1" x14ac:dyDescent="0.25">
      <c r="A8" t="s">
        <v>15</v>
      </c>
      <c r="B8" s="68" t="s">
        <v>17</v>
      </c>
      <c r="C8" s="69">
        <f>SUMIF(FY16Calc!$D$3:$D$78,$A8,FY16Calc!$I$3:$I$78)</f>
        <v>503.79034973479509</v>
      </c>
      <c r="D8" s="70">
        <f>SUMIF(FY16Calc!$D$3:$D$78,$A8,FY16Calc!$T$3:$T$78)</f>
        <v>4814000.2715255572</v>
      </c>
      <c r="E8" s="71">
        <f t="shared" si="0"/>
        <v>4789930.2701679291</v>
      </c>
      <c r="F8" s="72">
        <f t="shared" si="1"/>
        <v>3352951.1891175504</v>
      </c>
      <c r="G8" s="65"/>
      <c r="I8" s="66" t="s">
        <v>17</v>
      </c>
      <c r="J8" s="67">
        <v>523.99999999573902</v>
      </c>
      <c r="K8" s="67">
        <v>9914097.8561357949</v>
      </c>
      <c r="L8" s="67">
        <v>264943.81583338714</v>
      </c>
      <c r="M8" s="67">
        <v>4160437.1937173661</v>
      </c>
      <c r="N8" s="67">
        <v>274435.84232925187</v>
      </c>
      <c r="O8" s="67">
        <v>5214281.0042557828</v>
      </c>
    </row>
    <row r="9" spans="1:16" ht="18.95" customHeight="1" x14ac:dyDescent="0.25">
      <c r="A9" t="s">
        <v>18</v>
      </c>
      <c r="B9" s="68" t="s">
        <v>19</v>
      </c>
      <c r="C9" s="69">
        <f>SUMIF(FY16Calc!$D$3:$D$78,$A9,FY16Calc!$I$3:$I$78)</f>
        <v>630.49255751900387</v>
      </c>
      <c r="D9" s="70">
        <f>SUMIF(FY16Calc!$D$3:$D$78,$A9,FY16Calc!$T$3:$T$78)</f>
        <v>6051097.1124166409</v>
      </c>
      <c r="E9" s="71">
        <f t="shared" si="0"/>
        <v>6020841.6268545575</v>
      </c>
      <c r="F9" s="72">
        <f t="shared" si="1"/>
        <v>4214589.1387981903</v>
      </c>
      <c r="G9" s="65"/>
      <c r="I9" s="66" t="s">
        <v>19</v>
      </c>
      <c r="J9" s="67">
        <v>654.72222221887398</v>
      </c>
      <c r="K9" s="67">
        <v>10050643.722381759</v>
      </c>
      <c r="L9" s="67">
        <v>316648.05664508819</v>
      </c>
      <c r="M9" s="67">
        <v>2949486.1420840002</v>
      </c>
      <c r="N9" s="67">
        <v>339225.47618263337</v>
      </c>
      <c r="O9" s="67">
        <v>6445284.0474700388</v>
      </c>
    </row>
    <row r="10" spans="1:16" ht="18.95" customHeight="1" x14ac:dyDescent="0.25">
      <c r="A10" t="s">
        <v>20</v>
      </c>
      <c r="B10" s="68" t="s">
        <v>155</v>
      </c>
      <c r="C10" s="74">
        <f>SUMIF(FY16Calc!$D$3:$D$78,$A10,FY16Calc!$I$3:$I$78)</f>
        <v>0</v>
      </c>
      <c r="D10" s="70">
        <f>SUMIF(FY16Calc!$D$3:$D$78,$A10,FY16Calc!$T$3:$T$78)</f>
        <v>0</v>
      </c>
      <c r="E10" s="71">
        <f t="shared" si="0"/>
        <v>0</v>
      </c>
      <c r="F10" s="72">
        <f t="shared" si="1"/>
        <v>0</v>
      </c>
      <c r="G10" s="65"/>
      <c r="I10" s="66" t="s">
        <v>155</v>
      </c>
      <c r="J10" s="67">
        <v>0.39999999999000002</v>
      </c>
      <c r="K10" s="67">
        <v>8349.506051996028</v>
      </c>
      <c r="L10" s="67">
        <v>333.98024207984116</v>
      </c>
      <c r="M10" s="67">
        <v>0</v>
      </c>
      <c r="N10" s="67">
        <v>400.77629049580929</v>
      </c>
      <c r="O10" s="67">
        <v>7614.7495194203775</v>
      </c>
    </row>
    <row r="11" spans="1:16" ht="18.95" customHeight="1" x14ac:dyDescent="0.25">
      <c r="A11" t="s">
        <v>21</v>
      </c>
      <c r="B11" s="68" t="s">
        <v>22</v>
      </c>
      <c r="C11" s="69">
        <f>SUMIF(FY16Calc!$D$3:$D$78,$A11,FY16Calc!$I$3:$I$78)</f>
        <v>330.07248046490901</v>
      </c>
      <c r="D11" s="70">
        <f>SUMIF(FY16Calc!$D$3:$D$78,$A11,FY16Calc!$T$3:$T$78)</f>
        <v>4420986.6223200969</v>
      </c>
      <c r="E11" s="71">
        <f t="shared" si="0"/>
        <v>4398881.6892084964</v>
      </c>
      <c r="F11" s="72">
        <f t="shared" si="1"/>
        <v>3079217.1824459471</v>
      </c>
      <c r="G11" s="65"/>
      <c r="I11" s="66" t="s">
        <v>22</v>
      </c>
      <c r="J11" s="67">
        <v>340.95555555375103</v>
      </c>
      <c r="K11" s="67">
        <v>5005161.71163355</v>
      </c>
      <c r="L11" s="67">
        <v>170419.49648224071</v>
      </c>
      <c r="M11" s="67">
        <v>198405.8884876949</v>
      </c>
      <c r="N11" s="67">
        <v>231816.8163331814</v>
      </c>
      <c r="O11" s="67">
        <v>4404519.5103304414</v>
      </c>
    </row>
    <row r="12" spans="1:16" ht="18.95" customHeight="1" x14ac:dyDescent="0.25">
      <c r="A12" t="s">
        <v>23</v>
      </c>
      <c r="B12" s="68" t="s">
        <v>25</v>
      </c>
      <c r="C12" s="69">
        <f>SUMIF(FY16Calc!$D$3:$D$78,$A12,FY16Calc!$I$3:$I$78)</f>
        <v>336.45476060129533</v>
      </c>
      <c r="D12" s="70">
        <f>SUMIF(FY16Calc!$D$3:$D$78,$A12,FY16Calc!$T$3:$T$78)</f>
        <v>3254312.8869196749</v>
      </c>
      <c r="E12" s="71">
        <f t="shared" si="0"/>
        <v>3238041.3224850767</v>
      </c>
      <c r="F12" s="72">
        <f t="shared" si="1"/>
        <v>2266628.9257395538</v>
      </c>
      <c r="G12" s="65"/>
      <c r="I12" s="66" t="s">
        <v>25</v>
      </c>
      <c r="J12" s="67">
        <v>322.19999999574901</v>
      </c>
      <c r="K12" s="67">
        <v>6754767.1704475321</v>
      </c>
      <c r="L12" s="67">
        <v>184060.87846352029</v>
      </c>
      <c r="M12" s="67">
        <v>2979071.1597328391</v>
      </c>
      <c r="N12" s="67">
        <v>179581.75661255882</v>
      </c>
      <c r="O12" s="67">
        <v>3412053.3756386195</v>
      </c>
    </row>
    <row r="13" spans="1:16" ht="18.95" customHeight="1" x14ac:dyDescent="0.25">
      <c r="A13" t="s">
        <v>26</v>
      </c>
      <c r="B13" s="68" t="s">
        <v>27</v>
      </c>
      <c r="C13" s="69">
        <f>SUMIF(FY16Calc!$D$3:$D$78,$A13,FY16Calc!$I$3:$I$78)</f>
        <v>240.0191756905655</v>
      </c>
      <c r="D13" s="70">
        <f>SUMIF(FY16Calc!$D$3:$D$78,$A13,FY16Calc!$T$3:$T$78)</f>
        <v>2473177.7117628288</v>
      </c>
      <c r="E13" s="71">
        <f t="shared" si="0"/>
        <v>2460811.8232040145</v>
      </c>
      <c r="F13" s="72">
        <f t="shared" si="1"/>
        <v>1722568.2762428101</v>
      </c>
      <c r="G13" s="65"/>
      <c r="I13" s="66" t="s">
        <v>27</v>
      </c>
      <c r="J13" s="67">
        <v>172.36111110833008</v>
      </c>
      <c r="K13" s="67">
        <v>3198140.1594982781</v>
      </c>
      <c r="L13" s="67">
        <v>86327.243732114992</v>
      </c>
      <c r="M13" s="67">
        <v>1190060.5684644135</v>
      </c>
      <c r="N13" s="67">
        <v>96087.617365087441</v>
      </c>
      <c r="O13" s="67">
        <v>1825664.7299366621</v>
      </c>
    </row>
    <row r="14" spans="1:16" ht="18.95" customHeight="1" x14ac:dyDescent="0.25">
      <c r="A14" t="s">
        <v>28</v>
      </c>
      <c r="B14" s="68" t="s">
        <v>30</v>
      </c>
      <c r="C14" s="69">
        <f>SUMIF(FY16Calc!$D$3:$D$78,$A14,FY16Calc!$I$3:$I$78)</f>
        <v>412.54863181192331</v>
      </c>
      <c r="D14" s="70">
        <f>SUMIF(FY16Calc!$D$3:$D$78,$A14,FY16Calc!$T$3:$T$78)</f>
        <v>6777307.7017070539</v>
      </c>
      <c r="E14" s="71">
        <f t="shared" si="0"/>
        <v>6743421.1631985186</v>
      </c>
      <c r="F14" s="72">
        <f t="shared" si="1"/>
        <v>4720394.8142389627</v>
      </c>
      <c r="G14" s="65"/>
      <c r="I14" s="66" t="s">
        <v>30</v>
      </c>
      <c r="J14" s="67">
        <v>391.16666666743998</v>
      </c>
      <c r="K14" s="67">
        <v>7595573.0470460728</v>
      </c>
      <c r="L14" s="67">
        <v>196222.22818505837</v>
      </c>
      <c r="M14" s="67">
        <v>693389.03557909478</v>
      </c>
      <c r="N14" s="67">
        <v>335298.08916409622</v>
      </c>
      <c r="O14" s="67">
        <v>6370663.6941178264</v>
      </c>
    </row>
    <row r="15" spans="1:16" ht="18.95" customHeight="1" x14ac:dyDescent="0.25">
      <c r="A15" t="s">
        <v>31</v>
      </c>
      <c r="B15" s="68" t="s">
        <v>33</v>
      </c>
      <c r="C15" s="69">
        <f>SUMIF(FY16Calc!$D$3:$D$78,$A15,FY16Calc!$I$3:$I$78)</f>
        <v>93.402784065932011</v>
      </c>
      <c r="D15" s="70">
        <f>SUMIF(FY16Calc!$D$3:$D$78,$A15,FY16Calc!$T$3:$T$78)</f>
        <v>2219203.6115515097</v>
      </c>
      <c r="E15" s="71">
        <f t="shared" si="0"/>
        <v>2208107.5934937522</v>
      </c>
      <c r="F15" s="72">
        <f t="shared" si="1"/>
        <v>1545675.3154456264</v>
      </c>
      <c r="G15" s="65"/>
      <c r="I15" s="66" t="s">
        <v>33</v>
      </c>
      <c r="J15" s="67">
        <v>71.733333332720008</v>
      </c>
      <c r="K15" s="67">
        <v>1866845.3695289404</v>
      </c>
      <c r="L15" s="67">
        <v>56265.453197479415</v>
      </c>
      <c r="M15" s="67">
        <v>3290.8727880367792</v>
      </c>
      <c r="N15" s="67">
        <v>90364.452177171202</v>
      </c>
      <c r="O15" s="67">
        <v>1716924.5913662522</v>
      </c>
    </row>
    <row r="16" spans="1:16" ht="18.95" customHeight="1" x14ac:dyDescent="0.25">
      <c r="A16" t="s">
        <v>34</v>
      </c>
      <c r="B16" s="68" t="s">
        <v>35</v>
      </c>
      <c r="C16" s="69">
        <f>SUMIF(FY16Calc!$D$3:$D$78,$A16,FY16Calc!$I$3:$I$78)</f>
        <v>413.777376479054</v>
      </c>
      <c r="D16" s="70">
        <f>SUMIF(FY16Calc!$D$3:$D$78,$A16,FY16Calc!$T$3:$T$78)</f>
        <v>6521813.0015860302</v>
      </c>
      <c r="E16" s="71">
        <f t="shared" si="0"/>
        <v>6489203.9365780996</v>
      </c>
      <c r="F16" s="72">
        <f t="shared" si="1"/>
        <v>4542442.7556046695</v>
      </c>
      <c r="G16" s="65"/>
      <c r="I16" s="66" t="s">
        <v>35</v>
      </c>
      <c r="J16" s="67">
        <v>408.11111110143997</v>
      </c>
      <c r="K16" s="67">
        <v>8309366.6007653903</v>
      </c>
      <c r="L16" s="67">
        <v>248463.71031704699</v>
      </c>
      <c r="M16" s="67">
        <v>1322082.0489724225</v>
      </c>
      <c r="N16" s="67">
        <v>336941.04207379598</v>
      </c>
      <c r="O16" s="67">
        <v>6401879.799402127</v>
      </c>
    </row>
    <row r="17" spans="1:16" ht="18.95" customHeight="1" x14ac:dyDescent="0.25">
      <c r="A17" t="s">
        <v>156</v>
      </c>
      <c r="B17" s="68" t="s">
        <v>36</v>
      </c>
      <c r="C17" s="69">
        <f>SUMIF(FY16Calc!$D$3:$D$78,$A17,FY16Calc!$I$3:$I$78)</f>
        <v>360.30016806243361</v>
      </c>
      <c r="D17" s="70">
        <f>SUMIF(FY16Calc!$D$3:$D$78,$A17,FY16Calc!$T$3:$T$78)</f>
        <v>6650882.4631331395</v>
      </c>
      <c r="E17" s="71">
        <f t="shared" si="0"/>
        <v>6617628.0508174738</v>
      </c>
      <c r="F17" s="72">
        <f t="shared" si="1"/>
        <v>4632339.6355722314</v>
      </c>
      <c r="G17" s="65"/>
      <c r="I17" s="66" t="s">
        <v>36</v>
      </c>
      <c r="J17" s="67">
        <v>376.91111110668004</v>
      </c>
      <c r="K17" s="67">
        <v>9032597.1087533981</v>
      </c>
      <c r="L17" s="67">
        <v>278801.25345163792</v>
      </c>
      <c r="M17" s="67">
        <v>1436001.6235055097</v>
      </c>
      <c r="N17" s="67">
        <v>365889.71158981282</v>
      </c>
      <c r="O17" s="67">
        <v>6951904.5202064458</v>
      </c>
      <c r="P17"/>
    </row>
    <row r="18" spans="1:16" ht="18.95" customHeight="1" x14ac:dyDescent="0.25">
      <c r="A18" t="s">
        <v>37</v>
      </c>
      <c r="B18" s="68" t="s">
        <v>39</v>
      </c>
      <c r="C18" s="69">
        <f>SUMIF(FY16Calc!$D$3:$D$78,$A18,FY16Calc!$I$3:$I$78)</f>
        <v>725.83870893099402</v>
      </c>
      <c r="D18" s="70">
        <f>SUMIF(FY16Calc!$D$3:$D$78,$A18,FY16Calc!$T$3:$T$78)</f>
        <v>14083581.917755101</v>
      </c>
      <c r="E18" s="71">
        <f t="shared" si="0"/>
        <v>14013164.008166326</v>
      </c>
      <c r="F18" s="72">
        <f t="shared" si="1"/>
        <v>9809214.805716427</v>
      </c>
      <c r="G18" s="65"/>
      <c r="I18" s="66" t="s">
        <v>39</v>
      </c>
      <c r="J18" s="67">
        <v>752.78888888645201</v>
      </c>
      <c r="K18" s="67">
        <v>16381031.865349868</v>
      </c>
      <c r="L18" s="67">
        <v>582974.81369824603</v>
      </c>
      <c r="M18" s="67">
        <v>495381.18447997549</v>
      </c>
      <c r="N18" s="67">
        <v>765133.79335858242</v>
      </c>
      <c r="O18" s="67">
        <v>14537542.073813077</v>
      </c>
      <c r="P18"/>
    </row>
    <row r="19" spans="1:16" ht="18.95" customHeight="1" x14ac:dyDescent="0.25">
      <c r="A19" t="s">
        <v>40</v>
      </c>
      <c r="B19" s="68" t="s">
        <v>42</v>
      </c>
      <c r="C19" s="69">
        <f>SUMIF(FY16Calc!$D$3:$D$78,$A19,FY16Calc!$I$3:$I$78)</f>
        <v>91.061393411020788</v>
      </c>
      <c r="D19" s="70">
        <f>SUMIF(FY16Calc!$D$3:$D$78,$A19,FY16Calc!$T$3:$T$78)</f>
        <v>1877807.6719318496</v>
      </c>
      <c r="E19" s="71">
        <f t="shared" si="0"/>
        <v>1868418.6335721903</v>
      </c>
      <c r="F19" s="72">
        <f t="shared" si="1"/>
        <v>1307893.0435005331</v>
      </c>
      <c r="G19" s="65"/>
      <c r="I19" s="66" t="s">
        <v>42</v>
      </c>
      <c r="J19" s="67">
        <v>82.01111111102999</v>
      </c>
      <c r="K19" s="67">
        <v>1983955.4895733581</v>
      </c>
      <c r="L19" s="67">
        <v>46357.815899133202</v>
      </c>
      <c r="M19" s="67">
        <v>126199.62504154917</v>
      </c>
      <c r="N19" s="67">
        <v>90569.902431633818</v>
      </c>
      <c r="O19" s="67">
        <v>1720828.146201042</v>
      </c>
      <c r="P19"/>
    </row>
    <row r="20" spans="1:16" ht="18.95" customHeight="1" x14ac:dyDescent="0.25">
      <c r="A20" t="s">
        <v>157</v>
      </c>
      <c r="B20" s="68" t="s">
        <v>43</v>
      </c>
      <c r="C20" s="69">
        <f>SUMIF(FY16Calc!$D$3:$D$78,$A20,FY16Calc!$I$3:$I$78)</f>
        <v>92.476395366767392</v>
      </c>
      <c r="D20" s="70">
        <f>SUMIF(FY16Calc!$D$3:$D$78,$A20,FY16Calc!$T$3:$T$78)</f>
        <v>1979881.0822416167</v>
      </c>
      <c r="E20" s="71">
        <f t="shared" si="0"/>
        <v>1969981.6768304086</v>
      </c>
      <c r="F20" s="72">
        <f t="shared" si="1"/>
        <v>1378987.173781286</v>
      </c>
      <c r="G20" s="65"/>
      <c r="I20" s="66" t="s">
        <v>43</v>
      </c>
      <c r="J20" s="67">
        <v>74.43333333340999</v>
      </c>
      <c r="K20" s="67">
        <v>1984998.6359607507</v>
      </c>
      <c r="L20" s="67">
        <v>69854.859391739548</v>
      </c>
      <c r="M20" s="67">
        <v>244154.12576258095</v>
      </c>
      <c r="N20" s="67">
        <v>83549.482540321565</v>
      </c>
      <c r="O20" s="67">
        <v>1587440.1682661104</v>
      </c>
      <c r="P20"/>
    </row>
    <row r="21" spans="1:16" ht="18.95" customHeight="1" x14ac:dyDescent="0.25">
      <c r="A21" t="s">
        <v>158</v>
      </c>
      <c r="B21" s="68" t="s">
        <v>45</v>
      </c>
      <c r="C21" s="69">
        <f>SUMIF(FY16Calc!$D$3:$D$78,$A21,FY16Calc!$I$3:$I$78)</f>
        <v>640.86618517690022</v>
      </c>
      <c r="D21" s="70">
        <f>SUMIF(FY16Calc!$D$3:$D$78,$A21,FY16Calc!$T$3:$T$78)</f>
        <v>9899514.2702377774</v>
      </c>
      <c r="E21" s="71">
        <f t="shared" si="0"/>
        <v>9850016.6988865882</v>
      </c>
      <c r="F21" s="72">
        <f t="shared" si="1"/>
        <v>6895011.689220611</v>
      </c>
      <c r="G21" s="65"/>
      <c r="I21" s="66" t="s">
        <v>45</v>
      </c>
      <c r="J21" s="67">
        <v>599.68888888794902</v>
      </c>
      <c r="K21" s="67">
        <v>12476884.114314407</v>
      </c>
      <c r="L21" s="67">
        <v>422351.93686797755</v>
      </c>
      <c r="M21" s="67">
        <v>1868302.0170150318</v>
      </c>
      <c r="N21" s="67">
        <v>509311.50802156987</v>
      </c>
      <c r="O21" s="67">
        <v>9676918.6524098329</v>
      </c>
      <c r="P21"/>
    </row>
    <row r="22" spans="1:16" ht="18.95" customHeight="1" x14ac:dyDescent="0.25">
      <c r="A22" t="s">
        <v>159</v>
      </c>
      <c r="B22" s="68" t="s">
        <v>46</v>
      </c>
      <c r="C22" s="69">
        <f>SUMIF(FY16Calc!$D$3:$D$78,$A22,FY16Calc!$I$3:$I$78)</f>
        <v>1450.1133274830011</v>
      </c>
      <c r="D22" s="70">
        <f>SUMIF(FY16Calc!$D$3:$D$78,$A22,FY16Calc!$T$3:$T$78)</f>
        <v>21066987.040818222</v>
      </c>
      <c r="E22" s="71">
        <f t="shared" si="0"/>
        <v>20961652.105614129</v>
      </c>
      <c r="F22" s="72">
        <f t="shared" si="1"/>
        <v>14673156.47392989</v>
      </c>
      <c r="G22" s="65"/>
      <c r="I22" s="66" t="s">
        <v>46</v>
      </c>
      <c r="J22" s="67">
        <v>1419.133333327557</v>
      </c>
      <c r="K22" s="67">
        <v>31301631.925528362</v>
      </c>
      <c r="L22" s="67">
        <v>903627.89776409045</v>
      </c>
      <c r="M22" s="67">
        <v>8262570.7239263766</v>
      </c>
      <c r="N22" s="67">
        <v>1106771.665191893</v>
      </c>
      <c r="O22" s="67">
        <v>21028661.63864594</v>
      </c>
      <c r="P22"/>
    </row>
    <row r="23" spans="1:16" ht="18.95" customHeight="1" x14ac:dyDescent="0.25">
      <c r="A23" t="s">
        <v>160</v>
      </c>
      <c r="B23" s="68" t="s">
        <v>48</v>
      </c>
      <c r="C23" s="69">
        <f>SUMIF(FY16Calc!$D$3:$D$78,$A23,FY16Calc!$I$3:$I$78)</f>
        <v>499.34773891319304</v>
      </c>
      <c r="D23" s="70">
        <f>SUMIF(FY16Calc!$D$3:$D$78,$A23,FY16Calc!$T$3:$T$78)</f>
        <v>8317132.3694998631</v>
      </c>
      <c r="E23" s="71">
        <f t="shared" si="0"/>
        <v>8275546.7076523639</v>
      </c>
      <c r="F23" s="72">
        <f t="shared" si="1"/>
        <v>5792882.695356654</v>
      </c>
      <c r="G23" s="65"/>
      <c r="I23" s="66" t="s">
        <v>48</v>
      </c>
      <c r="J23" s="67">
        <v>542.08888887906096</v>
      </c>
      <c r="K23" s="67">
        <v>10182820.839022091</v>
      </c>
      <c r="L23" s="67">
        <v>380031.87301806634</v>
      </c>
      <c r="M23" s="67">
        <v>312813.98580216005</v>
      </c>
      <c r="N23" s="67">
        <v>474498.74901009322</v>
      </c>
      <c r="O23" s="67">
        <v>9015476.2311917655</v>
      </c>
      <c r="P23"/>
    </row>
    <row r="24" spans="1:16" ht="18.95" customHeight="1" x14ac:dyDescent="0.25">
      <c r="A24" t="s">
        <v>161</v>
      </c>
      <c r="B24" s="68" t="s">
        <v>49</v>
      </c>
      <c r="C24" s="69">
        <f>SUMIF(FY16Calc!$D$3:$D$78,$A24,FY16Calc!$I$3:$I$78)</f>
        <v>82.600381198737452</v>
      </c>
      <c r="D24" s="70">
        <f>SUMIF(FY16Calc!$D$3:$D$78,$A24,FY16Calc!$T$3:$T$78)</f>
        <v>1262656.6194846705</v>
      </c>
      <c r="E24" s="71">
        <f t="shared" si="0"/>
        <v>1256343.3363872471</v>
      </c>
      <c r="F24" s="72">
        <f t="shared" si="1"/>
        <v>879440.33547107293</v>
      </c>
      <c r="G24" s="75" t="s">
        <v>162</v>
      </c>
      <c r="I24" s="66" t="s">
        <v>49</v>
      </c>
      <c r="J24" s="67">
        <v>83.499999998730004</v>
      </c>
      <c r="K24" s="67">
        <v>1515277.9162424756</v>
      </c>
      <c r="L24" s="67">
        <v>42032.326940502462</v>
      </c>
      <c r="M24" s="67">
        <v>110993.10093606959</v>
      </c>
      <c r="N24" s="67">
        <v>68112.624418295178</v>
      </c>
      <c r="O24" s="67">
        <v>1294139.8639476087</v>
      </c>
      <c r="P24"/>
    </row>
    <row r="25" spans="1:16" ht="18.95" customHeight="1" x14ac:dyDescent="0.25">
      <c r="B25" s="76" t="s">
        <v>163</v>
      </c>
      <c r="C25" s="77">
        <f>SUM(C4:C24)</f>
        <v>38327.020626553705</v>
      </c>
      <c r="D25" s="78">
        <f>SUM(D4:D24)</f>
        <v>525957502.66007686</v>
      </c>
      <c r="E25" s="78">
        <f>SUM(E4:E24)</f>
        <v>523327715.14677644</v>
      </c>
      <c r="F25" s="79">
        <f>SUM(F4:F24)</f>
        <v>366329400.60274339</v>
      </c>
      <c r="G25" s="80">
        <f>+E25-F25</f>
        <v>156998314.54403305</v>
      </c>
      <c r="H25" s="81"/>
      <c r="I25" s="66" t="s">
        <v>164</v>
      </c>
      <c r="J25" s="67">
        <v>4700.2414598625101</v>
      </c>
      <c r="K25" s="67">
        <v>60807351.777703106</v>
      </c>
      <c r="L25" s="67">
        <v>2060763.6396653464</v>
      </c>
      <c r="M25" s="67">
        <v>406134.585383659</v>
      </c>
      <c r="N25" s="67">
        <v>2917022.6776327137</v>
      </c>
      <c r="O25" s="67">
        <v>55423430.875021651</v>
      </c>
      <c r="P25"/>
    </row>
    <row r="26" spans="1:16" ht="18.95" customHeight="1" x14ac:dyDescent="0.25">
      <c r="A26" s="102" t="s">
        <v>3</v>
      </c>
      <c r="B26" s="82" t="s">
        <v>165</v>
      </c>
      <c r="C26" s="83">
        <f>SUMIF(FY16Calc!$A$79:$A$114,$A26,FY16Calc!$I$79:$I$114)</f>
        <v>4556.4243504533833</v>
      </c>
      <c r="D26" s="62">
        <f>SUMIF(FY16Calc!$A$79:$A$114,$A26,FY16Calc!$T$79:$T$114)</f>
        <v>51685555.847188979</v>
      </c>
      <c r="E26" s="84">
        <f>+(1-$E$3)*D26</f>
        <v>51427128.067953035</v>
      </c>
      <c r="F26" s="85"/>
      <c r="G26" s="6"/>
      <c r="I26" s="66" t="s">
        <v>166</v>
      </c>
      <c r="J26" s="67">
        <v>4114.5833952965304</v>
      </c>
      <c r="K26" s="67">
        <v>51987929.44327683</v>
      </c>
      <c r="L26" s="67">
        <v>1847586.6393447032</v>
      </c>
      <c r="M26" s="67">
        <v>971015.86027909303</v>
      </c>
      <c r="N26" s="67">
        <v>2458466.3471826501</v>
      </c>
      <c r="O26" s="67">
        <v>46710860.596470483</v>
      </c>
      <c r="P26"/>
    </row>
    <row r="27" spans="1:16" ht="18.95" customHeight="1" x14ac:dyDescent="0.25">
      <c r="A27" s="102" t="s">
        <v>5</v>
      </c>
      <c r="B27" s="86" t="s">
        <v>167</v>
      </c>
      <c r="C27" s="87">
        <f>SUMIF(FY16Calc!$A$79:$A$114,$A27,FY16Calc!$I$79:$I$114)</f>
        <v>4095.529866064358</v>
      </c>
      <c r="D27" s="88">
        <f>SUMIF(FY16Calc!$A$79:$A$114,$A27,FY16Calc!$T$79:$T$114)</f>
        <v>44689406.571079716</v>
      </c>
      <c r="E27" s="89">
        <f>+(1-$E$3)*D27</f>
        <v>44465959.538224317</v>
      </c>
      <c r="F27" s="90"/>
      <c r="G27" s="6"/>
      <c r="P27"/>
    </row>
    <row r="28" spans="1:16" ht="18.95" customHeight="1" x14ac:dyDescent="0.25">
      <c r="B28" s="91" t="s">
        <v>168</v>
      </c>
      <c r="C28" s="92">
        <f>SUM(C25:C27)</f>
        <v>46978.974843071446</v>
      </c>
      <c r="D28" s="93">
        <f>SUM(D25:D27)</f>
        <v>622332465.07834554</v>
      </c>
      <c r="E28" s="93">
        <f>SUM(E25:E27)</f>
        <v>619220802.75295377</v>
      </c>
      <c r="F28" s="94"/>
      <c r="G28" s="6"/>
      <c r="P28"/>
    </row>
    <row r="29" spans="1:16" x14ac:dyDescent="0.25">
      <c r="B29" s="95"/>
      <c r="C29" s="96"/>
      <c r="D29" s="97"/>
      <c r="E29" s="97"/>
      <c r="G29" s="81"/>
      <c r="P29"/>
    </row>
    <row r="30" spans="1:16" x14ac:dyDescent="0.25">
      <c r="B30" s="95"/>
      <c r="C30" s="98"/>
      <c r="D30" s="99"/>
      <c r="E30" s="97">
        <f>0.0075*E25</f>
        <v>3924957.8636008231</v>
      </c>
      <c r="F30" s="97" t="s">
        <v>141</v>
      </c>
      <c r="G30" s="81"/>
      <c r="I30" s="59" t="s">
        <v>148</v>
      </c>
      <c r="J30" s="59" t="s">
        <v>149</v>
      </c>
      <c r="K30" s="59" t="s">
        <v>150</v>
      </c>
      <c r="L30" s="59" t="s">
        <v>151</v>
      </c>
      <c r="M30" s="59" t="s">
        <v>152</v>
      </c>
      <c r="N30" s="59" t="s">
        <v>153</v>
      </c>
      <c r="O30" s="59" t="s">
        <v>154</v>
      </c>
      <c r="P30"/>
    </row>
    <row r="31" spans="1:16" x14ac:dyDescent="0.25">
      <c r="B31" s="95"/>
      <c r="C31" s="100"/>
      <c r="D31" s="99"/>
      <c r="E31" s="97"/>
      <c r="F31" s="73"/>
      <c r="I31" s="66" t="s">
        <v>2</v>
      </c>
      <c r="J31" s="101">
        <v>18836.757356330319</v>
      </c>
      <c r="K31" s="101">
        <v>197333634.40070677</v>
      </c>
      <c r="L31" s="101">
        <v>7893345.3760282714</v>
      </c>
      <c r="M31" s="101">
        <v>936621.82474750816</v>
      </c>
      <c r="N31" s="101">
        <v>9425183.3599965498</v>
      </c>
      <c r="O31" s="101">
        <v>179078483.83993444</v>
      </c>
      <c r="P31"/>
    </row>
    <row r="32" spans="1:16" x14ac:dyDescent="0.25">
      <c r="I32"/>
      <c r="J32"/>
      <c r="K32"/>
      <c r="L32"/>
      <c r="M32"/>
      <c r="N32"/>
      <c r="P32"/>
    </row>
    <row r="33" spans="9:16" x14ac:dyDescent="0.25">
      <c r="I33"/>
      <c r="J33"/>
      <c r="K33"/>
      <c r="L33"/>
      <c r="M33"/>
      <c r="N33"/>
      <c r="P33"/>
    </row>
    <row r="34" spans="9:16" x14ac:dyDescent="0.25">
      <c r="I34"/>
      <c r="J34"/>
      <c r="K34"/>
      <c r="L34"/>
      <c r="M34"/>
      <c r="N34"/>
      <c r="P34"/>
    </row>
    <row r="35" spans="9:16" x14ac:dyDescent="0.25">
      <c r="I35"/>
      <c r="J35"/>
      <c r="K35"/>
      <c r="L35"/>
      <c r="M35"/>
      <c r="N35"/>
      <c r="P35"/>
    </row>
    <row r="36" spans="9:16" x14ac:dyDescent="0.25">
      <c r="I36"/>
      <c r="J36"/>
      <c r="K36"/>
      <c r="L36"/>
      <c r="M36"/>
      <c r="N36"/>
      <c r="P36"/>
    </row>
    <row r="37" spans="9:16" x14ac:dyDescent="0.25">
      <c r="I37"/>
      <c r="J37"/>
      <c r="K37"/>
      <c r="L37"/>
      <c r="M37"/>
      <c r="N37"/>
      <c r="P37"/>
    </row>
    <row r="38" spans="9:16" x14ac:dyDescent="0.25">
      <c r="I38"/>
      <c r="J38"/>
      <c r="K38"/>
      <c r="L38"/>
      <c r="M38"/>
      <c r="N38"/>
      <c r="P38"/>
    </row>
    <row r="39" spans="9:16" x14ac:dyDescent="0.25">
      <c r="I39"/>
      <c r="J39"/>
      <c r="K39"/>
      <c r="L39"/>
      <c r="M39"/>
      <c r="N39"/>
      <c r="P39"/>
    </row>
    <row r="40" spans="9:16" x14ac:dyDescent="0.25">
      <c r="I40"/>
      <c r="J40"/>
      <c r="K40"/>
      <c r="L40"/>
      <c r="M40"/>
      <c r="N40"/>
      <c r="P40"/>
    </row>
    <row r="41" spans="9:16" x14ac:dyDescent="0.25">
      <c r="P41"/>
    </row>
    <row r="42" spans="9:16" x14ac:dyDescent="0.25">
      <c r="P42"/>
    </row>
    <row r="43" spans="9:16" x14ac:dyDescent="0.25">
      <c r="P43"/>
    </row>
    <row r="44" spans="9:16" x14ac:dyDescent="0.25">
      <c r="P44"/>
    </row>
    <row r="45" spans="9:16" x14ac:dyDescent="0.25">
      <c r="P45"/>
    </row>
    <row r="46" spans="9:16" x14ac:dyDescent="0.25">
      <c r="P46"/>
    </row>
    <row r="47" spans="9:16" x14ac:dyDescent="0.25">
      <c r="P47"/>
    </row>
    <row r="48" spans="9:16" x14ac:dyDescent="0.25">
      <c r="P48"/>
    </row>
    <row r="49" spans="9:16" x14ac:dyDescent="0.25">
      <c r="I49"/>
      <c r="J49"/>
      <c r="K49"/>
      <c r="L49"/>
      <c r="M49"/>
      <c r="N49"/>
      <c r="P49"/>
    </row>
    <row r="50" spans="9:16" x14ac:dyDescent="0.25">
      <c r="I50"/>
      <c r="J50"/>
      <c r="K50"/>
      <c r="L50"/>
      <c r="M50"/>
      <c r="N50"/>
      <c r="P50"/>
    </row>
    <row r="51" spans="9:16" x14ac:dyDescent="0.25">
      <c r="I51"/>
      <c r="J51"/>
      <c r="K51"/>
      <c r="L51"/>
      <c r="M51"/>
      <c r="N51"/>
      <c r="P51"/>
    </row>
    <row r="52" spans="9:16" x14ac:dyDescent="0.25">
      <c r="I52"/>
      <c r="J52"/>
      <c r="K52"/>
      <c r="L52"/>
      <c r="M52"/>
      <c r="N52"/>
      <c r="P52"/>
    </row>
    <row r="53" spans="9:16" x14ac:dyDescent="0.25">
      <c r="I53"/>
      <c r="J53"/>
      <c r="K53"/>
      <c r="L53"/>
      <c r="M53"/>
      <c r="N53"/>
      <c r="P53"/>
    </row>
    <row r="54" spans="9:16" x14ac:dyDescent="0.25">
      <c r="I54"/>
      <c r="J54"/>
      <c r="K54"/>
      <c r="L54"/>
      <c r="M54"/>
      <c r="N54"/>
      <c r="P54"/>
    </row>
    <row r="55" spans="9:16" x14ac:dyDescent="0.25">
      <c r="I55"/>
      <c r="J55"/>
      <c r="K55"/>
      <c r="L55"/>
      <c r="M55"/>
      <c r="N55"/>
      <c r="P55"/>
    </row>
    <row r="56" spans="9:16" x14ac:dyDescent="0.25">
      <c r="I56"/>
      <c r="J56"/>
      <c r="K56"/>
      <c r="L56"/>
      <c r="M56"/>
      <c r="N56"/>
      <c r="P56"/>
    </row>
    <row r="57" spans="9:16" x14ac:dyDescent="0.25">
      <c r="I57"/>
      <c r="J57"/>
      <c r="K57"/>
      <c r="L57"/>
      <c r="M57"/>
      <c r="N57"/>
      <c r="P57"/>
    </row>
    <row r="58" spans="9:16" x14ac:dyDescent="0.25">
      <c r="I58"/>
      <c r="J58"/>
      <c r="K58"/>
      <c r="L58"/>
      <c r="M58"/>
      <c r="N58"/>
      <c r="P58"/>
    </row>
    <row r="59" spans="9:16" x14ac:dyDescent="0.25">
      <c r="I59"/>
      <c r="J59"/>
      <c r="K59"/>
      <c r="L59"/>
      <c r="M59"/>
      <c r="N59"/>
      <c r="P59"/>
    </row>
    <row r="60" spans="9:16" x14ac:dyDescent="0.25">
      <c r="I60"/>
      <c r="J60"/>
      <c r="K60"/>
      <c r="L60"/>
      <c r="M60"/>
      <c r="N60"/>
      <c r="P60"/>
    </row>
    <row r="61" spans="9:16" x14ac:dyDescent="0.25">
      <c r="I61"/>
      <c r="J61"/>
      <c r="K61"/>
      <c r="L61"/>
      <c r="M61"/>
      <c r="N61"/>
      <c r="P61"/>
    </row>
    <row r="62" spans="9:16" x14ac:dyDescent="0.25">
      <c r="I62"/>
      <c r="J62"/>
      <c r="K62"/>
      <c r="L62"/>
      <c r="M62"/>
      <c r="N62"/>
      <c r="P62"/>
    </row>
    <row r="63" spans="9:16" x14ac:dyDescent="0.25">
      <c r="I63"/>
      <c r="J63"/>
      <c r="K63"/>
      <c r="L63"/>
      <c r="M63"/>
      <c r="N63"/>
      <c r="P63"/>
    </row>
    <row r="64" spans="9:16" x14ac:dyDescent="0.25">
      <c r="I64"/>
      <c r="J64"/>
      <c r="K64"/>
      <c r="L64"/>
      <c r="M64"/>
      <c r="N64"/>
      <c r="P64"/>
    </row>
    <row r="65" spans="3:16" x14ac:dyDescent="0.25">
      <c r="I65"/>
      <c r="J65"/>
      <c r="K65"/>
      <c r="L65"/>
      <c r="M65"/>
      <c r="N65"/>
      <c r="P65"/>
    </row>
    <row r="66" spans="3:16" x14ac:dyDescent="0.25">
      <c r="I66"/>
      <c r="J66"/>
      <c r="K66"/>
      <c r="L66"/>
      <c r="M66"/>
      <c r="N66"/>
      <c r="P66"/>
    </row>
    <row r="67" spans="3:16" x14ac:dyDescent="0.25">
      <c r="I67"/>
      <c r="J67"/>
      <c r="K67"/>
      <c r="L67"/>
      <c r="M67"/>
      <c r="N67"/>
      <c r="P67"/>
    </row>
    <row r="68" spans="3:16" x14ac:dyDescent="0.25">
      <c r="C68" s="47"/>
      <c r="D68" s="47"/>
      <c r="E68" s="47"/>
      <c r="F68" s="47"/>
      <c r="G68" s="47"/>
      <c r="I68"/>
      <c r="J68"/>
      <c r="K68"/>
      <c r="L68"/>
      <c r="M68"/>
      <c r="N68"/>
      <c r="P68"/>
    </row>
    <row r="69" spans="3:16" x14ac:dyDescent="0.25">
      <c r="G69" s="81"/>
      <c r="I69"/>
      <c r="J69"/>
      <c r="K69"/>
      <c r="L69"/>
      <c r="M69"/>
      <c r="N69"/>
      <c r="P69"/>
    </row>
  </sheetData>
  <mergeCells count="1">
    <mergeCell ref="B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Reference</vt:lpstr>
      <vt:lpstr>SalaryvRevenue</vt:lpstr>
      <vt:lpstr>OpFee</vt:lpstr>
      <vt:lpstr>FTE</vt:lpstr>
      <vt:lpstr>FY16Calc</vt:lpstr>
      <vt:lpstr>FY16Calc0</vt:lpstr>
      <vt:lpstr>FY17Calc</vt:lpstr>
      <vt:lpstr>FY17Calc0</vt:lpstr>
      <vt:lpstr>FY16Rev</vt:lpstr>
      <vt:lpstr>FY17Rev</vt:lpstr>
      <vt:lpstr>FY16Rev0</vt:lpstr>
      <vt:lpstr>FY17Rev0</vt:lpstr>
      <vt:lpstr>FY16ProjMjrsActDegs</vt:lpstr>
      <vt:lpstr>FY16ProjSCH</vt:lpstr>
      <vt:lpstr>FY16ProjRevToColl0</vt:lpstr>
      <vt:lpstr>FY17ProjRevToColl0</vt:lpstr>
      <vt:lpstr>TuitRev</vt:lpstr>
      <vt:lpstr>GOFSalbyUnitByEmpType</vt:lpstr>
      <vt:lpstr>DOFSalbyUnitbyEmpType</vt:lpstr>
      <vt:lpstr>LoadRates</vt:lpstr>
      <vt:lpstr>GPpcntMjr</vt:lpstr>
      <vt:lpstr>GPpcntSCH</vt:lpstr>
      <vt:lpstr>SalaryvRevenue!Print_Area</vt:lpstr>
      <vt:lpstr>UGpcntDeg</vt:lpstr>
      <vt:lpstr>UGpcntSCH</vt:lpstr>
    </vt:vector>
  </TitlesOfParts>
  <Company>UW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Diem</dc:creator>
  <cp:lastModifiedBy>Carol Diem</cp:lastModifiedBy>
  <dcterms:created xsi:type="dcterms:W3CDTF">2015-11-06T00:30:26Z</dcterms:created>
  <dcterms:modified xsi:type="dcterms:W3CDTF">2015-11-10T18:28:41Z</dcterms:modified>
</cp:coreProperties>
</file>