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4.xml" ContentType="application/vnd.openxmlformats-officedocument.drawing+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526"/>
  <workbookPr showInkAnnotation="0" autoCompressPictures="0"/>
  <bookViews>
    <workbookView xWindow="500" yWindow="180" windowWidth="25040" windowHeight="13900" tabRatio="948" activeTab="1"/>
  </bookViews>
  <sheets>
    <sheet name="Assumptions" sheetId="1" r:id="rId1"/>
    <sheet name="Summary" sheetId="26" r:id="rId2"/>
    <sheet name="Personnel" sheetId="2" r:id="rId3"/>
    <sheet name="Vehicles" sheetId="5" r:id="rId4"/>
    <sheet name="Equipment" sheetId="7" r:id="rId5"/>
    <sheet name="Supplies" sheetId="13" r:id="rId6"/>
    <sheet name="building &amp; overhead" sheetId="21" r:id="rId7"/>
    <sheet name="Start up costs" sheetId="11" r:id="rId8"/>
    <sheet name="Training" sheetId="9" r:id="rId9"/>
    <sheet name="Data capture" sheetId="12" r:id="rId10"/>
    <sheet name="house enumeration" sheetId="18" r:id="rId11"/>
    <sheet name="HBCT" sheetId="14" r:id="rId12"/>
    <sheet name="TM sum" sheetId="24" r:id="rId13"/>
    <sheet name="MVCT" sheetId="15" r:id="rId14"/>
    <sheet name="MC F-up" sheetId="16" r:id="rId15"/>
    <sheet name="QC" sheetId="19" r:id="rId16"/>
    <sheet name="Com mobilize" sheetId="23" r:id="rId17"/>
    <sheet name="HBCT logs" sheetId="20" r:id="rId18"/>
    <sheet name="ARVs" sheetId="8" r:id="rId19"/>
    <sheet name="Pt time transport" sheetId="6" r:id="rId20"/>
    <sheet name="Time motion" sheetId="10" r:id="rId21"/>
    <sheet name="clinic" sheetId="22" r:id="rId2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7" i="12" l="1"/>
  <c r="J15" i="2"/>
  <c r="I15" i="2"/>
  <c r="H15" i="2"/>
  <c r="H14" i="2"/>
  <c r="F80" i="13"/>
  <c r="O72" i="11"/>
  <c r="Q26" i="9"/>
  <c r="C14" i="26"/>
  <c r="G43" i="13"/>
  <c r="J43" i="13"/>
  <c r="D43" i="13"/>
  <c r="J32" i="13"/>
  <c r="J30" i="13"/>
  <c r="O10" i="2"/>
  <c r="I9" i="12"/>
  <c r="J22" i="26"/>
  <c r="N22" i="9"/>
  <c r="O23" i="9"/>
  <c r="L24" i="9"/>
  <c r="Q9" i="9"/>
  <c r="R23" i="9"/>
  <c r="O27" i="9"/>
  <c r="J21" i="26"/>
  <c r="U46" i="11"/>
  <c r="J20" i="26"/>
  <c r="U32" i="11"/>
  <c r="U31" i="11"/>
  <c r="N12" i="11"/>
  <c r="N11" i="11"/>
  <c r="S31" i="11"/>
  <c r="N31" i="11"/>
  <c r="V31" i="11"/>
  <c r="W31" i="11"/>
  <c r="W41" i="11"/>
  <c r="J19" i="26"/>
  <c r="J18" i="26"/>
  <c r="J17" i="26"/>
  <c r="U47" i="11"/>
  <c r="U36" i="11"/>
  <c r="U34" i="11"/>
  <c r="U33" i="11"/>
  <c r="W32" i="11"/>
  <c r="W33" i="11"/>
  <c r="W34" i="11"/>
  <c r="W35" i="11"/>
  <c r="W36" i="11"/>
  <c r="W37" i="11"/>
  <c r="W38" i="11"/>
  <c r="W39" i="11"/>
  <c r="W40" i="11"/>
  <c r="U38" i="11"/>
  <c r="R12" i="11"/>
  <c r="R31" i="11"/>
  <c r="N32" i="11"/>
  <c r="O11" i="11"/>
  <c r="O32" i="11"/>
  <c r="Q11" i="11"/>
  <c r="Q32" i="11"/>
  <c r="R32" i="11"/>
  <c r="N33" i="11"/>
  <c r="O33" i="11"/>
  <c r="Q33" i="11"/>
  <c r="R33" i="11"/>
  <c r="N35" i="11"/>
  <c r="O35" i="11"/>
  <c r="Q35" i="11"/>
  <c r="R35" i="11"/>
  <c r="N36" i="11"/>
  <c r="P11" i="11"/>
  <c r="P36" i="11"/>
  <c r="R36" i="11"/>
  <c r="N38" i="11"/>
  <c r="O38" i="11"/>
  <c r="P38" i="11"/>
  <c r="R38" i="11"/>
  <c r="P40" i="11"/>
  <c r="R40" i="11"/>
  <c r="H25" i="11"/>
  <c r="P25" i="11"/>
  <c r="Q25" i="11"/>
  <c r="R25" i="11"/>
  <c r="S25" i="11"/>
  <c r="Y35" i="11"/>
  <c r="T25" i="11"/>
  <c r="U25" i="11"/>
  <c r="V25" i="11"/>
  <c r="W25" i="11"/>
  <c r="N18" i="11"/>
  <c r="Q18" i="11"/>
  <c r="R18" i="11"/>
  <c r="T18" i="11"/>
  <c r="U18" i="11"/>
  <c r="W18" i="11"/>
  <c r="O19" i="11"/>
  <c r="R19" i="11"/>
  <c r="T19" i="11"/>
  <c r="U19" i="11"/>
  <c r="W19" i="11"/>
  <c r="U20" i="11"/>
  <c r="W20" i="11"/>
  <c r="W21" i="11"/>
  <c r="V33" i="11"/>
  <c r="V32" i="11"/>
  <c r="N34" i="11"/>
  <c r="O34" i="11"/>
  <c r="Q34" i="11"/>
  <c r="R34" i="11"/>
  <c r="V34" i="11"/>
  <c r="V35" i="11"/>
  <c r="V36" i="11"/>
  <c r="N37" i="11"/>
  <c r="P37" i="11"/>
  <c r="R37" i="11"/>
  <c r="U37" i="11"/>
  <c r="V37" i="11"/>
  <c r="V38" i="11"/>
  <c r="P39" i="11"/>
  <c r="R39" i="11"/>
  <c r="U39" i="11"/>
  <c r="V39" i="11"/>
  <c r="U40" i="11"/>
  <c r="V40" i="11"/>
  <c r="U21" i="11"/>
  <c r="N46" i="11"/>
  <c r="O46" i="11"/>
  <c r="Q46" i="11"/>
  <c r="R46" i="11"/>
  <c r="T46" i="11"/>
  <c r="O47" i="11"/>
  <c r="R47" i="11"/>
  <c r="T47" i="11"/>
  <c r="P102" i="11"/>
  <c r="Q102" i="11"/>
  <c r="S102" i="11"/>
  <c r="P103" i="11"/>
  <c r="Q103" i="11"/>
  <c r="S103" i="11"/>
  <c r="P104" i="11"/>
  <c r="Q104" i="11"/>
  <c r="S104" i="11"/>
  <c r="P105" i="11"/>
  <c r="Q105" i="11"/>
  <c r="S105" i="11"/>
  <c r="P106" i="11"/>
  <c r="Q106" i="11"/>
  <c r="S106" i="11"/>
  <c r="P107" i="11"/>
  <c r="Q107" i="11"/>
  <c r="S107" i="11"/>
  <c r="S108" i="11"/>
  <c r="D12" i="11"/>
  <c r="E12" i="11"/>
  <c r="C13" i="11"/>
  <c r="D13" i="11"/>
  <c r="E13" i="11"/>
  <c r="E18" i="11"/>
  <c r="K10" i="2"/>
  <c r="H10" i="2"/>
  <c r="E10" i="2"/>
  <c r="I10" i="2"/>
  <c r="J10" i="2"/>
  <c r="D44" i="2"/>
  <c r="D40" i="2"/>
  <c r="D41" i="2"/>
  <c r="J19" i="7"/>
  <c r="M19" i="7"/>
  <c r="F19" i="7"/>
  <c r="L19" i="7"/>
  <c r="P9" i="21"/>
  <c r="K9" i="21"/>
  <c r="I9" i="21"/>
  <c r="G9" i="21"/>
  <c r="G8" i="21"/>
  <c r="K10" i="9"/>
  <c r="L10" i="9"/>
  <c r="Q10" i="9"/>
  <c r="K11" i="9"/>
  <c r="L11" i="9"/>
  <c r="Q11" i="9"/>
  <c r="K12" i="9"/>
  <c r="L12" i="9"/>
  <c r="Q12" i="9"/>
  <c r="I24" i="5"/>
  <c r="G31" i="5"/>
  <c r="G16" i="5"/>
  <c r="H40" i="5"/>
  <c r="J44" i="5"/>
  <c r="I44" i="5"/>
  <c r="G44" i="5"/>
  <c r="H44" i="5"/>
  <c r="G45" i="5"/>
  <c r="G25" i="12"/>
  <c r="E25" i="12"/>
  <c r="D25" i="12"/>
  <c r="U48" i="12"/>
  <c r="U47" i="12"/>
  <c r="U44" i="12"/>
  <c r="U45" i="12"/>
  <c r="U43" i="12"/>
  <c r="S43" i="12"/>
  <c r="H39" i="26"/>
  <c r="H40" i="26"/>
  <c r="H41" i="26"/>
  <c r="J18" i="13"/>
  <c r="J8" i="26"/>
  <c r="K8" i="26"/>
  <c r="J7" i="26"/>
  <c r="K7" i="26"/>
  <c r="K9" i="26"/>
  <c r="C11" i="26"/>
  <c r="O15" i="2"/>
  <c r="O17" i="2"/>
  <c r="C8" i="26"/>
  <c r="I8" i="2"/>
  <c r="J8" i="2"/>
  <c r="O8" i="2"/>
  <c r="S18" i="11"/>
  <c r="L9" i="9"/>
  <c r="K9" i="9"/>
  <c r="H13" i="9"/>
  <c r="N11" i="9"/>
  <c r="H10" i="9"/>
  <c r="L22" i="9"/>
  <c r="I20" i="9"/>
  <c r="N10" i="9"/>
  <c r="O10" i="9"/>
  <c r="O11" i="9"/>
  <c r="N12" i="9"/>
  <c r="O12" i="9"/>
  <c r="O25" i="9"/>
  <c r="I5" i="21"/>
  <c r="K5" i="21"/>
  <c r="L5" i="21"/>
  <c r="P5" i="21"/>
  <c r="I6" i="21"/>
  <c r="K6" i="21"/>
  <c r="L6" i="21"/>
  <c r="P6" i="21"/>
  <c r="F7" i="21"/>
  <c r="G7" i="21"/>
  <c r="L7" i="21"/>
  <c r="P7" i="21"/>
  <c r="F8" i="21"/>
  <c r="L8" i="21"/>
  <c r="P8" i="21"/>
  <c r="P10" i="21"/>
  <c r="C12" i="26"/>
  <c r="P64" i="11"/>
  <c r="P65" i="11"/>
  <c r="P66" i="11"/>
  <c r="P67" i="11"/>
  <c r="P68" i="11"/>
  <c r="P69" i="11"/>
  <c r="Q70" i="11"/>
  <c r="J33" i="26"/>
  <c r="H25" i="12"/>
  <c r="L25" i="12"/>
  <c r="L36" i="12"/>
  <c r="I4" i="26"/>
  <c r="L9" i="12"/>
  <c r="N9" i="12"/>
  <c r="R9" i="12"/>
  <c r="L7" i="12"/>
  <c r="N7" i="12"/>
  <c r="R7" i="12"/>
  <c r="R17" i="12"/>
  <c r="I3" i="26"/>
  <c r="C15" i="26"/>
  <c r="J31" i="26"/>
  <c r="J30" i="26"/>
  <c r="L24" i="5"/>
  <c r="M24" i="5"/>
  <c r="M27" i="5"/>
  <c r="G8" i="5"/>
  <c r="J8" i="5"/>
  <c r="M8" i="5"/>
  <c r="O8" i="5"/>
  <c r="S8" i="5"/>
  <c r="S13" i="5"/>
  <c r="C9" i="26"/>
  <c r="J29" i="26"/>
  <c r="N3" i="9"/>
  <c r="C72" i="13"/>
  <c r="C71" i="13"/>
  <c r="H45" i="26"/>
  <c r="H46" i="26"/>
  <c r="H47" i="26"/>
  <c r="J54" i="13"/>
  <c r="M5" i="26"/>
  <c r="J14" i="26"/>
  <c r="K14" i="26"/>
  <c r="E71" i="13"/>
  <c r="G71" i="13"/>
  <c r="I71" i="13"/>
  <c r="E72" i="13"/>
  <c r="G72" i="13"/>
  <c r="I72" i="13"/>
  <c r="I75" i="13"/>
  <c r="J12" i="26"/>
  <c r="K12" i="26"/>
  <c r="F5" i="7"/>
  <c r="J5" i="7"/>
  <c r="M5" i="7"/>
  <c r="O5" i="7"/>
  <c r="S5" i="7"/>
  <c r="F11" i="7"/>
  <c r="J11" i="7"/>
  <c r="M11" i="7"/>
  <c r="O11" i="7"/>
  <c r="S11" i="7"/>
  <c r="F12" i="7"/>
  <c r="J12" i="7"/>
  <c r="M12" i="7"/>
  <c r="O12" i="7"/>
  <c r="S12" i="7"/>
  <c r="F13" i="7"/>
  <c r="J13" i="7"/>
  <c r="M13" i="7"/>
  <c r="O13" i="7"/>
  <c r="S13" i="7"/>
  <c r="F14" i="7"/>
  <c r="J14" i="7"/>
  <c r="M14" i="7"/>
  <c r="O14" i="7"/>
  <c r="S14" i="7"/>
  <c r="F7" i="7"/>
  <c r="J7" i="7"/>
  <c r="M7" i="7"/>
  <c r="O7" i="7"/>
  <c r="S7" i="7"/>
  <c r="L5" i="7"/>
  <c r="I5" i="7"/>
  <c r="L6" i="7"/>
  <c r="F6" i="7"/>
  <c r="J6" i="7"/>
  <c r="M6" i="7"/>
  <c r="O6" i="7"/>
  <c r="S6" i="7"/>
  <c r="L7" i="7"/>
  <c r="S8" i="7"/>
  <c r="L9" i="7"/>
  <c r="J9" i="7"/>
  <c r="M9" i="7"/>
  <c r="O9" i="7"/>
  <c r="S9" i="7"/>
  <c r="S10" i="7"/>
  <c r="L11" i="7"/>
  <c r="L12" i="7"/>
  <c r="L13" i="7"/>
  <c r="L14" i="7"/>
  <c r="L16" i="7"/>
  <c r="F16" i="7"/>
  <c r="J16" i="7"/>
  <c r="M16" i="7"/>
  <c r="O16" i="7"/>
  <c r="S16" i="7"/>
  <c r="L18" i="7"/>
  <c r="F18" i="7"/>
  <c r="J18" i="7"/>
  <c r="M18" i="7"/>
  <c r="O18" i="7"/>
  <c r="S18" i="7"/>
  <c r="L20" i="7"/>
  <c r="F20" i="7"/>
  <c r="J20" i="7"/>
  <c r="M20" i="7"/>
  <c r="O20" i="7"/>
  <c r="S20" i="7"/>
  <c r="D80" i="13"/>
  <c r="D6" i="13"/>
  <c r="E6" i="13"/>
  <c r="G6" i="13"/>
  <c r="J6" i="13"/>
  <c r="E7" i="13"/>
  <c r="G7" i="13"/>
  <c r="J7" i="13"/>
  <c r="E8" i="13"/>
  <c r="G8" i="13"/>
  <c r="E9" i="13"/>
  <c r="G9" i="13"/>
  <c r="E10" i="13"/>
  <c r="G10" i="13"/>
  <c r="J10" i="13"/>
  <c r="M12" i="13"/>
  <c r="N14" i="13"/>
  <c r="M14" i="13"/>
  <c r="M15" i="13"/>
  <c r="G11" i="13"/>
  <c r="J11" i="13"/>
  <c r="E12" i="13"/>
  <c r="G12" i="13"/>
  <c r="J12" i="13"/>
  <c r="J13" i="13"/>
  <c r="J14" i="13"/>
  <c r="G15" i="13"/>
  <c r="J15" i="13"/>
  <c r="G16" i="13"/>
  <c r="J16" i="13"/>
  <c r="E17" i="13"/>
  <c r="G17" i="13"/>
  <c r="J17" i="13"/>
  <c r="H8" i="2"/>
  <c r="Q65" i="2"/>
  <c r="Q59" i="2"/>
  <c r="Q64" i="2"/>
  <c r="Q66" i="2"/>
  <c r="Q56" i="2"/>
  <c r="Q50" i="2"/>
  <c r="Q55" i="2"/>
  <c r="Q57" i="2"/>
  <c r="E19" i="13"/>
  <c r="K73" i="5"/>
  <c r="K72" i="5"/>
  <c r="E72" i="5"/>
  <c r="I72" i="5"/>
  <c r="E74" i="5"/>
  <c r="I74" i="5"/>
  <c r="E73" i="5"/>
  <c r="I75" i="5"/>
  <c r="N75" i="5"/>
  <c r="P74" i="5"/>
  <c r="O74" i="5"/>
  <c r="P73" i="5"/>
  <c r="P72" i="5"/>
  <c r="I73" i="5"/>
  <c r="L73" i="5"/>
  <c r="M73" i="5"/>
  <c r="E33" i="13"/>
  <c r="I33" i="13"/>
  <c r="I7" i="13"/>
  <c r="E21" i="13"/>
  <c r="E20" i="13"/>
  <c r="I40" i="5"/>
  <c r="I41" i="5"/>
  <c r="I39" i="5"/>
  <c r="C33" i="5"/>
  <c r="D33" i="5"/>
  <c r="E32" i="5"/>
  <c r="C64" i="2"/>
  <c r="C58" i="2"/>
  <c r="C63" i="2"/>
  <c r="C49" i="2"/>
  <c r="N73" i="5"/>
  <c r="Q73" i="5"/>
  <c r="R73" i="5"/>
  <c r="L74" i="5"/>
  <c r="M74" i="5"/>
  <c r="M77" i="5"/>
  <c r="L72" i="5"/>
  <c r="M72" i="5"/>
  <c r="N72" i="5"/>
  <c r="Q72" i="5"/>
  <c r="R72" i="5"/>
  <c r="G33" i="13"/>
  <c r="J33" i="13"/>
  <c r="I21" i="13"/>
  <c r="G21" i="13"/>
  <c r="J21" i="13"/>
  <c r="C65" i="2"/>
  <c r="E67" i="13"/>
  <c r="G67" i="13"/>
  <c r="E30" i="13"/>
  <c r="I30" i="13"/>
  <c r="I10" i="13"/>
  <c r="E44" i="13"/>
  <c r="E36" i="13"/>
  <c r="I36" i="13"/>
  <c r="G36" i="13"/>
  <c r="I8" i="13"/>
  <c r="E34" i="13"/>
  <c r="I34" i="13"/>
  <c r="I32" i="13"/>
  <c r="E32" i="13"/>
  <c r="I12" i="13"/>
  <c r="I11" i="13"/>
  <c r="I6" i="13"/>
  <c r="D28" i="13"/>
  <c r="I28" i="13"/>
  <c r="J60" i="11"/>
  <c r="H5" i="5"/>
  <c r="H6" i="5"/>
  <c r="E10" i="9"/>
  <c r="E11" i="9"/>
  <c r="E12" i="9"/>
  <c r="E13" i="9"/>
  <c r="K13" i="9"/>
  <c r="E14" i="9"/>
  <c r="K14" i="9"/>
  <c r="E15" i="9"/>
  <c r="K15" i="9"/>
  <c r="E16" i="9"/>
  <c r="K16" i="9"/>
  <c r="E17" i="9"/>
  <c r="K17" i="9"/>
  <c r="E18" i="9"/>
  <c r="K18" i="9"/>
  <c r="E19" i="9"/>
  <c r="K19" i="9"/>
  <c r="E20" i="9"/>
  <c r="K20" i="9"/>
  <c r="J4" i="9"/>
  <c r="K4" i="9"/>
  <c r="L4" i="9"/>
  <c r="I4" i="9"/>
  <c r="C55" i="2"/>
  <c r="C54" i="2"/>
  <c r="C56" i="2"/>
  <c r="N74" i="5"/>
  <c r="Q74" i="5"/>
  <c r="R74" i="5"/>
  <c r="R77" i="5"/>
  <c r="G32" i="13"/>
  <c r="G34" i="13"/>
  <c r="J34" i="13"/>
  <c r="I17" i="13"/>
  <c r="G30" i="13"/>
  <c r="G44" i="13"/>
  <c r="J44" i="13"/>
  <c r="I44" i="13"/>
  <c r="K21" i="9"/>
  <c r="H5" i="2"/>
  <c r="I5" i="2"/>
  <c r="J5" i="2"/>
  <c r="O5" i="2"/>
  <c r="H16" i="2"/>
  <c r="I16" i="2"/>
  <c r="I14" i="2"/>
  <c r="H13" i="2"/>
  <c r="I13" i="2"/>
  <c r="E12" i="2"/>
  <c r="H12" i="2"/>
  <c r="I12" i="2"/>
  <c r="J11" i="2"/>
  <c r="J12" i="2"/>
  <c r="J13" i="2"/>
  <c r="J14" i="2"/>
  <c r="H7" i="2"/>
  <c r="I7" i="2"/>
  <c r="J7" i="2"/>
  <c r="L38" i="26"/>
  <c r="L39" i="26"/>
  <c r="L40" i="26"/>
  <c r="E11" i="11"/>
  <c r="F11" i="11"/>
  <c r="F12" i="11"/>
  <c r="D14" i="11"/>
  <c r="E14" i="11"/>
  <c r="F14" i="11"/>
  <c r="D15" i="11"/>
  <c r="E15" i="11"/>
  <c r="F15" i="11"/>
  <c r="D16" i="11"/>
  <c r="E16" i="11"/>
  <c r="F16" i="11"/>
  <c r="D17" i="11"/>
  <c r="E17" i="11"/>
  <c r="F17" i="11"/>
  <c r="T22" i="9"/>
  <c r="E49" i="13"/>
  <c r="J50" i="13"/>
  <c r="J24" i="5"/>
  <c r="J31" i="5"/>
  <c r="K24" i="5"/>
  <c r="K31" i="5"/>
  <c r="I22" i="5"/>
  <c r="K22" i="5"/>
  <c r="L22" i="5"/>
  <c r="M22" i="5"/>
  <c r="I23" i="5"/>
  <c r="K23" i="5"/>
  <c r="L23" i="5"/>
  <c r="M23" i="5"/>
  <c r="F13" i="11"/>
  <c r="F18" i="11"/>
  <c r="P115" i="11"/>
  <c r="Q115" i="11"/>
  <c r="P116" i="11"/>
  <c r="Q116" i="11"/>
  <c r="P117" i="11"/>
  <c r="Q38" i="13"/>
  <c r="F17" i="7"/>
  <c r="J17" i="7"/>
  <c r="E51" i="26"/>
  <c r="G9" i="5"/>
  <c r="Q29" i="5"/>
  <c r="R29" i="5"/>
  <c r="I9" i="5"/>
  <c r="J9" i="5"/>
  <c r="Q28" i="5"/>
  <c r="R28" i="5"/>
  <c r="I8" i="5"/>
  <c r="K8" i="12"/>
  <c r="L8" i="12"/>
  <c r="K10" i="12"/>
  <c r="L10" i="12"/>
  <c r="K11" i="12"/>
  <c r="L11" i="12"/>
  <c r="K12" i="12"/>
  <c r="L12" i="12"/>
  <c r="K13" i="12"/>
  <c r="L13" i="12"/>
  <c r="K14" i="12"/>
  <c r="L14" i="12"/>
  <c r="K15" i="12"/>
  <c r="L15" i="12"/>
  <c r="K16" i="12"/>
  <c r="L16" i="12"/>
  <c r="K7" i="12"/>
  <c r="E26" i="13"/>
  <c r="G26" i="13"/>
  <c r="E27" i="13"/>
  <c r="G27" i="13"/>
  <c r="G35" i="13"/>
  <c r="D35" i="13"/>
  <c r="E29" i="13"/>
  <c r="J37" i="13"/>
  <c r="J38" i="13"/>
  <c r="J39" i="13"/>
  <c r="J40" i="13"/>
  <c r="J41" i="13"/>
  <c r="J42" i="13"/>
  <c r="J45" i="13"/>
  <c r="J49" i="13"/>
  <c r="J51" i="13"/>
  <c r="J53" i="13"/>
  <c r="I25" i="5"/>
  <c r="J35" i="13"/>
  <c r="I23" i="9"/>
  <c r="O28" i="9"/>
  <c r="Q42" i="13"/>
  <c r="E11" i="13"/>
  <c r="D52" i="13"/>
  <c r="G52" i="13"/>
  <c r="J52" i="13"/>
  <c r="D16" i="13"/>
  <c r="D15" i="13"/>
  <c r="I31" i="5"/>
  <c r="Q39" i="13"/>
  <c r="Q40" i="13"/>
  <c r="Q41" i="13"/>
  <c r="E68" i="13"/>
  <c r="M38" i="7"/>
  <c r="F37" i="7"/>
  <c r="J37" i="7"/>
  <c r="M37" i="7"/>
  <c r="L31" i="5"/>
  <c r="O6" i="2"/>
  <c r="O7" i="2"/>
  <c r="O9" i="2"/>
  <c r="O11" i="2"/>
  <c r="O4" i="2"/>
  <c r="J16" i="2"/>
  <c r="J35" i="7"/>
  <c r="J34" i="7"/>
  <c r="F34" i="7"/>
  <c r="F35" i="7"/>
  <c r="S33" i="7"/>
  <c r="S34" i="7"/>
  <c r="S35" i="7"/>
  <c r="S37" i="7"/>
  <c r="S38" i="7"/>
  <c r="L36" i="7"/>
  <c r="F36" i="7"/>
  <c r="J36" i="7"/>
  <c r="F15" i="7"/>
  <c r="D17" i="2"/>
  <c r="S30" i="12"/>
  <c r="K84" i="13"/>
  <c r="K83" i="13"/>
  <c r="F33" i="7"/>
  <c r="J33" i="7"/>
  <c r="E28" i="13"/>
  <c r="L28" i="13"/>
  <c r="L29" i="13"/>
  <c r="E46" i="13"/>
  <c r="G28" i="13"/>
  <c r="G46" i="13"/>
  <c r="M36" i="7"/>
  <c r="O36" i="7"/>
  <c r="S36" i="7"/>
  <c r="I46" i="13"/>
  <c r="D48" i="13"/>
  <c r="I48" i="13"/>
  <c r="D47" i="13"/>
  <c r="I47" i="13"/>
  <c r="J28" i="13"/>
  <c r="F14" i="26"/>
  <c r="J20" i="13"/>
  <c r="F6" i="21"/>
  <c r="G6" i="21"/>
  <c r="F5" i="21"/>
  <c r="G5" i="21"/>
  <c r="L5" i="5"/>
  <c r="J13" i="26"/>
  <c r="K13" i="26"/>
  <c r="L21" i="9"/>
  <c r="I18" i="9"/>
  <c r="L18" i="9"/>
  <c r="I10" i="9"/>
  <c r="L15" i="9"/>
  <c r="M18" i="9"/>
  <c r="N18" i="9"/>
  <c r="O18" i="9"/>
  <c r="Q18" i="9"/>
  <c r="S18" i="9"/>
  <c r="M15" i="9"/>
  <c r="N15" i="9"/>
  <c r="Q15" i="9"/>
  <c r="S15" i="9"/>
  <c r="Q35" i="9"/>
  <c r="R35" i="9"/>
  <c r="M12" i="9"/>
  <c r="S12" i="9"/>
  <c r="Q32" i="9"/>
  <c r="R32" i="9"/>
  <c r="M21" i="9"/>
  <c r="N21" i="9"/>
  <c r="O21" i="9"/>
  <c r="T37" i="9"/>
  <c r="Q21" i="9"/>
  <c r="S21" i="9"/>
  <c r="J14" i="9"/>
  <c r="L14" i="9"/>
  <c r="M11" i="9"/>
  <c r="Q31" i="9"/>
  <c r="R31" i="9"/>
  <c r="S11" i="9"/>
  <c r="I13" i="9"/>
  <c r="H16" i="9"/>
  <c r="L16" i="9"/>
  <c r="L20" i="9"/>
  <c r="I17" i="9"/>
  <c r="L17" i="9"/>
  <c r="N9" i="9"/>
  <c r="O9" i="9"/>
  <c r="Q29" i="9"/>
  <c r="R29" i="9"/>
  <c r="O15" i="9"/>
  <c r="M9" i="9"/>
  <c r="H19" i="9"/>
  <c r="L19" i="9"/>
  <c r="L13" i="9"/>
  <c r="Q33" i="9"/>
  <c r="R33" i="9"/>
  <c r="M20" i="9"/>
  <c r="N20" i="9"/>
  <c r="O20" i="9"/>
  <c r="Q20" i="9"/>
  <c r="S20" i="9"/>
  <c r="M13" i="9"/>
  <c r="M19" i="9"/>
  <c r="N19" i="9"/>
  <c r="Q19" i="9"/>
  <c r="S19" i="9"/>
  <c r="T25" i="9"/>
  <c r="M14" i="9"/>
  <c r="N14" i="9"/>
  <c r="O14" i="9"/>
  <c r="T30" i="9"/>
  <c r="Q34" i="9"/>
  <c r="R34" i="9"/>
  <c r="Q14" i="9"/>
  <c r="S14" i="9"/>
  <c r="M17" i="9"/>
  <c r="Q37" i="9"/>
  <c r="R37" i="9"/>
  <c r="Q17" i="9"/>
  <c r="S17" i="9"/>
  <c r="N17" i="9"/>
  <c r="O17" i="9"/>
  <c r="T33" i="9"/>
  <c r="M10" i="9"/>
  <c r="T26" i="9"/>
  <c r="S10" i="9"/>
  <c r="Q30" i="9"/>
  <c r="R30" i="9"/>
  <c r="S9" i="9"/>
  <c r="M16" i="9"/>
  <c r="Q36" i="9"/>
  <c r="R36" i="9"/>
  <c r="N16" i="9"/>
  <c r="O16" i="9"/>
  <c r="Q16" i="9"/>
  <c r="S16" i="9"/>
  <c r="T31" i="9"/>
  <c r="T27" i="9"/>
  <c r="T32" i="9"/>
  <c r="T34" i="9"/>
  <c r="T28" i="9"/>
  <c r="O19" i="9"/>
  <c r="S39" i="11"/>
  <c r="S34" i="11"/>
  <c r="N13" i="9"/>
  <c r="O13" i="9"/>
  <c r="Q13" i="9"/>
  <c r="S13" i="9"/>
  <c r="T36" i="9"/>
  <c r="T35" i="9"/>
  <c r="S47" i="11"/>
  <c r="S40" i="11"/>
  <c r="S46" i="11"/>
  <c r="S19" i="11"/>
  <c r="S35" i="11"/>
  <c r="T29" i="9"/>
  <c r="S38" i="11"/>
  <c r="S36" i="11"/>
  <c r="S32" i="11"/>
  <c r="S37" i="11"/>
  <c r="S33" i="11"/>
  <c r="L85" i="13"/>
  <c r="L86" i="13"/>
  <c r="L87" i="13"/>
  <c r="L88" i="13"/>
  <c r="L89" i="13"/>
  <c r="L90" i="13"/>
  <c r="L92" i="13"/>
  <c r="L96" i="13"/>
  <c r="L97" i="13"/>
  <c r="L98" i="13"/>
  <c r="L99" i="13"/>
  <c r="L100" i="13"/>
  <c r="H11" i="12"/>
  <c r="H12" i="12"/>
  <c r="H13" i="12"/>
  <c r="H14" i="12"/>
  <c r="H15" i="12"/>
  <c r="H16" i="12"/>
  <c r="R36" i="2"/>
  <c r="R35" i="2"/>
  <c r="O13" i="2"/>
  <c r="O14" i="2"/>
  <c r="O16" i="2"/>
  <c r="E35" i="12"/>
  <c r="E34" i="12"/>
  <c r="E33" i="12"/>
  <c r="E32" i="12"/>
  <c r="E31" i="12"/>
  <c r="E30" i="12"/>
  <c r="E29" i="12"/>
  <c r="E28" i="12"/>
  <c r="E27" i="12"/>
  <c r="E16" i="12"/>
  <c r="N15" i="12"/>
  <c r="R15" i="12"/>
  <c r="E15" i="12"/>
  <c r="N14" i="12"/>
  <c r="R14" i="12"/>
  <c r="E14" i="12"/>
  <c r="N13" i="12"/>
  <c r="R13" i="12"/>
  <c r="E13" i="12"/>
  <c r="N12" i="12"/>
  <c r="R12" i="12"/>
  <c r="E12" i="12"/>
  <c r="N11" i="12"/>
  <c r="R11" i="12"/>
  <c r="E11" i="12"/>
  <c r="G10" i="12"/>
  <c r="E10" i="12"/>
  <c r="K9" i="12"/>
  <c r="G9" i="12"/>
  <c r="G8" i="12"/>
  <c r="E8" i="12"/>
  <c r="G7" i="12"/>
  <c r="E7" i="12"/>
  <c r="H7" i="12"/>
  <c r="N16" i="12"/>
  <c r="R16" i="12"/>
  <c r="E26" i="11"/>
  <c r="E27" i="11"/>
  <c r="D53" i="13"/>
  <c r="D37" i="13"/>
  <c r="D14" i="13"/>
  <c r="D13" i="13"/>
  <c r="E74" i="13"/>
  <c r="E66" i="13"/>
  <c r="E65" i="13"/>
  <c r="E64" i="13"/>
  <c r="E63" i="13"/>
  <c r="E62" i="13"/>
  <c r="O21" i="2"/>
  <c r="H21" i="2"/>
  <c r="I21" i="2"/>
  <c r="G16" i="2"/>
  <c r="G15" i="2"/>
  <c r="E12" i="21"/>
  <c r="L41" i="7"/>
  <c r="J41" i="7"/>
  <c r="F41" i="7"/>
  <c r="L40" i="7"/>
  <c r="J40" i="7"/>
  <c r="F40" i="7"/>
  <c r="L39" i="7"/>
  <c r="J39" i="7"/>
  <c r="F39" i="7"/>
  <c r="L32" i="7"/>
  <c r="J32" i="7"/>
  <c r="M32" i="7"/>
  <c r="O32" i="7"/>
  <c r="S32" i="7"/>
  <c r="F32" i="7"/>
  <c r="L31" i="7"/>
  <c r="J31" i="7"/>
  <c r="F31" i="7"/>
  <c r="L30" i="7"/>
  <c r="J30" i="7"/>
  <c r="F30" i="7"/>
  <c r="L29" i="7"/>
  <c r="F29" i="7"/>
  <c r="J29" i="7"/>
  <c r="M29" i="7"/>
  <c r="O29" i="7"/>
  <c r="S29" i="7"/>
  <c r="L28" i="7"/>
  <c r="F28" i="7"/>
  <c r="J28" i="7"/>
  <c r="L27" i="7"/>
  <c r="F27" i="7"/>
  <c r="J27" i="7"/>
  <c r="L26" i="7"/>
  <c r="F26" i="7"/>
  <c r="R50" i="7"/>
  <c r="S50" i="7"/>
  <c r="R49" i="7"/>
  <c r="S49" i="7"/>
  <c r="F10" i="7"/>
  <c r="F9" i="7"/>
  <c r="F8" i="7"/>
  <c r="J26" i="7"/>
  <c r="C42" i="11"/>
  <c r="D42" i="11"/>
  <c r="H32" i="2"/>
  <c r="I32" i="2"/>
  <c r="D33" i="2"/>
  <c r="O30" i="2"/>
  <c r="H30" i="2"/>
  <c r="I30" i="2"/>
  <c r="O26" i="2"/>
  <c r="H26" i="2"/>
  <c r="I26" i="2"/>
  <c r="O25" i="2"/>
  <c r="H25" i="2"/>
  <c r="I25" i="2"/>
  <c r="O24" i="2"/>
  <c r="H24" i="2"/>
  <c r="I24" i="2"/>
  <c r="O23" i="2"/>
  <c r="H23" i="2"/>
  <c r="I23" i="2"/>
  <c r="O20" i="2"/>
  <c r="H20" i="2"/>
  <c r="I20" i="2"/>
  <c r="O31" i="2"/>
  <c r="H31" i="2"/>
  <c r="I31" i="2"/>
  <c r="F57" i="2"/>
  <c r="K22" i="21"/>
  <c r="L22" i="21"/>
  <c r="N29" i="21"/>
  <c r="I8" i="21"/>
  <c r="I7" i="21"/>
  <c r="G5" i="5"/>
  <c r="G6" i="5"/>
  <c r="I6" i="5"/>
  <c r="J10" i="5"/>
  <c r="L10" i="5"/>
  <c r="M10" i="5"/>
  <c r="O10" i="5"/>
  <c r="S10" i="5"/>
  <c r="J11" i="5"/>
  <c r="R25" i="5"/>
  <c r="R23" i="5"/>
  <c r="L6" i="5"/>
  <c r="L8" i="5"/>
  <c r="L9" i="5"/>
  <c r="M9" i="5"/>
  <c r="L11" i="5"/>
  <c r="L12" i="5"/>
  <c r="J12" i="5"/>
  <c r="G12" i="5"/>
  <c r="G11" i="5"/>
  <c r="G10" i="5"/>
  <c r="F46" i="2"/>
  <c r="J71" i="24"/>
  <c r="J73" i="24"/>
  <c r="H73" i="24"/>
  <c r="G118" i="24"/>
  <c r="G117" i="24"/>
  <c r="F116" i="24"/>
  <c r="F117" i="24"/>
  <c r="C117" i="24"/>
  <c r="C116" i="24"/>
  <c r="C58" i="24"/>
  <c r="G34" i="24"/>
  <c r="C35" i="24"/>
  <c r="D35" i="24"/>
  <c r="E35" i="24"/>
  <c r="G35" i="24"/>
  <c r="F34" i="24"/>
  <c r="F35" i="24"/>
  <c r="H31" i="24"/>
  <c r="H32" i="24"/>
  <c r="H33" i="24"/>
  <c r="H34" i="24"/>
  <c r="H30" i="24"/>
  <c r="G31" i="24"/>
  <c r="G32" i="24"/>
  <c r="G33" i="24"/>
  <c r="G30" i="24"/>
  <c r="F31" i="24"/>
  <c r="F32" i="24"/>
  <c r="F33" i="24"/>
  <c r="F30" i="24"/>
  <c r="I23" i="24"/>
  <c r="H23" i="24"/>
  <c r="G23" i="24"/>
  <c r="F23" i="24"/>
  <c r="C23" i="24"/>
  <c r="D23" i="24"/>
  <c r="E23" i="24"/>
  <c r="L23" i="24"/>
  <c r="C11" i="24"/>
  <c r="L22" i="24"/>
  <c r="K22" i="24"/>
  <c r="J22" i="24"/>
  <c r="L21" i="24"/>
  <c r="K21" i="24"/>
  <c r="J21" i="24"/>
  <c r="L20" i="24"/>
  <c r="K20" i="24"/>
  <c r="J20" i="24"/>
  <c r="E116" i="24"/>
  <c r="E117" i="24"/>
  <c r="D116" i="24"/>
  <c r="D117" i="24"/>
  <c r="C118" i="24"/>
  <c r="G116" i="24"/>
  <c r="C162" i="14"/>
  <c r="C160" i="14"/>
  <c r="G51" i="14"/>
  <c r="C121" i="14"/>
  <c r="C120" i="14"/>
  <c r="E127" i="14"/>
  <c r="E13" i="14"/>
  <c r="E15" i="14"/>
  <c r="E26" i="19"/>
  <c r="E25" i="19"/>
  <c r="F26" i="19"/>
  <c r="F25" i="19"/>
  <c r="G22" i="15"/>
  <c r="G21" i="16"/>
  <c r="G13" i="16"/>
  <c r="G7" i="16"/>
  <c r="C139" i="24"/>
  <c r="I16" i="16"/>
  <c r="I15" i="16"/>
  <c r="I18" i="16"/>
  <c r="I17" i="16"/>
  <c r="C108" i="14"/>
  <c r="H107" i="14"/>
  <c r="E104" i="14"/>
  <c r="E102" i="14"/>
  <c r="H102" i="14"/>
  <c r="E100" i="14"/>
  <c r="E98" i="14"/>
  <c r="H100" i="14"/>
  <c r="H71" i="24"/>
  <c r="H35" i="24"/>
  <c r="L4" i="24"/>
  <c r="L5" i="24"/>
  <c r="L6" i="24"/>
  <c r="L7" i="24"/>
  <c r="L8" i="24"/>
  <c r="L9" i="24"/>
  <c r="L10" i="24"/>
  <c r="K4" i="24"/>
  <c r="K5" i="24"/>
  <c r="K6" i="24"/>
  <c r="K7" i="24"/>
  <c r="K8" i="24"/>
  <c r="K9" i="24"/>
  <c r="K10" i="24"/>
  <c r="J4" i="24"/>
  <c r="J5" i="24"/>
  <c r="J6" i="24"/>
  <c r="J7" i="24"/>
  <c r="J8" i="24"/>
  <c r="J9" i="24"/>
  <c r="J10" i="24"/>
  <c r="G97" i="24"/>
  <c r="F97" i="24"/>
  <c r="C142" i="14"/>
  <c r="Q143" i="14"/>
  <c r="E132" i="14"/>
  <c r="H129" i="14"/>
  <c r="E145" i="14"/>
  <c r="H139" i="14"/>
  <c r="E134" i="14"/>
  <c r="E141" i="14"/>
  <c r="H132" i="14"/>
  <c r="O129" i="14"/>
  <c r="E121" i="14"/>
  <c r="H119" i="14"/>
  <c r="O119" i="14"/>
  <c r="E123" i="14"/>
  <c r="E130" i="14"/>
  <c r="E137" i="14"/>
  <c r="E125" i="14"/>
  <c r="H124" i="14"/>
  <c r="O121" i="14"/>
  <c r="E119" i="14"/>
  <c r="H122" i="14"/>
  <c r="O118" i="14"/>
  <c r="E115" i="14"/>
  <c r="E117" i="14"/>
  <c r="H116" i="14"/>
  <c r="O117" i="14"/>
  <c r="G77" i="14"/>
  <c r="N130" i="14"/>
  <c r="H87" i="14"/>
  <c r="Q80" i="14"/>
  <c r="H89" i="14"/>
  <c r="Q79" i="14"/>
  <c r="E75" i="14"/>
  <c r="E85" i="14"/>
  <c r="K81" i="14"/>
  <c r="Q77" i="14"/>
  <c r="E79" i="14"/>
  <c r="E81" i="14"/>
  <c r="E83" i="14"/>
  <c r="K79" i="14"/>
  <c r="Q76" i="14"/>
  <c r="E77" i="14"/>
  <c r="K76" i="14"/>
  <c r="Q75" i="14"/>
  <c r="E73" i="14"/>
  <c r="K71" i="14"/>
  <c r="Q73" i="14"/>
  <c r="E71" i="14"/>
  <c r="K74" i="14"/>
  <c r="Q72" i="14"/>
  <c r="E69" i="14"/>
  <c r="Q71" i="14"/>
  <c r="P84" i="14"/>
  <c r="O84" i="14"/>
  <c r="E49" i="14"/>
  <c r="J42" i="14"/>
  <c r="O44" i="14"/>
  <c r="E51" i="14"/>
  <c r="J44" i="14"/>
  <c r="O45" i="14"/>
  <c r="E53" i="14"/>
  <c r="J47" i="14"/>
  <c r="O46" i="14"/>
  <c r="E57" i="14"/>
  <c r="J49" i="14"/>
  <c r="O48" i="14"/>
  <c r="G53" i="14"/>
  <c r="G55" i="14"/>
  <c r="J54" i="14"/>
  <c r="O50" i="14"/>
  <c r="G59" i="14"/>
  <c r="J56" i="14"/>
  <c r="O54" i="14"/>
  <c r="G57" i="14"/>
  <c r="J58" i="14"/>
  <c r="O55" i="14"/>
  <c r="N56" i="14"/>
  <c r="H30" i="14"/>
  <c r="M15" i="14"/>
  <c r="H34" i="14"/>
  <c r="M5" i="14"/>
  <c r="E24" i="14"/>
  <c r="E26" i="14"/>
  <c r="E28" i="14"/>
  <c r="M14" i="14"/>
  <c r="E22" i="14"/>
  <c r="M13" i="14"/>
  <c r="E19" i="14"/>
  <c r="F19" i="14"/>
  <c r="G19" i="14"/>
  <c r="H15" i="14"/>
  <c r="M11" i="14"/>
  <c r="E17" i="14"/>
  <c r="E11" i="14"/>
  <c r="H10" i="14"/>
  <c r="M9" i="14"/>
  <c r="E7" i="14"/>
  <c r="H8" i="14"/>
  <c r="M7" i="14"/>
  <c r="H6" i="14"/>
  <c r="M6" i="14"/>
  <c r="H314" i="15"/>
  <c r="N305" i="15"/>
  <c r="H300" i="15"/>
  <c r="N298" i="15"/>
  <c r="H301" i="15"/>
  <c r="H302" i="15"/>
  <c r="H303" i="15"/>
  <c r="H305" i="15"/>
  <c r="H317" i="15"/>
  <c r="H312" i="15"/>
  <c r="H307" i="15"/>
  <c r="N300" i="15"/>
  <c r="H340" i="15"/>
  <c r="H339" i="15"/>
  <c r="H338" i="15"/>
  <c r="H337" i="15"/>
  <c r="H336" i="15"/>
  <c r="H335" i="15"/>
  <c r="H334" i="15"/>
  <c r="H333" i="15"/>
  <c r="H332" i="15"/>
  <c r="H331" i="15"/>
  <c r="H330" i="15"/>
  <c r="H329" i="15"/>
  <c r="H328" i="15"/>
  <c r="H327" i="15"/>
  <c r="H326" i="15"/>
  <c r="H325" i="15"/>
  <c r="H324" i="15"/>
  <c r="H323" i="15"/>
  <c r="H322" i="15"/>
  <c r="C47" i="24"/>
  <c r="H259" i="15"/>
  <c r="H261" i="15"/>
  <c r="N262" i="15"/>
  <c r="H204" i="15"/>
  <c r="P202" i="15"/>
  <c r="H58" i="15"/>
  <c r="O56" i="15"/>
  <c r="H42" i="15"/>
  <c r="H43" i="15"/>
  <c r="N41" i="15"/>
  <c r="H47" i="15"/>
  <c r="N44" i="15"/>
  <c r="O248" i="15"/>
  <c r="E75" i="15"/>
  <c r="N248" i="15"/>
  <c r="E112" i="15"/>
  <c r="Q247" i="15"/>
  <c r="Q248" i="15"/>
  <c r="R247" i="15"/>
  <c r="R248" i="15"/>
  <c r="S247" i="15"/>
  <c r="S248" i="15"/>
  <c r="P247" i="15"/>
  <c r="P248" i="15"/>
  <c r="H239" i="15"/>
  <c r="T243" i="15"/>
  <c r="H180" i="15"/>
  <c r="S178" i="15"/>
  <c r="H159" i="15"/>
  <c r="R157" i="15"/>
  <c r="H155" i="15"/>
  <c r="R153" i="15"/>
  <c r="H130" i="15"/>
  <c r="Q126" i="15"/>
  <c r="H77" i="15"/>
  <c r="O74" i="15"/>
  <c r="H25" i="15"/>
  <c r="N24" i="15"/>
  <c r="H22" i="15"/>
  <c r="N21" i="15"/>
  <c r="H318" i="15"/>
  <c r="H316" i="15"/>
  <c r="N307" i="15"/>
  <c r="H315" i="15"/>
  <c r="N306" i="15"/>
  <c r="H313" i="15"/>
  <c r="H311" i="15"/>
  <c r="N304" i="15"/>
  <c r="H310" i="15"/>
  <c r="N303" i="15"/>
  <c r="H309" i="15"/>
  <c r="H308" i="15"/>
  <c r="H306" i="15"/>
  <c r="N302" i="15"/>
  <c r="H304" i="15"/>
  <c r="N301" i="15"/>
  <c r="E309" i="15"/>
  <c r="H262" i="15"/>
  <c r="H260" i="15"/>
  <c r="N263" i="15"/>
  <c r="H258" i="15"/>
  <c r="H257" i="15"/>
  <c r="H263" i="15"/>
  <c r="N261" i="15"/>
  <c r="H256" i="15"/>
  <c r="N260" i="15"/>
  <c r="H255" i="15"/>
  <c r="H270" i="15"/>
  <c r="N259" i="15"/>
  <c r="H254" i="15"/>
  <c r="N258" i="15"/>
  <c r="H271" i="15"/>
  <c r="N270" i="15"/>
  <c r="H269" i="15"/>
  <c r="N269" i="15"/>
  <c r="E280" i="15"/>
  <c r="H267" i="15"/>
  <c r="N267" i="15"/>
  <c r="H266" i="15"/>
  <c r="N266" i="15"/>
  <c r="D275" i="15"/>
  <c r="D274" i="15"/>
  <c r="D273" i="15"/>
  <c r="D272" i="15"/>
  <c r="D276" i="15"/>
  <c r="D266" i="15"/>
  <c r="D267" i="15"/>
  <c r="D265" i="15"/>
  <c r="D264" i="15"/>
  <c r="D269" i="15"/>
  <c r="H268" i="15"/>
  <c r="N268" i="15"/>
  <c r="H265" i="15"/>
  <c r="N265" i="15"/>
  <c r="H264" i="15"/>
  <c r="N264" i="15"/>
  <c r="E286" i="15"/>
  <c r="H243" i="15"/>
  <c r="H245" i="15"/>
  <c r="H242" i="15"/>
  <c r="T246" i="15"/>
  <c r="H241" i="15"/>
  <c r="T245" i="15"/>
  <c r="H240" i="15"/>
  <c r="H244" i="15"/>
  <c r="T244" i="15"/>
  <c r="F244" i="15"/>
  <c r="E237" i="15"/>
  <c r="H238" i="15"/>
  <c r="T242" i="15"/>
  <c r="H237" i="15"/>
  <c r="T241" i="15"/>
  <c r="T247" i="15"/>
  <c r="T248" i="15"/>
  <c r="H205" i="15"/>
  <c r="P203" i="15"/>
  <c r="H203" i="15"/>
  <c r="P198" i="15"/>
  <c r="H202" i="15"/>
  <c r="H201" i="15"/>
  <c r="P200" i="15"/>
  <c r="H200" i="15"/>
  <c r="P199" i="15"/>
  <c r="G198" i="15"/>
  <c r="H198" i="15"/>
  <c r="H199" i="15"/>
  <c r="P197" i="15"/>
  <c r="P196" i="15"/>
  <c r="H207" i="15"/>
  <c r="H206" i="15"/>
  <c r="F200" i="15"/>
  <c r="F131" i="15"/>
  <c r="F183" i="15"/>
  <c r="R178" i="15"/>
  <c r="H187" i="15"/>
  <c r="H186" i="15"/>
  <c r="H185" i="15"/>
  <c r="S183" i="15"/>
  <c r="H184" i="15"/>
  <c r="S180" i="15"/>
  <c r="H183" i="15"/>
  <c r="S182" i="15"/>
  <c r="H182" i="15"/>
  <c r="S181" i="15"/>
  <c r="H181" i="15"/>
  <c r="S179" i="15"/>
  <c r="H179" i="15"/>
  <c r="R177" i="15"/>
  <c r="H160" i="15"/>
  <c r="H158" i="15"/>
  <c r="R156" i="15"/>
  <c r="H157" i="15"/>
  <c r="R154" i="15"/>
  <c r="H156" i="15"/>
  <c r="R155" i="15"/>
  <c r="H154" i="15"/>
  <c r="R152" i="15"/>
  <c r="H134" i="15"/>
  <c r="Q130" i="15"/>
  <c r="H135" i="15"/>
  <c r="H133" i="15"/>
  <c r="Q129" i="15"/>
  <c r="H132" i="15"/>
  <c r="H131" i="15"/>
  <c r="H129" i="15"/>
  <c r="H128" i="15"/>
  <c r="Q125" i="15"/>
  <c r="F134" i="15"/>
  <c r="I125" i="15"/>
  <c r="H106" i="15"/>
  <c r="H105" i="15"/>
  <c r="H104" i="15"/>
  <c r="H109" i="15"/>
  <c r="H108" i="15"/>
  <c r="H107" i="15"/>
  <c r="L97" i="15"/>
  <c r="H98" i="15"/>
  <c r="H97" i="15"/>
  <c r="H75" i="15"/>
  <c r="H74" i="15"/>
  <c r="O70" i="15"/>
  <c r="H73" i="15"/>
  <c r="H78" i="15"/>
  <c r="O72" i="15"/>
  <c r="H72" i="15"/>
  <c r="O71" i="15"/>
  <c r="H71" i="15"/>
  <c r="O69" i="15"/>
  <c r="H76" i="15"/>
  <c r="O73" i="15"/>
  <c r="O76" i="15"/>
  <c r="G75" i="15"/>
  <c r="H61" i="15"/>
  <c r="O57" i="15"/>
  <c r="G58" i="15"/>
  <c r="G67" i="15"/>
  <c r="H59" i="15"/>
  <c r="O58" i="15"/>
  <c r="H57" i="15"/>
  <c r="H56" i="15"/>
  <c r="O53" i="15"/>
  <c r="H55" i="15"/>
  <c r="O55" i="15"/>
  <c r="H54" i="15"/>
  <c r="O52" i="15"/>
  <c r="H53" i="15"/>
  <c r="H46" i="15"/>
  <c r="H45" i="15"/>
  <c r="N43" i="15"/>
  <c r="H44" i="15"/>
  <c r="N42" i="15"/>
  <c r="H41" i="15"/>
  <c r="N40" i="15"/>
  <c r="H40" i="15"/>
  <c r="N39" i="15"/>
  <c r="H39" i="15"/>
  <c r="N38" i="15"/>
  <c r="E37" i="15"/>
  <c r="H38" i="15"/>
  <c r="N37" i="15"/>
  <c r="H37" i="15"/>
  <c r="N36" i="15"/>
  <c r="H24" i="15"/>
  <c r="N23" i="15"/>
  <c r="H23" i="15"/>
  <c r="N22" i="15"/>
  <c r="H28" i="15"/>
  <c r="N27" i="15"/>
  <c r="H27" i="15"/>
  <c r="N26" i="15"/>
  <c r="H26" i="15"/>
  <c r="N25" i="15"/>
  <c r="E24" i="15"/>
  <c r="H5" i="15"/>
  <c r="H4" i="15"/>
  <c r="H3" i="15"/>
  <c r="C177" i="14"/>
  <c r="H175" i="14"/>
  <c r="C169" i="14"/>
  <c r="C173" i="14"/>
  <c r="C175" i="14"/>
  <c r="H173" i="14"/>
  <c r="Q154" i="14"/>
  <c r="C167" i="14"/>
  <c r="C171" i="14"/>
  <c r="H170" i="14"/>
  <c r="Q152" i="14"/>
  <c r="C183" i="14"/>
  <c r="H185" i="14"/>
  <c r="C181" i="14"/>
  <c r="H183" i="14"/>
  <c r="C179" i="14"/>
  <c r="H178" i="14"/>
  <c r="Q156" i="14"/>
  <c r="C144" i="14"/>
  <c r="E165" i="14"/>
  <c r="C146" i="14"/>
  <c r="C150" i="14"/>
  <c r="C164" i="14"/>
  <c r="C154" i="14"/>
  <c r="H157" i="14"/>
  <c r="Q149" i="14"/>
  <c r="C158" i="14"/>
  <c r="C152" i="14"/>
  <c r="E163" i="14"/>
  <c r="H155" i="14"/>
  <c r="Q148" i="14"/>
  <c r="C156" i="14"/>
  <c r="H152" i="14"/>
  <c r="Q147" i="14"/>
  <c r="C148" i="14"/>
  <c r="Q145" i="14"/>
  <c r="H147" i="14"/>
  <c r="H144" i="14"/>
  <c r="H159" i="14"/>
  <c r="Q150" i="14"/>
  <c r="I142" i="14"/>
  <c r="C126" i="14"/>
  <c r="E139" i="14"/>
  <c r="H134" i="14"/>
  <c r="C134" i="14"/>
  <c r="E143" i="14"/>
  <c r="H137" i="14"/>
  <c r="C130" i="14"/>
  <c r="G61" i="14"/>
  <c r="J60" i="14"/>
  <c r="H60" i="14"/>
  <c r="G113" i="14"/>
  <c r="I111" i="14"/>
  <c r="G127" i="14"/>
  <c r="F113" i="14"/>
  <c r="E112" i="14"/>
  <c r="E110" i="14"/>
  <c r="E108" i="14"/>
  <c r="E106" i="14"/>
  <c r="E96" i="14"/>
  <c r="G94" i="14"/>
  <c r="E94" i="14"/>
  <c r="E87" i="14"/>
  <c r="C80" i="14"/>
  <c r="G67" i="14"/>
  <c r="G64" i="14"/>
  <c r="E55" i="14"/>
  <c r="L45" i="14"/>
  <c r="G40" i="14"/>
  <c r="H41" i="14"/>
  <c r="H39" i="14"/>
  <c r="H44" i="14"/>
  <c r="I39" i="14"/>
  <c r="H47" i="14"/>
  <c r="E30" i="14"/>
  <c r="H26" i="14"/>
  <c r="H24" i="14"/>
  <c r="H21" i="14"/>
  <c r="C22" i="14"/>
  <c r="E9" i="14"/>
  <c r="C11" i="14"/>
  <c r="F5" i="15"/>
  <c r="F299" i="15"/>
  <c r="F256" i="15"/>
  <c r="F241" i="15"/>
  <c r="G335" i="15"/>
  <c r="G332" i="15"/>
  <c r="B42" i="11"/>
  <c r="G225" i="15"/>
  <c r="G222" i="15"/>
  <c r="A135" i="2"/>
  <c r="C135" i="2"/>
  <c r="F205" i="15"/>
  <c r="F180" i="15"/>
  <c r="F159" i="15"/>
  <c r="G107" i="15"/>
  <c r="C73" i="20"/>
  <c r="B73" i="20"/>
  <c r="E73" i="20"/>
  <c r="F11" i="20"/>
  <c r="E11" i="20"/>
  <c r="F28" i="20"/>
  <c r="E28" i="20"/>
  <c r="F35" i="20"/>
  <c r="E35" i="20"/>
  <c r="F52" i="20"/>
  <c r="E52" i="20"/>
  <c r="F46" i="20"/>
  <c r="E46" i="20"/>
  <c r="C55" i="20"/>
  <c r="B55" i="20"/>
  <c r="F7" i="19"/>
  <c r="G93" i="15"/>
  <c r="G90" i="15"/>
  <c r="C6" i="14"/>
  <c r="G39" i="15"/>
  <c r="K20" i="10"/>
  <c r="C20" i="6"/>
  <c r="C19" i="6"/>
  <c r="M30" i="7"/>
  <c r="O30" i="7"/>
  <c r="S30" i="7"/>
  <c r="O12" i="2"/>
  <c r="N10" i="12"/>
  <c r="R10" i="12"/>
  <c r="H10" i="12"/>
  <c r="H8" i="12"/>
  <c r="N8" i="12"/>
  <c r="R8" i="12"/>
  <c r="M39" i="7"/>
  <c r="O39" i="7"/>
  <c r="S39" i="7"/>
  <c r="M12" i="5"/>
  <c r="O12" i="5"/>
  <c r="S12" i="5"/>
  <c r="O9" i="5"/>
  <c r="I5" i="5"/>
  <c r="J5" i="5"/>
  <c r="M5" i="5"/>
  <c r="O5" i="5"/>
  <c r="S5" i="5"/>
  <c r="M26" i="7"/>
  <c r="O26" i="7"/>
  <c r="S26" i="7"/>
  <c r="M41" i="7"/>
  <c r="O41" i="7"/>
  <c r="M28" i="7"/>
  <c r="O28" i="7"/>
  <c r="S28" i="7"/>
  <c r="M31" i="7"/>
  <c r="O31" i="7"/>
  <c r="S31" i="7"/>
  <c r="M27" i="7"/>
  <c r="O27" i="7"/>
  <c r="S27" i="7"/>
  <c r="M40" i="7"/>
  <c r="O40" i="7"/>
  <c r="S40" i="7"/>
  <c r="M11" i="5"/>
  <c r="O11" i="5"/>
  <c r="S11" i="5"/>
  <c r="J6" i="5"/>
  <c r="M6" i="5"/>
  <c r="O6" i="5"/>
  <c r="S6" i="5"/>
  <c r="H9" i="12"/>
  <c r="Q153" i="14"/>
  <c r="N28" i="15"/>
  <c r="Q144" i="14"/>
  <c r="H168" i="14"/>
  <c r="K69" i="14"/>
  <c r="H150" i="14"/>
  <c r="O54" i="15"/>
  <c r="R179" i="15"/>
  <c r="S177" i="15"/>
  <c r="J52" i="14"/>
  <c r="O49" i="14"/>
  <c r="O56" i="14"/>
  <c r="O123" i="14"/>
  <c r="H13" i="14"/>
  <c r="M10" i="14"/>
  <c r="R181" i="15"/>
  <c r="N299" i="15"/>
  <c r="K23" i="24"/>
  <c r="R180" i="15"/>
  <c r="P201" i="15"/>
  <c r="R182" i="15"/>
  <c r="H127" i="14"/>
  <c r="O122" i="14"/>
  <c r="L11" i="24"/>
  <c r="K11" i="24"/>
  <c r="J11" i="24"/>
  <c r="J23" i="24"/>
  <c r="K15" i="26"/>
  <c r="F11" i="26"/>
  <c r="F12" i="26"/>
  <c r="S42" i="7"/>
  <c r="O6" i="26"/>
  <c r="O14" i="26"/>
  <c r="F9" i="26"/>
  <c r="I5" i="26"/>
  <c r="P6" i="26"/>
  <c r="P12" i="26"/>
  <c r="P7" i="26"/>
  <c r="P9" i="26"/>
  <c r="P10" i="26"/>
  <c r="P8" i="26"/>
  <c r="P11" i="26"/>
  <c r="P5" i="26"/>
  <c r="O15" i="26"/>
  <c r="F15" i="26"/>
  <c r="U49" i="11"/>
  <c r="C13" i="26"/>
  <c r="J27" i="26"/>
  <c r="J23" i="26"/>
  <c r="F13" i="26"/>
  <c r="F8" i="26"/>
  <c r="J28" i="26"/>
  <c r="S19" i="7"/>
  <c r="S21" i="7"/>
  <c r="O19" i="7"/>
  <c r="F10" i="26"/>
  <c r="F17" i="26"/>
  <c r="F18" i="26"/>
  <c r="C10" i="26"/>
  <c r="C17" i="26"/>
  <c r="C18" i="26"/>
</calcChain>
</file>

<file path=xl/sharedStrings.xml><?xml version="1.0" encoding="utf-8"?>
<sst xmlns="http://schemas.openxmlformats.org/spreadsheetml/2006/main" count="3540" uniqueCount="1869">
  <si>
    <t>The following are approximate guides for amortization periods where more accurate estimates are not available:</t>
  </si>
  <si>
    <r>
      <t>·</t>
    </r>
    <r>
      <rPr>
        <sz val="7"/>
        <color theme="1"/>
        <rFont val="Times New Roman"/>
        <family val="1"/>
      </rPr>
      <t xml:space="preserve">       </t>
    </r>
    <r>
      <rPr>
        <sz val="11"/>
        <color theme="1"/>
        <rFont val="Calibri"/>
        <family val="2"/>
        <scheme val="minor"/>
      </rPr>
      <t>New buildings: 30 years</t>
    </r>
  </si>
  <si>
    <r>
      <t>·</t>
    </r>
    <r>
      <rPr>
        <sz val="7"/>
        <color theme="1"/>
        <rFont val="Times New Roman"/>
        <family val="1"/>
      </rPr>
      <t xml:space="preserve">       </t>
    </r>
    <r>
      <rPr>
        <sz val="11"/>
        <color theme="1"/>
        <rFont val="Calibri"/>
        <family val="2"/>
        <scheme val="minor"/>
      </rPr>
      <t>Renovations: 10 years, unless expected to be repeated sooner (e.g. maintenance expected to be repeated every 3 or 5 years)</t>
    </r>
  </si>
  <si>
    <r>
      <t>·</t>
    </r>
    <r>
      <rPr>
        <sz val="7"/>
        <color theme="1"/>
        <rFont val="Times New Roman"/>
        <family val="1"/>
      </rPr>
      <t xml:space="preserve">       </t>
    </r>
    <r>
      <rPr>
        <sz val="11"/>
        <color theme="1"/>
        <rFont val="Calibri"/>
        <family val="2"/>
        <scheme val="minor"/>
      </rPr>
      <t>Vehicles: 5 years</t>
    </r>
  </si>
  <si>
    <r>
      <t>·</t>
    </r>
    <r>
      <rPr>
        <sz val="7"/>
        <color theme="1"/>
        <rFont val="Times New Roman"/>
        <family val="1"/>
      </rPr>
      <t xml:space="preserve">       </t>
    </r>
    <r>
      <rPr>
        <sz val="11"/>
        <color theme="1"/>
        <rFont val="Calibri"/>
        <family val="2"/>
        <scheme val="minor"/>
      </rPr>
      <t>Laboratory equipment purchase: 5 years, unless life expectancy of equipment otherwise specified</t>
    </r>
  </si>
  <si>
    <r>
      <t>·</t>
    </r>
    <r>
      <rPr>
        <sz val="7"/>
        <color theme="1"/>
        <rFont val="Times New Roman"/>
        <family val="1"/>
      </rPr>
      <t xml:space="preserve">       </t>
    </r>
    <r>
      <rPr>
        <sz val="11"/>
        <color theme="1"/>
        <rFont val="Calibri"/>
        <family val="2"/>
        <scheme val="minor"/>
      </rPr>
      <t>Other: TBD</t>
    </r>
  </si>
  <si>
    <r>
      <t>2.</t>
    </r>
    <r>
      <rPr>
        <sz val="7"/>
        <color theme="1"/>
        <rFont val="Times New Roman"/>
        <family val="1"/>
      </rPr>
      <t xml:space="preserve">     </t>
    </r>
    <r>
      <rPr>
        <sz val="11"/>
        <color theme="1"/>
        <rFont val="Calibri"/>
        <family val="2"/>
        <scheme val="minor"/>
      </rPr>
      <t>Clinical care – this includes any non-ARV clinical treatment such as personnel time spent on clinical care, the cost of other drugs, etc</t>
    </r>
  </si>
  <si>
    <r>
      <t>3.</t>
    </r>
    <r>
      <rPr>
        <sz val="7"/>
        <color theme="1"/>
        <rFont val="Times New Roman"/>
        <family val="1"/>
      </rPr>
      <t xml:space="preserve">     </t>
    </r>
    <r>
      <rPr>
        <sz val="11"/>
        <color theme="1"/>
        <rFont val="Calibri"/>
        <family val="2"/>
        <scheme val="minor"/>
      </rPr>
      <t>Laboratory services – this includes any lab service such as labs personnel, the cost of reagents and consumables, etc</t>
    </r>
  </si>
  <si>
    <r>
      <t>5.</t>
    </r>
    <r>
      <rPr>
        <sz val="7"/>
        <color theme="1"/>
        <rFont val="Times New Roman"/>
        <family val="1"/>
      </rPr>
      <t xml:space="preserve">     </t>
    </r>
    <r>
      <rPr>
        <sz val="11"/>
        <color theme="1"/>
        <rFont val="Calibri"/>
        <family val="2"/>
        <scheme val="minor"/>
      </rPr>
      <t>Outreach programs (e.g. adherence, retention) – this include the cost of personnel or expenditures made for particular outreach programs</t>
    </r>
  </si>
  <si>
    <r>
      <t>6.</t>
    </r>
    <r>
      <rPr>
        <sz val="7"/>
        <color theme="1"/>
        <rFont val="Times New Roman"/>
        <family val="1"/>
      </rPr>
      <t xml:space="preserve">     </t>
    </r>
    <r>
      <rPr>
        <sz val="11"/>
        <color theme="1"/>
        <rFont val="Calibri"/>
        <family val="2"/>
        <scheme val="minor"/>
      </rPr>
      <t>Training – this includes the cost of trainings which cannot be directly attributable to any other service delivery area</t>
    </r>
  </si>
  <si>
    <r>
      <t>7.</t>
    </r>
    <r>
      <rPr>
        <sz val="7"/>
        <color theme="1"/>
        <rFont val="Times New Roman"/>
        <family val="1"/>
      </rPr>
      <t xml:space="preserve">     </t>
    </r>
    <r>
      <rPr>
        <sz val="11"/>
        <color theme="1"/>
        <rFont val="Calibri"/>
        <family val="2"/>
        <scheme val="minor"/>
      </rPr>
      <t>M&amp;E and HMIS – this includes any personnel time or equipment related to reporting and/or data collection</t>
    </r>
  </si>
  <si>
    <r>
      <t>8.</t>
    </r>
    <r>
      <rPr>
        <sz val="7"/>
        <color theme="1"/>
        <rFont val="Times New Roman"/>
        <family val="1"/>
      </rPr>
      <t xml:space="preserve">     </t>
    </r>
    <r>
      <rPr>
        <sz val="11"/>
        <color theme="1"/>
        <rFont val="Calibri"/>
        <family val="2"/>
        <scheme val="minor"/>
      </rPr>
      <t>Facility administration and management – this includes any cost to administer and manage a site (mainly personnel costs)</t>
    </r>
  </si>
  <si>
    <r>
      <t>9.</t>
    </r>
    <r>
      <rPr>
        <sz val="7"/>
        <color theme="1"/>
        <rFont val="Times New Roman"/>
        <family val="1"/>
      </rPr>
      <t xml:space="preserve">     </t>
    </r>
    <r>
      <rPr>
        <sz val="11"/>
        <color theme="1"/>
        <rFont val="Calibri"/>
        <family val="2"/>
        <scheme val="minor"/>
      </rPr>
      <t>High level administration and management – this includes above the facility costs, such as those associated with the regional MoH, that can be attributed to ART service provision at the costed facility</t>
    </r>
  </si>
  <si>
    <t>Service delivery areas</t>
  </si>
  <si>
    <t>Data technician</t>
  </si>
  <si>
    <t>hours/day</t>
  </si>
  <si>
    <t>or</t>
  </si>
  <si>
    <t>hours per week</t>
  </si>
  <si>
    <t>How many hours a day do staff usually spend on home visits (including traveling)?</t>
  </si>
  <si>
    <t>How many hours a day do staff usually spend on training/debriefing?</t>
  </si>
  <si>
    <t>Average distance and time traveled per day</t>
  </si>
  <si>
    <t>Distance Km.</t>
  </si>
  <si>
    <t>Time minutes</t>
  </si>
  <si>
    <t>Week day</t>
  </si>
  <si>
    <t>Weekend day</t>
  </si>
  <si>
    <t>Do health workers earn a stipend while travelling?</t>
  </si>
  <si>
    <t>Travel stipend/km</t>
  </si>
  <si>
    <t>Travel stipend/hour</t>
  </si>
  <si>
    <t>Per diem meals</t>
  </si>
  <si>
    <t>Per diem other</t>
  </si>
  <si>
    <t>$/km</t>
  </si>
  <si>
    <t>$/hour</t>
  </si>
  <si>
    <t>Travel</t>
  </si>
  <si>
    <t>QUESTIONS FOR COMMUNITY OUTREACH STAFF</t>
  </si>
  <si>
    <t xml:space="preserve"> </t>
  </si>
  <si>
    <t>How many hours a day do staff usually spend planning home visits?</t>
  </si>
  <si>
    <t>Other</t>
  </si>
  <si>
    <t>Service</t>
  </si>
  <si>
    <t>Total</t>
  </si>
  <si>
    <t>Care</t>
  </si>
  <si>
    <t>Waiting</t>
  </si>
  <si>
    <t>Hospitalization</t>
  </si>
  <si>
    <t>Follow-up</t>
  </si>
  <si>
    <t>2-way Transport</t>
  </si>
  <si>
    <t>Estimated earned income</t>
  </si>
  <si>
    <t>Country</t>
  </si>
  <si>
    <t>(PPP US$)
2005</t>
  </si>
  <si>
    <t>wage per hour</t>
  </si>
  <si>
    <t>Source:</t>
  </si>
  <si>
    <r>
      <t xml:space="preserve">United Nations Development Programme. </t>
    </r>
    <r>
      <rPr>
        <i/>
        <sz val="8"/>
        <color indexed="8"/>
        <rFont val="Arial"/>
        <family val="2"/>
      </rPr>
      <t>Human Development Report 2007/2008:</t>
    </r>
  </si>
  <si>
    <t xml:space="preserve"> Fighting climate change: human solidarity in a divided world.  New York, New York: United Nations Development Programme, 2007.</t>
  </si>
  <si>
    <t>TOTAL</t>
  </si>
  <si>
    <t>Number of years of remaining useful life</t>
  </si>
  <si>
    <t>Discount rate</t>
  </si>
  <si>
    <t>Annualizing factor</t>
  </si>
  <si>
    <t xml:space="preserve">  </t>
  </si>
  <si>
    <t>RECURRENT</t>
  </si>
  <si>
    <t>Weeks worked per year</t>
  </si>
  <si>
    <t>Fuel consumption
(km/lit)</t>
  </si>
  <si>
    <t>Fuel price
($/lit)</t>
  </si>
  <si>
    <t>Maintenance cost
($/year)</t>
  </si>
  <si>
    <t>Vehicles</t>
  </si>
  <si>
    <t>South Africa</t>
  </si>
  <si>
    <t>% to 2L (if mix)</t>
  </si>
  <si>
    <t>Weighted Price</t>
  </si>
  <si>
    <t>d4T/3TC/NVP</t>
  </si>
  <si>
    <t>FIRST</t>
  </si>
  <si>
    <t>Home visit</t>
  </si>
  <si>
    <t>SOUTH AFRICA</t>
  </si>
  <si>
    <t>assuming 2000 hours of work per year</t>
  </si>
  <si>
    <t>Gloves</t>
  </si>
  <si>
    <t>Joint costs will be allocated based on proportion of total clients in need of HIV services</t>
  </si>
  <si>
    <t>Clinic visit</t>
  </si>
  <si>
    <t>Estimates of Patient's Time Costs</t>
  </si>
  <si>
    <t>patients' time in hours</t>
  </si>
  <si>
    <t>Uganda</t>
  </si>
  <si>
    <t>HBCT</t>
  </si>
  <si>
    <t>MVCT</t>
  </si>
  <si>
    <t>Travel to home</t>
  </si>
  <si>
    <t>Locate home</t>
  </si>
  <si>
    <t>POC VL test</t>
  </si>
  <si>
    <t>Accompany to clinc</t>
  </si>
  <si>
    <t>Lay counselor follow up</t>
  </si>
  <si>
    <t>3 month clinic visit to assess viral suppression</t>
  </si>
  <si>
    <t>FOR HIV NEGATIVE UNCIRCUMCISED</t>
  </si>
  <si>
    <t>Promotion of MC</t>
  </si>
  <si>
    <t>3 month visit to assess MC uptake</t>
  </si>
  <si>
    <t>9 month visit to assess MC uptake</t>
  </si>
  <si>
    <t>Administer informed consent</t>
  </si>
  <si>
    <t>Complete core questionnaire</t>
  </si>
  <si>
    <t>HIV counseling and testing</t>
  </si>
  <si>
    <t>Observed visit number</t>
  </si>
  <si>
    <t>Travel back to clinic</t>
  </si>
  <si>
    <t>mean</t>
  </si>
  <si>
    <t>min</t>
  </si>
  <si>
    <t>max</t>
  </si>
  <si>
    <t xml:space="preserve">Point-of-care viral load (SAMBA I) machines </t>
  </si>
  <si>
    <t>9 month clinic visit to assess viral suppression</t>
  </si>
  <si>
    <t xml:space="preserve">  --VL test</t>
  </si>
  <si>
    <t xml:space="preserve">  --Questionnaire</t>
  </si>
  <si>
    <t>FOR HIV POSITIVE NOT ON ART</t>
  </si>
  <si>
    <t>FOR HIV POSITIVE ON ART</t>
  </si>
  <si>
    <t>FOR HIV NEGATIVE</t>
  </si>
  <si>
    <t>Counseling on role of VL testing</t>
  </si>
  <si>
    <t>Standard VL testing</t>
  </si>
  <si>
    <t>Counseling on adherence</t>
  </si>
  <si>
    <t>Referral to clinic for CD4 testing</t>
  </si>
  <si>
    <t>Referral to clinic for HIV care</t>
  </si>
  <si>
    <t>1</t>
  </si>
  <si>
    <t>2</t>
  </si>
  <si>
    <t>3</t>
  </si>
  <si>
    <t>4</t>
  </si>
  <si>
    <t>5</t>
  </si>
  <si>
    <t>UGANDA</t>
  </si>
  <si>
    <t>Other services:</t>
  </si>
  <si>
    <t>Ensuring bed nets are being used correctly in Uganda</t>
  </si>
  <si>
    <t>average number of follow up visits before patient is linked to care?</t>
  </si>
  <si>
    <t>Treatment of OIs</t>
  </si>
  <si>
    <t>POC CD4 test</t>
  </si>
  <si>
    <t>Promotion of MC + SMS reminder</t>
  </si>
  <si>
    <t>Promotion of MC + Lay counselor follow up</t>
  </si>
  <si>
    <t>Advertising positions</t>
  </si>
  <si>
    <t>PIMA POC CD4 assay</t>
  </si>
  <si>
    <t>capital and consumable costs</t>
  </si>
  <si>
    <t>harry's paper on cost of community health workers</t>
  </si>
  <si>
    <t>focus on home based counseling and testing and not cost clinic</t>
  </si>
  <si>
    <t>cost for linkage</t>
  </si>
  <si>
    <t>sydney rosen's costs</t>
  </si>
  <si>
    <t>VCT costs--Menzies</t>
  </si>
  <si>
    <t>lit review on VCT</t>
  </si>
  <si>
    <t>compare our costs to VCT</t>
  </si>
  <si>
    <t>lit review on MC--cost per procedure, forceps guided</t>
  </si>
  <si>
    <t>Perspective: Programmatic</t>
  </si>
  <si>
    <t>Community mobilization</t>
  </si>
  <si>
    <t>Time for community mobilization</t>
  </si>
  <si>
    <t>breakdown income by urban rural</t>
  </si>
  <si>
    <t>budgets and costs tendored</t>
  </si>
  <si>
    <t>Secondary perspective: Societal</t>
  </si>
  <si>
    <t>Regimen prescribed</t>
  </si>
  <si>
    <t>Column1</t>
  </si>
  <si>
    <t xml:space="preserve">Line (1st, 2nd, mix) </t>
  </si>
  <si>
    <t>Price of regimen</t>
  </si>
  <si>
    <t>Copay from patient</t>
  </si>
  <si>
    <t>*Need to estimate proportions of different regimens given to patients</t>
  </si>
  <si>
    <t>Mobile phones (see data capture spreadsheet)</t>
  </si>
  <si>
    <t>Memory card</t>
  </si>
  <si>
    <t>Software development</t>
  </si>
  <si>
    <t xml:space="preserve">interviewing </t>
  </si>
  <si>
    <t>training (see training tab)</t>
  </si>
  <si>
    <t xml:space="preserve"># staff involved </t>
  </si>
  <si>
    <t># of community outreach events</t>
  </si>
  <si>
    <t>Hours spent planning event (per staff member)</t>
  </si>
  <si>
    <t>Material for training</t>
  </si>
  <si>
    <t>Name</t>
  </si>
  <si>
    <t>Quantity</t>
  </si>
  <si>
    <t>Price/unit</t>
  </si>
  <si>
    <t>Total cost</t>
  </si>
  <si>
    <t>staff turnover?</t>
  </si>
  <si>
    <t>Hiring new staff</t>
  </si>
  <si>
    <t>Advertising event</t>
  </si>
  <si>
    <t>Food</t>
  </si>
  <si>
    <t>Outreach materials</t>
  </si>
  <si>
    <t>Other supplies</t>
  </si>
  <si>
    <t>costing early vs late in the learning curve</t>
  </si>
  <si>
    <t>This incorporates both depreciation and opportunity costs</t>
  </si>
  <si>
    <t>Described in section 4.2</t>
  </si>
  <si>
    <t>anuitize cost over years of useful life of the asset</t>
  </si>
  <si>
    <t>issue of average vs marginal costs</t>
  </si>
  <si>
    <t>can use average as primary analysis</t>
  </si>
  <si>
    <t>Shared (or overhead) costs</t>
  </si>
  <si>
    <t>can also</t>
  </si>
  <si>
    <t>can use marginal analysis to determine whether overhead would change with addition of intervention</t>
  </si>
  <si>
    <t>Supplies</t>
  </si>
  <si>
    <t>government tender</t>
  </si>
  <si>
    <t>Time</t>
  </si>
  <si>
    <t>Home 1</t>
  </si>
  <si>
    <t>Activity</t>
  </si>
  <si>
    <t>Travel to table mountain</t>
  </si>
  <si>
    <t>Locate home on map</t>
  </si>
  <si>
    <t>Get to home, gather supplies</t>
  </si>
  <si>
    <t>Introduce the study to household members</t>
  </si>
  <si>
    <t>Agree to participate, start questionaire--ages, contact info</t>
  </si>
  <si>
    <t>Lose network--go outside to try to get service</t>
  </si>
  <si>
    <t>Regain network, explain consent form</t>
  </si>
  <si>
    <t>Consent, start pre-counseling</t>
  </si>
  <si>
    <t>Finish pre-counseling, set up supplies for HIV test</t>
  </si>
  <si>
    <t>Explain the supplies used</t>
  </si>
  <si>
    <t>Conduct HIV test</t>
  </si>
  <si>
    <t>Additional counseling while waiting for results, paperwork, phone number, etc, questionaire on phone</t>
  </si>
  <si>
    <t>Obtain results--HIV negative</t>
  </si>
  <si>
    <t>Post-test counseling</t>
  </si>
  <si>
    <t>End post-test counseling--give paperwork w results, continue questionnaire on phone</t>
  </si>
  <si>
    <t>END HBCT member 1</t>
  </si>
  <si>
    <t>under age 16 visit</t>
  </si>
  <si>
    <t>2nd family member--explain consent form, underage so have to wait for guardian</t>
  </si>
  <si>
    <t>Explain consent form to guardian</t>
  </si>
  <si>
    <t>Get consent</t>
  </si>
  <si>
    <t>Pre-counseling and testing</t>
  </si>
  <si>
    <t>Staff member: Toby</t>
  </si>
  <si>
    <t>Wait for results and continue paperwork on phone</t>
  </si>
  <si>
    <t>End pre-counseling, start HIV test, explain equipment--needed two finger pricks so took a little longer</t>
  </si>
  <si>
    <t>Get results, post-test counseling</t>
  </si>
  <si>
    <t>Finish counseling</t>
  </si>
  <si>
    <t>Pack up</t>
  </si>
  <si>
    <t>Call driver for parcels</t>
  </si>
  <si>
    <t>Signature for parcels</t>
  </si>
  <si>
    <t>Leave</t>
  </si>
  <si>
    <t>Locate another home</t>
  </si>
  <si>
    <t>Staff member: Gugu</t>
  </si>
  <si>
    <t>Introduce study, confidentiality, get mobile phone info</t>
  </si>
  <si>
    <t>consent form</t>
  </si>
  <si>
    <t>end consent form</t>
  </si>
  <si>
    <t xml:space="preserve">Pre-test counseling </t>
  </si>
  <si>
    <t>end pre-test counseling, start downloading form</t>
  </si>
  <si>
    <t>total time for visit</t>
  </si>
  <si>
    <t>Start questionnaire</t>
  </si>
  <si>
    <t>Start HIV test</t>
  </si>
  <si>
    <t>Start HIV test, wait for results</t>
  </si>
  <si>
    <t>Additional counseling</t>
  </si>
  <si>
    <t>Fill out study paperwork, ID #</t>
  </si>
  <si>
    <t>finish home location</t>
  </si>
  <si>
    <t>Get results of HIV test, start post test counseling</t>
  </si>
  <si>
    <t>End post test counseling</t>
  </si>
  <si>
    <t>give consent form and results form, record participant phone # on mobile phone</t>
  </si>
  <si>
    <t>TOTAL TIME</t>
  </si>
  <si>
    <t>Staff member: Siya</t>
  </si>
  <si>
    <t>Start driving to participant's home</t>
  </si>
  <si>
    <t>Staff member: Siya+driver</t>
  </si>
  <si>
    <t>Arrive at home</t>
  </si>
  <si>
    <t>Notes:</t>
  </si>
  <si>
    <t>Rain affects the number of pple that show up to the caravan for testing</t>
  </si>
  <si>
    <t>Arrive at home, look for participant, ask neighboring home.  Participant is out of town till the 25th</t>
  </si>
  <si>
    <t xml:space="preserve">Leave </t>
  </si>
  <si>
    <t>Arrive back at MVCT</t>
  </si>
  <si>
    <t>Staff are present at the clinic from 8-12pm on Tuesdays to meet participants because it would</t>
  </si>
  <si>
    <t>take too much time to accompany them to the clinic.  Issues arrise when participants would like</t>
  </si>
  <si>
    <t>to go to a different clinic because staff don't meet them at that clinic.</t>
  </si>
  <si>
    <r>
      <rPr>
        <b/>
        <sz val="12"/>
        <color theme="1"/>
        <rFont val="Calibri"/>
        <family val="2"/>
        <scheme val="minor"/>
      </rPr>
      <t xml:space="preserve">Note: </t>
    </r>
    <r>
      <rPr>
        <sz val="12"/>
        <color theme="1"/>
        <rFont val="Calibri"/>
        <family val="2"/>
        <scheme val="minor"/>
      </rPr>
      <t>Clinic accompaniment for MC actually means meeting the participants at the clinic</t>
    </r>
  </si>
  <si>
    <t xml:space="preserve">HIV negative uncircumcised </t>
  </si>
  <si>
    <t>meeting with Phillip</t>
  </si>
  <si>
    <t>research vs program costs?</t>
  </si>
  <si>
    <t>60% governemt vs 40% private</t>
  </si>
  <si>
    <t>HSRC==government organization</t>
  </si>
  <si>
    <t>social science research counsel</t>
  </si>
  <si>
    <t>20% HIV prevalence</t>
  </si>
  <si>
    <t>health systems inovvation research unit</t>
  </si>
  <si>
    <t xml:space="preserve">9 provinces--2nd most populous </t>
  </si>
  <si>
    <t>2 that we woek in</t>
  </si>
  <si>
    <t>KZ225, KZ226</t>
  </si>
  <si>
    <t>DC22</t>
  </si>
  <si>
    <t>translational research</t>
  </si>
  <si>
    <t>Project Masihambisani--HIV+women mentoring preg HIV+ women</t>
  </si>
  <si>
    <t>project ACCEPT--clinical endpoint</t>
  </si>
  <si>
    <t>MP#: phase 1 linkages--high acceptance</t>
  </si>
  <si>
    <t>phase 2: actual linkage to care measurement</t>
  </si>
  <si>
    <t>phase 3: which wat is the best to link</t>
  </si>
  <si>
    <t>1 million in district</t>
  </si>
  <si>
    <t>KZ 225--500,000</t>
  </si>
  <si>
    <t>226 even smaller</t>
  </si>
  <si>
    <t>ariel maps of areas worked in</t>
  </si>
  <si>
    <t>12 community based mobilizers--do household visits, they're from community</t>
  </si>
  <si>
    <t>using GIS--split it among CB mobilizers</t>
  </si>
  <si>
    <t>each CBM has a cluster of 20 household--invite them to participate and record whether they're interested</t>
  </si>
  <si>
    <t>identify all pple eligible, 50% say we're interested--then household is ready for intervention</t>
  </si>
  <si>
    <t>generates a household contact form, does a household visit</t>
  </si>
  <si>
    <t>caravan is parked in certain location--each person is considered an individual</t>
  </si>
  <si>
    <t>enurmerates pple</t>
  </si>
  <si>
    <t>data support team--specimens inventoried, may ship directly to the lab if it's a program not research</t>
  </si>
  <si>
    <t>may use non-research lab</t>
  </si>
  <si>
    <t>make sure there's informed consent on each bloodwork</t>
  </si>
  <si>
    <t>community based mobilizers</t>
  </si>
  <si>
    <t>go to households and tell them about the services</t>
  </si>
  <si>
    <t>they are at community high traffic points informing</t>
  </si>
  <si>
    <t>them of the service and guiding them to the service</t>
  </si>
  <si>
    <t>also do loud hailing to tell pple</t>
  </si>
  <si>
    <t>log of how many pple in household, how many over 16, how many willing to participate</t>
  </si>
  <si>
    <t>randomization over phone</t>
  </si>
  <si>
    <t>when homebased gets to house--does the randomization to arms</t>
  </si>
  <si>
    <t>eg--of 6 households--3 may be ready for service,  so counselers would go to those 3</t>
  </si>
  <si>
    <t>refusal rate?</t>
  </si>
  <si>
    <t>30-45 min to enumerate==300 households</t>
  </si>
  <si>
    <t>1 hour for more households</t>
  </si>
  <si>
    <t>base costs of equipment</t>
  </si>
  <si>
    <t xml:space="preserve">Introduce study, explain consent, get participant ID on phone </t>
  </si>
  <si>
    <t>Finish consent, fill out study paperwork, phone #, last HIV test and result</t>
  </si>
  <si>
    <t>HIV precounseling</t>
  </si>
  <si>
    <t>While waiting for results, ask questions on phone, home location</t>
  </si>
  <si>
    <t>results of HIV test, negative</t>
  </si>
  <si>
    <t>post-test counseling</t>
  </si>
  <si>
    <t>end post-test counseling, fill out test result form</t>
  </si>
  <si>
    <t>explanation of MC study and enrollment into study, consent form</t>
  </si>
  <si>
    <t>benefits of MC, explanation of procedure</t>
  </si>
  <si>
    <t>Finish with education-randomized into SMS arm</t>
  </si>
  <si>
    <t>Gets voucher</t>
  </si>
  <si>
    <t>Additional behavior counseling</t>
  </si>
  <si>
    <t>Fill out MC paperwork</t>
  </si>
  <si>
    <t>Staff try to test 18 pple per day</t>
  </si>
  <si>
    <t>Get cell phone #, age, locate home on map</t>
  </si>
  <si>
    <t>Explain study</t>
  </si>
  <si>
    <t>Pre-test counseling</t>
  </si>
  <si>
    <t>informed consent</t>
  </si>
  <si>
    <t>fill out paperwork on phone, last test, questions on how you can get HIV</t>
  </si>
  <si>
    <t>Start HIV test, continue counseling, explain how test works</t>
  </si>
  <si>
    <t>Ask about circumcision while waiting for test, more details on location of home which is added to phone</t>
  </si>
  <si>
    <t>fill out paperwork</t>
  </si>
  <si>
    <t>Get results--negative</t>
  </si>
  <si>
    <t>MC enrollment, education about benefits (participant assigned to lay counselor follow up)</t>
  </si>
  <si>
    <t>end education, fill out paperwork, referral log</t>
  </si>
  <si>
    <t>fill out voucher, post test counseling</t>
  </si>
  <si>
    <t>end of visit</t>
  </si>
  <si>
    <t>Finish paperwork</t>
  </si>
  <si>
    <t>HIV neg</t>
  </si>
  <si>
    <t>2 pple tested</t>
  </si>
  <si>
    <t>Leave office</t>
  </si>
  <si>
    <t>Stop to get lunch</t>
  </si>
  <si>
    <t>Leave supermarket</t>
  </si>
  <si>
    <t>Arrive at intervention area</t>
  </si>
  <si>
    <t>Cotton balls</t>
  </si>
  <si>
    <t>Assay drops</t>
  </si>
  <si>
    <t>FOR HIV NEGATIVE VISIT</t>
  </si>
  <si>
    <t>FOR HIV POSITIVE VISIT</t>
  </si>
  <si>
    <t>slow down the process of the intervention</t>
  </si>
  <si>
    <r>
      <rPr>
        <b/>
        <sz val="12"/>
        <color theme="1"/>
        <rFont val="Calibri"/>
        <family val="2"/>
        <scheme val="minor"/>
      </rPr>
      <t xml:space="preserve">Notes: </t>
    </r>
    <r>
      <rPr>
        <sz val="12"/>
        <color theme="1"/>
        <rFont val="Calibri"/>
        <family val="2"/>
        <scheme val="minor"/>
      </rPr>
      <t>Problems accessing the network to download the study forms</t>
    </r>
  </si>
  <si>
    <t>Introduction of counselor and project, explain mobile phone, ask questions from phone, field participant questions</t>
  </si>
  <si>
    <t>Start enumeration, wait for network</t>
  </si>
  <si>
    <t>Consent form</t>
  </si>
  <si>
    <t>Nurse signs consent</t>
  </si>
  <si>
    <t>participant signs consent and gets copy</t>
  </si>
  <si>
    <t>Set up supplies and start pre-test counseling</t>
  </si>
  <si>
    <t>Finish pre-test counseling, start explaining equipment</t>
  </si>
  <si>
    <t>Start test</t>
  </si>
  <si>
    <t>Wait for results, more counseling, questionnaire on phone</t>
  </si>
  <si>
    <t>Fnish paperwork, wait for network, get phone numbers</t>
  </si>
  <si>
    <t>Phone number is asked 3 times to make sure they give the right number</t>
  </si>
  <si>
    <t>Also ask for alternate number</t>
  </si>
  <si>
    <t>End counseling, fill out results form</t>
  </si>
  <si>
    <t>2nd trip to this household--first trip HoH not there</t>
  </si>
  <si>
    <t>Wait for network to call driver, talk to 2nd woman living in household, she's not available, counselor will return tomorrow</t>
  </si>
  <si>
    <t>pack up</t>
  </si>
  <si>
    <t>driver arrives with parcel</t>
  </si>
  <si>
    <t>leave home</t>
  </si>
  <si>
    <t>return to car, locate another home</t>
  </si>
  <si>
    <t>1 person tested</t>
  </si>
  <si>
    <t>Travel to next home</t>
  </si>
  <si>
    <t>arrive at home</t>
  </si>
  <si>
    <t>No one home</t>
  </si>
  <si>
    <t>Drive to next house</t>
  </si>
  <si>
    <t>arrive at next house, no adults home. Will be back at 4pm</t>
  </si>
  <si>
    <t>Travel to another home</t>
  </si>
  <si>
    <t>Total time for attempted home visit</t>
  </si>
  <si>
    <t>Check if participants are home</t>
  </si>
  <si>
    <t>Explain study, introduce phone</t>
  </si>
  <si>
    <t>Enumeration--contact information for all 4 pple in the home</t>
  </si>
  <si>
    <t>answer remaining questions, get participant ages</t>
  </si>
  <si>
    <t>Staff member: Bongiwe</t>
  </si>
  <si>
    <t>Everyone but person getting tested goes to other room, start consent</t>
  </si>
  <si>
    <t>Participant consents</t>
  </si>
  <si>
    <t>Set up equipment</t>
  </si>
  <si>
    <t>pre-counseling</t>
  </si>
  <si>
    <t>Explain equipment</t>
  </si>
  <si>
    <t>More counseling while waiting for results</t>
  </si>
  <si>
    <t>Answer questions on phone</t>
  </si>
  <si>
    <t>Fill out results form, get DOB</t>
  </si>
  <si>
    <t>End visit 1</t>
  </si>
  <si>
    <t>4 pple tested but I was only able to watch the first one</t>
  </si>
  <si>
    <t>Issue is pple's cell phone number changes before follow up is complete</t>
  </si>
  <si>
    <t xml:space="preserve">They've been asking for alt number and also asking participant to text them if they're changing their # </t>
  </si>
  <si>
    <t>(so  far 4 pple have texted to say their number is changing)</t>
  </si>
  <si>
    <t>Fill out questions on phone</t>
  </si>
  <si>
    <t>end consent</t>
  </si>
  <si>
    <t>Staff member: Jabulile</t>
  </si>
  <si>
    <t>Introduce the study</t>
  </si>
  <si>
    <t>pre-test counseling</t>
  </si>
  <si>
    <t>ask about ways HIV is transmitted</t>
  </si>
  <si>
    <t>Set up  HIV test, explain equipment</t>
  </si>
  <si>
    <t>fill out paperwork, locate home</t>
  </si>
  <si>
    <t>Informed consent</t>
  </si>
  <si>
    <t>participant signs consent</t>
  </si>
  <si>
    <t>Explain phone, ask questions on phone</t>
  </si>
  <si>
    <t>Start test, explain equipment</t>
  </si>
  <si>
    <t>Fill out paperwork, results form</t>
  </si>
  <si>
    <t>Get results, post test counseling</t>
  </si>
  <si>
    <t>give results form, give participant zulu consent form</t>
  </si>
  <si>
    <t>Info on resources</t>
  </si>
  <si>
    <t>enter data into phone</t>
  </si>
  <si>
    <t>end</t>
  </si>
  <si>
    <t>Fill out paperwork</t>
  </si>
  <si>
    <t>Arrive at office to start QC (see QC form)</t>
  </si>
  <si>
    <t>PACK UP TIME</t>
  </si>
  <si>
    <t>Finish packing up</t>
  </si>
  <si>
    <t>Start diving back to office</t>
  </si>
  <si>
    <t>DRIVE TIME</t>
  </si>
  <si>
    <t>Arrive at office</t>
  </si>
  <si>
    <t>4 data technicians present at office</t>
  </si>
  <si>
    <t>Data technicians check participant forms for errors, place errors in query box for counselors to resolve</t>
  </si>
  <si>
    <t>QC</t>
  </si>
  <si>
    <t>Data technicans fll all consent forms, enrollment forms, etc</t>
  </si>
  <si>
    <t>Data enter community mobilizer forms to general participant</t>
  </si>
  <si>
    <t>visit forms for counselors for households identified as ready to</t>
  </si>
  <si>
    <t>receive the intervention (cost is only on the HBCT side)</t>
  </si>
  <si>
    <t>2 QC shifts: morning and night</t>
  </si>
  <si>
    <t>Make parcels, call to arrange courriers for samples</t>
  </si>
  <si>
    <r>
      <rPr>
        <b/>
        <sz val="12"/>
        <color theme="1"/>
        <rFont val="Calibri"/>
        <family val="2"/>
        <scheme val="minor"/>
      </rPr>
      <t xml:space="preserve">Morning shift </t>
    </r>
    <r>
      <rPr>
        <sz val="12"/>
        <color theme="1"/>
        <rFont val="Calibri"/>
        <family val="2"/>
        <scheme val="minor"/>
      </rPr>
      <t>(works 3 hours): prepares/print documents for counselors</t>
    </r>
  </si>
  <si>
    <t>make sure the ID # on the blood tube matches participant form and courier form</t>
  </si>
  <si>
    <t>Finish blood QC, courier arrives</t>
  </si>
  <si>
    <t>Nurses leave for the night</t>
  </si>
  <si>
    <t>Total nurse time at office</t>
  </si>
  <si>
    <t>Total blood QC time=15 min</t>
  </si>
  <si>
    <t>but depends on number of samples</t>
  </si>
  <si>
    <t>Leave the office</t>
  </si>
  <si>
    <t>Stop to pick up lunch</t>
  </si>
  <si>
    <t>leave supermarket</t>
  </si>
  <si>
    <t>Arrive to table mountain and set up (set up tent, chairs, clean and set up carivan)</t>
  </si>
  <si>
    <t>Participants start waiting</t>
  </si>
  <si>
    <t>Start session, introduce study, get paperwork</t>
  </si>
  <si>
    <t>Participant consents, ask questions on phone</t>
  </si>
  <si>
    <t>Fill out paperwork--name, number, last HIV test</t>
  </si>
  <si>
    <t>End pre-counseling, explain HIV test and set up</t>
  </si>
  <si>
    <t>Finger prick</t>
  </si>
  <si>
    <t>Each participant's home is located in detail on the map, even if they're HIV-</t>
  </si>
  <si>
    <t>and don't need follow-up.  In a program setting, this would probably not</t>
  </si>
  <si>
    <t>happen.</t>
  </si>
  <si>
    <t>In a program, staff may call before visiting to see if the participant is home.  In the research they can't call</t>
  </si>
  <si>
    <t xml:space="preserve"> because that contaminates the arms</t>
  </si>
  <si>
    <t>N=50</t>
  </si>
  <si>
    <t>Also do qualitative interviews with nurses</t>
  </si>
  <si>
    <t>EA</t>
  </si>
  <si>
    <t># participants tested</t>
  </si>
  <si>
    <t># times visited household to complete HIV testing</t>
  </si>
  <si>
    <t>Average number of follow-ups needed before a participant is linked to MC</t>
  </si>
  <si>
    <t>Average number of visits made to the house before a participant is found for MC reminder</t>
  </si>
  <si>
    <t>Average number of follow-ups needed before a participant is linked to ART</t>
  </si>
  <si>
    <t>Average number of visits made to the house before a participant is found for ART reminder</t>
  </si>
  <si>
    <t>Average make up of household (number of women, number of men, number of uncircumcised men)</t>
  </si>
  <si>
    <t>Average number of times a household is visited before every participant is tested</t>
  </si>
  <si>
    <t>How many pple do field workers test per day?</t>
  </si>
  <si>
    <t>How many miles are traveled?</t>
  </si>
  <si>
    <t>participant moved</t>
  </si>
  <si>
    <t>Average number of pple tested per household</t>
  </si>
  <si>
    <r>
      <rPr>
        <b/>
        <sz val="12"/>
        <color theme="1"/>
        <rFont val="Calibri"/>
        <family val="2"/>
        <scheme val="minor"/>
      </rPr>
      <t>Night shift:</t>
    </r>
    <r>
      <rPr>
        <sz val="12"/>
        <color theme="1"/>
        <rFont val="Calibri"/>
        <family val="2"/>
        <scheme val="minor"/>
      </rPr>
      <t xml:space="preserve"> 1 data manager and 1 nurse goes thru all the HIV+ blood samples to </t>
    </r>
  </si>
  <si>
    <t>just over 1 visit per participant tested</t>
  </si>
  <si>
    <t>AVERAGE</t>
  </si>
  <si>
    <t>All from this month</t>
  </si>
  <si>
    <t>1.5 tested per visit</t>
  </si>
  <si>
    <t>I had to leave to go to MVCT</t>
  </si>
  <si>
    <t>May be skewed because visits are still ongoing</t>
  </si>
  <si>
    <t>More counseling while waiting for result, fill out study paperwork</t>
  </si>
  <si>
    <t>Get home location, add location description to phone</t>
  </si>
  <si>
    <t>Get phone number</t>
  </si>
  <si>
    <t>Get test results, fill out results form</t>
  </si>
  <si>
    <t>Post test counseling</t>
  </si>
  <si>
    <t>Give results form to participant</t>
  </si>
  <si>
    <t>PARTICIPANT TIME</t>
  </si>
  <si>
    <t>travel from home</t>
  </si>
  <si>
    <t>:10</t>
  </si>
  <si>
    <t xml:space="preserve">wait </t>
  </si>
  <si>
    <t>One of the first participants seen</t>
  </si>
  <si>
    <t>Staff member: Siya supervising new staff member</t>
  </si>
  <si>
    <t>Explanation of test, paperwork, participant ID, explains test and ID for paperwork</t>
  </si>
  <si>
    <t>Explain different consent forms frorms and phone</t>
  </si>
  <si>
    <t>TOTAL PRE-TRAINING WITH NEW STAFF MEMBER</t>
  </si>
  <si>
    <t>Start visit, introduce staff and study</t>
  </si>
  <si>
    <t>Locate home, addition explanation of study</t>
  </si>
  <si>
    <t>Obtain consent</t>
  </si>
  <si>
    <t>pre-test counseling, counseling on phone</t>
  </si>
  <si>
    <t>HIV test set up and explanation</t>
  </si>
  <si>
    <t>Fill out paperwork and get phone number while waiting for results</t>
  </si>
  <si>
    <t>Questions on phone, home location on map--add it to phone, questions on phone</t>
  </si>
  <si>
    <t>Get test results, post test counseling</t>
  </si>
  <si>
    <t>Fill out results form--give to participant</t>
  </si>
  <si>
    <t>Explain parcel</t>
  </si>
  <si>
    <t>Fill out paperwork with new counselor</t>
  </si>
  <si>
    <t>Draw house on participant form</t>
  </si>
  <si>
    <t>Introduce herself, study, phone</t>
  </si>
  <si>
    <t>Set up and explain HIV test</t>
  </si>
  <si>
    <t>finger prick</t>
  </si>
  <si>
    <t>more counseling while waiting for results</t>
  </si>
  <si>
    <t>paperwork</t>
  </si>
  <si>
    <t>locate home on map</t>
  </si>
  <si>
    <t xml:space="preserve">questions on phone, paperwork, write home location on phone, </t>
  </si>
  <si>
    <t>draw home location on form</t>
  </si>
  <si>
    <t>results of HIV test</t>
  </si>
  <si>
    <t>Fill out results form</t>
  </si>
  <si>
    <t>MODE OF TRANSPORTATION</t>
  </si>
  <si>
    <t>walk</t>
  </si>
  <si>
    <t>Introduce study</t>
  </si>
  <si>
    <t>Participant consents, pre-counseling</t>
  </si>
  <si>
    <t>waiting for results, continue pre-counseling</t>
  </si>
  <si>
    <t>locate home</t>
  </si>
  <si>
    <t>study paperwork, phone number, write home location on phone</t>
  </si>
  <si>
    <t>get results, post-test counseling</t>
  </si>
  <si>
    <t>questions on phone</t>
  </si>
  <si>
    <t>Fill out results form, give to participant</t>
  </si>
  <si>
    <t>Get parcel</t>
  </si>
  <si>
    <t>:05</t>
  </si>
  <si>
    <t>Participant enters</t>
  </si>
  <si>
    <t>Introduce study, informed consent</t>
  </si>
  <si>
    <t>set up HIV test, explain equipment</t>
  </si>
  <si>
    <t>additional counseling while waiting for test</t>
  </si>
  <si>
    <t>study paperwork, phone number</t>
  </si>
  <si>
    <t>write home location on study form and phone</t>
  </si>
  <si>
    <t>enter info on phone</t>
  </si>
  <si>
    <t>MC enrollment paperwork</t>
  </si>
  <si>
    <t>consent to MC enrollment</t>
  </si>
  <si>
    <t>more paperwork</t>
  </si>
  <si>
    <t>MC education on phone</t>
  </si>
  <si>
    <t>end MC</t>
  </si>
  <si>
    <t>fill out results form</t>
  </si>
  <si>
    <t>give results and info on MC</t>
  </si>
  <si>
    <t>give voucher</t>
  </si>
  <si>
    <t>Senior data technicians</t>
  </si>
  <si>
    <t>Community mobilizers</t>
  </si>
  <si>
    <t>email justin copy megan and ruanne</t>
  </si>
  <si>
    <t>get salaries</t>
  </si>
  <si>
    <t>photocopy vehicle logs</t>
  </si>
  <si>
    <t>pics of supplies</t>
  </si>
  <si>
    <t>square footage of building  or square footage and percentage used</t>
  </si>
  <si>
    <t>how long does it take to get to all the clinics?</t>
  </si>
  <si>
    <t>turnover</t>
  </si>
  <si>
    <t>which are the clinics that are around here?</t>
  </si>
  <si>
    <t>meeting w/phil</t>
  </si>
  <si>
    <t>we'd likely run this in most areas as part of a package of services</t>
  </si>
  <si>
    <t>we do viral load and by the time they go to clinic, they repeat that viral load at the clinic while they are in linkage process</t>
  </si>
  <si>
    <t>different levels of visiting--information delivered by community mobilizers</t>
  </si>
  <si>
    <t>look at mobenze questionaire</t>
  </si>
  <si>
    <t>next visit could be CD4 count and specialzied messaging around linkage to care,</t>
  </si>
  <si>
    <t>sell it as a team of pple going out not lots of pple</t>
  </si>
  <si>
    <t>are we disclosing if we are sending a second person or a certain person that only does</t>
  </si>
  <si>
    <t>other training--only nurses can do the bloodwork</t>
  </si>
  <si>
    <t>community mobilizers can do PIMA</t>
  </si>
  <si>
    <t>would community health workers be bused from other communities or be bused?</t>
  </si>
  <si>
    <t>if they were from the community, would that be disclosing?</t>
  </si>
  <si>
    <t>have pple in the community work within walking distance of their home or (but not in their neighborhoods for disclose)</t>
  </si>
  <si>
    <t>remove household preparation burden from nurses</t>
  </si>
  <si>
    <t>screening of community healthworkers---find pple that would respect confidentiality</t>
  </si>
  <si>
    <t>may have to get more skilled workers if you used a service</t>
  </si>
  <si>
    <t>how we're running this is heavily affected  by the research aims</t>
  </si>
  <si>
    <t>can reconfigure it</t>
  </si>
  <si>
    <t>would have to reconfigure based on how you assign tasks to make system as effective as possible</t>
  </si>
  <si>
    <t>making it part of a package of services would make it more cost effective and remove inadvertent disclosure because nurses come into the community for other reasons</t>
  </si>
  <si>
    <t>second visit would be shorter--with the nurse</t>
  </si>
  <si>
    <t>the nurse would spend less time trying to recruit and it would be a faster CD4 count</t>
  </si>
  <si>
    <t>would you use the phone?</t>
  </si>
  <si>
    <t>you could use same finger prick to run confirmatory test and PIMA CD4</t>
  </si>
  <si>
    <t>targeting pple that are not currently on treatment--</t>
  </si>
  <si>
    <t>you would have an identifier for pple if it were part of an intervention whereas here they are positive and on treatment as part of a research intervention, they're anonomous and we don't have that info</t>
  </si>
  <si>
    <t>if this were an intervention then you could still use the phone, except simpler version, easier programing,  wouldn't need network</t>
  </si>
  <si>
    <t>mobenze support costs a lot of money-- raw data from phone goes thru complicated processing before it's usable as survey data</t>
  </si>
  <si>
    <t>number tested&gt;number in household</t>
  </si>
  <si>
    <t>testing visitors?</t>
  </si>
  <si>
    <t>current phone system has a high level of rigor</t>
  </si>
  <si>
    <t>hybrid of phone and paper</t>
  </si>
  <si>
    <t>does visit mapping for you--piece of paper with weekly visits</t>
  </si>
  <si>
    <t>see the mobenze decison tree?</t>
  </si>
  <si>
    <t>SOPs</t>
  </si>
  <si>
    <t>probably have two pple working in proximity with each other for safety</t>
  </si>
  <si>
    <t>would be less driving</t>
  </si>
  <si>
    <t>pple in the household that want to test and will be living there for the next 3 months</t>
  </si>
  <si>
    <t>mobilizer--does 20 households in 1 day--try to mobilize them for not more than a week</t>
  </si>
  <si>
    <t>in rural areas--may need drivers</t>
  </si>
  <si>
    <t>in urban areas, could go on foot</t>
  </si>
  <si>
    <t>drivers?</t>
  </si>
  <si>
    <t>hours out in the field</t>
  </si>
  <si>
    <t xml:space="preserve">try to cluster 3 days of mobilization </t>
  </si>
  <si>
    <t># tested&gt;# in household</t>
  </si>
  <si>
    <t>how many times do mobilizers visit a house?</t>
  </si>
  <si>
    <t>how long from mobilization are househulds being tested?</t>
  </si>
  <si>
    <t>in intervention setting, mobilizers would test and schedule visit and text night before to remind person of visit and ask if they'll still be home</t>
  </si>
  <si>
    <t>western cape--2nd most urban, eastern cape--very rural, KZN--semi rural, gauteng--most urban</t>
  </si>
  <si>
    <t>8 hour working day--can't work more than 10 hours</t>
  </si>
  <si>
    <t>5 hours of field time per day is probably realistic</t>
  </si>
  <si>
    <t>more days you offer the service, the more likely you are to get pple--pple are more likely to be home and available from 11am - 7pm</t>
  </si>
  <si>
    <t>afternoons are when pple come home from work, and adolescents come home from school at 1pm</t>
  </si>
  <si>
    <t>Senior nurse</t>
  </si>
  <si>
    <t>Project nurse</t>
  </si>
  <si>
    <t>drivers</t>
  </si>
  <si>
    <t>Junior nurses</t>
  </si>
  <si>
    <t>explanation of service would be different for the second visit with nurse bc the mobilizers would have gone thru general info and they wouldn't need to recruit and consent at each step like they do in an intervention</t>
  </si>
  <si>
    <t>network coverage is poor in certain rural areas</t>
  </si>
  <si>
    <t>40% urban so you wouldn't need a driver for this? Mobilizers could drive themselves. In urban areas with houses closer together, could walk</t>
  </si>
  <si>
    <t>phone calls ahead of time should reduce the number of households visited in an intervention setting</t>
  </si>
  <si>
    <t>if pple are farmers (like uganda) they are home all day so it's easier to test them compared to SA where they work outside home</t>
  </si>
  <si>
    <t>can test 16 year olds without parental permission--so wouldn't have these missed visits</t>
  </si>
  <si>
    <t>can you enroll them in circumcision?</t>
  </si>
  <si>
    <t>would you test everyone, even those outside the range of study age?</t>
  </si>
  <si>
    <t>1.7 days vacation for every month worked</t>
  </si>
  <si>
    <t>no fringe benefits, but there is performance apprasial process--can get a month bonus based on performance--standard in the government--here about 40% of team qualifies</t>
  </si>
  <si>
    <t>job descriptions?</t>
  </si>
  <si>
    <t>overtime in government is capped</t>
  </si>
  <si>
    <t>no paid time off, work in liu of</t>
  </si>
  <si>
    <t xml:space="preserve">everyone works 40 hours a week </t>
  </si>
  <si>
    <t>sick days?</t>
  </si>
  <si>
    <t>36 month sick leave cycle--1 day paid sick leave for every 26 days worked</t>
  </si>
  <si>
    <t>may have different conditions of service for the department of health</t>
  </si>
  <si>
    <t>Data technicians--parcels, back office management</t>
  </si>
  <si>
    <t>50% of data technician's time is allocated to linkages</t>
  </si>
  <si>
    <t>checking and inventory steps</t>
  </si>
  <si>
    <t>2 data technicians</t>
  </si>
  <si>
    <t>vehicle maintance</t>
  </si>
  <si>
    <t>4 admin staff at 100% to run intervention as program</t>
  </si>
  <si>
    <t>1 data coordinator--job descriptions currently being shared by Phil and Nini</t>
  </si>
  <si>
    <t>including maintaining vehicles and other admin functions</t>
  </si>
  <si>
    <t>how would the number of staff change if this were an intervention?</t>
  </si>
  <si>
    <t>more community mobilizers, fewer nurses, less support staff?</t>
  </si>
  <si>
    <t xml:space="preserve">QC of samples, data entry--operational data not covered by </t>
  </si>
  <si>
    <t>2 senior</t>
  </si>
  <si>
    <t>1 coordinator</t>
  </si>
  <si>
    <t>1 junior data technician/admin</t>
  </si>
  <si>
    <t>as this gets larger, numbers would have to change?</t>
  </si>
  <si>
    <t>number of pple  in the service area</t>
  </si>
  <si>
    <t>the current support staff could handle an additiona 400 people being tested a day before you'd have to increase staff</t>
  </si>
  <si>
    <t>you could add on another 2 teams in addition to cutting out research costs and then you'd be at capacity</t>
  </si>
  <si>
    <t>4 nurses and a driver</t>
  </si>
  <si>
    <t>if we used community based mobilizers and they each screened 5 pple a day</t>
  </si>
  <si>
    <t>5 hours in a field, how many pple can you test in 5 hours</t>
  </si>
  <si>
    <t>2 households a day and each household can see 3 pple in the household that are eligible for testing</t>
  </si>
  <si>
    <t>might visit 4 households a day to get 2 households that are ready to test with 3 pple in it each</t>
  </si>
  <si>
    <t>90% of your time, you're</t>
  </si>
  <si>
    <t>1.5 on either side, logistics, transport, lunch</t>
  </si>
  <si>
    <t>if you spend 5 hours, if you assume 45 min per participant, you'd have 300 min/45=6.7 pple tested, probably minus some downtime so 6 pple tested a day</t>
  </si>
  <si>
    <t>each nurse visits 5 pple per day, you'd need 4 community mobilizers to every one nurse</t>
  </si>
  <si>
    <t>nurse to healthworker ratio would depend on HIV prevelance in the area</t>
  </si>
  <si>
    <t>driver, nurse, and 3 mobilizers--you'd need 1 pima unit per team==could get expensive</t>
  </si>
  <si>
    <t xml:space="preserve">better ratio could </t>
  </si>
  <si>
    <t>3 vehicles of mobilizers</t>
  </si>
  <si>
    <t>1 vehicle of nurses</t>
  </si>
  <si>
    <t>could need GIS for this?</t>
  </si>
  <si>
    <t>how big is this space--</t>
  </si>
  <si>
    <t xml:space="preserve">here teams cris-cross same space </t>
  </si>
  <si>
    <t>healthcare setting, each team would be given their own area and more time to hit saturation of area</t>
  </si>
  <si>
    <t xml:space="preserve">in one year--we service </t>
  </si>
  <si>
    <t>21 working days in a month</t>
  </si>
  <si>
    <t>210 days a year assuming</t>
  </si>
  <si>
    <t>1 community healthworker given 80-120 per year</t>
  </si>
  <si>
    <t>unemployment is 25%</t>
  </si>
  <si>
    <t>counsel households on poverty, nutrition, social grants that they can access--stipended post with high attrition--retraining after every 3-6 months</t>
  </si>
  <si>
    <t>type of worker you'd get at that stipended level</t>
  </si>
  <si>
    <t>what's the current attrition rate of community health workers in this study?</t>
  </si>
  <si>
    <t>less attrition in this study because community healthworkers</t>
  </si>
  <si>
    <t>could model CHWs to be paid more and do more services--different level of staff-- training them would increase their value</t>
  </si>
  <si>
    <t>first sweep of getting pple--90% population tested</t>
  </si>
  <si>
    <t>10% migration</t>
  </si>
  <si>
    <t>first sweep of pple</t>
  </si>
  <si>
    <t>ple</t>
  </si>
  <si>
    <t>look at risk factors for 1st sweep of a household vs later sweeps, do you get more high risk pple</t>
  </si>
  <si>
    <t>turnover rates?</t>
  </si>
  <si>
    <t>2 pple out of 12 that moved left midway thru the phase 2 of 18 months</t>
  </si>
  <si>
    <t xml:space="preserve">3 seniors have been there for 5 years </t>
  </si>
  <si>
    <t>2 juniors</t>
  </si>
  <si>
    <t>2 out of 6 were not renewed for data team</t>
  </si>
  <si>
    <t>1 junior person left from the data team in the last year</t>
  </si>
  <si>
    <t>staff came on board at different times and were at different levels</t>
  </si>
  <si>
    <t>5 day training on linkages protocol</t>
  </si>
  <si>
    <t>good clinical practice, working with human subjects, specimen handling, community sensitization, orientation=total of 1 month</t>
  </si>
  <si>
    <t>2 weeks of in session training 2 weeks of practicing, dry runs</t>
  </si>
  <si>
    <t>after that for a month, then transitioned to dealing with participants on their own</t>
  </si>
  <si>
    <t>ask mongeni about average time before participants are working on their own</t>
  </si>
  <si>
    <t>would be much less in an intervention setting--9 consents</t>
  </si>
  <si>
    <t>nurses</t>
  </si>
  <si>
    <t>1 week training</t>
  </si>
  <si>
    <t>GSP, completing forms, community sensitization, two weeks with outreach staff--paired visits and regular debriefining, then work</t>
  </si>
  <si>
    <t>on own</t>
  </si>
  <si>
    <t>3 weeks training for community health workers--probably as short as it can get bc they do very little research</t>
  </si>
  <si>
    <t>CHWs</t>
  </si>
  <si>
    <t xml:space="preserve">time taken by other chws to train. </t>
  </si>
  <si>
    <t>2 outreach workers, 12 community health workers</t>
  </si>
  <si>
    <t>go to household (in beginning and then debrief with the outreach worker right afterwards)</t>
  </si>
  <si>
    <t>Outreach workers</t>
  </si>
  <si>
    <t>junior data technicians</t>
  </si>
  <si>
    <t>senior data technicians</t>
  </si>
  <si>
    <t>can train them all at once but you'll have to have one on one training for attrition</t>
  </si>
  <si>
    <t>GCP, need excel and computer literacy, protocol specific training--5 day training on protocols</t>
  </si>
  <si>
    <t>GCP--two day training</t>
  </si>
  <si>
    <t xml:space="preserve">all these technicians had training from </t>
  </si>
  <si>
    <t>specimen management experience (no or some)?</t>
  </si>
  <si>
    <t>1 month training, piloting, dry running</t>
  </si>
  <si>
    <t>QA, QC</t>
  </si>
  <si>
    <t>all nurses get same training regardless of skill level</t>
  </si>
  <si>
    <t>printed SOPs--ask Hilton about training materials</t>
  </si>
  <si>
    <t xml:space="preserve">Square footage of the building space needed </t>
  </si>
  <si>
    <t>Coolers</t>
  </si>
  <si>
    <t>temperature gauge</t>
  </si>
  <si>
    <t>:25</t>
  </si>
  <si>
    <t>arrive at office</t>
  </si>
  <si>
    <t>leave</t>
  </si>
  <si>
    <t>? Seems really short</t>
  </si>
  <si>
    <t>arrive at QC</t>
  </si>
  <si>
    <t>start QC--paperwork</t>
  </si>
  <si>
    <t>start going through blood samples, data entry of study forms</t>
  </si>
  <si>
    <t>Sya email:</t>
  </si>
  <si>
    <t>snkala@</t>
  </si>
  <si>
    <t>Hilton--first draft</t>
  </si>
  <si>
    <t>Heidi and Phil review</t>
  </si>
  <si>
    <t>cost depends if they're advertized locally or provincially</t>
  </si>
  <si>
    <t>linkages advertised provincially</t>
  </si>
  <si>
    <t>1 hour position</t>
  </si>
  <si>
    <t>20 min or less</t>
  </si>
  <si>
    <t>number of processes</t>
  </si>
  <si>
    <t>could take a few days</t>
  </si>
  <si>
    <t>advertised for 24 positions--staff had to re-apply</t>
  </si>
  <si>
    <t>13 month contract</t>
  </si>
  <si>
    <t>Junior nurse</t>
  </si>
  <si>
    <t>counselor</t>
  </si>
  <si>
    <t>driver</t>
  </si>
  <si>
    <t>field supervisor</t>
  </si>
  <si>
    <t>Project manager</t>
  </si>
  <si>
    <t>one driver left at beginning</t>
  </si>
  <si>
    <t>Nini</t>
  </si>
  <si>
    <t>Phil</t>
  </si>
  <si>
    <t>Admin</t>
  </si>
  <si>
    <t>Data technicians</t>
  </si>
  <si>
    <t>Support staff that work across projects</t>
  </si>
  <si>
    <t>Community outreach team</t>
  </si>
  <si>
    <t>24 mobilizers identified--picked the 12 best</t>
  </si>
  <si>
    <t>2 days to identify and test mobilizers</t>
  </si>
  <si>
    <t>trained for 2 days</t>
  </si>
  <si>
    <t>reading maps, how to talk about project and answer questions, deal with challenging situations</t>
  </si>
  <si>
    <t>Mbongeni trained for 2 days plus 2 community outreach workers</t>
  </si>
  <si>
    <t>research training and community outreach</t>
  </si>
  <si>
    <t>1 week of interviews</t>
  </si>
  <si>
    <t>60 total applicants to interview</t>
  </si>
  <si>
    <t>300 applicants</t>
  </si>
  <si>
    <t>one day for each category</t>
  </si>
  <si>
    <t>drivers and counselors on same day</t>
  </si>
  <si>
    <t>junior and project nurses on same day</t>
  </si>
  <si>
    <t>one day for senior nurses</t>
  </si>
  <si>
    <t>one day for field supervisor</t>
  </si>
  <si>
    <t>one day of project nurses</t>
  </si>
  <si>
    <t>panels</t>
  </si>
  <si>
    <t xml:space="preserve">HR person on each panel, project manager, Lucia </t>
  </si>
  <si>
    <t>HR, Phil, Thembo and Twande for one day to replace Thembo and Phil</t>
  </si>
  <si>
    <t>Twande--PhD fellow, Lucia--post doc</t>
  </si>
  <si>
    <t>2 panels--3 days 1 panel, 2 day 2 panels</t>
  </si>
  <si>
    <t>7 total panel meetings</t>
  </si>
  <si>
    <t>7 hours per day</t>
  </si>
  <si>
    <t>Phil and Hilton shortlisted--reviewed applications to select for interviews</t>
  </si>
  <si>
    <t>3.5 days each of reviewing and deciding who to interview</t>
  </si>
  <si>
    <t>SOPs for the study</t>
  </si>
  <si>
    <t>Counseling messages</t>
  </si>
  <si>
    <t>quality control tools</t>
  </si>
  <si>
    <t>Activation list (email Meighan)</t>
  </si>
  <si>
    <t>2 waves of new</t>
  </si>
  <si>
    <t>Human subjects training--computer</t>
  </si>
  <si>
    <t xml:space="preserve">Mbongene--PIMA and HIV testing training--group training and individual checking </t>
  </si>
  <si>
    <t>still have guidelines and SOP training</t>
  </si>
  <si>
    <t>No protocol training</t>
  </si>
  <si>
    <t>Small consent--informed consent that DOH uses before test--</t>
  </si>
  <si>
    <t>First discussion all together is part of the informed consent form--person will sign</t>
  </si>
  <si>
    <t>1st informed consent is a short process--longer if they're enrolled</t>
  </si>
  <si>
    <t>New staff--one week of training, 3 days of observed activity in the field</t>
  </si>
  <si>
    <t>1.5 watch them as they conduct meetings</t>
  </si>
  <si>
    <t>1 experienced staff member for the new staff--Gugu, sya with old team</t>
  </si>
  <si>
    <t>first round of training 13 pple (in Uganda) plus Lucia, Alaister, and Heidi</t>
  </si>
  <si>
    <t>Alaster set up questionnaires on the phone</t>
  </si>
  <si>
    <t>2 trained now (started November 1st)</t>
  </si>
  <si>
    <t>7 trained on 1st of October</t>
  </si>
  <si>
    <t>ideally you'd hire and train everyone at once</t>
  </si>
  <si>
    <t>government--staffing procedures are long, but you'd likely identify and train all at once</t>
  </si>
  <si>
    <t>SOP on community mobilization</t>
  </si>
  <si>
    <t>Motorcaide--all the cars on site went to table mountain and did loud hailing and gave community pamphlets</t>
  </si>
  <si>
    <t>Pamphlets</t>
  </si>
  <si>
    <t>Met with stakeholders--DOH, political and traditional leadership, NGOs (eg society for family health--refer men to them for MC)</t>
  </si>
  <si>
    <t>big events where we provide testing</t>
  </si>
  <si>
    <t>meet with traditional leaders 1 or 2 a month</t>
  </si>
  <si>
    <t>ongoing involvement with political leadership--community outreach workers have meetings with political leaders 2 hours once a week meeting</t>
  </si>
  <si>
    <t>community working group meeting--problems, and things going on in the community--like a lay advisory board--called community working group</t>
  </si>
  <si>
    <t>once a month, the community mobilizers meet</t>
  </si>
  <si>
    <t>weekly meetings with community mobilizers and outreach workers to supervise</t>
  </si>
  <si>
    <t>ask Nini on catering</t>
  </si>
  <si>
    <t>once a month each catering for community working group and community mobilizer meeting</t>
  </si>
  <si>
    <t>transport there and back 2 cars</t>
  </si>
  <si>
    <t>community working group 8-12 pple</t>
  </si>
  <si>
    <t>community mobilizer meeting 14 pple</t>
  </si>
  <si>
    <t>10am-2pm 2-3pm lunch, then go home</t>
  </si>
  <si>
    <t>probably do another motorcaide next year</t>
  </si>
  <si>
    <t>overtime bc it's a weekend</t>
  </si>
  <si>
    <t>8 hours of overtime for all the staff</t>
  </si>
  <si>
    <t>8-4pm</t>
  </si>
  <si>
    <t>pamphlets--2 days to create</t>
  </si>
  <si>
    <t>HSRC--already developed by HSRC publication dept--general info about the site</t>
  </si>
  <si>
    <t>2 on a page--printed 500-600---total of 1200 papers</t>
  </si>
  <si>
    <t>comes out of stationary budget</t>
  </si>
  <si>
    <t>community team designed, hilton reviewed.</t>
  </si>
  <si>
    <t xml:space="preserve">4 hours of community mobilizers to develop, 1st review 1 hour--Hilton, 1 hour for correction, 20 min for final review--Tulane (head of community) </t>
  </si>
  <si>
    <t>paper, pens, stationary to the mobilizers</t>
  </si>
  <si>
    <t>Linkages T shirts--uniforms so they can be identified</t>
  </si>
  <si>
    <t>staff and community mobilizers should have uniform</t>
  </si>
  <si>
    <t>4 offices</t>
  </si>
  <si>
    <t xml:space="preserve">shared </t>
  </si>
  <si>
    <t>data office</t>
  </si>
  <si>
    <t>supply room</t>
  </si>
  <si>
    <t>kitchen</t>
  </si>
  <si>
    <t>board rooms (2)</t>
  </si>
  <si>
    <t>reception</t>
  </si>
  <si>
    <t>project manager, field supervisor, team leader, general office</t>
  </si>
  <si>
    <t>community office (2 outreach workers)</t>
  </si>
  <si>
    <t>percentage used by Linkages</t>
  </si>
  <si>
    <t>parcels and stationary, HIV testing kits</t>
  </si>
  <si>
    <t>household contact forms, informed consents (less), participant contant forms, QA, QC for blood, questionnaire on risk</t>
  </si>
  <si>
    <t>Based in a clinic--use primary health facility infastructure, park car at clinic, PIMA machines would stay at clinic</t>
  </si>
  <si>
    <t xml:space="preserve">7 seater, would need an off road vehicle for rural areas </t>
  </si>
  <si>
    <t>staffing would change, wouldn't need as many staff--don't need to hit certain targets of positives</t>
  </si>
  <si>
    <t>3 teams of 3, then MVCT team</t>
  </si>
  <si>
    <t>DOH would zone areas and send a team member to each zone</t>
  </si>
  <si>
    <t>would likely stay longer in areas and have larger areas</t>
  </si>
  <si>
    <t>probably do MVCT and HBCT in the same area and expect some duplication if partcipant doesn't want to say that they've tested at the van</t>
  </si>
  <si>
    <t>look at combinations of both interventions to see how it looks</t>
  </si>
  <si>
    <t>MVCT finds more newly identified positives than HBCT</t>
  </si>
  <si>
    <t xml:space="preserve">ONGOING          </t>
  </si>
  <si>
    <t>5 hours to put together ad for position</t>
  </si>
  <si>
    <t>Square footage</t>
  </si>
  <si>
    <t>cost of office space, pick a central business area, satellite offices</t>
  </si>
  <si>
    <t>central  depot where you restock from</t>
  </si>
  <si>
    <t>smaller--target recruitment of staff so pple come from same area, may not happen with scale up</t>
  </si>
  <si>
    <t xml:space="preserve">30 vehicles for a whole district, you'd want it to be closer to </t>
  </si>
  <si>
    <t>80 rand a square meter, CBD rates--rent</t>
  </si>
  <si>
    <t>clinics have limited hours of operation--located in disparate areas, don't all have electricity etc,</t>
  </si>
  <si>
    <t>clinics are generally operating at capacity, small, you'd have to construct additional space</t>
  </si>
  <si>
    <t>central planning of maps, visit location, clinics may not be able to handle --sophisticated</t>
  </si>
  <si>
    <t>data centre that handles that info and sends it out to receipts--person mapping doesn't have to be on site, could be remote</t>
  </si>
  <si>
    <t>what needs to be centralized and what needs to be local</t>
  </si>
  <si>
    <t>could have a data clerk on site to receive maps</t>
  </si>
  <si>
    <t>south africa has good coverage of clinics most areas are within 5 kilometers of a clinic (national plan)</t>
  </si>
  <si>
    <t>most community health workers now are health information instead of delivering services</t>
  </si>
  <si>
    <t>high ratio of supervision to field staff--hard to add this on to a clinic</t>
  </si>
  <si>
    <t>small staging area--eg for table mountain area</t>
  </si>
  <si>
    <t xml:space="preserve">other smaller ones </t>
  </si>
  <si>
    <t>security guard for vehicles--would need to have them at each facility</t>
  </si>
  <si>
    <t>4 person shift</t>
  </si>
  <si>
    <t>need at least 3 pple to provide 24 hour coverage</t>
  </si>
  <si>
    <t>here we have 6 security guards</t>
  </si>
  <si>
    <t>dispersing services would cause duplication in costs</t>
  </si>
  <si>
    <t>primary health care centers run from 8am-4pm</t>
  </si>
  <si>
    <t>need to find a place that runs longer</t>
  </si>
  <si>
    <t>choose biggest facility--community health center, hospital, link to lab services, Edandale hospitals or some other large cliic</t>
  </si>
  <si>
    <t>Edendale serves 300,000 pple.  Northdale--also large hospital</t>
  </si>
  <si>
    <t>assuming that there's open space waiting  for you at the hospital--unlikely. Probably would have to build or set up mobile location</t>
  </si>
  <si>
    <t>1.5 square meters=cubicle space</t>
  </si>
  <si>
    <t>0.75 square meters if they shared a space</t>
  </si>
  <si>
    <t>5 pple at 0.75 each</t>
  </si>
  <si>
    <t>10 teams at 30 square meters</t>
  </si>
  <si>
    <t>60 square meters</t>
  </si>
  <si>
    <t>square footage of the building</t>
  </si>
  <si>
    <t>if you take out half of the data office</t>
  </si>
  <si>
    <t>949 square meters</t>
  </si>
  <si>
    <t xml:space="preserve">1/3 of that space isn't used </t>
  </si>
  <si>
    <t>square meters for linkages</t>
  </si>
  <si>
    <t>community responsibility clause in their contract so HSRC receives very favorable rental terms</t>
  </si>
  <si>
    <t>adds up to: 9,000 rand per month</t>
  </si>
  <si>
    <t>unless you took over a community hall that wasn't being used commercially--but a reasonable facility would charge commercial rates</t>
  </si>
  <si>
    <t>as NGO or national department of health organization</t>
  </si>
  <si>
    <t>pitching up tents may not be sustainable</t>
  </si>
  <si>
    <t>could do basic screening, glucose, blood pressure, etc in the mobile caravan</t>
  </si>
  <si>
    <t>not sure if they would fund an HIV only mobile van since linkage is increasing and focus is shifting to other diseases</t>
  </si>
  <si>
    <t>maternal mortality, diabetes,</t>
  </si>
  <si>
    <t>you could get more counseling spaces in the caravans--those caravans were designed for 4 pple, couple, counselor and observer</t>
  </si>
  <si>
    <t>you could get 4 spaces easily for counselors</t>
  </si>
  <si>
    <t>6 teams, each have a vehicle, one vehicle for outreach</t>
  </si>
  <si>
    <t>8 vehicles total</t>
  </si>
  <si>
    <t>Toyota land cruisers model 70 to tow the caravans</t>
  </si>
  <si>
    <t>Ford ranger double cab, 4x4 2.2 liter diesal</t>
  </si>
  <si>
    <t>outreach vehicles</t>
  </si>
  <si>
    <t>cost at which they were bought, age of cars when they were bought</t>
  </si>
  <si>
    <t>all cars bought in 2009 (april to december</t>
  </si>
  <si>
    <t>initial purchase price</t>
  </si>
  <si>
    <t>382,534 rand</t>
  </si>
  <si>
    <t>7 vehicles at once so got a good deal</t>
  </si>
  <si>
    <t>pool vehicle as a back up</t>
  </si>
  <si>
    <t>shared among the 3 projects</t>
  </si>
  <si>
    <t xml:space="preserve">outreach </t>
  </si>
  <si>
    <t>1 pple carrier</t>
  </si>
  <si>
    <t>toyota vanzer, bought in 2008</t>
  </si>
  <si>
    <t>4 cars for HBCT</t>
  </si>
  <si>
    <t>2 for MVCT</t>
  </si>
  <si>
    <t xml:space="preserve">rangers </t>
  </si>
  <si>
    <t>go to QC form</t>
  </si>
  <si>
    <t>QC staff</t>
  </si>
  <si>
    <t>Goes thru forms and vouchers--sends discrepencies to the staff to reconcile</t>
  </si>
  <si>
    <t>Much of the data manager's time is spent on Linkages--makes folders for the staff</t>
  </si>
  <si>
    <t>to take to the field the next day</t>
  </si>
  <si>
    <t>start blood specimen QC</t>
  </si>
  <si>
    <t>Siya leaves for night</t>
  </si>
  <si>
    <t>Staff member: Mnelisi</t>
  </si>
  <si>
    <t>has worked here 2 weeks</t>
  </si>
  <si>
    <t>explain cell phone and study, consent</t>
  </si>
  <si>
    <t>participant consents</t>
  </si>
  <si>
    <t>participant consents. Asks questions from phone, signs Zulu consent</t>
  </si>
  <si>
    <t>Precounceling</t>
  </si>
  <si>
    <t>Fill out log</t>
  </si>
  <si>
    <t>Start HIV test, explain equipment</t>
  </si>
  <si>
    <t>wait for results, fill out results form, paperwork w DOB-etc</t>
  </si>
  <si>
    <t>more counseling, gather paperwork</t>
  </si>
  <si>
    <t>paperwork, questions on phone</t>
  </si>
  <si>
    <t>get results--HIV neg, post test counseling</t>
  </si>
  <si>
    <t>Give results and consent form</t>
  </si>
  <si>
    <t xml:space="preserve">wait   </t>
  </si>
  <si>
    <t>sign for parcel</t>
  </si>
  <si>
    <t>questions on phone--home locations, phone number</t>
  </si>
  <si>
    <t>introduce self, study</t>
  </si>
  <si>
    <t>fill out paperwork, name, DOB</t>
  </si>
  <si>
    <t>known HIV+ not on ART</t>
  </si>
  <si>
    <t>fill out log</t>
  </si>
  <si>
    <t>consent</t>
  </si>
  <si>
    <t>participant enrolled into study as known pos not on ART</t>
  </si>
  <si>
    <t>fill out enrollment, explain study</t>
  </si>
  <si>
    <t>questions on phone and explanation of questions</t>
  </si>
  <si>
    <t>explanation of test</t>
  </si>
  <si>
    <t>run 1st and 2nd test (participant hard to draw blood from)</t>
  </si>
  <si>
    <t>wait for results, fill out paperwork on phone</t>
  </si>
  <si>
    <t>Get results--HIV positive</t>
  </si>
  <si>
    <t>set up blood draw--get PIMA machine</t>
  </si>
  <si>
    <t>explain and set up PIMA</t>
  </si>
  <si>
    <t>set up and label bloodwork tubes</t>
  </si>
  <si>
    <t>start PIMA</t>
  </si>
  <si>
    <t>finish and wait for reading--set up blood draw</t>
  </si>
  <si>
    <t>enter sample number into PIMA</t>
  </si>
  <si>
    <t>start blood draw</t>
  </si>
  <si>
    <t>finish blood draw</t>
  </si>
  <si>
    <t>fill out bloodwork paperwork</t>
  </si>
  <si>
    <t>locate home on map, locate on second map</t>
  </si>
  <si>
    <t xml:space="preserve">fill out paperwork </t>
  </si>
  <si>
    <t>encourangement to go HIV clinic and explanation of what to expect</t>
  </si>
  <si>
    <t>fill out home location on phone, additional questions</t>
  </si>
  <si>
    <t>PIMA finishes, but continue with questions on phone</t>
  </si>
  <si>
    <t>read results of PIMA</t>
  </si>
  <si>
    <t>end, get parcel</t>
  </si>
  <si>
    <t>3 month MC follow up</t>
  </si>
  <si>
    <t>leave MVCT for follow-up</t>
  </si>
  <si>
    <t>arrive at home--check to see if participant is there</t>
  </si>
  <si>
    <t>introduce self, load questions on phone</t>
  </si>
  <si>
    <t>finish intervention</t>
  </si>
  <si>
    <t>fill out paperwork, chat</t>
  </si>
  <si>
    <t>participant signs for parcel</t>
  </si>
  <si>
    <t>leave for next house</t>
  </si>
  <si>
    <t>arrive at next house--check if participant is home</t>
  </si>
  <si>
    <t>find participant is not home--found job in Jo-burg</t>
  </si>
  <si>
    <t>drive back to caravan--it's already packing up</t>
  </si>
  <si>
    <t>leave to MC follow up</t>
  </si>
  <si>
    <t>leave office</t>
  </si>
  <si>
    <t>stop to pick up lunch</t>
  </si>
  <si>
    <t>return to car--start driving</t>
  </si>
  <si>
    <t>arrive at table mountain</t>
  </si>
  <si>
    <t>locate 1st house</t>
  </si>
  <si>
    <t>drive to house</t>
  </si>
  <si>
    <t>arrive at house</t>
  </si>
  <si>
    <t>check if participant is home</t>
  </si>
  <si>
    <t>participant not home--update paperwork to reflect this</t>
  </si>
  <si>
    <t>drive to another house</t>
  </si>
  <si>
    <t>arrive--check if participant is home</t>
  </si>
  <si>
    <t>HoH not home, only 13 y/old minor</t>
  </si>
  <si>
    <t>locate and drive to another house close to first one</t>
  </si>
  <si>
    <t>arrive at house--participant home, gather supplies</t>
  </si>
  <si>
    <t>Introduce self, study</t>
  </si>
  <si>
    <t>start questions on phone--realize participant is 16 and cannot consent</t>
  </si>
  <si>
    <t>end, call driver, bad network</t>
  </si>
  <si>
    <t>get a hold of driver</t>
  </si>
  <si>
    <t>driver arrives</t>
  </si>
  <si>
    <t>switch to second car</t>
  </si>
  <si>
    <t>fill out household contact info for last visit w apt</t>
  </si>
  <si>
    <t>both nurses in car--go to next house</t>
  </si>
  <si>
    <t>enumeration</t>
  </si>
  <si>
    <t>explain study, convince individuals to participate</t>
  </si>
  <si>
    <t>enumeration, phone #, description of address</t>
  </si>
  <si>
    <t>explain HIV test, set up equipment</t>
  </si>
  <si>
    <t>explain consent form</t>
  </si>
  <si>
    <t>explain phone</t>
  </si>
  <si>
    <t>start HIV test</t>
  </si>
  <si>
    <t>wait for results--more counseling</t>
  </si>
  <si>
    <t>fill out second consent form</t>
  </si>
  <si>
    <t>fill out baseline questionaire on phone</t>
  </si>
  <si>
    <t>give results, post test counseling</t>
  </si>
  <si>
    <t>more counseling--pack up</t>
  </si>
  <si>
    <t>call driver to get parcel</t>
  </si>
  <si>
    <t>give results form to participant--more explanation</t>
  </si>
  <si>
    <t>ask home location again</t>
  </si>
  <si>
    <t>driver arrives w parcel</t>
  </si>
  <si>
    <t>drive to next house</t>
  </si>
  <si>
    <t>arrive at next house--see if participant is home</t>
  </si>
  <si>
    <t>participants home--explain study</t>
  </si>
  <si>
    <t>participants willing</t>
  </si>
  <si>
    <t>fill out paperwork, ask phone #'s</t>
  </si>
  <si>
    <t>Introduce self, study, phone, enumeration</t>
  </si>
  <si>
    <t>pre-test counseling, set up HIV test, explain CD4 and VL</t>
  </si>
  <si>
    <t>more counseling, answer questions on phone, get phone #</t>
  </si>
  <si>
    <t>get consent</t>
  </si>
  <si>
    <t>explain resource sheet</t>
  </si>
  <si>
    <t>ask additional questions, answer participant questions</t>
  </si>
  <si>
    <t>set up and start blood draw</t>
  </si>
  <si>
    <t>end blood draw, explain meaning of VL and CD4</t>
  </si>
  <si>
    <t>known HIV+ and on ART</t>
  </si>
  <si>
    <t>label blood vials</t>
  </si>
  <si>
    <t>fill out paperwork, lab forms</t>
  </si>
  <si>
    <t>post test counseling</t>
  </si>
  <si>
    <t>shows medication--enter into phone</t>
  </si>
  <si>
    <t>give results of test (didn't do confirmatory test)</t>
  </si>
  <si>
    <t>more questions on phone</t>
  </si>
  <si>
    <t>give consent form to patient</t>
  </si>
  <si>
    <t>second participant--explain consent</t>
  </si>
  <si>
    <t>explain HIV test</t>
  </si>
  <si>
    <t xml:space="preserve">pre-test counseling </t>
  </si>
  <si>
    <t>more informed consent</t>
  </si>
  <si>
    <t>fill out results form and other paperwork</t>
  </si>
  <si>
    <t>get results--post test counseling</t>
  </si>
  <si>
    <t>give results form and explain form</t>
  </si>
  <si>
    <t>call driver</t>
  </si>
  <si>
    <t>another person lives here but isn't on enumeration so can't add her--need hilton to send another mobenzi</t>
  </si>
  <si>
    <t>driver arrives w parcel, participant signs for parcel</t>
  </si>
  <si>
    <t>return to car</t>
  </si>
  <si>
    <t>fill out paperwork in car--end for day</t>
  </si>
  <si>
    <t>wait in car for second group of CHWs--not sure why we need to leave together</t>
  </si>
  <si>
    <t>Gabela--head community mobilizer for HBCT and MVCT</t>
  </si>
  <si>
    <t>manages community mobilizers, random QA twice a week</t>
  </si>
  <si>
    <t>MVCT mobilization happens in bars, supermarkets, and households</t>
  </si>
  <si>
    <t>MVCT--&gt; 4 mobilizers</t>
  </si>
  <si>
    <t>HBCT--&gt; 8 mobilizers</t>
  </si>
  <si>
    <t>more work</t>
  </si>
  <si>
    <t>mobilizers average 20 household visits and mobilize 9-11 per day</t>
  </si>
  <si>
    <t>Have to wait for HoH to be home, if not, make an apt to return</t>
  </si>
  <si>
    <t>drive to first house</t>
  </si>
  <si>
    <t>get to house--no one home</t>
  </si>
  <si>
    <t>get to next house, introduce self, study to two individuals</t>
  </si>
  <si>
    <t>(-2)</t>
  </si>
  <si>
    <t>locate another home</t>
  </si>
  <si>
    <t>arrive at next house</t>
  </si>
  <si>
    <t>explain project--one person agrees to be tested</t>
  </si>
  <si>
    <t>locate another home on map and drive</t>
  </si>
  <si>
    <t>arrive at home--only child at home</t>
  </si>
  <si>
    <t>locate another home, drive</t>
  </si>
  <si>
    <t>*normally don't drive them around to different houses--drop them off in one area + pick them up</t>
  </si>
  <si>
    <t>introduce study</t>
  </si>
  <si>
    <t>introduce study--2 individuals</t>
  </si>
  <si>
    <t>enumerate household--3 pple not home, have to come back to talk to them</t>
  </si>
  <si>
    <t xml:space="preserve"> introduce study</t>
  </si>
  <si>
    <t>leave--drive to pick up MVCT mobilizers</t>
  </si>
  <si>
    <t>get mobilizers</t>
  </si>
  <si>
    <t>community mobilizers attend community meetings, see what's happening</t>
  </si>
  <si>
    <t>in community, understand social norms, inform CHWs, have trust in community]</t>
  </si>
  <si>
    <t>but sometimes have more stigma bc they're from the community</t>
  </si>
  <si>
    <t>arrive at household</t>
  </si>
  <si>
    <t>talk to participant--introduce selves, study</t>
  </si>
  <si>
    <t>agrees to participate, leave, walk to second house</t>
  </si>
  <si>
    <t>arrive at house, introduce selves, study, enumeration</t>
  </si>
  <si>
    <t>go to MVCT</t>
  </si>
  <si>
    <t>Staff member: Jabu</t>
  </si>
  <si>
    <t xml:space="preserve"> + a trainee observing</t>
  </si>
  <si>
    <t>start risk assessment</t>
  </si>
  <si>
    <t>get forms, fill out paperwork</t>
  </si>
  <si>
    <t>find house on map</t>
  </si>
  <si>
    <t>write down home location on form</t>
  </si>
  <si>
    <t>get phone #</t>
  </si>
  <si>
    <t>explain consent</t>
  </si>
  <si>
    <t>participant signs</t>
  </si>
  <si>
    <t>signs zulu consent</t>
  </si>
  <si>
    <t>does participant need to sign both English and Zulu consent?</t>
  </si>
  <si>
    <t>explain test</t>
  </si>
  <si>
    <t>set up test and conduct</t>
  </si>
  <si>
    <t>questions on phone while waiting for results, fill out paperwork</t>
  </si>
  <si>
    <t>fill out phone</t>
  </si>
  <si>
    <t>more post test counseling</t>
  </si>
  <si>
    <t>get results--positive, explain how to read results</t>
  </si>
  <si>
    <t>start enrollment</t>
  </si>
  <si>
    <t>post-test counseling, explain VL</t>
  </si>
  <si>
    <t>participant consents, start confirmatory test</t>
  </si>
  <si>
    <t>start bloodwork while waiting for confirmatory test</t>
  </si>
  <si>
    <t>get results of confirmatory test</t>
  </si>
  <si>
    <t>questions on phone, DOB, part ID</t>
  </si>
  <si>
    <t>get confirmatory results, post test counseling</t>
  </si>
  <si>
    <t>unknown HIV+, not on ART</t>
  </si>
  <si>
    <t>give results form</t>
  </si>
  <si>
    <t>additional supplies:</t>
  </si>
  <si>
    <t>needle, vial, 2nd test</t>
  </si>
  <si>
    <t>cotton ball</t>
  </si>
  <si>
    <t>fill out voucher</t>
  </si>
  <si>
    <t>explain parcel</t>
  </si>
  <si>
    <t>wait  (no wait)</t>
  </si>
  <si>
    <t>add up to 10 minutes to find network</t>
  </si>
  <si>
    <t>drop off caravan</t>
  </si>
  <si>
    <t xml:space="preserve">drop off caravan </t>
  </si>
  <si>
    <t>half of a visit</t>
  </si>
  <si>
    <t>staff member--Gugu  Siya does the blood draw</t>
  </si>
  <si>
    <t>Siya starts blood draw</t>
  </si>
  <si>
    <t>explain resources, counseling</t>
  </si>
  <si>
    <t>end counseling, paperwork</t>
  </si>
  <si>
    <t>explanation of voucher</t>
  </si>
  <si>
    <t>(-1)</t>
  </si>
  <si>
    <t>study introduction</t>
  </si>
  <si>
    <t>getting network</t>
  </si>
  <si>
    <t>pre-test counselig</t>
  </si>
  <si>
    <t>HIV test (plus additional counseling and questions on phone</t>
  </si>
  <si>
    <t>TOTAL STUDY INTRODUCTION</t>
  </si>
  <si>
    <t>UNDER AGE 16 TESTED--INFORMED CONSENT PROCESS LONGER</t>
  </si>
  <si>
    <t>HIV test</t>
  </si>
  <si>
    <t>total time for visit 1</t>
  </si>
  <si>
    <t>phone questionaire</t>
  </si>
  <si>
    <t>SET UP FOR VISIT</t>
  </si>
  <si>
    <t>PHONE QUESTIONAIRE</t>
  </si>
  <si>
    <t>INFORMED CONSENT</t>
  </si>
  <si>
    <t>TOTAL HIV TESTING  (test, pre and post counseling)</t>
  </si>
  <si>
    <t>total time for visit 2</t>
  </si>
  <si>
    <t>done while waiting for HIV test</t>
  </si>
  <si>
    <t>PACK UP AFTER VISIT</t>
  </si>
  <si>
    <t>parcels</t>
  </si>
  <si>
    <t>LOCATATE A HOME</t>
  </si>
  <si>
    <t>DRIVE TO TABLE MOUNTAIN</t>
  </si>
  <si>
    <t>LUNCH STOP</t>
  </si>
  <si>
    <t>LOCATE HOME</t>
  </si>
  <si>
    <t>travel to home</t>
  </si>
  <si>
    <t>HIV test, additional couseling</t>
  </si>
  <si>
    <t>wait for driver</t>
  </si>
  <si>
    <t>parcel</t>
  </si>
  <si>
    <t>ENUMERATION</t>
  </si>
  <si>
    <t>PACK UP</t>
  </si>
  <si>
    <t>WAIT FOR DRIVER</t>
  </si>
  <si>
    <t xml:space="preserve">&lt;--divide this by 4 to </t>
  </si>
  <si>
    <t>get per person time</t>
  </si>
  <si>
    <t>pt demographics</t>
  </si>
  <si>
    <t>set up and pretest counseling</t>
  </si>
  <si>
    <t>demographics</t>
  </si>
  <si>
    <t>total visit time</t>
  </si>
  <si>
    <t>travel to table mountain</t>
  </si>
  <si>
    <t>lunch stop</t>
  </si>
  <si>
    <t>locate first home</t>
  </si>
  <si>
    <t>participant not home</t>
  </si>
  <si>
    <t>travel to next home</t>
  </si>
  <si>
    <t>locate next home</t>
  </si>
  <si>
    <t>gather supplies</t>
  </si>
  <si>
    <t>start questionaire</t>
  </si>
  <si>
    <t>paperwork in car</t>
  </si>
  <si>
    <t>HIV test set up</t>
  </si>
  <si>
    <t>home location again</t>
  </si>
  <si>
    <t>Parcel exchange</t>
  </si>
  <si>
    <t>STUDY PAPERWORK</t>
  </si>
  <si>
    <t>TRAVEL TO HOME</t>
  </si>
  <si>
    <t>PARCEL DELIVERY</t>
  </si>
  <si>
    <t xml:space="preserve">pre-counseling &amp; HIV test  </t>
  </si>
  <si>
    <t>CALL AND WAIT FOR DRIVER</t>
  </si>
  <si>
    <t>ASK FOR HOME LOCATION AGAIN</t>
  </si>
  <si>
    <t>PARCEL EXCHANGE</t>
  </si>
  <si>
    <t>PAPERWORK IN CAR</t>
  </si>
  <si>
    <t>start driving to next house</t>
  </si>
  <si>
    <t>pre-counseling and HIV test set up</t>
  </si>
  <si>
    <t xml:space="preserve">pre-counseling  </t>
  </si>
  <si>
    <t>blood draw</t>
  </si>
  <si>
    <t>enters medication info and other questions on phone</t>
  </si>
  <si>
    <t>questions on phone/paperwork</t>
  </si>
  <si>
    <t>PHONE QUESTIONAIRE/PAPERWORK</t>
  </si>
  <si>
    <t>BLOOD DRAW</t>
  </si>
  <si>
    <t>*Would those who are HIV+ and on ART still get tested if this were run as a program?</t>
  </si>
  <si>
    <t>informed consent 1</t>
  </si>
  <si>
    <t>informed consent 2</t>
  </si>
  <si>
    <t>pre-counseling and HIV test</t>
  </si>
  <si>
    <t>parcel exchange</t>
  </si>
  <si>
    <t>&lt;-- divided by 2 for both participants</t>
  </si>
  <si>
    <t>voucher</t>
  </si>
  <si>
    <t>HIV test, additional counseling</t>
  </si>
  <si>
    <t xml:space="preserve">paperwork (done while </t>
  </si>
  <si>
    <t>waiting for test results)</t>
  </si>
  <si>
    <t>results to participant</t>
  </si>
  <si>
    <t>1 minute to download form to phone</t>
  </si>
  <si>
    <t>study paperwork</t>
  </si>
  <si>
    <t>MC enrollment and consent</t>
  </si>
  <si>
    <t>MC education</t>
  </si>
  <si>
    <t xml:space="preserve">questionaire and paperwork, locate home </t>
  </si>
  <si>
    <t>MC enrollment, consent and education</t>
  </si>
  <si>
    <t>paperwork, home location</t>
  </si>
  <si>
    <t>fill out phone questionaire and paperwork</t>
  </si>
  <si>
    <t>drive to table mountain</t>
  </si>
  <si>
    <t>stop for lunch</t>
  </si>
  <si>
    <t>set up caravan</t>
  </si>
  <si>
    <t>home location</t>
  </si>
  <si>
    <t>fill out results forms</t>
  </si>
  <si>
    <t>paperwork (log)</t>
  </si>
  <si>
    <t>study enrollment</t>
  </si>
  <si>
    <t>informed consent for HIV testing</t>
  </si>
  <si>
    <t>informed consent for study enrollment</t>
  </si>
  <si>
    <t>HIV test ( initial and confirmatory done simultaneously</t>
  </si>
  <si>
    <t>set up blood draw</t>
  </si>
  <si>
    <t>set up and explain PIMA</t>
  </si>
  <si>
    <t>label tubes</t>
  </si>
  <si>
    <t>label bloodwork tubes</t>
  </si>
  <si>
    <t>PIMA</t>
  </si>
  <si>
    <t xml:space="preserve">set up and run </t>
  </si>
  <si>
    <t>enter sample number</t>
  </si>
  <si>
    <t>read results</t>
  </si>
  <si>
    <t>wait for PIMA to finish</t>
  </si>
  <si>
    <t>BLOOD WORK</t>
  </si>
  <si>
    <t>run PIMA and wait for results</t>
  </si>
  <si>
    <t>HOME LOCATION</t>
  </si>
  <si>
    <t>can remove PIMA times to see what</t>
  </si>
  <si>
    <t xml:space="preserve">visit would look like in the clinic referral </t>
  </si>
  <si>
    <t>arm</t>
  </si>
  <si>
    <t>read  PIMA results</t>
  </si>
  <si>
    <t>signs Zulu consent</t>
  </si>
  <si>
    <t>post-test counseling 1</t>
  </si>
  <si>
    <t>study enrollment and consent</t>
  </si>
  <si>
    <t>confirmatory test</t>
  </si>
  <si>
    <t>post test counseling 2</t>
  </si>
  <si>
    <t>Mobile van</t>
  </si>
  <si>
    <t>HIV-</t>
  </si>
  <si>
    <t>VISIT 1</t>
  </si>
  <si>
    <t>VISIT 2</t>
  </si>
  <si>
    <t>phone questionaire/paperwork</t>
  </si>
  <si>
    <t>Mobile van arm</t>
  </si>
  <si>
    <t>VISIT 3</t>
  </si>
  <si>
    <t>VISIT 4</t>
  </si>
  <si>
    <t>VISIT 4*</t>
  </si>
  <si>
    <t xml:space="preserve">*Training visit for new staff member.  She completed paperwork while nurse was </t>
  </si>
  <si>
    <t>conducting visit so less time spent on forms</t>
  </si>
  <si>
    <t>VISIT 5</t>
  </si>
  <si>
    <t>VISIT 6</t>
  </si>
  <si>
    <t>VISIT 7</t>
  </si>
  <si>
    <t>MINUS HOME LOCATION</t>
  </si>
  <si>
    <t>HOME LOCATION 2 MIN</t>
  </si>
  <si>
    <t xml:space="preserve">locate home </t>
  </si>
  <si>
    <t>TOTAL MINUS HOME LOCATION</t>
  </si>
  <si>
    <t>additional MC counseling</t>
  </si>
  <si>
    <t>HIV- uncircumcised male</t>
  </si>
  <si>
    <t>Known HIV+ not on ART (PIMA arm)</t>
  </si>
  <si>
    <t xml:space="preserve">Newly discovered HIV+  </t>
  </si>
  <si>
    <t>Newly discovered HIV+</t>
  </si>
  <si>
    <t>HIV test*</t>
  </si>
  <si>
    <t xml:space="preserve">Pack up time </t>
  </si>
  <si>
    <t>END OF DAY</t>
  </si>
  <si>
    <t>Drive time</t>
  </si>
  <si>
    <t>Drop off caravan to lot</t>
  </si>
  <si>
    <t>DAY 2</t>
  </si>
  <si>
    <t>DAY 3</t>
  </si>
  <si>
    <t>DAY 4</t>
  </si>
  <si>
    <t>DAY 1</t>
  </si>
  <si>
    <t>Travel time</t>
  </si>
  <si>
    <t>travel mode</t>
  </si>
  <si>
    <t>wait time</t>
  </si>
  <si>
    <t xml:space="preserve">walk </t>
  </si>
  <si>
    <t>Study introduction</t>
  </si>
  <si>
    <t>Phone questionaire</t>
  </si>
  <si>
    <t>1st participant</t>
  </si>
  <si>
    <t>2nd participant</t>
  </si>
  <si>
    <t xml:space="preserve">HIV test </t>
  </si>
  <si>
    <t>Informed consent*</t>
  </si>
  <si>
    <t>*Participant &lt;16 so consent takes longer</t>
  </si>
  <si>
    <t>Enumeration</t>
  </si>
  <si>
    <t>I had to leave for MVCT</t>
  </si>
  <si>
    <t>HOME BASED HCT</t>
  </si>
  <si>
    <t>Min</t>
  </si>
  <si>
    <t>Max</t>
  </si>
  <si>
    <t>Average</t>
  </si>
  <si>
    <t>attempted visit 1</t>
  </si>
  <si>
    <t>attempted visit 2</t>
  </si>
  <si>
    <t>ATTEMPTED HOME VISITS</t>
  </si>
  <si>
    <t>3 MONTH MC HOME  FOLLOW UP</t>
  </si>
  <si>
    <t>MC intervention on phone</t>
  </si>
  <si>
    <t>Paperwork</t>
  </si>
  <si>
    <t>Introduction</t>
  </si>
  <si>
    <t>3 MONTH MC ATTEMPTED HOME FOLLOW UP</t>
  </si>
  <si>
    <t>Participant out of town for 2 weeks</t>
  </si>
  <si>
    <t>Participant found job in Johanesburg</t>
  </si>
  <si>
    <t xml:space="preserve">Data technicians conduct QC on paper work and blood </t>
  </si>
  <si>
    <t>*Blood QC generally takes 15 minutes every night, but depends on sample volume</t>
  </si>
  <si>
    <t>Data technicians conduct QC on paperwork and blood samples</t>
  </si>
  <si>
    <t>Evening QC*</t>
  </si>
  <si>
    <t>Drive to Table Mountain</t>
  </si>
  <si>
    <t>Lunch stop</t>
  </si>
  <si>
    <t>RESEARCH</t>
  </si>
  <si>
    <t>Visit 1</t>
  </si>
  <si>
    <t>Visit 2</t>
  </si>
  <si>
    <t xml:space="preserve">TOTAL  </t>
  </si>
  <si>
    <t xml:space="preserve">*Initial and confirmatory were done simultaneously </t>
  </si>
  <si>
    <t>**Joint times were divided by the # of participants</t>
  </si>
  <si>
    <t>TRAVEL</t>
  </si>
  <si>
    <t xml:space="preserve">Minimum </t>
  </si>
  <si>
    <t xml:space="preserve"> Maximum </t>
  </si>
  <si>
    <t xml:space="preserve"> Average </t>
  </si>
  <si>
    <t>Count</t>
  </si>
  <si>
    <t>Field Coordinator</t>
  </si>
  <si>
    <t xml:space="preserve"> R      203 100.00 </t>
  </si>
  <si>
    <t>Senior Nurses</t>
  </si>
  <si>
    <t xml:space="preserve">R      109 700.00 </t>
  </si>
  <si>
    <t xml:space="preserve"> R      124 700.00 </t>
  </si>
  <si>
    <t xml:space="preserve"> R      115 300.00 </t>
  </si>
  <si>
    <t>Project Nurses</t>
  </si>
  <si>
    <t xml:space="preserve">R        96 600.00 </t>
  </si>
  <si>
    <t xml:space="preserve"> R      117 100.00 </t>
  </si>
  <si>
    <t xml:space="preserve"> R      105 616.67 </t>
  </si>
  <si>
    <t>Junior Nurses</t>
  </si>
  <si>
    <t xml:space="preserve">R        84 800.00 </t>
  </si>
  <si>
    <t xml:space="preserve"> R        84 800.00 </t>
  </si>
  <si>
    <t>Data Collector</t>
  </si>
  <si>
    <t xml:space="preserve">R        84 800.00 </t>
  </si>
  <si>
    <t>Drivers</t>
  </si>
  <si>
    <t xml:space="preserve">R        74 800.00 </t>
  </si>
  <si>
    <t xml:space="preserve"> R        90 500.00 </t>
  </si>
  <si>
    <t xml:space="preserve"> R        77 416.67 </t>
  </si>
  <si>
    <t xml:space="preserve"> R      109 700.00 </t>
  </si>
  <si>
    <t xml:space="preserve"> R        97 250.00 </t>
  </si>
  <si>
    <t>Senior Data Technician</t>
  </si>
  <si>
    <t xml:space="preserve">R      141 700.00 </t>
  </si>
  <si>
    <t xml:space="preserve"> R      161 500.00 </t>
  </si>
  <si>
    <t xml:space="preserve"> R      148 300.00 </t>
  </si>
  <si>
    <t>Data Technician</t>
  </si>
  <si>
    <t xml:space="preserve"> R        86 700.00 </t>
  </si>
  <si>
    <t xml:space="preserve">Community mobilizer  </t>
  </si>
  <si>
    <t>6 drivers?</t>
  </si>
  <si>
    <t>fuel, mileage costs</t>
  </si>
  <si>
    <t>R 376 815 per Annum Plus</t>
  </si>
  <si>
    <t>Other Benefits : 13th cheque</t>
  </si>
  <si>
    <t>Medical Aid (Optional)</t>
  </si>
  <si>
    <t>Housing Allowance (Employee must meet prescribed requirements)</t>
  </si>
  <si>
    <t>Rural Allowance (On Claim Basis)</t>
  </si>
  <si>
    <t>376 815</t>
  </si>
  <si>
    <t>HUMAN RESOURCES OFFICER (SUPERVISOR)</t>
  </si>
  <si>
    <t>R170 799.00 PER ANNUM</t>
  </si>
  <si>
    <t>OTHER BENEFITS:</t>
  </si>
  <si>
    <t> 13th cheque</t>
  </si>
  <si>
    <t> Medical aid: Optional</t>
  </si>
  <si>
    <t> Homeowner’s allowance: Employee must meet prescribed requirements</t>
  </si>
  <si>
    <t>Grade 1 R170 400 – 197 538.00 p.a</t>
  </si>
  <si>
    <t>Grade 2 R209 568 – 242 952.00 p.a (minimum of 10 years)</t>
  </si>
  <si>
    <t>Grade 3 R 256 584 – 325 041.00 p.a (minimum of 20 years)</t>
  </si>
  <si>
    <t>Professional Nurse – General Stream</t>
  </si>
  <si>
    <t>what's a field coordinator?</t>
  </si>
  <si>
    <t>community mobilizer stipend--if it were an intervention?</t>
  </si>
  <si>
    <t>HUMAN RESOURCES OFFICER (MANAGER)</t>
  </si>
  <si>
    <t>252 144</t>
  </si>
  <si>
    <t>per annum</t>
  </si>
  <si>
    <t>R 68 010 per annum</t>
  </si>
  <si>
    <t>R 63 135 per annum</t>
  </si>
  <si>
    <t>cleaner</t>
  </si>
  <si>
    <t>Purchase Date</t>
  </si>
  <si>
    <t>Unit Cost</t>
  </si>
  <si>
    <t>Number</t>
  </si>
  <si>
    <t>Total Cost</t>
  </si>
  <si>
    <t>Inflation Factor (%)</t>
  </si>
  <si>
    <t>Current Price</t>
  </si>
  <si>
    <t>Useful Life (yrs)</t>
  </si>
  <si>
    <t>Annuity Factor</t>
  </si>
  <si>
    <t xml:space="preserve">Annual Cost    </t>
  </si>
  <si>
    <t>Part Year?**</t>
  </si>
  <si>
    <t>Total Adj. Cost</t>
  </si>
  <si>
    <t>% for Intervention</t>
  </si>
  <si>
    <t>% for Overhead</t>
  </si>
  <si>
    <t xml:space="preserve">% for Other Activities </t>
  </si>
  <si>
    <t>Total for Intervention</t>
  </si>
  <si>
    <t xml:space="preserve">** If a vehicle is only used for part of a year (eg vehicle purchased part-way through the costing period, or if </t>
  </si>
  <si>
    <t xml:space="preserve">Total Vehicles Costs for Intervention: </t>
  </si>
  <si>
    <t xml:space="preserve">    costing period shorter than a year).</t>
  </si>
  <si>
    <t xml:space="preserve">Percent of Overheads for Intervention: </t>
  </si>
  <si>
    <t>(Override if neccesary)</t>
  </si>
  <si>
    <t xml:space="preserve">Discount Rate : </t>
  </si>
  <si>
    <t>Item</t>
  </si>
  <si>
    <t>MBCT</t>
  </si>
  <si>
    <t>two cruisers are for MVCT</t>
  </si>
  <si>
    <t>Outreach vehicle</t>
  </si>
  <si>
    <t>2012 GDP deflator</t>
  </si>
  <si>
    <t>2009 GDP deflator</t>
  </si>
  <si>
    <t>2008 GDP deflator</t>
  </si>
  <si>
    <t>2009/2012</t>
  </si>
  <si>
    <t>2008/2012</t>
  </si>
  <si>
    <t>2012 CPI</t>
  </si>
  <si>
    <t>2009 CPI</t>
  </si>
  <si>
    <t>2008 CPI</t>
  </si>
  <si>
    <t>Current item price ($) = (base year price) * (Current CPI) / (Base year CPI)</t>
  </si>
  <si>
    <t>for August 5th 2009</t>
  </si>
  <si>
    <t>http://www.imf.org/external/np/fin/data/rms_mth.aspx?SelectDate=2009-08-31&amp;reportType=REP</t>
  </si>
  <si>
    <t>Xcng Rate</t>
  </si>
  <si>
    <t>from IMF exchange rates: http://www.imf.org/external/np/fin/data/rms_mth.aspx?SelectDate=2012-07-31&amp;reportType=REP</t>
  </si>
  <si>
    <t>Linkages caravan</t>
  </si>
  <si>
    <t>60 square meters--main office</t>
  </si>
  <si>
    <t>30 square meters satellite office</t>
  </si>
  <si>
    <t>Building</t>
  </si>
  <si>
    <r>
      <t xml:space="preserve">Currency </t>
    </r>
    <r>
      <rPr>
        <b/>
        <sz val="8"/>
        <rFont val="Arial"/>
        <family val="2"/>
      </rPr>
      <t>(1=US, 2=local)</t>
    </r>
  </si>
  <si>
    <t>Total in USD</t>
  </si>
  <si>
    <t>Adjusted for inflation</t>
  </si>
  <si>
    <t xml:space="preserve">Total Building Costs for Intervention: </t>
  </si>
  <si>
    <t># sq meters</t>
  </si>
  <si>
    <t>Total Annual Cost</t>
  </si>
  <si>
    <t>months used</t>
  </si>
  <si>
    <t>monthly cost per sq. meter</t>
  </si>
  <si>
    <t>rest room</t>
  </si>
  <si>
    <t>main office</t>
  </si>
  <si>
    <t>satellite office</t>
  </si>
  <si>
    <t>rand per sq m</t>
  </si>
  <si>
    <t>Position</t>
  </si>
  <si>
    <t>any minor over the age of 12 can be recruited to surgical procedures</t>
  </si>
  <si>
    <t>one of the provices with highest impact of HIV</t>
  </si>
  <si>
    <t>44 district munipalities</t>
  </si>
  <si>
    <t>someone to conduct household enumeration</t>
  </si>
  <si>
    <t>13th cheque? Other benefits</t>
  </si>
  <si>
    <t>what if it were done with motorcycles?</t>
  </si>
  <si>
    <t>then goes to HR who places the ad</t>
  </si>
  <si>
    <t>4--panels (project manager) 3 other</t>
  </si>
  <si>
    <t>Hilton</t>
  </si>
  <si>
    <t>Mbogeni</t>
  </si>
  <si>
    <t>Salaries, allowances and benefits</t>
  </si>
  <si>
    <t>Staff</t>
  </si>
  <si>
    <t>Position Title                               (+ grade if applicable)</t>
  </si>
  <si>
    <t>Net Salary                   (per person)</t>
  </si>
  <si>
    <t>Gross Salary</t>
  </si>
  <si>
    <t>Field coordinator</t>
  </si>
  <si>
    <t>Driver</t>
  </si>
  <si>
    <t>HR</t>
  </si>
  <si>
    <t>admin</t>
  </si>
  <si>
    <t>other positions</t>
  </si>
  <si>
    <t>financial officer</t>
  </si>
  <si>
    <t>Cleaner</t>
  </si>
  <si>
    <t>Community outreach supervisor</t>
  </si>
  <si>
    <t>phil?</t>
  </si>
  <si>
    <t>data technicians</t>
  </si>
  <si>
    <t>24 positions</t>
  </si>
  <si>
    <t>community mobilizer supervisors</t>
  </si>
  <si>
    <t>General repository and office supplies</t>
  </si>
  <si>
    <t>Laboratory Supplies</t>
  </si>
  <si>
    <t>EQUIPMENT - IDC EXEPMT (Itemize - IDC exempt equip is determined by dollar amount - over $2K)</t>
  </si>
  <si>
    <t>Alere Healthcare - PIMA Point of Care CD4</t>
  </si>
  <si>
    <t xml:space="preserve">** If an item is only used for part of a year (eg item purchased part-way through the costing period, or if </t>
  </si>
  <si>
    <t>Equipment</t>
  </si>
  <si>
    <t>Utilities</t>
  </si>
  <si>
    <t>Global Laboratories - Blood draw bags</t>
  </si>
  <si>
    <t>Alere Healthcare - Pima analyzer bag</t>
  </si>
  <si>
    <t>Global Laboratories</t>
  </si>
  <si>
    <t>SD Bioline</t>
  </si>
  <si>
    <t>Positives kits</t>
  </si>
  <si>
    <t>Lancets</t>
  </si>
  <si>
    <t>1 lot</t>
  </si>
  <si>
    <t>Filter paper</t>
  </si>
  <si>
    <t>Plaster</t>
  </si>
  <si>
    <t>EDTA  tubes</t>
  </si>
  <si>
    <t>Webcol swabs</t>
  </si>
  <si>
    <t>DBS drying boxes</t>
  </si>
  <si>
    <t>Drying racks</t>
  </si>
  <si>
    <t>DBS Hampers</t>
  </si>
  <si>
    <t>Whole blood shipment-monitoring containers</t>
  </si>
  <si>
    <t>Temperature stablising gel-packs</t>
  </si>
  <si>
    <t>PIMA test cartridges</t>
  </si>
  <si>
    <t>PIMA CD4 sample collection kits</t>
  </si>
  <si>
    <t>Printing paper</t>
  </si>
  <si>
    <t>Printer cartridges</t>
  </si>
  <si>
    <t>Enumeration area level maps</t>
  </si>
  <si>
    <t>Clipboards</t>
  </si>
  <si>
    <t>total cost</t>
  </si>
  <si>
    <t>exchange rate</t>
  </si>
  <si>
    <t>Fringe            (per person)</t>
  </si>
  <si>
    <t>Salary in USD</t>
  </si>
  <si>
    <t>Human resources</t>
  </si>
  <si>
    <t xml:space="preserve">Administrative assistant </t>
  </si>
  <si>
    <t>HIV test stat pak HIV1-2</t>
  </si>
  <si>
    <t>HIV test unigold HIV 1-2</t>
  </si>
  <si>
    <t>pens</t>
  </si>
  <si>
    <t>log paperwork</t>
  </si>
  <si>
    <t>notebook</t>
  </si>
  <si>
    <t>Sharps container</t>
  </si>
  <si>
    <t>results cards</t>
  </si>
  <si>
    <t xml:space="preserve">EDTA vacutainer tubes </t>
  </si>
  <si>
    <t>Pens</t>
  </si>
  <si>
    <t>General supplies</t>
  </si>
  <si>
    <t>Buffer 2</t>
  </si>
  <si>
    <t>Buffer 3</t>
  </si>
  <si>
    <t>Screening kits</t>
  </si>
  <si>
    <t>Printer</t>
  </si>
  <si>
    <t>Phone</t>
  </si>
  <si>
    <t xml:space="preserve">      </t>
  </si>
  <si>
    <t xml:space="preserve">Total Office Supplies, IEC Costs for Intervention: </t>
  </si>
  <si>
    <t>torniquetes</t>
  </si>
  <si>
    <t>Capillary tubes</t>
  </si>
  <si>
    <t>evening 1</t>
  </si>
  <si>
    <t>evening 2</t>
  </si>
  <si>
    <t>Putting together ad</t>
  </si>
  <si>
    <t># identified</t>
  </si>
  <si>
    <t># hired</t>
  </si>
  <si>
    <t>training time (hours)</t>
  </si>
  <si>
    <t>staff responsible</t>
  </si>
  <si>
    <t>interview time</t>
  </si>
  <si>
    <t>1 week for 60 applicants</t>
  </si>
  <si>
    <t>Counselor</t>
  </si>
  <si>
    <t>Field supervisor</t>
  </si>
  <si>
    <t>Hilton and Phil</t>
  </si>
  <si>
    <t>Panel interviews</t>
  </si>
  <si>
    <t>Staff responsible</t>
  </si>
  <si>
    <t>Reviewing applications (300 applications for 60 interviews)</t>
  </si>
  <si>
    <t>Mbongeni and 2 community outreach workers</t>
  </si>
  <si>
    <t>Project manager (Hilton)</t>
  </si>
  <si>
    <t>Junior/project nurses</t>
  </si>
  <si>
    <t>5 hours for 7 positions</t>
  </si>
  <si>
    <t>20 min each for Phil to review</t>
  </si>
  <si>
    <t>Hilton, HR person, Lucia</t>
  </si>
  <si>
    <t>35 hours</t>
  </si>
  <si>
    <t># new staff trained</t>
  </si>
  <si>
    <t>TRAINING</t>
  </si>
  <si>
    <t>Training type</t>
  </si>
  <si>
    <t>Mbogeni, Hilton</t>
  </si>
  <si>
    <t>In field</t>
  </si>
  <si>
    <t>In office</t>
  </si>
  <si>
    <t>Office security</t>
  </si>
  <si>
    <t>24.5 hours</t>
  </si>
  <si>
    <t>motorcaide at table mountain</t>
  </si>
  <si>
    <t>8 hours overtime for all staff</t>
  </si>
  <si>
    <t>Research compatible mobile phones</t>
  </si>
  <si>
    <t>Unit Cost USD</t>
  </si>
  <si>
    <t>Current Price (rand)</t>
  </si>
  <si>
    <t>Fixed costs</t>
  </si>
  <si>
    <t>Variable costs</t>
  </si>
  <si>
    <t>Chargers, batteries</t>
  </si>
  <si>
    <t>Data use</t>
  </si>
  <si>
    <t>phone repair, maintenance</t>
  </si>
  <si>
    <t>Weekly distance traveled</t>
  </si>
  <si>
    <t>Vehicle</t>
  </si>
  <si>
    <t>research salary</t>
  </si>
  <si>
    <t>gov't salary</t>
  </si>
  <si>
    <t>Project Manager</t>
  </si>
  <si>
    <t>Administrator</t>
  </si>
  <si>
    <t>Team Leader</t>
  </si>
  <si>
    <t>Interviewer</t>
  </si>
  <si>
    <t>Field Coorindator</t>
  </si>
  <si>
    <t>1 senior nurse to 5</t>
  </si>
  <si>
    <t>junior nurses</t>
  </si>
  <si>
    <t xml:space="preserve"> --Singh, lancet</t>
  </si>
  <si>
    <t>Junior nurse/ counselor</t>
  </si>
  <si>
    <t>Enter Cur.</t>
  </si>
  <si>
    <t>Ongoing meetings</t>
  </si>
  <si>
    <t>1.5 per month</t>
  </si>
  <si>
    <t>1 per month</t>
  </si>
  <si>
    <t>Stakeholder meetings--meet with traditional and community leaders</t>
  </si>
  <si>
    <t>Community working group meeting</t>
  </si>
  <si>
    <t>Catering and transport provided</t>
  </si>
  <si>
    <t>Start up</t>
  </si>
  <si>
    <t>Pamphlet development</t>
  </si>
  <si>
    <t>1 hour each way to come from table mountain 2 drivers, full day meetings</t>
  </si>
  <si>
    <t>8 hours of community mobilizer time</t>
  </si>
  <si>
    <t>Supply back pack</t>
  </si>
  <si>
    <t>Programming for data capture</t>
  </si>
  <si>
    <t>Clyral quote</t>
  </si>
  <si>
    <t>from Ruanne</t>
  </si>
  <si>
    <t>Linkages budge</t>
  </si>
  <si>
    <t>locate home for later follow ups</t>
  </si>
  <si>
    <t>Ford ranger double cab, 4x4 2.2 liter diesel</t>
  </si>
  <si>
    <t>Cost of advertizing positions</t>
  </si>
  <si>
    <t>24 positions total</t>
  </si>
  <si>
    <t>8 types of positions</t>
  </si>
  <si>
    <t>300 applicants--60 to interview</t>
  </si>
  <si>
    <t>Reviewing applications and shortlisting</t>
  </si>
  <si>
    <t>Reviewing interview results and offering positions</t>
  </si>
  <si>
    <t>7 hours</t>
  </si>
  <si>
    <t># positions</t>
  </si>
  <si>
    <t>motorcaide</t>
  </si>
  <si>
    <t>2 hours every week</t>
  </si>
  <si>
    <t>Traditional leaders--1 or 2 a month meetings</t>
  </si>
  <si>
    <t>Weekly community mobilizer meetings with supervisors</t>
  </si>
  <si>
    <t>2 cars, 2 drivers</t>
  </si>
  <si>
    <t>8-12 pple</t>
  </si>
  <si>
    <t>1 full day</t>
  </si>
  <si>
    <t>Linkages T shirts</t>
  </si>
  <si>
    <t>HR salary</t>
  </si>
  <si>
    <t>Salaries</t>
  </si>
  <si>
    <t>total</t>
  </si>
  <si>
    <t>hourly</t>
  </si>
  <si>
    <t>Time costs</t>
  </si>
  <si>
    <t xml:space="preserve">Project manager </t>
  </si>
  <si>
    <t xml:space="preserve">HR  </t>
  </si>
  <si>
    <t xml:space="preserve">field coordinator  </t>
  </si>
  <si>
    <t>placeholder for another upper management person</t>
  </si>
  <si>
    <t>Upper management</t>
  </si>
  <si>
    <t>cost/position hired</t>
  </si>
  <si>
    <t>use time for hilton and HR person</t>
  </si>
  <si>
    <t>Catering for monthly community mobilizer meetings</t>
  </si>
  <si>
    <t>Transport for monthly community mobilizer meetings</t>
  </si>
  <si>
    <t>Outreach pamphlets</t>
  </si>
  <si>
    <t>Admin assistant</t>
  </si>
  <si>
    <t>Interviewing</t>
  </si>
  <si>
    <t>Reviewing apps and shortlisting</t>
  </si>
  <si>
    <t>Hours</t>
  </si>
  <si>
    <t>3.5 days</t>
  </si>
  <si>
    <t xml:space="preserve">portion of costs bc </t>
  </si>
  <si>
    <t>shared across</t>
  </si>
  <si>
    <t>projects</t>
  </si>
  <si>
    <t>putting together ad</t>
  </si>
  <si>
    <t>Advertising provincially</t>
  </si>
  <si>
    <t>time</t>
  </si>
  <si>
    <t>Hilton, Phil to review (20 min each)</t>
  </si>
  <si>
    <t xml:space="preserve">HR </t>
  </si>
  <si>
    <t>Reviewing results and offering positions</t>
  </si>
  <si>
    <t>Offering positions</t>
  </si>
  <si>
    <t>Hilton, HR</t>
  </si>
  <si>
    <t>Reviewing intervews</t>
  </si>
  <si>
    <t>Motorcaide</t>
  </si>
  <si>
    <t xml:space="preserve">8 hours--Hilton    </t>
  </si>
  <si>
    <t>add sick days</t>
  </si>
  <si>
    <t># days</t>
  </si>
  <si>
    <t># hours</t>
  </si>
  <si>
    <t>Hilton, Mbogeni</t>
  </si>
  <si>
    <t>Employee cost</t>
  </si>
  <si>
    <t>Observation</t>
  </si>
  <si>
    <t>Employee salaries</t>
  </si>
  <si>
    <t xml:space="preserve">Mbogeni </t>
  </si>
  <si>
    <t>Phil (PM salary)</t>
  </si>
  <si>
    <t>Total monthly cost</t>
  </si>
  <si>
    <t>Rands</t>
  </si>
  <si>
    <t>Time costs (rands)</t>
  </si>
  <si>
    <t>From ICRC budget</t>
  </si>
  <si>
    <t>ID Cards</t>
  </si>
  <si>
    <t>Viral Load</t>
  </si>
  <si>
    <t>Specimen Shipment to Lab</t>
  </si>
  <si>
    <t>Meetings</t>
  </si>
  <si>
    <t xml:space="preserve">      Community Working Group Meeting Stipends</t>
  </si>
  <si>
    <t xml:space="preserve">      CWG Meeting Costs per Participant</t>
  </si>
  <si>
    <t xml:space="preserve">      Department of Health District Meeting</t>
  </si>
  <si>
    <t xml:space="preserve">      Community Stakeholder Meetings</t>
  </si>
  <si>
    <t xml:space="preserve">      Project Review Workshop</t>
  </si>
  <si>
    <t xml:space="preserve">      Counseling and Disclosure Training</t>
  </si>
  <si>
    <t xml:space="preserve">  Refresher Training</t>
  </si>
  <si>
    <t>got # units from Uganda--need to double check</t>
  </si>
  <si>
    <t>Total per person tested</t>
  </si>
  <si>
    <t>assumption</t>
  </si>
  <si>
    <t>Hand sanitizer (2 oz)</t>
  </si>
  <si>
    <t>Wastage</t>
  </si>
  <si>
    <t>Add 3.58 for tie breaker tests</t>
  </si>
  <si>
    <t>Consumeables</t>
  </si>
  <si>
    <t>Monthly Cost</t>
  </si>
  <si>
    <t>Yearly Cost</t>
  </si>
  <si>
    <t>Stationary (Printing paper, general office supplies etc)</t>
  </si>
  <si>
    <t>Air-time allocation (Field communications, Data transmission )</t>
  </si>
  <si>
    <t>Monthly cost</t>
  </si>
  <si>
    <t>Yearly cost</t>
  </si>
  <si>
    <t>Ruanne spreadsheet</t>
  </si>
  <si>
    <t>Monthly</t>
  </si>
  <si>
    <t>USD</t>
  </si>
  <si>
    <t>Yearly cost per worker</t>
  </si>
  <si>
    <t xml:space="preserve"> v</t>
  </si>
  <si>
    <t>based on uganda price</t>
  </si>
  <si>
    <t>One computer and projector</t>
  </si>
  <si>
    <t>Computer and projector</t>
  </si>
  <si>
    <t>Current Price (USD)</t>
  </si>
  <si>
    <t xml:space="preserve">Rands </t>
  </si>
  <si>
    <t>cost in USD</t>
  </si>
  <si>
    <t>Annual fuel costs</t>
  </si>
  <si>
    <t>weekly distance traveled=assumption</t>
  </si>
  <si>
    <t>Rand</t>
  </si>
  <si>
    <t>CD4 Cartridge</t>
  </si>
  <si>
    <t>PIMA bead standard</t>
  </si>
  <si>
    <t>PIMA finger stick sample collection kit</t>
  </si>
  <si>
    <t>Printer paper</t>
  </si>
  <si>
    <t xml:space="preserve">Ruanne </t>
  </si>
  <si>
    <t>spreadsheet</t>
  </si>
  <si>
    <t>Total fuel and maintenance cost:</t>
  </si>
  <si>
    <t xml:space="preserve">Number </t>
  </si>
  <si>
    <t>Total annual cost</t>
  </si>
  <si>
    <t>from uganda budget</t>
  </si>
  <si>
    <t>Red biohazard bags</t>
  </si>
  <si>
    <t>Fraction used / visit</t>
  </si>
  <si>
    <t>*assume 4 containers per year for each counselor</t>
  </si>
  <si>
    <t>Total annual cost USD</t>
  </si>
  <si>
    <t>For now, summarized below until they can be itemized</t>
  </si>
  <si>
    <t>Test kit supplies</t>
  </si>
  <si>
    <t>Registration, maintenance, insurance and inspection costs</t>
  </si>
  <si>
    <t>type</t>
  </si>
  <si>
    <t>cost</t>
  </si>
  <si>
    <t>cost USD</t>
  </si>
  <si>
    <t># meetings</t>
  </si>
  <si>
    <t>#</t>
  </si>
  <si>
    <t># employees</t>
  </si>
  <si>
    <t>cost per employee</t>
  </si>
  <si>
    <t xml:space="preserve">Annualized cost </t>
  </si>
  <si>
    <t>Annualized cost USD</t>
  </si>
  <si>
    <t>Exchange rate</t>
  </si>
  <si>
    <t>(assuming 5 years of useful life)</t>
  </si>
  <si>
    <t># attending</t>
  </si>
  <si>
    <t>Cost/attendee</t>
  </si>
  <si>
    <t>Cost</t>
  </si>
  <si>
    <t>Advertising</t>
  </si>
  <si>
    <t>Personnel</t>
  </si>
  <si>
    <t>Transportation</t>
  </si>
  <si>
    <r>
      <t>·</t>
    </r>
    <r>
      <rPr>
        <sz val="7"/>
        <color theme="1"/>
        <rFont val="Times New Roman"/>
        <family val="1"/>
      </rPr>
      <t xml:space="preserve">       </t>
    </r>
    <r>
      <rPr>
        <sz val="11"/>
        <color theme="1"/>
        <rFont val="Calibri"/>
        <family val="2"/>
        <scheme val="minor"/>
      </rPr>
      <t>Training: 5 years (to account for likely repeats, change in protocol, staff changeover - TBC), unless expected cycle of training expected sooner</t>
    </r>
  </si>
  <si>
    <t>Total for Intervention USD</t>
  </si>
  <si>
    <t>Annual recurrent cost (Rand)</t>
  </si>
  <si>
    <t>HIV tie breaker test</t>
  </si>
  <si>
    <t>Is the tie breaker test used more frequently for HIV+ves than -ives?</t>
  </si>
  <si>
    <t>Confirmatory test used for 1% of all HIV positive visits</t>
  </si>
  <si>
    <t>Accu-check T-pro-uno lancet</t>
  </si>
  <si>
    <t>BD vacutainer syringes</t>
  </si>
  <si>
    <t>Needle holders</t>
  </si>
  <si>
    <t>assumption: interveiwing has 5 years of useful life</t>
  </si>
  <si>
    <t xml:space="preserve">Perspective: Provider/Programmatic  </t>
  </si>
  <si>
    <t xml:space="preserve">Supplies per HIV- </t>
  </si>
  <si>
    <t>Buildings + overhead</t>
  </si>
  <si>
    <t>internet</t>
  </si>
  <si>
    <t>total cost USD</t>
  </si>
  <si>
    <t>Total annualized cost USD</t>
  </si>
  <si>
    <t>Total for 33</t>
  </si>
  <si>
    <t>positions</t>
  </si>
  <si>
    <t>Total annualized</t>
  </si>
  <si>
    <t>TOTAL minus com mobilizers</t>
  </si>
  <si>
    <t>Adjusted total cost</t>
  </si>
  <si>
    <t>Reviewing apps + shortlisting</t>
  </si>
  <si>
    <t>Initial training</t>
  </si>
  <si>
    <t>Data capture</t>
  </si>
  <si>
    <t>10.14  </t>
  </si>
  <si>
    <t>Start up costs (TOTAL)</t>
  </si>
  <si>
    <t>Start-up broken down</t>
  </si>
  <si>
    <t>Community mobilization events</t>
  </si>
  <si>
    <t>Number of days worked per year (minus holidays)</t>
  </si>
  <si>
    <t>hours worked</t>
  </si>
  <si>
    <t>TOTAL + PLUS REFRESHER TRAINING</t>
  </si>
  <si>
    <t># new staff trained for intervention</t>
  </si>
  <si>
    <t xml:space="preserve"> (assumed)</t>
  </si>
  <si>
    <t>computer</t>
  </si>
  <si>
    <t>projector</t>
  </si>
  <si>
    <t>assumed</t>
  </si>
  <si>
    <t>Reccuring meetings</t>
  </si>
  <si>
    <t>hourly wage</t>
  </si>
  <si>
    <t>community mobilization costs</t>
  </si>
  <si>
    <t>8 hours for all staff</t>
  </si>
  <si>
    <t>8 hours</t>
  </si>
  <si>
    <t># staff</t>
  </si>
  <si>
    <t>cost rand</t>
  </si>
  <si>
    <t>Currency: 2013 USD</t>
  </si>
  <si>
    <t>registration, inspection</t>
  </si>
  <si>
    <t>registration, inspection, maintenance costs=assumption</t>
  </si>
  <si>
    <t>0-10% wastage depending on supply</t>
  </si>
  <si>
    <t>rands to 2013 USD</t>
  </si>
  <si>
    <t xml:space="preserve">Total  Costs for Intervention: </t>
  </si>
  <si>
    <t>Number individuals tested</t>
  </si>
  <si>
    <t>Senior nurses</t>
  </si>
  <si>
    <t># tested/day</t>
  </si>
  <si>
    <t>total # tested</t>
  </si>
  <si>
    <t>Supplies (TOTAL)</t>
  </si>
  <si>
    <t>annual cost</t>
  </si>
  <si>
    <t>Data capture and use (TOTAL)</t>
  </si>
  <si>
    <t>% of budget</t>
  </si>
  <si>
    <t>TOTAL PER PERSON TESTED</t>
  </si>
  <si>
    <t>Employee</t>
  </si>
  <si>
    <t># of hours worked on HBCT per day</t>
  </si>
  <si>
    <t>2013 USD</t>
  </si>
  <si>
    <t>Exchange rate from IMF (rand to dollar)</t>
  </si>
  <si>
    <t>TOTAL START UP YEAR 1</t>
  </si>
  <si>
    <t>TOTAL RECCURING</t>
  </si>
  <si>
    <t>Advertising cost</t>
  </si>
  <si>
    <t>Total USD</t>
  </si>
  <si>
    <t>annualized cost in usd</t>
  </si>
  <si>
    <t>HIV +</t>
  </si>
  <si>
    <t>HIV+</t>
  </si>
  <si>
    <t>Supplies (HIV-)</t>
  </si>
  <si>
    <t>Supplies (HIV +)</t>
  </si>
  <si>
    <t>additional supplies per HIV+</t>
  </si>
  <si>
    <t>Total supplies per HIV+</t>
  </si>
  <si>
    <t>vacation days</t>
  </si>
  <si>
    <t>public holidays</t>
  </si>
  <si>
    <t>Christmas break</t>
  </si>
  <si>
    <t>Assume 15 years of useful life for software development</t>
  </si>
  <si>
    <t>sick days</t>
  </si>
  <si>
    <t># days worked for testing</t>
  </si>
  <si>
    <t>Program of all HIV-s</t>
  </si>
  <si>
    <t>Program of all HIV+s</t>
  </si>
  <si>
    <t>assuming 1736 hours of work per year</t>
  </si>
  <si>
    <t>The cost in 2008 for the mobile unit was R 141 090.00.  The current replacement cost is estimated at around R 250 000.00.</t>
  </si>
  <si>
    <t>Meetings are hosted on site so there is no venue cost. The catering cost is R 85.00 per attendee.</t>
  </si>
  <si>
    <t>Description</t>
  </si>
  <si>
    <t>Price</t>
  </si>
  <si>
    <t># Units (Quantity)</t>
  </si>
  <si>
    <t>Average Monthly Usage</t>
  </si>
  <si>
    <t>Gloves (medium, non powered)</t>
  </si>
  <si>
    <t>ZAR 85.50</t>
  </si>
  <si>
    <t>1 Pack (100 pairs)</t>
  </si>
  <si>
    <t>8 packs</t>
  </si>
  <si>
    <t>Hand sanitizer (Hibitane)</t>
  </si>
  <si>
    <t>ZAR 383.55</t>
  </si>
  <si>
    <t>5 litre</t>
  </si>
  <si>
    <t>2.5lt per month</t>
  </si>
  <si>
    <t>Webcol Swabs</t>
  </si>
  <si>
    <t>ZAR 12</t>
  </si>
  <si>
    <t>1 pack (100 per pack)</t>
  </si>
  <si>
    <t>10 packs</t>
  </si>
  <si>
    <t>HIV Determine (Screening)</t>
  </si>
  <si>
    <t>ZAR 1162.80</t>
  </si>
  <si>
    <t>1 pack (100 tests per pack)</t>
  </si>
  <si>
    <t>7 packs</t>
  </si>
  <si>
    <t>HIV Sensa Triline (Confirmatory Test)</t>
  </si>
  <si>
    <t>ZAR 185.25</t>
  </si>
  <si>
    <t>1 pack (25 per pack)</t>
  </si>
  <si>
    <t>6 packs</t>
  </si>
  <si>
    <t>Plaster Strips</t>
  </si>
  <si>
    <t>ZAR 34.20</t>
  </si>
  <si>
    <t>ZAR 102.60  </t>
  </si>
  <si>
    <t>1 pack (100 lancets)</t>
  </si>
  <si>
    <t>11 packs</t>
  </si>
  <si>
    <t>Cotton Balls</t>
  </si>
  <si>
    <t>ZAR 23.94</t>
  </si>
  <si>
    <t>1 pack (100 balls)</t>
  </si>
  <si>
    <t>9 packs</t>
  </si>
  <si>
    <t>PIMA CD4 cartridges</t>
  </si>
  <si>
    <t>ZAR 5750.00</t>
  </si>
  <si>
    <t>1 box (100 cartridges)</t>
  </si>
  <si>
    <t>PIMA Blood Collection Kit</t>
  </si>
  <si>
    <t>ZAR 855</t>
  </si>
  <si>
    <t>1 box (100 kits)</t>
  </si>
  <si>
    <t>2 packs</t>
  </si>
  <si>
    <t>Multifunction Printer Lease Cost</t>
  </si>
  <si>
    <t>ZAR 752.40</t>
  </si>
  <si>
    <t>Per Copier</t>
  </si>
  <si>
    <t>Per  month</t>
  </si>
  <si>
    <t>Printing Cost</t>
  </si>
  <si>
    <t>ZAR 185.00</t>
  </si>
  <si>
    <t>1 box (5 reams)</t>
  </si>
  <si>
    <t>2 boxes</t>
  </si>
  <si>
    <t>Photocopying Cost</t>
  </si>
  <si>
    <t>ZAR 0.11</t>
  </si>
  <si>
    <t>Per Page</t>
  </si>
  <si>
    <t>HIV screening test (determine)</t>
  </si>
  <si>
    <t>Rental estimates from Phil</t>
  </si>
  <si>
    <t>internet--assume we'd pay 50% of bill</t>
  </si>
  <si>
    <t>HSRC</t>
  </si>
  <si>
    <t>GOVT</t>
  </si>
  <si>
    <t>Average Kms/Month</t>
  </si>
  <si>
    <t>Average Fuel (Lt/Month)</t>
  </si>
  <si>
    <t>Average Fuel Cost (ZAR/Month)</t>
  </si>
  <si>
    <t>Average Maintenance Cost (ZAR/Month)</t>
  </si>
  <si>
    <t>Outreach</t>
  </si>
  <si>
    <t>HBCT Field Team</t>
  </si>
  <si>
    <t>MVCT Field Team</t>
  </si>
  <si>
    <t>fuel price</t>
  </si>
  <si>
    <t xml:space="preserve">Research cost </t>
  </si>
  <si>
    <t>HIV screening test (SD Bioline)</t>
  </si>
  <si>
    <t>Annual fuel costs/vehicle</t>
  </si>
  <si>
    <t>Maintenance cost
($/year) per vehicle</t>
  </si>
  <si>
    <t>TOTAL Annual fuel costs</t>
  </si>
  <si>
    <t>TOTAL registration, inspection</t>
  </si>
  <si>
    <t>TOTAL Maintenance cost
($/year)</t>
  </si>
  <si>
    <t>TOTAL Annual recurrent cost (Rand)</t>
  </si>
  <si>
    <t>TOTAL cost in USD</t>
  </si>
  <si>
    <t>HIV screening kit (SD Bioline)</t>
  </si>
  <si>
    <t>16 minutes</t>
  </si>
  <si>
    <t>42 minutes</t>
  </si>
  <si>
    <t>Average time per participant</t>
  </si>
  <si>
    <t>Locate and travel to home</t>
  </si>
  <si>
    <t>HCT</t>
  </si>
  <si>
    <t>Mobile arm</t>
  </si>
  <si>
    <t>Home-based arm</t>
  </si>
  <si>
    <t>community care drivers</t>
  </si>
  <si>
    <t>*assume 1 standard lasts for six months * 2 machines</t>
  </si>
  <si>
    <t>utilities--assumed we'd whole bill</t>
  </si>
  <si>
    <t>Start up costs</t>
  </si>
  <si>
    <t>Personnel (N)</t>
  </si>
  <si>
    <t>Transport</t>
  </si>
  <si>
    <t>Supplies for testing</t>
  </si>
  <si>
    <t>Electronic data capture</t>
  </si>
  <si>
    <t>Additional ART &amp; care</t>
  </si>
  <si>
    <t>Office and misc items</t>
  </si>
  <si>
    <t>Salaries (Rand)</t>
  </si>
  <si>
    <t>Methods: Calculated cost per position hired and then scaled by total # of positions</t>
  </si>
  <si>
    <t>Per fieldworker per month: R 135</t>
  </si>
  <si>
    <t>Pre-paid data voucher for TL per month: R 30</t>
  </si>
  <si>
    <t>Pre-paid data voucher for Driver per month: R 30</t>
  </si>
  <si>
    <t>TOTAL USD</t>
  </si>
  <si>
    <t>ave per car</t>
  </si>
  <si>
    <t>yearly cost</t>
  </si>
  <si>
    <t>$600 total for all positions (assumption)</t>
  </si>
  <si>
    <t>USD yearly cost</t>
  </si>
  <si>
    <t>Maintenance</t>
  </si>
  <si>
    <t>km traveled</t>
  </si>
  <si>
    <t>materials</t>
  </si>
  <si>
    <t>Furniture</t>
  </si>
  <si>
    <t>CCWs</t>
  </si>
  <si>
    <t>Community care worker</t>
  </si>
  <si>
    <t>CCW</t>
  </si>
  <si>
    <t>Total annualized USD</t>
  </si>
  <si>
    <t>annualised materials</t>
  </si>
  <si>
    <t>TOTAL ANNUALIZED</t>
  </si>
  <si>
    <t>Software dev--reduced cost from 16,864 to 2,000</t>
  </si>
  <si>
    <t>Assuming capillary tubes come with test kits</t>
  </si>
  <si>
    <t>assume 2 cotton balls</t>
  </si>
  <si>
    <t>remove plaster strips</t>
  </si>
  <si>
    <t>assume 2 swabs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</si>
</sst>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7" formatCode="&quot;$&quot;#,##0.00_);\(&quot;$&quot;#,##0.00\)"/>
    <numFmt numFmtId="44" formatCode="_(&quot;$&quot;* #,##0.00_);_(&quot;$&quot;* \(#,##0.00\);_(&quot;$&quot;* &quot;-&quot;??_);_(@_)"/>
    <numFmt numFmtId="43" formatCode="_(* #,##0.00_);_(* \(#,##0.00\);_(* &quot;-&quot;??_);_(@_)"/>
    <numFmt numFmtId="164" formatCode="0.000"/>
    <numFmt numFmtId="165" formatCode="[$ZAR]\ #,##0.00"/>
    <numFmt numFmtId="166" formatCode="_(* #,##0_);_(* \(#,##0\);_(* &quot;-&quot;??_);_(@_)"/>
    <numFmt numFmtId="167" formatCode="h:mm;@"/>
    <numFmt numFmtId="168" formatCode="[$-409]d\-mmm\-yy;@"/>
    <numFmt numFmtId="169" formatCode="_(&quot;$&quot;* #,##0_);_(&quot;$&quot;* \(#,##0\);_(&quot;$&quot;* &quot;-&quot;??_);_(@_)"/>
    <numFmt numFmtId="170" formatCode="&quot;$&quot;#,##0.00"/>
    <numFmt numFmtId="171" formatCode="&quot;$&quot;#,##0"/>
  </numFmts>
  <fonts count="9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Symbol"/>
      <family val="1"/>
      <charset val="2"/>
    </font>
    <font>
      <sz val="7"/>
      <color theme="1"/>
      <name val="Times New Roman"/>
      <family val="1"/>
    </font>
    <font>
      <sz val="11"/>
      <color theme="1"/>
      <name val="Times New Roman"/>
      <family val="1"/>
    </font>
    <font>
      <u/>
      <sz val="12"/>
      <color theme="10"/>
      <name val="Calibri"/>
      <family val="2"/>
      <scheme val="minor"/>
    </font>
    <font>
      <u/>
      <sz val="12"/>
      <color theme="11"/>
      <name val="Calibri"/>
      <family val="2"/>
      <scheme val="minor"/>
    </font>
    <font>
      <b/>
      <sz val="11"/>
      <name val="Calibri"/>
      <family val="2"/>
      <scheme val="minor"/>
    </font>
    <font>
      <sz val="12"/>
      <color theme="1"/>
      <name val="Times New Roman"/>
      <family val="1"/>
    </font>
    <font>
      <b/>
      <sz val="12"/>
      <color theme="1"/>
      <name val="Times New Roman"/>
      <family val="1"/>
    </font>
    <font>
      <b/>
      <sz val="12"/>
      <color theme="0"/>
      <name val="Times New Roman"/>
      <family val="1"/>
    </font>
    <font>
      <i/>
      <sz val="12"/>
      <color theme="1"/>
      <name val="Times New Roman"/>
      <family val="1"/>
    </font>
    <font>
      <b/>
      <sz val="12"/>
      <name val="Times New Roman"/>
      <family val="1"/>
    </font>
    <font>
      <sz val="12"/>
      <name val="Times New Roman"/>
      <family val="1"/>
    </font>
    <font>
      <sz val="8"/>
      <color theme="1"/>
      <name val="Arial"/>
      <family val="2"/>
    </font>
    <font>
      <b/>
      <sz val="8"/>
      <color indexed="8"/>
      <name val="Arial"/>
      <family val="2"/>
    </font>
    <font>
      <sz val="8"/>
      <color indexed="8"/>
      <name val="Arial"/>
      <family val="2"/>
    </font>
    <font>
      <sz val="11"/>
      <color rgb="FF006100"/>
      <name val="Calibri"/>
      <family val="2"/>
      <scheme val="minor"/>
    </font>
    <font>
      <b/>
      <sz val="8"/>
      <color indexed="17"/>
      <name val="Arial"/>
      <family val="2"/>
    </font>
    <font>
      <i/>
      <sz val="8"/>
      <color indexed="8"/>
      <name val="Arial"/>
      <family val="2"/>
    </font>
    <font>
      <sz val="11"/>
      <color indexed="8"/>
      <name val="Calibri"/>
      <family val="2"/>
    </font>
    <font>
      <b/>
      <sz val="11"/>
      <color indexed="10"/>
      <name val="Calibri"/>
      <family val="2"/>
      <scheme val="minor"/>
    </font>
    <font>
      <b/>
      <sz val="12"/>
      <color theme="0"/>
      <name val="Calibri"/>
      <family val="2"/>
      <scheme val="minor"/>
    </font>
    <font>
      <b/>
      <sz val="12"/>
      <color theme="1"/>
      <name val="Calibri"/>
      <family val="2"/>
      <scheme val="minor"/>
    </font>
    <font>
      <i/>
      <sz val="10"/>
      <color theme="1"/>
      <name val="Calibri"/>
      <family val="2"/>
      <scheme val="minor"/>
    </font>
    <font>
      <b/>
      <sz val="12"/>
      <color theme="1"/>
      <name val="Times New Roman"/>
      <family val="1"/>
    </font>
    <font>
      <sz val="12"/>
      <color theme="1"/>
      <name val="Times New Roman"/>
      <family val="1"/>
    </font>
    <font>
      <b/>
      <sz val="12"/>
      <color rgb="FF000000"/>
      <name val="Times New Roman"/>
      <family val="1"/>
    </font>
    <font>
      <b/>
      <sz val="11"/>
      <color theme="1"/>
      <name val="Calibri"/>
      <family val="2"/>
      <scheme val="minor"/>
    </font>
    <font>
      <sz val="12"/>
      <color theme="1"/>
      <name val="Calibri"/>
      <family val="2"/>
      <scheme val="minor"/>
    </font>
    <font>
      <i/>
      <sz val="12"/>
      <color theme="1"/>
      <name val="Calibri"/>
      <family val="2"/>
      <scheme val="minor"/>
    </font>
    <font>
      <sz val="12"/>
      <color theme="0" tint="-0.14999847407452621"/>
      <name val="Calibri"/>
      <family val="2"/>
      <scheme val="minor"/>
    </font>
    <font>
      <sz val="12"/>
      <color theme="0" tint="-0.14999847407452621"/>
      <name val="Calibri"/>
      <family val="2"/>
      <scheme val="minor"/>
    </font>
    <font>
      <b/>
      <sz val="12"/>
      <color theme="0" tint="-0.14999847407452621"/>
      <name val="Calibri"/>
      <family val="2"/>
      <scheme val="minor"/>
    </font>
    <font>
      <sz val="12"/>
      <name val="Calibri"/>
      <family val="2"/>
      <scheme val="minor"/>
    </font>
    <font>
      <sz val="12"/>
      <color theme="0" tint="-0.249977111117893"/>
      <name val="Calibri"/>
      <family val="2"/>
      <scheme val="minor"/>
    </font>
    <font>
      <b/>
      <sz val="12"/>
      <color theme="0" tint="-0.249977111117893"/>
      <name val="Calibri"/>
      <family val="2"/>
      <scheme val="minor"/>
    </font>
    <font>
      <i/>
      <sz val="12"/>
      <color theme="1"/>
      <name val="Calibri"/>
      <family val="2"/>
      <scheme val="minor"/>
    </font>
    <font>
      <i/>
      <sz val="12"/>
      <color theme="0" tint="-0.249977111117893"/>
      <name val="Calibri"/>
      <family val="2"/>
      <scheme val="minor"/>
    </font>
    <font>
      <sz val="1"/>
      <color theme="1"/>
      <name val="Calibri"/>
      <family val="2"/>
      <scheme val="minor"/>
    </font>
    <font>
      <i/>
      <sz val="12"/>
      <color theme="1"/>
      <name val="Times New Roman"/>
      <family val="1"/>
    </font>
    <font>
      <b/>
      <sz val="11"/>
      <color rgb="FF000000"/>
      <name val="Calibri"/>
      <family val="2"/>
    </font>
    <font>
      <sz val="11"/>
      <color rgb="FF000000"/>
      <name val="Calibri"/>
      <family val="2"/>
    </font>
    <font>
      <sz val="12"/>
      <color rgb="FF000000"/>
      <name val="Times New Roman"/>
      <family val="1"/>
    </font>
    <font>
      <sz val="10"/>
      <name val="Arial"/>
      <family val="2"/>
    </font>
    <font>
      <b/>
      <sz val="10"/>
      <name val="Arial"/>
      <family val="2"/>
    </font>
    <font>
      <b/>
      <sz val="8"/>
      <name val="Arial"/>
      <family val="2"/>
    </font>
    <font>
      <b/>
      <sz val="9"/>
      <name val="Arial"/>
      <family val="2"/>
    </font>
    <font>
      <sz val="16"/>
      <name val="Arial"/>
      <family val="2"/>
    </font>
    <font>
      <sz val="16"/>
      <name val="Arial"/>
      <family val="2"/>
    </font>
    <font>
      <sz val="11"/>
      <name val="Arial"/>
      <family val="2"/>
    </font>
    <font>
      <b/>
      <sz val="12"/>
      <color rgb="FFC00000"/>
      <name val="Calibri"/>
      <family val="2"/>
      <scheme val="minor"/>
    </font>
    <font>
      <b/>
      <sz val="10"/>
      <color theme="1"/>
      <name val="Arial Narrow"/>
      <family val="2"/>
    </font>
    <font>
      <sz val="10"/>
      <color theme="1"/>
      <name val="Arial Narrow"/>
      <family val="2"/>
    </font>
    <font>
      <sz val="12"/>
      <color theme="1"/>
      <name val="Cambria"/>
      <family val="1"/>
    </font>
    <font>
      <sz val="10"/>
      <color theme="0" tint="-0.249977111117893"/>
      <name val="Arial"/>
      <family val="2"/>
    </font>
    <font>
      <sz val="8"/>
      <color theme="1"/>
      <name val="Calibri"/>
      <family val="2"/>
      <scheme val="minor"/>
    </font>
    <font>
      <b/>
      <sz val="11"/>
      <color indexed="8"/>
      <name val="Calibri"/>
      <family val="2"/>
    </font>
    <font>
      <b/>
      <sz val="12"/>
      <name val="Calibri"/>
      <family val="2"/>
      <scheme val="minor"/>
    </font>
    <font>
      <sz val="10"/>
      <color theme="1"/>
      <name val="Calibri"/>
      <family val="2"/>
      <scheme val="minor"/>
    </font>
    <font>
      <b/>
      <sz val="11"/>
      <name val="Calibri"/>
      <family val="2"/>
    </font>
    <font>
      <sz val="11"/>
      <name val="Calibri"/>
      <family val="2"/>
    </font>
    <font>
      <sz val="9"/>
      <color theme="1"/>
      <name val="Calibri"/>
      <family val="2"/>
      <scheme val="minor"/>
    </font>
    <font>
      <b/>
      <sz val="10"/>
      <color theme="0" tint="-0.249977111117893"/>
      <name val="Arial"/>
      <family val="2"/>
    </font>
    <font>
      <sz val="10"/>
      <color theme="0" tint="-0.34998626667073579"/>
      <name val="Arial Narrow"/>
      <family val="2"/>
    </font>
    <font>
      <sz val="12"/>
      <color theme="0" tint="-0.34998626667073579"/>
      <name val="Calibri"/>
      <family val="2"/>
      <scheme val="minor"/>
    </font>
    <font>
      <b/>
      <u/>
      <sz val="11"/>
      <color theme="1"/>
      <name val="Calibri"/>
      <family val="2"/>
      <scheme val="minor"/>
    </font>
    <font>
      <sz val="10"/>
      <color theme="0" tint="-0.34998626667073579"/>
      <name val="Arial"/>
      <family val="2"/>
    </font>
    <font>
      <sz val="8"/>
      <name val="Arial"/>
      <family val="2"/>
    </font>
    <font>
      <sz val="8"/>
      <name val="Calibri"/>
      <family val="2"/>
      <scheme val="minor"/>
    </font>
    <font>
      <sz val="10"/>
      <color theme="0" tint="-0.14999847407452621"/>
      <name val="Arial"/>
      <family val="2"/>
    </font>
    <font>
      <sz val="10"/>
      <color theme="0" tint="-0.14999847407452621"/>
      <name val="Calibri"/>
      <family val="2"/>
      <scheme val="minor"/>
    </font>
    <font>
      <sz val="11"/>
      <color theme="0" tint="-0.14999847407452621"/>
      <name val="Calibri"/>
      <family val="2"/>
      <scheme val="minor"/>
    </font>
    <font>
      <b/>
      <sz val="11"/>
      <color rgb="FF4F6228"/>
      <name val="Calibri"/>
      <family val="2"/>
      <scheme val="minor"/>
    </font>
    <font>
      <b/>
      <sz val="12"/>
      <color rgb="FF000000"/>
      <name val="Cambria"/>
      <family val="1"/>
    </font>
    <font>
      <b/>
      <sz val="12"/>
      <color rgb="FF000000"/>
      <name val="Calibri"/>
      <family val="2"/>
    </font>
    <font>
      <sz val="12"/>
      <color rgb="FF000000"/>
      <name val="Cambria"/>
      <family val="1"/>
    </font>
    <font>
      <sz val="12"/>
      <color rgb="FF000000"/>
      <name val="Calibri"/>
      <family val="2"/>
    </font>
    <font>
      <sz val="8"/>
      <color rgb="FF000000"/>
      <name val="Cambria"/>
      <family val="1"/>
    </font>
    <font>
      <sz val="8"/>
      <color rgb="FF000000"/>
      <name val="Calibri"/>
      <family val="2"/>
    </font>
    <font>
      <sz val="9"/>
      <color rgb="FF000000"/>
      <name val="Cambria"/>
      <family val="1"/>
    </font>
    <font>
      <sz val="9"/>
      <color rgb="FF000000"/>
      <name val="Calibri"/>
      <family val="2"/>
    </font>
    <font>
      <b/>
      <sz val="9"/>
      <color rgb="FF000000"/>
      <name val="Calibri"/>
      <family val="2"/>
    </font>
    <font>
      <sz val="10"/>
      <color theme="1"/>
      <name val="Times New Roman"/>
      <family val="1"/>
    </font>
    <font>
      <b/>
      <sz val="11"/>
      <color rgb="FF4F6228"/>
      <name val="Calibri"/>
      <family val="2"/>
    </font>
    <font>
      <sz val="12"/>
      <color rgb="FF000000"/>
      <name val="Calibri"/>
      <family val="2"/>
      <scheme val="minor"/>
    </font>
  </fonts>
  <fills count="28">
    <fill>
      <patternFill patternType="none"/>
    </fill>
    <fill>
      <patternFill patternType="gray125"/>
    </fill>
    <fill>
      <patternFill patternType="solid">
        <fgColor rgb="FFC6EFCE"/>
      </patternFill>
    </fill>
    <fill>
      <patternFill patternType="solid">
        <fgColor theme="3"/>
        <bgColor indexed="64"/>
      </patternFill>
    </fill>
    <fill>
      <patternFill patternType="solid">
        <fgColor indexed="4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79998168889431442"/>
        <bgColor indexed="65"/>
      </patternFill>
    </fill>
    <fill>
      <patternFill patternType="solid">
        <fgColor theme="8" tint="0.79998168889431442"/>
        <bgColor theme="8" tint="0.79998168889431442"/>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9FF66"/>
        <bgColor indexed="64"/>
      </patternFill>
    </fill>
    <fill>
      <patternFill patternType="solid">
        <fgColor rgb="FFFF00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rgb="FFD3DFEE"/>
        <bgColor indexed="64"/>
      </patternFill>
    </fill>
    <fill>
      <patternFill patternType="solid">
        <fgColor theme="1"/>
        <bgColor theme="1"/>
      </patternFill>
    </fill>
  </fills>
  <borders count="8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style="medium">
        <color auto="1"/>
      </bottom>
      <diagonal/>
    </border>
    <border>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rgb="FF4F81BD"/>
      </left>
      <right style="medium">
        <color rgb="FF4F81BD"/>
      </right>
      <top style="medium">
        <color rgb="FF4F81BD"/>
      </top>
      <bottom/>
      <diagonal/>
    </border>
    <border>
      <left/>
      <right style="thin">
        <color theme="8"/>
      </right>
      <top style="thin">
        <color theme="8"/>
      </top>
      <bottom/>
      <diagonal/>
    </border>
    <border>
      <left style="medium">
        <color rgb="FF4F81BD"/>
      </left>
      <right style="medium">
        <color rgb="FF4F81BD"/>
      </right>
      <top/>
      <bottom/>
      <diagonal/>
    </border>
    <border>
      <left style="thin">
        <color auto="1"/>
      </left>
      <right/>
      <top/>
      <bottom/>
      <diagonal/>
    </border>
    <border>
      <left/>
      <right/>
      <top style="thin">
        <color theme="4"/>
      </top>
      <bottom/>
      <diagonal/>
    </border>
    <border>
      <left style="thin">
        <color auto="1"/>
      </left>
      <right/>
      <top style="thin">
        <color theme="4"/>
      </top>
      <bottom/>
      <diagonal/>
    </border>
    <border>
      <left style="medium">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style="thin">
        <color auto="1"/>
      </top>
      <bottom/>
      <diagonal/>
    </border>
    <border>
      <left style="thin">
        <color auto="1"/>
      </left>
      <right/>
      <top style="medium">
        <color auto="1"/>
      </top>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rgb="FF4F81BD"/>
      </left>
      <right style="medium">
        <color rgb="FF4F81BD"/>
      </right>
      <top/>
      <bottom style="medium">
        <color rgb="FF4F81BD"/>
      </bottom>
      <diagonal/>
    </border>
    <border>
      <left/>
      <right style="medium">
        <color rgb="FF4F81BD"/>
      </right>
      <top/>
      <bottom style="medium">
        <color rgb="FF4F81BD"/>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rgb="FF000000"/>
      </top>
      <bottom/>
      <diagonal/>
    </border>
    <border>
      <left style="medium">
        <color auto="1"/>
      </left>
      <right/>
      <top style="thin">
        <color auto="1"/>
      </top>
      <bottom/>
      <diagonal/>
    </border>
    <border>
      <left/>
      <right style="medium">
        <color auto="1"/>
      </right>
      <top style="thin">
        <color auto="1"/>
      </top>
      <bottom/>
      <diagonal/>
    </border>
  </borders>
  <cellStyleXfs count="358">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6" fillId="0" borderId="0"/>
    <xf numFmtId="44" fontId="28" fillId="0" borderId="0" applyFont="0" applyFill="0" applyBorder="0" applyAlignment="0" applyProtection="0"/>
    <xf numFmtId="0" fontId="29" fillId="2"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3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43" fontId="4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2" fillId="13" borderId="0" applyNumberFormat="0" applyBorder="0" applyAlignment="0" applyProtection="0"/>
    <xf numFmtId="9" fontId="41" fillId="0" borderId="0" applyFont="0" applyFill="0" applyBorder="0" applyAlignment="0" applyProtection="0"/>
    <xf numFmtId="44" fontId="41" fillId="0" borderId="0" applyFont="0" applyFill="0" applyBorder="0" applyAlignment="0" applyProtection="0"/>
    <xf numFmtId="0" fontId="1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892">
    <xf numFmtId="0" fontId="0" fillId="0" borderId="0" xfId="0"/>
    <xf numFmtId="0" fontId="13" fillId="0" borderId="0" xfId="0" applyFont="1" applyAlignment="1">
      <alignment vertical="center"/>
    </xf>
    <xf numFmtId="0" fontId="14" fillId="0" borderId="0" xfId="0" applyFont="1" applyAlignment="1">
      <alignment horizontal="left" vertical="center" indent="3"/>
    </xf>
    <xf numFmtId="0" fontId="16" fillId="0" borderId="0" xfId="0" applyFont="1" applyAlignment="1">
      <alignment horizontal="left" vertical="center" indent="3"/>
    </xf>
    <xf numFmtId="0" fontId="13" fillId="0" borderId="0" xfId="0" applyFont="1" applyAlignment="1">
      <alignment horizontal="left" vertical="center" indent="3"/>
    </xf>
    <xf numFmtId="0" fontId="20" fillId="0" borderId="0" xfId="0" applyFont="1"/>
    <xf numFmtId="0" fontId="20" fillId="0" borderId="0" xfId="0" applyFont="1" applyBorder="1"/>
    <xf numFmtId="0" fontId="21" fillId="0" borderId="0" xfId="0" applyFont="1"/>
    <xf numFmtId="0" fontId="20" fillId="0" borderId="8" xfId="0" applyFont="1" applyBorder="1"/>
    <xf numFmtId="0" fontId="20" fillId="0" borderId="10" xfId="0" applyFont="1" applyBorder="1"/>
    <xf numFmtId="0" fontId="20" fillId="0" borderId="1" xfId="0" applyFont="1" applyBorder="1"/>
    <xf numFmtId="0" fontId="24" fillId="0" borderId="0" xfId="0" applyFont="1"/>
    <xf numFmtId="0" fontId="24" fillId="0" borderId="1" xfId="0" applyFont="1" applyBorder="1"/>
    <xf numFmtId="0" fontId="24" fillId="0" borderId="0" xfId="0" applyFont="1" applyAlignment="1">
      <alignment horizontal="right"/>
    </xf>
    <xf numFmtId="0" fontId="24" fillId="0" borderId="0" xfId="0" applyFont="1" applyBorder="1"/>
    <xf numFmtId="0" fontId="24" fillId="0" borderId="3" xfId="0" applyFont="1" applyBorder="1" applyAlignment="1">
      <alignment horizontal="left"/>
    </xf>
    <xf numFmtId="0" fontId="24" fillId="0" borderId="4" xfId="0"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vertical="justify"/>
    </xf>
    <xf numFmtId="0" fontId="21" fillId="0" borderId="7" xfId="0" applyFont="1" applyBorder="1"/>
    <xf numFmtId="0" fontId="24" fillId="0" borderId="9" xfId="0" applyFont="1" applyBorder="1"/>
    <xf numFmtId="0" fontId="24" fillId="0" borderId="0" xfId="0" applyFont="1" applyAlignment="1">
      <alignment horizontal="left" wrapText="1"/>
    </xf>
    <xf numFmtId="0" fontId="27" fillId="4" borderId="0" xfId="41" applyFont="1" applyFill="1"/>
    <xf numFmtId="0" fontId="26" fillId="4" borderId="0" xfId="41" applyFill="1"/>
    <xf numFmtId="0" fontId="26" fillId="0" borderId="0" xfId="41"/>
    <xf numFmtId="0" fontId="27" fillId="0" borderId="0" xfId="41" applyNumberFormat="1" applyFont="1" applyAlignment="1">
      <alignment wrapText="1"/>
    </xf>
    <xf numFmtId="0" fontId="26" fillId="0" borderId="11" xfId="41" applyBorder="1"/>
    <xf numFmtId="44" fontId="0" fillId="0" borderId="11" xfId="42" applyFont="1" applyBorder="1"/>
    <xf numFmtId="2" fontId="26" fillId="0" borderId="11" xfId="41" applyNumberFormat="1" applyBorder="1"/>
    <xf numFmtId="0" fontId="26" fillId="0" borderId="0" xfId="41" applyAlignment="1">
      <alignment wrapText="1"/>
    </xf>
    <xf numFmtId="0" fontId="30" fillId="2" borderId="11" xfId="43" applyFont="1" applyBorder="1" applyAlignment="1">
      <alignment horizontal="center" vertical="top"/>
    </xf>
    <xf numFmtId="3" fontId="26" fillId="0" borderId="11" xfId="41" applyNumberFormat="1" applyBorder="1"/>
    <xf numFmtId="0" fontId="28" fillId="0" borderId="0" xfId="41" applyFont="1"/>
    <xf numFmtId="0" fontId="0" fillId="0" borderId="14" xfId="0" applyBorder="1"/>
    <xf numFmtId="0" fontId="0" fillId="0" borderId="15" xfId="0" applyBorder="1"/>
    <xf numFmtId="0" fontId="27" fillId="0" borderId="0" xfId="41" applyNumberFormat="1" applyFont="1" applyFill="1" applyAlignment="1">
      <alignment wrapText="1"/>
    </xf>
    <xf numFmtId="0" fontId="0" fillId="0" borderId="0" xfId="0" applyFont="1"/>
    <xf numFmtId="0" fontId="0" fillId="0" borderId="0" xfId="0" applyAlignment="1"/>
    <xf numFmtId="0" fontId="34" fillId="3" borderId="0" xfId="0" applyFont="1" applyFill="1"/>
    <xf numFmtId="0" fontId="36" fillId="0" borderId="0" xfId="0" applyFont="1" applyAlignment="1">
      <alignment horizontal="left" vertical="center" indent="12"/>
    </xf>
    <xf numFmtId="0" fontId="37" fillId="0" borderId="16" xfId="0" applyFont="1" applyBorder="1" applyAlignment="1">
      <alignment vertical="center" wrapText="1"/>
    </xf>
    <xf numFmtId="0" fontId="38" fillId="0" borderId="0" xfId="0" applyFont="1"/>
    <xf numFmtId="0" fontId="39" fillId="0" borderId="0" xfId="0" applyFont="1" applyBorder="1" applyAlignment="1">
      <alignment horizontal="center" vertical="center" wrapText="1"/>
    </xf>
    <xf numFmtId="0" fontId="37" fillId="0" borderId="0" xfId="0" applyFont="1" applyBorder="1" applyAlignment="1">
      <alignment horizontal="left" vertical="center" wrapText="1" indent="1"/>
    </xf>
    <xf numFmtId="0" fontId="39" fillId="0" borderId="0" xfId="0" applyFont="1" applyBorder="1" applyAlignment="1">
      <alignment vertical="center" wrapText="1"/>
    </xf>
    <xf numFmtId="0" fontId="37" fillId="0" borderId="0" xfId="0" applyFont="1" applyBorder="1" applyAlignment="1">
      <alignment vertical="center" wrapText="1"/>
    </xf>
    <xf numFmtId="0" fontId="24" fillId="0" borderId="0" xfId="0" applyFont="1" applyAlignment="1">
      <alignment horizontal="center"/>
    </xf>
    <xf numFmtId="0" fontId="20" fillId="0" borderId="0" xfId="0" applyFont="1" applyAlignment="1">
      <alignment horizontal="center"/>
    </xf>
    <xf numFmtId="0" fontId="0" fillId="5" borderId="0" xfId="0" applyFill="1"/>
    <xf numFmtId="0" fontId="27" fillId="5" borderId="0" xfId="41" applyFont="1" applyFill="1"/>
    <xf numFmtId="0" fontId="37" fillId="0" borderId="16" xfId="0" applyFont="1" applyBorder="1" applyAlignment="1">
      <alignment vertical="center" wrapText="1"/>
    </xf>
    <xf numFmtId="0" fontId="0" fillId="6" borderId="0" xfId="0" applyFill="1"/>
    <xf numFmtId="0" fontId="0" fillId="7" borderId="0" xfId="0" applyFill="1"/>
    <xf numFmtId="0" fontId="0" fillId="8" borderId="0" xfId="0" applyFill="1"/>
    <xf numFmtId="0" fontId="35" fillId="0" borderId="0" xfId="0" applyFont="1"/>
    <xf numFmtId="0" fontId="0" fillId="0" borderId="0" xfId="0" applyAlignment="1">
      <alignment horizontal="center"/>
    </xf>
    <xf numFmtId="0" fontId="0" fillId="0" borderId="17" xfId="0" applyFont="1" applyBorder="1"/>
    <xf numFmtId="0" fontId="39" fillId="0" borderId="0" xfId="0" applyFont="1" applyAlignment="1">
      <alignment vertical="center" wrapText="1"/>
    </xf>
    <xf numFmtId="0" fontId="37" fillId="0" borderId="18" xfId="0" applyFont="1" applyBorder="1" applyAlignment="1">
      <alignment vertical="center" wrapText="1"/>
    </xf>
    <xf numFmtId="166" fontId="0" fillId="0" borderId="0" xfId="69" applyNumberFormat="1" applyFont="1"/>
    <xf numFmtId="20" fontId="0" fillId="0" borderId="0" xfId="0" applyNumberFormat="1"/>
    <xf numFmtId="20" fontId="0" fillId="0" borderId="13" xfId="0" applyNumberFormat="1" applyBorder="1"/>
    <xf numFmtId="0" fontId="0" fillId="0" borderId="13" xfId="0" applyBorder="1"/>
    <xf numFmtId="20" fontId="35" fillId="0" borderId="0" xfId="0" applyNumberFormat="1" applyFont="1"/>
    <xf numFmtId="16" fontId="0" fillId="0" borderId="0" xfId="0" applyNumberFormat="1"/>
    <xf numFmtId="0" fontId="35" fillId="9" borderId="0" xfId="0" applyFont="1" applyFill="1"/>
    <xf numFmtId="0" fontId="0" fillId="9" borderId="0" xfId="0" applyFill="1"/>
    <xf numFmtId="0" fontId="35" fillId="10" borderId="0" xfId="0" applyFont="1" applyFill="1"/>
    <xf numFmtId="20" fontId="0" fillId="0" borderId="15" xfId="0" applyNumberFormat="1" applyBorder="1"/>
    <xf numFmtId="0" fontId="0" fillId="0" borderId="0" xfId="0" applyFill="1" applyBorder="1"/>
    <xf numFmtId="0" fontId="0" fillId="0" borderId="0" xfId="0" applyAlignment="1">
      <alignment wrapText="1"/>
    </xf>
    <xf numFmtId="2" fontId="0" fillId="0" borderId="0" xfId="0" applyNumberFormat="1"/>
    <xf numFmtId="2" fontId="35" fillId="0" borderId="0" xfId="0" applyNumberFormat="1" applyFont="1"/>
    <xf numFmtId="0" fontId="23" fillId="0" borderId="0" xfId="0" applyFont="1" applyBorder="1" applyAlignment="1">
      <alignment horizontal="left" vertical="top"/>
    </xf>
    <xf numFmtId="0" fontId="23" fillId="0" borderId="0" xfId="0" applyFont="1" applyBorder="1"/>
    <xf numFmtId="0" fontId="42" fillId="0" borderId="0" xfId="0" applyFont="1"/>
    <xf numFmtId="0" fontId="0" fillId="0" borderId="19" xfId="0" applyBorder="1"/>
    <xf numFmtId="0" fontId="0" fillId="0" borderId="0" xfId="0" applyBorder="1"/>
    <xf numFmtId="0" fontId="35" fillId="0" borderId="0" xfId="0" applyFont="1" applyBorder="1"/>
    <xf numFmtId="0" fontId="0" fillId="0" borderId="0" xfId="0" applyFont="1" applyFill="1" applyBorder="1"/>
    <xf numFmtId="3" fontId="0" fillId="0" borderId="0" xfId="0" applyNumberFormat="1"/>
    <xf numFmtId="0" fontId="0" fillId="0" borderId="12" xfId="0" applyBorder="1"/>
    <xf numFmtId="0" fontId="0" fillId="0" borderId="23" xfId="0" applyBorder="1"/>
    <xf numFmtId="0" fontId="0" fillId="0" borderId="24" xfId="0" applyBorder="1"/>
    <xf numFmtId="0" fontId="0" fillId="0" borderId="25" xfId="0" applyBorder="1"/>
    <xf numFmtId="16" fontId="35" fillId="0" borderId="0" xfId="0" applyNumberFormat="1" applyFont="1"/>
    <xf numFmtId="0" fontId="0" fillId="11" borderId="0" xfId="0" applyFill="1"/>
    <xf numFmtId="0" fontId="0" fillId="12" borderId="0" xfId="0" applyFill="1"/>
    <xf numFmtId="20" fontId="0" fillId="0" borderId="14" xfId="0" applyNumberFormat="1" applyBorder="1"/>
    <xf numFmtId="0" fontId="35" fillId="0" borderId="13" xfId="0" applyFont="1" applyBorder="1"/>
    <xf numFmtId="0" fontId="43" fillId="0" borderId="0" xfId="0" applyFont="1"/>
    <xf numFmtId="20" fontId="43" fillId="0" borderId="0" xfId="0" applyNumberFormat="1" applyFont="1"/>
    <xf numFmtId="20" fontId="35" fillId="0" borderId="0" xfId="0" applyNumberFormat="1" applyFont="1" applyBorder="1"/>
    <xf numFmtId="20" fontId="35" fillId="0" borderId="15" xfId="0" applyNumberFormat="1" applyFont="1" applyBorder="1"/>
    <xf numFmtId="0" fontId="35" fillId="0" borderId="15" xfId="0" applyFont="1" applyBorder="1"/>
    <xf numFmtId="16" fontId="0" fillId="0" borderId="15" xfId="0" applyNumberFormat="1" applyBorder="1"/>
    <xf numFmtId="20" fontId="0" fillId="0" borderId="0" xfId="0" applyNumberFormat="1" applyBorder="1"/>
    <xf numFmtId="20" fontId="0" fillId="0" borderId="26" xfId="0" applyNumberFormat="1" applyBorder="1"/>
    <xf numFmtId="0" fontId="0" fillId="0" borderId="26" xfId="0" applyBorder="1"/>
    <xf numFmtId="20" fontId="0" fillId="0" borderId="27" xfId="0" applyNumberFormat="1" applyBorder="1"/>
    <xf numFmtId="20" fontId="12" fillId="0" borderId="0" xfId="280" applyNumberFormat="1" applyFill="1"/>
    <xf numFmtId="0" fontId="12" fillId="0" borderId="0" xfId="280" applyFill="1"/>
    <xf numFmtId="0" fontId="0" fillId="0" borderId="0" xfId="0" applyFill="1"/>
    <xf numFmtId="20" fontId="0" fillId="0" borderId="28" xfId="0" applyNumberFormat="1" applyBorder="1"/>
    <xf numFmtId="0" fontId="0" fillId="0" borderId="29" xfId="0" applyBorder="1"/>
    <xf numFmtId="0" fontId="12" fillId="0" borderId="0" xfId="280" applyFill="1" applyBorder="1"/>
    <xf numFmtId="20" fontId="12" fillId="0" borderId="0" xfId="280" applyNumberFormat="1" applyFill="1" applyBorder="1"/>
    <xf numFmtId="0" fontId="44" fillId="0" borderId="0" xfId="0" applyFont="1"/>
    <xf numFmtId="0" fontId="44" fillId="0" borderId="15" xfId="0" applyFont="1" applyBorder="1"/>
    <xf numFmtId="0" fontId="45" fillId="0" borderId="0" xfId="0" applyFont="1"/>
    <xf numFmtId="20" fontId="44" fillId="0" borderId="0" xfId="0" applyNumberFormat="1" applyFont="1"/>
    <xf numFmtId="0" fontId="46" fillId="0" borderId="0" xfId="0" applyFont="1"/>
    <xf numFmtId="20" fontId="46" fillId="0" borderId="0" xfId="0" applyNumberFormat="1" applyFont="1"/>
    <xf numFmtId="20" fontId="0" fillId="0" borderId="0" xfId="0" applyNumberFormat="1" applyAlignment="1">
      <alignment horizontal="center"/>
    </xf>
    <xf numFmtId="20" fontId="35" fillId="0" borderId="0" xfId="0" applyNumberFormat="1" applyFont="1" applyAlignment="1">
      <alignment horizontal="center"/>
    </xf>
    <xf numFmtId="0" fontId="46" fillId="0" borderId="0" xfId="0" applyFont="1" applyAlignment="1">
      <alignment horizontal="center"/>
    </xf>
    <xf numFmtId="20" fontId="46" fillId="0" borderId="0" xfId="0" applyNumberFormat="1" applyFont="1" applyAlignment="1">
      <alignment horizontal="center"/>
    </xf>
    <xf numFmtId="0" fontId="35" fillId="0" borderId="0" xfId="0" applyFont="1" applyFill="1"/>
    <xf numFmtId="0" fontId="0" fillId="0" borderId="0" xfId="0" applyAlignment="1">
      <alignment horizontal="left"/>
    </xf>
    <xf numFmtId="0" fontId="47" fillId="0" borderId="0" xfId="0" applyFont="1"/>
    <xf numFmtId="20" fontId="47" fillId="0" borderId="0" xfId="0" applyNumberFormat="1" applyFont="1"/>
    <xf numFmtId="0" fontId="48" fillId="0" borderId="0" xfId="0" applyFont="1"/>
    <xf numFmtId="0" fontId="49" fillId="0" borderId="0" xfId="0" applyFont="1"/>
    <xf numFmtId="0" fontId="50" fillId="0" borderId="0" xfId="0" applyFont="1"/>
    <xf numFmtId="0" fontId="47" fillId="0" borderId="15" xfId="0" applyFont="1" applyBorder="1"/>
    <xf numFmtId="0" fontId="35" fillId="5" borderId="0" xfId="0" applyFont="1" applyFill="1"/>
    <xf numFmtId="0" fontId="0" fillId="0" borderId="30" xfId="0" applyBorder="1"/>
    <xf numFmtId="20" fontId="0" fillId="0" borderId="30" xfId="0" applyNumberFormat="1" applyBorder="1"/>
    <xf numFmtId="0" fontId="36" fillId="0" borderId="30" xfId="0" applyFont="1" applyBorder="1"/>
    <xf numFmtId="0" fontId="0" fillId="0" borderId="12" xfId="0" applyBorder="1" applyAlignment="1">
      <alignment horizontal="center"/>
    </xf>
    <xf numFmtId="0" fontId="0" fillId="0" borderId="13" xfId="0" applyBorder="1" applyAlignment="1">
      <alignment horizontal="center"/>
    </xf>
    <xf numFmtId="0" fontId="0" fillId="0" borderId="23" xfId="0" applyBorder="1" applyAlignment="1">
      <alignment horizontal="center"/>
    </xf>
    <xf numFmtId="20" fontId="0" fillId="0" borderId="19" xfId="0" applyNumberFormat="1" applyBorder="1" applyAlignment="1">
      <alignment horizontal="center"/>
    </xf>
    <xf numFmtId="20" fontId="0" fillId="0" borderId="0" xfId="0" applyNumberFormat="1" applyBorder="1" applyAlignment="1">
      <alignment horizontal="center"/>
    </xf>
    <xf numFmtId="20" fontId="0" fillId="0" borderId="24" xfId="0" applyNumberFormat="1" applyBorder="1" applyAlignment="1">
      <alignment horizontal="center"/>
    </xf>
    <xf numFmtId="20" fontId="35" fillId="0" borderId="14" xfId="0" applyNumberFormat="1" applyFont="1" applyBorder="1" applyAlignment="1">
      <alignment horizontal="center"/>
    </xf>
    <xf numFmtId="20" fontId="35" fillId="0" borderId="15" xfId="0" applyNumberFormat="1" applyFont="1" applyBorder="1" applyAlignment="1">
      <alignment horizontal="center"/>
    </xf>
    <xf numFmtId="20" fontId="35" fillId="0" borderId="25" xfId="0" applyNumberFormat="1" applyFont="1" applyBorder="1" applyAlignment="1">
      <alignment horizontal="center"/>
    </xf>
    <xf numFmtId="0" fontId="0" fillId="0" borderId="0" xfId="0" applyFont="1" applyAlignment="1">
      <alignment horizontal="center"/>
    </xf>
    <xf numFmtId="20" fontId="35" fillId="0" borderId="19" xfId="0" applyNumberFormat="1" applyFont="1" applyBorder="1" applyAlignment="1">
      <alignment horizontal="center"/>
    </xf>
    <xf numFmtId="20" fontId="35" fillId="0" borderId="0" xfId="0" applyNumberFormat="1" applyFont="1" applyBorder="1" applyAlignment="1">
      <alignment horizontal="center"/>
    </xf>
    <xf numFmtId="20" fontId="35" fillId="0" borderId="24" xfId="0" applyNumberFormat="1" applyFont="1" applyBorder="1" applyAlignment="1">
      <alignment horizontal="center"/>
    </xf>
    <xf numFmtId="0" fontId="51" fillId="0" borderId="0" xfId="0" applyFont="1"/>
    <xf numFmtId="20" fontId="47" fillId="0" borderId="0" xfId="0" applyNumberFormat="1" applyFont="1" applyAlignment="1">
      <alignment horizontal="center"/>
    </xf>
    <xf numFmtId="0" fontId="0" fillId="14" borderId="31" xfId="0" applyFont="1" applyFill="1" applyBorder="1"/>
    <xf numFmtId="20" fontId="0" fillId="14" borderId="32" xfId="0" applyNumberFormat="1" applyFont="1" applyFill="1" applyBorder="1"/>
    <xf numFmtId="20" fontId="0" fillId="14" borderId="33" xfId="0" applyNumberFormat="1" applyFont="1" applyFill="1" applyBorder="1"/>
    <xf numFmtId="0" fontId="0" fillId="0" borderId="31" xfId="0" applyFont="1" applyBorder="1" applyAlignment="1">
      <alignment wrapText="1"/>
    </xf>
    <xf numFmtId="20" fontId="0" fillId="0" borderId="32" xfId="0" applyNumberFormat="1" applyFont="1" applyBorder="1"/>
    <xf numFmtId="20" fontId="0" fillId="0" borderId="33" xfId="0" applyNumberFormat="1" applyFont="1" applyBorder="1"/>
    <xf numFmtId="167" fontId="0" fillId="0" borderId="0" xfId="0" applyNumberFormat="1"/>
    <xf numFmtId="0" fontId="0" fillId="0" borderId="0" xfId="0" applyBorder="1" applyAlignment="1">
      <alignment horizontal="center"/>
    </xf>
    <xf numFmtId="20" fontId="0" fillId="0" borderId="0" xfId="0" applyNumberFormat="1" applyFont="1" applyAlignment="1">
      <alignment horizontal="center"/>
    </xf>
    <xf numFmtId="20" fontId="0" fillId="0" borderId="0" xfId="0" applyNumberFormat="1" applyFont="1" applyBorder="1" applyAlignment="1">
      <alignment horizontal="center"/>
    </xf>
    <xf numFmtId="0" fontId="0" fillId="0" borderId="0" xfId="0" applyAlignment="1">
      <alignment vertical="top" wrapText="1"/>
    </xf>
    <xf numFmtId="0" fontId="57" fillId="17" borderId="35" xfId="0" applyFont="1" applyFill="1" applyBorder="1" applyAlignment="1">
      <alignment horizontal="center" vertical="center" wrapText="1"/>
    </xf>
    <xf numFmtId="0" fontId="58" fillId="17" borderId="1" xfId="0" applyFont="1" applyFill="1" applyBorder="1" applyAlignment="1">
      <alignment horizontal="center" vertical="center" wrapText="1"/>
    </xf>
    <xf numFmtId="0" fontId="59" fillId="17" borderId="1"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36" xfId="0" applyFont="1" applyFill="1" applyBorder="1" applyAlignment="1">
      <alignment horizontal="center" vertical="center" wrapText="1"/>
    </xf>
    <xf numFmtId="0" fontId="57" fillId="17" borderId="37" xfId="0" applyFont="1" applyFill="1" applyBorder="1" applyAlignment="1">
      <alignment horizontal="center" vertical="center" wrapText="1"/>
    </xf>
    <xf numFmtId="0" fontId="56" fillId="0" borderId="0" xfId="0" applyFont="1"/>
    <xf numFmtId="0" fontId="0" fillId="17" borderId="0" xfId="0" applyFill="1"/>
    <xf numFmtId="0" fontId="0" fillId="0" borderId="0" xfId="0" applyAlignment="1">
      <alignment vertical="center" wrapText="1"/>
    </xf>
    <xf numFmtId="0" fontId="0" fillId="0" borderId="19" xfId="0" applyBorder="1" applyAlignment="1">
      <alignment vertical="center" wrapText="1"/>
    </xf>
    <xf numFmtId="0" fontId="57" fillId="17" borderId="48" xfId="0" applyFont="1" applyFill="1" applyBorder="1" applyAlignment="1">
      <alignment horizontal="center" vertical="center" wrapText="1"/>
    </xf>
    <xf numFmtId="0" fontId="57" fillId="17" borderId="1" xfId="0" applyFont="1" applyFill="1" applyBorder="1" applyAlignment="1">
      <alignment horizontal="center" vertical="center" wrapText="1"/>
    </xf>
    <xf numFmtId="1" fontId="55" fillId="0" borderId="11" xfId="0" applyNumberFormat="1" applyFont="1" applyBorder="1" applyAlignment="1">
      <alignment horizontal="right" vertical="center"/>
    </xf>
    <xf numFmtId="2" fontId="55" fillId="0" borderId="11" xfId="0" applyNumberFormat="1" applyFont="1" applyBorder="1" applyAlignment="1">
      <alignment vertical="center"/>
    </xf>
    <xf numFmtId="0" fontId="62" fillId="0" borderId="0" xfId="0" applyFont="1"/>
    <xf numFmtId="2" fontId="53" fillId="0" borderId="27" xfId="0" applyNumberFormat="1" applyFont="1" applyBorder="1" applyAlignment="1">
      <alignment vertical="center" wrapText="1"/>
    </xf>
    <xf numFmtId="2" fontId="54" fillId="0" borderId="27" xfId="0" applyNumberFormat="1" applyFont="1" applyBorder="1" applyAlignment="1">
      <alignment vertical="center" wrapText="1"/>
    </xf>
    <xf numFmtId="0" fontId="56" fillId="4" borderId="2" xfId="0" applyFont="1" applyFill="1" applyBorder="1" applyAlignment="1">
      <alignment vertical="center" wrapText="1"/>
    </xf>
    <xf numFmtId="0" fontId="56" fillId="0" borderId="0" xfId="0" applyFont="1" applyFill="1" applyBorder="1" applyAlignment="1">
      <alignment vertical="center" wrapText="1"/>
    </xf>
    <xf numFmtId="0" fontId="56" fillId="0" borderId="0" xfId="0" applyFont="1" applyFill="1" applyBorder="1" applyAlignment="1">
      <alignment horizontal="center" vertical="center" wrapText="1"/>
    </xf>
    <xf numFmtId="0" fontId="63" fillId="0" borderId="0" xfId="0" applyFont="1" applyAlignment="1">
      <alignment vertical="center"/>
    </xf>
    <xf numFmtId="0" fontId="0" fillId="0" borderId="0" xfId="0" applyAlignment="1">
      <alignment vertical="center"/>
    </xf>
    <xf numFmtId="0" fontId="56" fillId="4" borderId="52" xfId="0" applyFont="1" applyFill="1" applyBorder="1" applyAlignment="1">
      <alignment vertical="center" wrapText="1"/>
    </xf>
    <xf numFmtId="0" fontId="56" fillId="4" borderId="41" xfId="0" applyFont="1" applyFill="1" applyBorder="1" applyAlignment="1">
      <alignment vertical="center" wrapText="1"/>
    </xf>
    <xf numFmtId="0" fontId="57" fillId="0" borderId="0" xfId="0" applyFont="1" applyFill="1" applyBorder="1" applyAlignment="1">
      <alignment horizontal="center" vertical="center" wrapText="1"/>
    </xf>
    <xf numFmtId="0" fontId="56" fillId="4" borderId="45" xfId="0" applyFont="1" applyFill="1" applyBorder="1" applyAlignment="1">
      <alignment vertical="center" wrapText="1"/>
    </xf>
    <xf numFmtId="0" fontId="56" fillId="16" borderId="38" xfId="0" applyFont="1" applyFill="1" applyBorder="1" applyAlignment="1">
      <alignment horizontal="center" vertical="center" wrapText="1"/>
    </xf>
    <xf numFmtId="0" fontId="56" fillId="16" borderId="41" xfId="0" applyFont="1" applyFill="1" applyBorder="1" applyAlignment="1">
      <alignment horizontal="center" vertical="center" wrapText="1"/>
    </xf>
    <xf numFmtId="0" fontId="56" fillId="16" borderId="2" xfId="0" applyFont="1" applyFill="1" applyBorder="1" applyAlignment="1">
      <alignment horizontal="center" vertical="center" wrapText="1"/>
    </xf>
    <xf numFmtId="0" fontId="56" fillId="16" borderId="45" xfId="0" applyFont="1" applyFill="1" applyBorder="1" applyAlignment="1">
      <alignment horizontal="center" vertical="center" wrapText="1"/>
    </xf>
    <xf numFmtId="0" fontId="57" fillId="17" borderId="4" xfId="0" applyFont="1" applyFill="1" applyBorder="1" applyAlignment="1">
      <alignment horizontal="center" vertical="center" wrapText="1"/>
    </xf>
    <xf numFmtId="0" fontId="56" fillId="16" borderId="51" xfId="0" applyFont="1" applyFill="1" applyBorder="1" applyAlignment="1">
      <alignment horizontal="center" vertical="center" wrapText="1"/>
    </xf>
    <xf numFmtId="0" fontId="57" fillId="17" borderId="36" xfId="0" applyFont="1" applyFill="1" applyBorder="1" applyAlignment="1">
      <alignment horizontal="center" vertical="center" wrapText="1"/>
    </xf>
    <xf numFmtId="0" fontId="58" fillId="17" borderId="48" xfId="0" applyFont="1" applyFill="1" applyBorder="1" applyAlignment="1">
      <alignment horizontal="center" vertical="center" wrapText="1"/>
    </xf>
    <xf numFmtId="0" fontId="56" fillId="16" borderId="50" xfId="0" applyFont="1" applyFill="1" applyBorder="1" applyAlignment="1">
      <alignment horizontal="center" vertical="center" wrapText="1"/>
    </xf>
    <xf numFmtId="0" fontId="65" fillId="0" borderId="0" xfId="0" applyFont="1" applyBorder="1" applyAlignment="1"/>
    <xf numFmtId="0" fontId="65" fillId="0" borderId="0" xfId="0" applyFont="1" applyBorder="1" applyAlignment="1">
      <alignment horizontal="center"/>
    </xf>
    <xf numFmtId="169" fontId="65" fillId="0" borderId="19" xfId="282" applyNumberFormat="1" applyFont="1" applyBorder="1"/>
    <xf numFmtId="3" fontId="56" fillId="15" borderId="38" xfId="0" applyNumberFormat="1" applyFont="1" applyFill="1" applyBorder="1" applyAlignment="1">
      <alignment horizontal="center" vertical="center" wrapText="1"/>
    </xf>
    <xf numFmtId="3" fontId="56" fillId="15" borderId="41" xfId="0" applyNumberFormat="1" applyFont="1" applyFill="1" applyBorder="1" applyAlignment="1">
      <alignment horizontal="center" vertical="center" wrapText="1"/>
    </xf>
    <xf numFmtId="3" fontId="56" fillId="15" borderId="45" xfId="0" applyNumberFormat="1" applyFont="1" applyFill="1" applyBorder="1" applyAlignment="1">
      <alignment horizontal="center" vertical="center" wrapText="1"/>
    </xf>
    <xf numFmtId="0" fontId="57" fillId="0" borderId="0" xfId="0" applyFont="1" applyFill="1" applyBorder="1" applyAlignment="1">
      <alignment horizontal="right" vertical="center" wrapText="1"/>
    </xf>
    <xf numFmtId="0" fontId="20" fillId="0" borderId="0" xfId="0" applyFont="1" applyAlignment="1">
      <alignment horizontal="right"/>
    </xf>
    <xf numFmtId="0" fontId="25" fillId="0" borderId="0" xfId="0" applyFont="1" applyAlignment="1">
      <alignment horizontal="right"/>
    </xf>
    <xf numFmtId="0" fontId="24" fillId="0" borderId="4" xfId="0" applyFont="1" applyBorder="1" applyAlignment="1">
      <alignment horizontal="right"/>
    </xf>
    <xf numFmtId="0" fontId="24" fillId="0" borderId="6" xfId="0" applyFont="1" applyBorder="1" applyAlignment="1">
      <alignment horizontal="right" vertical="justify"/>
    </xf>
    <xf numFmtId="0" fontId="20" fillId="0" borderId="8" xfId="0" applyFont="1" applyBorder="1" applyAlignment="1">
      <alignment horizontal="right"/>
    </xf>
    <xf numFmtId="0" fontId="20" fillId="0" borderId="10" xfId="0" applyFont="1" applyBorder="1" applyAlignment="1">
      <alignment horizontal="right"/>
    </xf>
    <xf numFmtId="0" fontId="24" fillId="0" borderId="0" xfId="0" applyFont="1" applyAlignment="1">
      <alignment horizontal="right" wrapText="1"/>
    </xf>
    <xf numFmtId="2" fontId="20" fillId="0" borderId="0" xfId="0" applyNumberFormat="1" applyFont="1" applyAlignment="1">
      <alignment horizontal="right"/>
    </xf>
    <xf numFmtId="3" fontId="56" fillId="15" borderId="52" xfId="0" applyNumberFormat="1" applyFont="1" applyFill="1" applyBorder="1" applyAlignment="1">
      <alignment horizontal="center" vertical="center" wrapText="1"/>
    </xf>
    <xf numFmtId="3" fontId="56" fillId="16" borderId="38" xfId="0" applyNumberFormat="1" applyFont="1" applyFill="1" applyBorder="1" applyAlignment="1">
      <alignment horizontal="center" vertical="center" wrapText="1"/>
    </xf>
    <xf numFmtId="9" fontId="56" fillId="16" borderId="38" xfId="0" applyNumberFormat="1" applyFont="1" applyFill="1" applyBorder="1" applyAlignment="1">
      <alignment horizontal="center" vertical="center" wrapText="1"/>
    </xf>
    <xf numFmtId="3" fontId="56" fillId="16" borderId="41" xfId="0" applyNumberFormat="1" applyFont="1" applyFill="1" applyBorder="1" applyAlignment="1">
      <alignment horizontal="center" vertical="center" wrapText="1"/>
    </xf>
    <xf numFmtId="3" fontId="56" fillId="16" borderId="50" xfId="0" applyNumberFormat="1" applyFont="1" applyFill="1" applyBorder="1" applyAlignment="1">
      <alignment horizontal="center" vertical="center" wrapText="1"/>
    </xf>
    <xf numFmtId="3" fontId="56" fillId="15" borderId="42" xfId="0" applyNumberFormat="1" applyFont="1" applyFill="1" applyBorder="1" applyAlignment="1">
      <alignment horizontal="center" vertical="center" wrapText="1"/>
    </xf>
    <xf numFmtId="9" fontId="56" fillId="16" borderId="50" xfId="0" applyNumberFormat="1" applyFont="1" applyFill="1" applyBorder="1" applyAlignment="1">
      <alignment horizontal="center" vertical="center" wrapText="1"/>
    </xf>
    <xf numFmtId="9" fontId="56" fillId="16" borderId="41" xfId="0" applyNumberFormat="1" applyFont="1" applyFill="1" applyBorder="1" applyAlignment="1">
      <alignment horizontal="center" vertical="center" wrapText="1"/>
    </xf>
    <xf numFmtId="3" fontId="56" fillId="16" borderId="45" xfId="0" applyNumberFormat="1" applyFont="1" applyFill="1" applyBorder="1" applyAlignment="1">
      <alignment horizontal="center" vertical="center" wrapText="1"/>
    </xf>
    <xf numFmtId="3" fontId="56" fillId="16" borderId="30" xfId="0" applyNumberFormat="1" applyFont="1" applyFill="1" applyBorder="1" applyAlignment="1">
      <alignment horizontal="center" vertical="center" wrapText="1"/>
    </xf>
    <xf numFmtId="3" fontId="56" fillId="15" borderId="46" xfId="0" applyNumberFormat="1" applyFont="1" applyFill="1" applyBorder="1" applyAlignment="1">
      <alignment horizontal="center" vertical="center" wrapText="1"/>
    </xf>
    <xf numFmtId="9" fontId="56" fillId="16" borderId="51" xfId="0" applyNumberFormat="1" applyFont="1" applyFill="1" applyBorder="1" applyAlignment="1">
      <alignment horizontal="center" vertical="center" wrapText="1"/>
    </xf>
    <xf numFmtId="9" fontId="56" fillId="16" borderId="45" xfId="0" applyNumberFormat="1" applyFont="1" applyFill="1" applyBorder="1" applyAlignment="1">
      <alignment horizontal="center" vertical="center" wrapText="1"/>
    </xf>
    <xf numFmtId="4" fontId="56" fillId="16" borderId="1" xfId="0" applyNumberFormat="1" applyFont="1" applyFill="1" applyBorder="1" applyAlignment="1">
      <alignment horizontal="center" vertical="center" wrapText="1"/>
    </xf>
    <xf numFmtId="3" fontId="56" fillId="16" borderId="52" xfId="0" applyNumberFormat="1" applyFont="1" applyFill="1" applyBorder="1" applyAlignment="1">
      <alignment horizontal="center" vertical="center" wrapText="1"/>
    </xf>
    <xf numFmtId="3" fontId="56" fillId="16" borderId="55" xfId="0" applyNumberFormat="1" applyFont="1" applyFill="1" applyBorder="1" applyAlignment="1">
      <alignment horizontal="center" vertical="center" wrapText="1"/>
    </xf>
    <xf numFmtId="3" fontId="56" fillId="16" borderId="15" xfId="0" applyNumberFormat="1" applyFont="1" applyFill="1" applyBorder="1" applyAlignment="1">
      <alignment horizontal="center" vertical="center" wrapText="1"/>
    </xf>
    <xf numFmtId="3" fontId="56" fillId="15" borderId="55" xfId="0" applyNumberFormat="1" applyFont="1" applyFill="1" applyBorder="1" applyAlignment="1">
      <alignment horizontal="center" vertical="center" wrapText="1"/>
    </xf>
    <xf numFmtId="9" fontId="56" fillId="16" borderId="15" xfId="0" applyNumberFormat="1" applyFont="1" applyFill="1" applyBorder="1" applyAlignment="1">
      <alignment horizontal="center" vertical="center" wrapText="1"/>
    </xf>
    <xf numFmtId="9" fontId="56" fillId="16" borderId="55" xfId="0" applyNumberFormat="1" applyFont="1" applyFill="1" applyBorder="1" applyAlignment="1">
      <alignment horizontal="center" vertical="center" wrapText="1"/>
    </xf>
    <xf numFmtId="20" fontId="11" fillId="0" borderId="0" xfId="0" applyNumberFormat="1" applyFont="1"/>
    <xf numFmtId="0" fontId="0" fillId="0" borderId="3" xfId="0" applyBorder="1"/>
    <xf numFmtId="0" fontId="0" fillId="0" borderId="48" xfId="0" applyBorder="1"/>
    <xf numFmtId="0" fontId="0" fillId="0" borderId="36" xfId="0" applyBorder="1"/>
    <xf numFmtId="0" fontId="0" fillId="0" borderId="22" xfId="0" applyBorder="1"/>
    <xf numFmtId="0" fontId="0" fillId="0" borderId="58" xfId="0" applyBorder="1"/>
    <xf numFmtId="0" fontId="0" fillId="0" borderId="5" xfId="0" applyBorder="1"/>
    <xf numFmtId="0" fontId="0" fillId="0" borderId="59" xfId="0" applyBorder="1"/>
    <xf numFmtId="0" fontId="0" fillId="0" borderId="0" xfId="0" applyBorder="1" applyAlignment="1">
      <alignment wrapText="1"/>
    </xf>
    <xf numFmtId="0" fontId="61" fillId="17" borderId="0" xfId="0" applyFont="1" applyFill="1" applyAlignment="1">
      <alignment vertical="center"/>
    </xf>
    <xf numFmtId="0" fontId="0" fillId="17" borderId="0" xfId="0" applyFill="1" applyAlignment="1">
      <alignment horizontal="right" vertical="center"/>
    </xf>
    <xf numFmtId="0" fontId="0" fillId="17" borderId="0" xfId="0" applyFill="1" applyAlignment="1">
      <alignment vertical="center"/>
    </xf>
    <xf numFmtId="0" fontId="57" fillId="0" borderId="0" xfId="0" applyFont="1" applyAlignment="1">
      <alignment vertical="center"/>
    </xf>
    <xf numFmtId="0" fontId="0" fillId="0" borderId="0" xfId="0" applyAlignment="1">
      <alignment horizontal="right" vertical="center"/>
    </xf>
    <xf numFmtId="0" fontId="62" fillId="0" borderId="0" xfId="0" applyFont="1" applyAlignment="1">
      <alignment vertical="center"/>
    </xf>
    <xf numFmtId="0" fontId="56" fillId="0" borderId="0" xfId="0" applyFont="1" applyFill="1" applyBorder="1" applyAlignment="1">
      <alignment horizontal="right" vertical="center" wrapText="1"/>
    </xf>
    <xf numFmtId="0" fontId="0" fillId="0" borderId="0" xfId="0" applyFill="1" applyBorder="1" applyAlignment="1">
      <alignment vertical="center"/>
    </xf>
    <xf numFmtId="3" fontId="56" fillId="0" borderId="0" xfId="0" applyNumberFormat="1" applyFont="1" applyFill="1" applyBorder="1" applyAlignment="1">
      <alignment horizontal="center" vertical="center" wrapText="1"/>
    </xf>
    <xf numFmtId="9" fontId="56" fillId="0" borderId="0" xfId="0" applyNumberFormat="1" applyFont="1" applyFill="1" applyBorder="1" applyAlignment="1">
      <alignment horizontal="center" vertical="center" wrapText="1"/>
    </xf>
    <xf numFmtId="0" fontId="0" fillId="0" borderId="0" xfId="0" applyFill="1" applyBorder="1" applyAlignment="1">
      <alignment horizontal="right" vertical="center"/>
    </xf>
    <xf numFmtId="9" fontId="56" fillId="16" borderId="52" xfId="0" applyNumberFormat="1" applyFont="1" applyFill="1" applyBorder="1" applyAlignment="1">
      <alignment horizontal="center" vertical="center" wrapText="1"/>
    </xf>
    <xf numFmtId="0" fontId="0" fillId="0" borderId="0" xfId="0" applyFill="1" applyAlignment="1">
      <alignment vertical="center"/>
    </xf>
    <xf numFmtId="0" fontId="38" fillId="0" borderId="0" xfId="0" applyFont="1" applyAlignment="1">
      <alignment horizontal="left" vertical="center"/>
    </xf>
    <xf numFmtId="0" fontId="23"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vertical="center"/>
    </xf>
    <xf numFmtId="0" fontId="20" fillId="0" borderId="0" xfId="0" applyFont="1" applyBorder="1" applyAlignment="1">
      <alignment vertical="center"/>
    </xf>
    <xf numFmtId="0" fontId="38" fillId="0" borderId="0" xfId="0" applyFont="1" applyAlignment="1">
      <alignment vertical="center"/>
    </xf>
    <xf numFmtId="0" fontId="52" fillId="0" borderId="0" xfId="0" applyFont="1" applyAlignment="1">
      <alignment horizontal="left" vertical="center"/>
    </xf>
    <xf numFmtId="0" fontId="38" fillId="0" borderId="11" xfId="0" applyFont="1" applyBorder="1" applyAlignment="1">
      <alignment vertical="center"/>
    </xf>
    <xf numFmtId="2" fontId="55" fillId="0" borderId="11" xfId="0" applyNumberFormat="1" applyFont="1" applyBorder="1" applyAlignment="1">
      <alignment horizontal="left" vertical="center"/>
    </xf>
    <xf numFmtId="1" fontId="38" fillId="0" borderId="11" xfId="0" applyNumberFormat="1" applyFont="1" applyBorder="1" applyAlignment="1">
      <alignment vertical="center"/>
    </xf>
    <xf numFmtId="0" fontId="38" fillId="0" borderId="0" xfId="0" applyFont="1" applyAlignment="1">
      <alignment horizontal="right" vertical="center"/>
    </xf>
    <xf numFmtId="0" fontId="35" fillId="0" borderId="0" xfId="0" applyFont="1" applyAlignment="1">
      <alignment vertical="center"/>
    </xf>
    <xf numFmtId="0" fontId="38" fillId="0" borderId="0" xfId="0" applyFont="1" applyFill="1" applyAlignment="1">
      <alignment horizontal="left" vertical="center"/>
    </xf>
    <xf numFmtId="0" fontId="38" fillId="0" borderId="0" xfId="0" applyFont="1" applyFill="1" applyAlignment="1">
      <alignment horizontal="right" vertical="center"/>
    </xf>
    <xf numFmtId="0" fontId="22" fillId="0" borderId="0" xfId="0" applyFont="1" applyFill="1" applyAlignment="1">
      <alignment horizontal="left" vertical="center"/>
    </xf>
    <xf numFmtId="0" fontId="22" fillId="0" borderId="0" xfId="0" applyFont="1" applyFill="1" applyAlignment="1">
      <alignment horizontal="right" vertical="center"/>
    </xf>
    <xf numFmtId="0" fontId="20" fillId="0" borderId="0" xfId="0" applyFont="1" applyFill="1" applyAlignment="1">
      <alignment vertical="center"/>
    </xf>
    <xf numFmtId="0" fontId="20" fillId="0" borderId="0" xfId="0" applyFont="1" applyFill="1" applyAlignment="1">
      <alignment horizontal="right" vertical="center"/>
    </xf>
    <xf numFmtId="0" fontId="24" fillId="0" borderId="0" xfId="0" applyFont="1" applyFill="1" applyAlignment="1">
      <alignment vertical="center"/>
    </xf>
    <xf numFmtId="0" fontId="25" fillId="0" borderId="0" xfId="0" applyFont="1" applyFill="1" applyAlignment="1">
      <alignment horizontal="right" vertical="center"/>
    </xf>
    <xf numFmtId="0" fontId="24" fillId="0" borderId="0" xfId="0" applyFont="1" applyBorder="1" applyAlignment="1">
      <alignment vertical="center"/>
    </xf>
    <xf numFmtId="0" fontId="24" fillId="0" borderId="0" xfId="0" applyFont="1" applyAlignment="1">
      <alignment vertical="center"/>
    </xf>
    <xf numFmtId="0" fontId="25" fillId="0" borderId="0" xfId="0" applyFont="1" applyAlignment="1">
      <alignment horizontal="right" vertical="center"/>
    </xf>
    <xf numFmtId="0" fontId="22" fillId="3" borderId="0" xfId="0" applyFont="1" applyFill="1" applyAlignment="1">
      <alignment horizontal="left" vertical="center"/>
    </xf>
    <xf numFmtId="0" fontId="22" fillId="3" borderId="0" xfId="0" applyFont="1" applyFill="1" applyAlignment="1">
      <alignment horizontal="right" vertical="center"/>
    </xf>
    <xf numFmtId="0" fontId="24" fillId="0" borderId="0" xfId="0" applyFont="1" applyAlignment="1">
      <alignment horizontal="center" vertical="center"/>
    </xf>
    <xf numFmtId="0" fontId="24" fillId="0" borderId="1" xfId="0" applyFont="1" applyBorder="1" applyAlignment="1">
      <alignment vertical="center"/>
    </xf>
    <xf numFmtId="0" fontId="56" fillId="4" borderId="38" xfId="0" applyFont="1" applyFill="1" applyBorder="1" applyAlignment="1">
      <alignment vertical="center" wrapText="1"/>
    </xf>
    <xf numFmtId="0" fontId="65" fillId="0" borderId="11" xfId="0" applyFont="1" applyBorder="1"/>
    <xf numFmtId="9" fontId="65" fillId="0" borderId="11" xfId="281" applyFont="1" applyBorder="1"/>
    <xf numFmtId="169" fontId="65" fillId="0" borderId="28" xfId="282" applyNumberFormat="1" applyFont="1" applyBorder="1"/>
    <xf numFmtId="0" fontId="65" fillId="0" borderId="29" xfId="0" applyFont="1" applyBorder="1"/>
    <xf numFmtId="0" fontId="65" fillId="0" borderId="0" xfId="0" applyFont="1" applyBorder="1"/>
    <xf numFmtId="169" fontId="65" fillId="0" borderId="0" xfId="282" applyNumberFormat="1" applyFont="1" applyBorder="1"/>
    <xf numFmtId="0" fontId="47" fillId="0" borderId="0" xfId="0" applyFont="1" applyAlignment="1">
      <alignment vertical="center"/>
    </xf>
    <xf numFmtId="0" fontId="67" fillId="0" borderId="0" xfId="0" applyFont="1" applyFill="1" applyBorder="1" applyAlignment="1">
      <alignment horizontal="right" vertical="center" wrapText="1"/>
    </xf>
    <xf numFmtId="0" fontId="67" fillId="4" borderId="35" xfId="0" applyFont="1" applyFill="1" applyBorder="1" applyAlignment="1">
      <alignment vertical="center" wrapText="1"/>
    </xf>
    <xf numFmtId="0" fontId="67" fillId="16" borderId="48" xfId="0" applyFont="1" applyFill="1" applyBorder="1" applyAlignment="1">
      <alignment horizontal="center" vertical="center" wrapText="1"/>
    </xf>
    <xf numFmtId="3" fontId="67" fillId="16" borderId="38" xfId="0" applyNumberFormat="1" applyFont="1" applyFill="1" applyBorder="1" applyAlignment="1">
      <alignment horizontal="center" vertical="center" wrapText="1"/>
    </xf>
    <xf numFmtId="3" fontId="67" fillId="16" borderId="49" xfId="0" applyNumberFormat="1" applyFont="1" applyFill="1" applyBorder="1" applyAlignment="1">
      <alignment horizontal="center" vertical="center" wrapText="1"/>
    </xf>
    <xf numFmtId="3" fontId="67" fillId="15" borderId="34" xfId="0" applyNumberFormat="1" applyFont="1" applyFill="1" applyBorder="1" applyAlignment="1">
      <alignment horizontal="center" vertical="center" wrapText="1"/>
    </xf>
    <xf numFmtId="3" fontId="67" fillId="15" borderId="38" xfId="0" applyNumberFormat="1" applyFont="1" applyFill="1" applyBorder="1" applyAlignment="1">
      <alignment horizontal="center" vertical="center" wrapText="1"/>
    </xf>
    <xf numFmtId="9" fontId="67" fillId="16" borderId="49" xfId="0" applyNumberFormat="1" applyFont="1" applyFill="1" applyBorder="1" applyAlignment="1">
      <alignment horizontal="center" vertical="center" wrapText="1"/>
    </xf>
    <xf numFmtId="9" fontId="67" fillId="16" borderId="38" xfId="0" applyNumberFormat="1" applyFont="1" applyFill="1" applyBorder="1" applyAlignment="1">
      <alignment horizontal="center" vertical="center" wrapText="1"/>
    </xf>
    <xf numFmtId="0" fontId="67" fillId="4" borderId="41" xfId="0" applyFont="1" applyFill="1" applyBorder="1" applyAlignment="1">
      <alignment vertical="center" wrapText="1"/>
    </xf>
    <xf numFmtId="0" fontId="67" fillId="16" borderId="50" xfId="0" applyFont="1" applyFill="1" applyBorder="1" applyAlignment="1">
      <alignment horizontal="center" vertical="center" wrapText="1"/>
    </xf>
    <xf numFmtId="3" fontId="67" fillId="16" borderId="41" xfId="0" applyNumberFormat="1" applyFont="1" applyFill="1" applyBorder="1" applyAlignment="1">
      <alignment horizontal="center" vertical="center" wrapText="1"/>
    </xf>
    <xf numFmtId="3" fontId="67" fillId="16" borderId="50" xfId="0" applyNumberFormat="1" applyFont="1" applyFill="1" applyBorder="1" applyAlignment="1">
      <alignment horizontal="center" vertical="center" wrapText="1"/>
    </xf>
    <xf numFmtId="3" fontId="67" fillId="15" borderId="42" xfId="0" applyNumberFormat="1" applyFont="1" applyFill="1" applyBorder="1" applyAlignment="1">
      <alignment horizontal="center" vertical="center" wrapText="1"/>
    </xf>
    <xf numFmtId="3" fontId="67" fillId="15" borderId="41" xfId="0" applyNumberFormat="1" applyFont="1" applyFill="1" applyBorder="1" applyAlignment="1">
      <alignment horizontal="center" vertical="center" wrapText="1"/>
    </xf>
    <xf numFmtId="9" fontId="67" fillId="16" borderId="50" xfId="0" applyNumberFormat="1" applyFont="1" applyFill="1" applyBorder="1" applyAlignment="1">
      <alignment horizontal="center" vertical="center" wrapText="1"/>
    </xf>
    <xf numFmtId="9" fontId="67" fillId="16" borderId="41" xfId="0" applyNumberFormat="1" applyFont="1" applyFill="1" applyBorder="1" applyAlignment="1">
      <alignment horizontal="center" vertical="center" wrapText="1"/>
    </xf>
    <xf numFmtId="0" fontId="67" fillId="4" borderId="2" xfId="0" applyFont="1" applyFill="1" applyBorder="1" applyAlignment="1">
      <alignment vertical="center" wrapText="1"/>
    </xf>
    <xf numFmtId="0" fontId="67" fillId="16" borderId="15" xfId="0" applyFont="1" applyFill="1" applyBorder="1" applyAlignment="1">
      <alignment horizontal="center" vertical="center" wrapText="1"/>
    </xf>
    <xf numFmtId="3" fontId="67" fillId="16" borderId="55" xfId="0" applyNumberFormat="1" applyFont="1" applyFill="1" applyBorder="1" applyAlignment="1">
      <alignment horizontal="center" vertical="center" wrapText="1"/>
    </xf>
    <xf numFmtId="3" fontId="67" fillId="16" borderId="15" xfId="0" applyNumberFormat="1" applyFont="1" applyFill="1" applyBorder="1" applyAlignment="1">
      <alignment horizontal="center" vertical="center" wrapText="1"/>
    </xf>
    <xf numFmtId="3" fontId="67" fillId="15" borderId="55" xfId="0" applyNumberFormat="1" applyFont="1" applyFill="1" applyBorder="1" applyAlignment="1">
      <alignment horizontal="center" vertical="center" wrapText="1"/>
    </xf>
    <xf numFmtId="9" fontId="67" fillId="16" borderId="15" xfId="0" applyNumberFormat="1" applyFont="1" applyFill="1" applyBorder="1" applyAlignment="1">
      <alignment horizontal="center" vertical="center" wrapText="1"/>
    </xf>
    <xf numFmtId="9" fontId="67" fillId="16" borderId="55" xfId="0" applyNumberFormat="1" applyFont="1" applyFill="1" applyBorder="1" applyAlignment="1">
      <alignment horizontal="center" vertical="center" wrapText="1"/>
    </xf>
    <xf numFmtId="0" fontId="56" fillId="0" borderId="0" xfId="0" applyFont="1" applyAlignment="1">
      <alignment vertical="center"/>
    </xf>
    <xf numFmtId="0" fontId="0" fillId="0" borderId="0" xfId="0" applyFont="1" applyAlignment="1">
      <alignment vertical="center"/>
    </xf>
    <xf numFmtId="3" fontId="56" fillId="15" borderId="39" xfId="0" applyNumberFormat="1" applyFont="1" applyFill="1" applyBorder="1" applyAlignment="1">
      <alignment horizontal="center" vertical="center" wrapText="1"/>
    </xf>
    <xf numFmtId="0" fontId="58" fillId="17" borderId="37" xfId="0" applyFont="1" applyFill="1" applyBorder="1" applyAlignment="1">
      <alignment horizontal="center" vertical="center" wrapText="1"/>
    </xf>
    <xf numFmtId="0" fontId="66" fillId="0" borderId="0" xfId="0" applyFont="1" applyFill="1" applyBorder="1" applyAlignment="1">
      <alignment vertical="center" wrapText="1"/>
    </xf>
    <xf numFmtId="0" fontId="0" fillId="0" borderId="0" xfId="0" applyFont="1" applyFill="1" applyBorder="1" applyAlignment="1">
      <alignment vertical="center" wrapText="1"/>
    </xf>
    <xf numFmtId="170" fontId="0" fillId="0" borderId="0" xfId="0" applyNumberFormat="1" applyBorder="1"/>
    <xf numFmtId="0" fontId="0" fillId="0" borderId="0" xfId="0" applyFont="1" applyBorder="1"/>
    <xf numFmtId="0" fontId="0" fillId="22" borderId="0" xfId="0" applyFill="1" applyBorder="1"/>
    <xf numFmtId="170" fontId="0" fillId="22" borderId="0" xfId="0" applyNumberFormat="1" applyFill="1" applyBorder="1"/>
    <xf numFmtId="0" fontId="0" fillId="22" borderId="30" xfId="0" applyFill="1" applyBorder="1"/>
    <xf numFmtId="0" fontId="0" fillId="0" borderId="62" xfId="0" applyFont="1" applyBorder="1" applyAlignment="1">
      <alignment wrapText="1"/>
    </xf>
    <xf numFmtId="0" fontId="0" fillId="0" borderId="62" xfId="0" applyFont="1" applyBorder="1"/>
    <xf numFmtId="0" fontId="0" fillId="0" borderId="63" xfId="0" applyFont="1" applyBorder="1"/>
    <xf numFmtId="0" fontId="0" fillId="22" borderId="62" xfId="0" applyFont="1" applyFill="1" applyBorder="1" applyAlignment="1">
      <alignment wrapText="1"/>
    </xf>
    <xf numFmtId="0" fontId="0" fillId="0" borderId="4" xfId="0" applyFont="1" applyBorder="1"/>
    <xf numFmtId="0" fontId="0" fillId="0" borderId="64" xfId="0" applyFont="1" applyBorder="1"/>
    <xf numFmtId="0" fontId="0" fillId="22" borderId="0" xfId="0" applyFill="1"/>
    <xf numFmtId="0" fontId="0" fillId="0" borderId="61" xfId="0" applyBorder="1"/>
    <xf numFmtId="0" fontId="0" fillId="0" borderId="4" xfId="0" applyBorder="1"/>
    <xf numFmtId="0" fontId="35" fillId="22" borderId="63" xfId="0" applyFont="1" applyFill="1" applyBorder="1"/>
    <xf numFmtId="0" fontId="0" fillId="22" borderId="4" xfId="0" applyFill="1" applyBorder="1"/>
    <xf numFmtId="0" fontId="0" fillId="0" borderId="65" xfId="0" applyBorder="1"/>
    <xf numFmtId="0" fontId="0" fillId="0" borderId="61" xfId="0" applyFont="1" applyBorder="1"/>
    <xf numFmtId="0" fontId="0" fillId="22" borderId="4" xfId="0" applyFont="1" applyFill="1" applyBorder="1"/>
    <xf numFmtId="0" fontId="0" fillId="22" borderId="64" xfId="0" applyFont="1" applyFill="1" applyBorder="1"/>
    <xf numFmtId="0" fontId="0" fillId="0" borderId="65" xfId="0" applyFont="1" applyBorder="1"/>
    <xf numFmtId="0" fontId="0" fillId="0" borderId="0" xfId="0" applyFont="1" applyBorder="1" applyAlignment="1">
      <alignment horizontal="center"/>
    </xf>
    <xf numFmtId="0" fontId="0" fillId="22" borderId="0" xfId="0" applyFont="1" applyFill="1" applyBorder="1"/>
    <xf numFmtId="170" fontId="0" fillId="22" borderId="0" xfId="0" applyNumberFormat="1" applyFont="1" applyFill="1" applyBorder="1"/>
    <xf numFmtId="170" fontId="0" fillId="0" borderId="0" xfId="0" applyNumberFormat="1" applyFont="1" applyBorder="1"/>
    <xf numFmtId="0" fontId="0" fillId="0" borderId="30" xfId="0" applyFont="1" applyBorder="1" applyAlignment="1">
      <alignment horizontal="center"/>
    </xf>
    <xf numFmtId="0" fontId="0" fillId="0" borderId="30" xfId="0" applyFont="1" applyBorder="1"/>
    <xf numFmtId="0" fontId="0" fillId="22" borderId="30" xfId="0" applyFont="1" applyFill="1" applyBorder="1"/>
    <xf numFmtId="170" fontId="0" fillId="22" borderId="30" xfId="0" applyNumberFormat="1" applyFont="1" applyFill="1" applyBorder="1"/>
    <xf numFmtId="170" fontId="0" fillId="0" borderId="30" xfId="0" applyNumberFormat="1" applyFont="1" applyBorder="1"/>
    <xf numFmtId="168" fontId="70" fillId="16" borderId="38" xfId="0" applyNumberFormat="1" applyFont="1" applyFill="1" applyBorder="1" applyAlignment="1">
      <alignment horizontal="left" wrapText="1"/>
    </xf>
    <xf numFmtId="168" fontId="70" fillId="16" borderId="41" xfId="0" applyNumberFormat="1" applyFont="1" applyFill="1" applyBorder="1" applyAlignment="1">
      <alignment horizontal="left" wrapText="1"/>
    </xf>
    <xf numFmtId="168" fontId="70" fillId="16" borderId="45" xfId="0" applyNumberFormat="1" applyFont="1" applyFill="1" applyBorder="1" applyAlignment="1">
      <alignment horizontal="left" wrapText="1"/>
    </xf>
    <xf numFmtId="168" fontId="70" fillId="16" borderId="60" xfId="0" applyNumberFormat="1" applyFont="1" applyFill="1" applyBorder="1" applyAlignment="1">
      <alignment horizontal="left" wrapText="1"/>
    </xf>
    <xf numFmtId="0" fontId="0" fillId="0" borderId="4" xfId="0" applyFont="1" applyBorder="1" applyAlignment="1">
      <alignment wrapText="1"/>
    </xf>
    <xf numFmtId="170" fontId="70" fillId="16" borderId="1" xfId="0" applyNumberFormat="1" applyFont="1" applyFill="1" applyBorder="1" applyAlignment="1">
      <alignment horizontal="center" wrapText="1"/>
    </xf>
    <xf numFmtId="2" fontId="46" fillId="16" borderId="41" xfId="0" applyNumberFormat="1" applyFont="1" applyFill="1" applyBorder="1" applyAlignment="1">
      <alignment horizontal="left" wrapText="1"/>
    </xf>
    <xf numFmtId="168" fontId="46" fillId="16" borderId="45" xfId="0" applyNumberFormat="1" applyFont="1" applyFill="1" applyBorder="1" applyAlignment="1">
      <alignment horizontal="left" wrapText="1"/>
    </xf>
    <xf numFmtId="170" fontId="70" fillId="16" borderId="52" xfId="0" applyNumberFormat="1" applyFont="1" applyFill="1" applyBorder="1" applyAlignment="1">
      <alignment horizontal="left" wrapText="1"/>
    </xf>
    <xf numFmtId="0" fontId="35" fillId="22" borderId="4" xfId="0" applyFont="1" applyFill="1" applyBorder="1"/>
    <xf numFmtId="0" fontId="0" fillId="0" borderId="0" xfId="0" applyFont="1" applyFill="1" applyBorder="1" applyAlignment="1">
      <alignment horizontal="center"/>
    </xf>
    <xf numFmtId="0" fontId="0" fillId="0" borderId="48" xfId="0" applyFont="1" applyBorder="1" applyAlignment="1">
      <alignment horizontal="center"/>
    </xf>
    <xf numFmtId="0" fontId="0" fillId="0" borderId="48" xfId="0" applyFont="1" applyBorder="1"/>
    <xf numFmtId="0" fontId="0" fillId="22" borderId="48" xfId="0" applyFont="1" applyFill="1" applyBorder="1"/>
    <xf numFmtId="170" fontId="0" fillId="22" borderId="48" xfId="0" applyNumberFormat="1" applyFont="1" applyFill="1" applyBorder="1"/>
    <xf numFmtId="170" fontId="0" fillId="0" borderId="48" xfId="0" applyNumberFormat="1" applyFont="1" applyBorder="1"/>
    <xf numFmtId="0" fontId="0" fillId="0" borderId="30" xfId="0" applyFont="1" applyFill="1" applyBorder="1" applyAlignment="1">
      <alignment horizontal="center"/>
    </xf>
    <xf numFmtId="0" fontId="35" fillId="0" borderId="66" xfId="0" applyFont="1" applyBorder="1"/>
    <xf numFmtId="0" fontId="35" fillId="22" borderId="0" xfId="0" applyFont="1" applyFill="1"/>
    <xf numFmtId="170" fontId="0" fillId="22" borderId="0" xfId="0" applyNumberFormat="1" applyFill="1"/>
    <xf numFmtId="0" fontId="0" fillId="22" borderId="0" xfId="0" applyFill="1" applyAlignment="1">
      <alignment wrapText="1"/>
    </xf>
    <xf numFmtId="171" fontId="0" fillId="22" borderId="0" xfId="0" applyNumberFormat="1" applyFill="1"/>
    <xf numFmtId="3" fontId="56" fillId="22" borderId="19" xfId="0" applyNumberFormat="1" applyFont="1" applyFill="1" applyBorder="1" applyAlignment="1">
      <alignment horizontal="center" vertical="center" wrapText="1"/>
    </xf>
    <xf numFmtId="0" fontId="0" fillId="0" borderId="0" xfId="0" applyFill="1" applyBorder="1" applyAlignment="1">
      <alignment wrapText="1"/>
    </xf>
    <xf numFmtId="3" fontId="56" fillId="22" borderId="67" xfId="0" applyNumberFormat="1" applyFont="1" applyFill="1" applyBorder="1" applyAlignment="1">
      <alignment horizontal="center" vertical="center" wrapText="1"/>
    </xf>
    <xf numFmtId="0" fontId="35" fillId="22" borderId="61" xfId="0" applyFont="1" applyFill="1" applyBorder="1"/>
    <xf numFmtId="170" fontId="70" fillId="16" borderId="2" xfId="0" applyNumberFormat="1" applyFont="1" applyFill="1" applyBorder="1" applyAlignment="1">
      <alignment horizontal="center" wrapText="1"/>
    </xf>
    <xf numFmtId="170" fontId="70" fillId="16" borderId="60" xfId="0" applyNumberFormat="1" applyFont="1" applyFill="1" applyBorder="1" applyAlignment="1">
      <alignment horizontal="center" wrapText="1"/>
    </xf>
    <xf numFmtId="0" fontId="0" fillId="0" borderId="68" xfId="0" applyFont="1" applyBorder="1"/>
    <xf numFmtId="0" fontId="56" fillId="16" borderId="49" xfId="0" applyFont="1" applyFill="1" applyBorder="1" applyAlignment="1">
      <alignment horizontal="center" vertical="center" wrapText="1"/>
    </xf>
    <xf numFmtId="170" fontId="56" fillId="16" borderId="38" xfId="0" applyNumberFormat="1" applyFont="1" applyFill="1" applyBorder="1" applyAlignment="1">
      <alignment horizontal="center" vertical="center" wrapText="1"/>
    </xf>
    <xf numFmtId="170" fontId="56" fillId="16" borderId="41" xfId="0" applyNumberFormat="1" applyFont="1" applyFill="1" applyBorder="1" applyAlignment="1">
      <alignment horizontal="center" vertical="center" wrapText="1"/>
    </xf>
    <xf numFmtId="0" fontId="56" fillId="16" borderId="13" xfId="0" applyFont="1" applyFill="1" applyBorder="1" applyAlignment="1">
      <alignment horizontal="center" vertical="center" wrapText="1"/>
    </xf>
    <xf numFmtId="170" fontId="56" fillId="16" borderId="52" xfId="0" applyNumberFormat="1" applyFont="1" applyFill="1" applyBorder="1" applyAlignment="1">
      <alignment horizontal="center" vertical="center" wrapText="1"/>
    </xf>
    <xf numFmtId="9" fontId="56" fillId="16" borderId="39" xfId="0" applyNumberFormat="1" applyFont="1" applyFill="1" applyBorder="1" applyAlignment="1">
      <alignment horizontal="center" vertical="center" wrapText="1"/>
    </xf>
    <xf numFmtId="3" fontId="56" fillId="15" borderId="40" xfId="0" applyNumberFormat="1" applyFont="1" applyFill="1" applyBorder="1" applyAlignment="1">
      <alignment horizontal="center" vertical="center" wrapText="1"/>
    </xf>
    <xf numFmtId="9" fontId="56" fillId="16" borderId="43" xfId="0" applyNumberFormat="1" applyFont="1" applyFill="1" applyBorder="1" applyAlignment="1">
      <alignment horizontal="center" vertical="center" wrapText="1"/>
    </xf>
    <xf numFmtId="3" fontId="56" fillId="15" borderId="44" xfId="0" applyNumberFormat="1" applyFont="1" applyFill="1" applyBorder="1" applyAlignment="1">
      <alignment horizontal="center" vertical="center" wrapText="1"/>
    </xf>
    <xf numFmtId="3" fontId="56" fillId="16" borderId="34" xfId="0" applyNumberFormat="1" applyFont="1" applyFill="1" applyBorder="1" applyAlignment="1">
      <alignment horizontal="center" vertical="center" wrapText="1"/>
    </xf>
    <xf numFmtId="3" fontId="56" fillId="16" borderId="42" xfId="0" applyNumberFormat="1" applyFont="1" applyFill="1" applyBorder="1" applyAlignment="1">
      <alignment horizontal="center" vertical="center" wrapText="1"/>
    </xf>
    <xf numFmtId="3" fontId="56" fillId="16" borderId="46" xfId="0" applyNumberFormat="1" applyFont="1" applyFill="1" applyBorder="1" applyAlignment="1">
      <alignment horizontal="center" vertical="center" wrapText="1"/>
    </xf>
    <xf numFmtId="44" fontId="65" fillId="0" borderId="0" xfId="282" applyNumberFormat="1" applyFont="1" applyBorder="1" applyAlignment="1"/>
    <xf numFmtId="0" fontId="65" fillId="0" borderId="19" xfId="0" applyFont="1" applyBorder="1"/>
    <xf numFmtId="3" fontId="65" fillId="0" borderId="0" xfId="0" quotePrefix="1" applyNumberFormat="1" applyFont="1" applyBorder="1" applyAlignment="1">
      <alignment horizontal="center"/>
    </xf>
    <xf numFmtId="169" fontId="65" fillId="0" borderId="0" xfId="282" applyNumberFormat="1" applyFont="1" applyBorder="1" applyAlignment="1"/>
    <xf numFmtId="4" fontId="56" fillId="15" borderId="41" xfId="0" applyNumberFormat="1" applyFont="1" applyFill="1" applyBorder="1" applyAlignment="1">
      <alignment horizontal="center" vertical="center" wrapText="1"/>
    </xf>
    <xf numFmtId="4" fontId="56" fillId="15" borderId="45" xfId="0" applyNumberFormat="1" applyFont="1" applyFill="1" applyBorder="1" applyAlignment="1">
      <alignment horizontal="center" vertical="center" wrapText="1"/>
    </xf>
    <xf numFmtId="170" fontId="56" fillId="15" borderId="38" xfId="0" applyNumberFormat="1" applyFont="1" applyFill="1" applyBorder="1" applyAlignment="1">
      <alignment horizontal="center" vertical="center" wrapText="1"/>
    </xf>
    <xf numFmtId="170" fontId="56" fillId="15" borderId="41" xfId="0" applyNumberFormat="1" applyFont="1" applyFill="1" applyBorder="1" applyAlignment="1">
      <alignment horizontal="center" vertical="center" wrapText="1"/>
    </xf>
    <xf numFmtId="170" fontId="56" fillId="15" borderId="52" xfId="0" applyNumberFormat="1" applyFont="1" applyFill="1" applyBorder="1" applyAlignment="1">
      <alignment horizontal="center" vertical="center" wrapText="1"/>
    </xf>
    <xf numFmtId="170" fontId="56" fillId="15" borderId="45" xfId="0" applyNumberFormat="1" applyFont="1" applyFill="1" applyBorder="1" applyAlignment="1">
      <alignment horizontal="center" vertical="center" wrapText="1"/>
    </xf>
    <xf numFmtId="170" fontId="56" fillId="15" borderId="44" xfId="0" applyNumberFormat="1" applyFont="1" applyFill="1" applyBorder="1" applyAlignment="1">
      <alignment horizontal="center" vertical="center" wrapText="1"/>
    </xf>
    <xf numFmtId="4" fontId="56" fillId="15" borderId="55" xfId="0" applyNumberFormat="1" applyFont="1" applyFill="1" applyBorder="1" applyAlignment="1">
      <alignment horizontal="center" vertical="center" wrapText="1"/>
    </xf>
    <xf numFmtId="0" fontId="56" fillId="16" borderId="15" xfId="0" applyFont="1" applyFill="1" applyBorder="1" applyAlignment="1">
      <alignment horizontal="center" vertical="center" wrapText="1"/>
    </xf>
    <xf numFmtId="170" fontId="56" fillId="16" borderId="45" xfId="0" applyNumberFormat="1" applyFont="1" applyFill="1" applyBorder="1" applyAlignment="1">
      <alignment horizontal="center" vertical="center" wrapText="1"/>
    </xf>
    <xf numFmtId="0" fontId="66" fillId="0" borderId="0" xfId="0" applyFont="1" applyFill="1" applyBorder="1" applyAlignment="1">
      <alignment vertical="center"/>
    </xf>
    <xf numFmtId="164" fontId="56" fillId="15" borderId="34" xfId="0" applyNumberFormat="1" applyFont="1" applyFill="1" applyBorder="1" applyAlignment="1" applyProtection="1">
      <alignment horizontal="center" vertical="center"/>
      <protection hidden="1"/>
    </xf>
    <xf numFmtId="164" fontId="56" fillId="15" borderId="42" xfId="0" applyNumberFormat="1" applyFont="1" applyFill="1" applyBorder="1" applyAlignment="1" applyProtection="1">
      <alignment horizontal="center" vertical="center"/>
      <protection hidden="1"/>
    </xf>
    <xf numFmtId="164" fontId="56" fillId="15" borderId="46" xfId="0" applyNumberFormat="1" applyFont="1" applyFill="1" applyBorder="1" applyAlignment="1" applyProtection="1">
      <alignment horizontal="center" vertical="center"/>
      <protection hidden="1"/>
    </xf>
    <xf numFmtId="0" fontId="56" fillId="16" borderId="39" xfId="0" applyFont="1" applyFill="1" applyBorder="1" applyAlignment="1">
      <alignment horizontal="center" vertical="center"/>
    </xf>
    <xf numFmtId="0" fontId="56" fillId="16" borderId="43" xfId="0" applyFont="1" applyFill="1" applyBorder="1" applyAlignment="1">
      <alignment horizontal="center" vertical="center"/>
    </xf>
    <xf numFmtId="0" fontId="56" fillId="16" borderId="47" xfId="0" applyFont="1" applyFill="1" applyBorder="1" applyAlignment="1">
      <alignment horizontal="center" vertical="center"/>
    </xf>
    <xf numFmtId="0" fontId="69" fillId="0" borderId="11" xfId="62" applyNumberFormat="1" applyFont="1" applyBorder="1"/>
    <xf numFmtId="0" fontId="72" fillId="0" borderId="11" xfId="0" applyFont="1" applyBorder="1"/>
    <xf numFmtId="0" fontId="40" fillId="0" borderId="0" xfId="0" applyFont="1"/>
    <xf numFmtId="0" fontId="73" fillId="0" borderId="11" xfId="0" applyFont="1" applyBorder="1"/>
    <xf numFmtId="0" fontId="58" fillId="0" borderId="0" xfId="0" applyFont="1" applyFill="1" applyBorder="1" applyAlignment="1">
      <alignment horizontal="center" vertical="center" wrapText="1"/>
    </xf>
    <xf numFmtId="0" fontId="0" fillId="23" borderId="0" xfId="0" applyFont="1" applyFill="1"/>
    <xf numFmtId="170" fontId="56" fillId="15" borderId="39" xfId="0" applyNumberFormat="1" applyFont="1" applyFill="1" applyBorder="1" applyAlignment="1">
      <alignment horizontal="center" vertical="center" wrapText="1"/>
    </xf>
    <xf numFmtId="170" fontId="56" fillId="16" borderId="39" xfId="0" applyNumberFormat="1" applyFont="1" applyFill="1" applyBorder="1" applyAlignment="1">
      <alignment horizontal="center" vertical="center" wrapText="1"/>
    </xf>
    <xf numFmtId="0" fontId="56" fillId="16" borderId="43" xfId="0" applyFont="1" applyFill="1" applyBorder="1" applyAlignment="1">
      <alignment horizontal="center" vertical="center" wrapText="1"/>
    </xf>
    <xf numFmtId="4" fontId="56" fillId="16" borderId="43" xfId="0" applyNumberFormat="1" applyFont="1" applyFill="1" applyBorder="1" applyAlignment="1">
      <alignment horizontal="center" vertical="center" wrapText="1"/>
    </xf>
    <xf numFmtId="2" fontId="56" fillId="15" borderId="38" xfId="0" applyNumberFormat="1" applyFont="1" applyFill="1" applyBorder="1" applyAlignment="1">
      <alignment horizontal="center" vertical="center" wrapText="1"/>
    </xf>
    <xf numFmtId="0" fontId="56" fillId="16" borderId="39" xfId="0" applyFont="1" applyFill="1" applyBorder="1" applyAlignment="1">
      <alignment horizontal="center" vertical="center" wrapText="1"/>
    </xf>
    <xf numFmtId="4" fontId="56" fillId="16" borderId="39" xfId="0" applyNumberFormat="1" applyFont="1" applyFill="1" applyBorder="1" applyAlignment="1">
      <alignment horizontal="center" vertical="center" wrapText="1"/>
    </xf>
    <xf numFmtId="2" fontId="56" fillId="15" borderId="41" xfId="0" applyNumberFormat="1" applyFont="1" applyFill="1" applyBorder="1" applyAlignment="1">
      <alignment horizontal="center" vertical="center" wrapText="1"/>
    </xf>
    <xf numFmtId="168" fontId="56" fillId="16" borderId="38" xfId="0" applyNumberFormat="1" applyFont="1" applyFill="1" applyBorder="1" applyAlignment="1">
      <alignment horizontal="center" vertical="center" wrapText="1"/>
    </xf>
    <xf numFmtId="0" fontId="56" fillId="16" borderId="34" xfId="0" applyFont="1" applyFill="1" applyBorder="1" applyAlignment="1">
      <alignment horizontal="center" vertical="center" wrapText="1"/>
    </xf>
    <xf numFmtId="4" fontId="56" fillId="16" borderId="38" xfId="0" applyNumberFormat="1" applyFont="1" applyFill="1" applyBorder="1" applyAlignment="1">
      <alignment horizontal="center" vertical="center" wrapText="1"/>
    </xf>
    <xf numFmtId="10" fontId="56" fillId="16" borderId="34" xfId="0" applyNumberFormat="1" applyFont="1" applyFill="1" applyBorder="1" applyAlignment="1">
      <alignment horizontal="center" vertical="center" wrapText="1"/>
    </xf>
    <xf numFmtId="9" fontId="56" fillId="16" borderId="49" xfId="0" applyNumberFormat="1" applyFont="1" applyFill="1" applyBorder="1" applyAlignment="1">
      <alignment horizontal="center" vertical="center" wrapText="1"/>
    </xf>
    <xf numFmtId="168" fontId="56" fillId="16" borderId="41" xfId="0" applyNumberFormat="1" applyFont="1" applyFill="1" applyBorder="1" applyAlignment="1">
      <alignment horizontal="center" vertical="center" wrapText="1"/>
    </xf>
    <xf numFmtId="0" fontId="56" fillId="16" borderId="42" xfId="0" applyFont="1" applyFill="1" applyBorder="1" applyAlignment="1">
      <alignment horizontal="center" vertical="center" wrapText="1"/>
    </xf>
    <xf numFmtId="4" fontId="56" fillId="16" borderId="41" xfId="0" applyNumberFormat="1" applyFont="1" applyFill="1" applyBorder="1" applyAlignment="1">
      <alignment horizontal="center" vertical="center" wrapText="1"/>
    </xf>
    <xf numFmtId="10" fontId="56" fillId="16" borderId="42" xfId="0" applyNumberFormat="1" applyFont="1" applyFill="1" applyBorder="1" applyAlignment="1">
      <alignment horizontal="center" vertical="center" wrapText="1"/>
    </xf>
    <xf numFmtId="9" fontId="56" fillId="16" borderId="42" xfId="0" applyNumberFormat="1" applyFont="1" applyFill="1" applyBorder="1" applyAlignment="1">
      <alignment horizontal="center" vertical="center" wrapText="1"/>
    </xf>
    <xf numFmtId="168" fontId="56" fillId="16" borderId="45" xfId="0" applyNumberFormat="1" applyFont="1" applyFill="1" applyBorder="1" applyAlignment="1">
      <alignment horizontal="center" vertical="center" wrapText="1"/>
    </xf>
    <xf numFmtId="0" fontId="56" fillId="16" borderId="46" xfId="0" applyFont="1" applyFill="1" applyBorder="1" applyAlignment="1">
      <alignment horizontal="center" vertical="center" wrapText="1"/>
    </xf>
    <xf numFmtId="10" fontId="56" fillId="16" borderId="46" xfId="0" applyNumberFormat="1" applyFont="1" applyFill="1" applyBorder="1" applyAlignment="1">
      <alignment horizontal="center" vertical="center" wrapText="1"/>
    </xf>
    <xf numFmtId="2" fontId="56" fillId="15" borderId="45" xfId="0" applyNumberFormat="1" applyFont="1" applyFill="1" applyBorder="1" applyAlignment="1">
      <alignment horizontal="center" vertical="center" wrapText="1"/>
    </xf>
    <xf numFmtId="0" fontId="56" fillId="16" borderId="47" xfId="0" applyFont="1" applyFill="1" applyBorder="1" applyAlignment="1">
      <alignment horizontal="center" vertical="center" wrapText="1"/>
    </xf>
    <xf numFmtId="4" fontId="56" fillId="16" borderId="47" xfId="0" applyNumberFormat="1" applyFont="1" applyFill="1" applyBorder="1" applyAlignment="1">
      <alignment horizontal="center" vertical="center" wrapText="1"/>
    </xf>
    <xf numFmtId="9" fontId="56" fillId="16" borderId="46" xfId="0" applyNumberFormat="1" applyFont="1" applyFill="1" applyBorder="1" applyAlignment="1">
      <alignment horizontal="center" vertical="center" wrapText="1"/>
    </xf>
    <xf numFmtId="0" fontId="57" fillId="0" borderId="0" xfId="0" applyFont="1" applyAlignment="1">
      <alignment horizontal="right" vertical="center"/>
    </xf>
    <xf numFmtId="3" fontId="57" fillId="15" borderId="45" xfId="0" applyNumberFormat="1" applyFont="1" applyFill="1" applyBorder="1" applyAlignment="1">
      <alignment horizontal="center" vertical="center" wrapText="1"/>
    </xf>
    <xf numFmtId="170" fontId="0" fillId="0" borderId="0" xfId="0" applyNumberFormat="1"/>
    <xf numFmtId="170" fontId="57" fillId="17" borderId="35" xfId="0" applyNumberFormat="1" applyFont="1" applyFill="1" applyBorder="1" applyAlignment="1">
      <alignment horizontal="center" vertical="center" wrapText="1"/>
    </xf>
    <xf numFmtId="170" fontId="56" fillId="0" borderId="0" xfId="0" applyNumberFormat="1" applyFont="1" applyAlignment="1">
      <alignment horizontal="center" vertical="center"/>
    </xf>
    <xf numFmtId="170" fontId="0" fillId="0" borderId="0" xfId="0" applyNumberFormat="1" applyAlignment="1">
      <alignment horizontal="center" vertical="center"/>
    </xf>
    <xf numFmtId="170" fontId="0" fillId="0" borderId="0" xfId="0" applyNumberFormat="1" applyFill="1" applyBorder="1" applyAlignment="1">
      <alignment horizontal="center" vertical="center"/>
    </xf>
    <xf numFmtId="170" fontId="56" fillId="15" borderId="38" xfId="0" applyNumberFormat="1" applyFont="1" applyFill="1" applyBorder="1" applyAlignment="1">
      <alignment horizontal="center" vertical="center"/>
    </xf>
    <xf numFmtId="170" fontId="56" fillId="15" borderId="41" xfId="0" applyNumberFormat="1" applyFont="1" applyFill="1" applyBorder="1" applyAlignment="1">
      <alignment horizontal="center" vertical="center"/>
    </xf>
    <xf numFmtId="170" fontId="56" fillId="15" borderId="45" xfId="0" applyNumberFormat="1" applyFont="1" applyFill="1" applyBorder="1" applyAlignment="1">
      <alignment horizontal="center" vertical="center"/>
    </xf>
    <xf numFmtId="168" fontId="56" fillId="16" borderId="39" xfId="0" applyNumberFormat="1" applyFont="1" applyFill="1" applyBorder="1" applyAlignment="1">
      <alignment horizontal="center" vertical="center" wrapText="1"/>
    </xf>
    <xf numFmtId="168" fontId="56" fillId="16" borderId="43" xfId="0" applyNumberFormat="1" applyFont="1" applyFill="1" applyBorder="1" applyAlignment="1">
      <alignment horizontal="center" vertical="center" wrapText="1"/>
    </xf>
    <xf numFmtId="168" fontId="56" fillId="16" borderId="47" xfId="0" applyNumberFormat="1" applyFont="1" applyFill="1" applyBorder="1" applyAlignment="1">
      <alignment horizontal="center" vertical="center" wrapText="1"/>
    </xf>
    <xf numFmtId="0" fontId="35" fillId="0" borderId="69" xfId="0" applyFont="1" applyBorder="1"/>
    <xf numFmtId="3" fontId="56" fillId="15" borderId="34" xfId="0" applyNumberFormat="1" applyFont="1" applyFill="1" applyBorder="1" applyAlignment="1">
      <alignment horizontal="center" vertical="center" wrapText="1"/>
    </xf>
    <xf numFmtId="1" fontId="56" fillId="16" borderId="41" xfId="0" applyNumberFormat="1" applyFont="1" applyFill="1" applyBorder="1" applyAlignment="1">
      <alignment horizontal="center" vertical="center" wrapText="1"/>
    </xf>
    <xf numFmtId="1" fontId="56" fillId="16" borderId="45" xfId="0" applyNumberFormat="1" applyFont="1" applyFill="1" applyBorder="1" applyAlignment="1">
      <alignment horizontal="center" vertical="center" wrapText="1"/>
    </xf>
    <xf numFmtId="0" fontId="56" fillId="4" borderId="0" xfId="0" applyFont="1" applyFill="1" applyBorder="1" applyAlignment="1">
      <alignment wrapText="1"/>
    </xf>
    <xf numFmtId="4" fontId="56" fillId="16" borderId="49" xfId="0" applyNumberFormat="1" applyFont="1" applyFill="1" applyBorder="1" applyAlignment="1">
      <alignment horizontal="center" vertical="center" wrapText="1"/>
    </xf>
    <xf numFmtId="4" fontId="56" fillId="16" borderId="50" xfId="0" applyNumberFormat="1" applyFont="1" applyFill="1" applyBorder="1" applyAlignment="1">
      <alignment horizontal="center" vertical="center" wrapText="1"/>
    </xf>
    <xf numFmtId="4" fontId="56" fillId="16" borderId="51" xfId="0" applyNumberFormat="1" applyFont="1" applyFill="1" applyBorder="1" applyAlignment="1">
      <alignment horizontal="center" vertical="center" wrapText="1"/>
    </xf>
    <xf numFmtId="3" fontId="56" fillId="16" borderId="43" xfId="0" applyNumberFormat="1" applyFont="1" applyFill="1" applyBorder="1" applyAlignment="1">
      <alignment horizontal="center" vertical="center" wrapText="1"/>
    </xf>
    <xf numFmtId="3" fontId="56" fillId="16" borderId="47" xfId="0" applyNumberFormat="1" applyFont="1" applyFill="1" applyBorder="1" applyAlignment="1">
      <alignment horizontal="center" vertical="center" wrapText="1"/>
    </xf>
    <xf numFmtId="171" fontId="56" fillId="15" borderId="34" xfId="0" applyNumberFormat="1" applyFont="1" applyFill="1" applyBorder="1" applyAlignment="1">
      <alignment horizontal="center" vertical="center" wrapText="1"/>
    </xf>
    <xf numFmtId="171" fontId="56" fillId="15" borderId="42" xfId="0" applyNumberFormat="1" applyFont="1" applyFill="1" applyBorder="1" applyAlignment="1">
      <alignment horizontal="center" vertical="center" wrapText="1"/>
    </xf>
    <xf numFmtId="171" fontId="56" fillId="15" borderId="46" xfId="0" applyNumberFormat="1" applyFont="1" applyFill="1" applyBorder="1" applyAlignment="1">
      <alignment horizontal="center" vertical="center" wrapText="1"/>
    </xf>
    <xf numFmtId="2" fontId="0" fillId="0" borderId="0" xfId="0" applyNumberFormat="1" applyFont="1"/>
    <xf numFmtId="2" fontId="57" fillId="17" borderId="35" xfId="0" applyNumberFormat="1" applyFont="1" applyFill="1" applyBorder="1" applyAlignment="1">
      <alignment horizontal="center" vertical="center" wrapText="1"/>
    </xf>
    <xf numFmtId="2" fontId="56" fillId="16" borderId="41" xfId="0" applyNumberFormat="1" applyFont="1" applyFill="1" applyBorder="1" applyAlignment="1">
      <alignment horizontal="center" vertical="center" wrapText="1"/>
    </xf>
    <xf numFmtId="2" fontId="56" fillId="16" borderId="52" xfId="0" applyNumberFormat="1" applyFont="1" applyFill="1" applyBorder="1" applyAlignment="1">
      <alignment horizontal="center" vertical="center" wrapText="1"/>
    </xf>
    <xf numFmtId="2" fontId="56" fillId="16" borderId="45" xfId="0" applyNumberFormat="1" applyFont="1" applyFill="1" applyBorder="1" applyAlignment="1">
      <alignment horizontal="center" vertical="center" wrapText="1"/>
    </xf>
    <xf numFmtId="2" fontId="72" fillId="0" borderId="11" xfId="0" applyNumberFormat="1" applyFont="1" applyBorder="1"/>
    <xf numFmtId="2" fontId="73" fillId="0" borderId="11" xfId="0" applyNumberFormat="1" applyFont="1" applyBorder="1"/>
    <xf numFmtId="168" fontId="70" fillId="16" borderId="35" xfId="0" applyNumberFormat="1" applyFont="1" applyFill="1" applyBorder="1" applyAlignment="1">
      <alignment horizontal="left" wrapText="1"/>
    </xf>
    <xf numFmtId="3" fontId="56" fillId="16" borderId="1" xfId="0" applyNumberFormat="1" applyFont="1" applyFill="1" applyBorder="1" applyAlignment="1">
      <alignment horizontal="center" vertical="center" wrapText="1"/>
    </xf>
    <xf numFmtId="170" fontId="56" fillId="16" borderId="1" xfId="0" applyNumberFormat="1" applyFont="1" applyFill="1" applyBorder="1" applyAlignment="1">
      <alignment horizontal="center" vertical="center" wrapText="1"/>
    </xf>
    <xf numFmtId="0" fontId="56" fillId="4" borderId="1" xfId="0" applyFont="1" applyFill="1" applyBorder="1" applyAlignment="1">
      <alignment wrapText="1"/>
    </xf>
    <xf numFmtId="170" fontId="56" fillId="16" borderId="65" xfId="0" applyNumberFormat="1" applyFont="1" applyFill="1" applyBorder="1" applyAlignment="1">
      <alignment horizontal="center" vertical="center" wrapText="1"/>
    </xf>
    <xf numFmtId="0" fontId="74" fillId="0" borderId="0" xfId="0" applyFont="1" applyAlignment="1">
      <alignment wrapText="1"/>
    </xf>
    <xf numFmtId="0" fontId="74" fillId="0" borderId="19" xfId="0" applyFont="1" applyBorder="1"/>
    <xf numFmtId="0" fontId="35" fillId="0" borderId="0" xfId="0" applyFont="1" applyAlignment="1">
      <alignment wrapText="1"/>
    </xf>
    <xf numFmtId="0" fontId="75" fillId="0" borderId="0" xfId="0" applyFont="1" applyFill="1" applyBorder="1" applyAlignment="1">
      <alignment vertical="center" wrapText="1"/>
    </xf>
    <xf numFmtId="0" fontId="0" fillId="23" borderId="1" xfId="0" applyFill="1" applyBorder="1" applyAlignment="1">
      <alignment wrapText="1"/>
    </xf>
    <xf numFmtId="2" fontId="0" fillId="23" borderId="1" xfId="0" applyNumberFormat="1" applyFont="1" applyFill="1" applyBorder="1" applyAlignment="1">
      <alignment wrapText="1"/>
    </xf>
    <xf numFmtId="170" fontId="35" fillId="0" borderId="35" xfId="0" applyNumberFormat="1" applyFont="1" applyBorder="1" applyAlignment="1">
      <alignment wrapText="1"/>
    </xf>
    <xf numFmtId="170" fontId="35" fillId="0" borderId="2" xfId="0" applyNumberFormat="1" applyFont="1" applyBorder="1" applyAlignment="1">
      <alignment wrapText="1"/>
    </xf>
    <xf numFmtId="170" fontId="35" fillId="0" borderId="60" xfId="0" applyNumberFormat="1" applyFont="1" applyBorder="1" applyAlignment="1">
      <alignment wrapText="1"/>
    </xf>
    <xf numFmtId="0" fontId="76" fillId="0" borderId="19" xfId="0" applyFont="1" applyBorder="1"/>
    <xf numFmtId="0" fontId="76" fillId="0" borderId="0" xfId="0" applyFont="1" applyBorder="1"/>
    <xf numFmtId="0" fontId="76" fillId="0" borderId="0" xfId="0" applyFont="1" applyBorder="1" applyAlignment="1"/>
    <xf numFmtId="0" fontId="77" fillId="0" borderId="0" xfId="0" applyFont="1"/>
    <xf numFmtId="0" fontId="76" fillId="0" borderId="0" xfId="0" applyFont="1" applyBorder="1" applyAlignment="1">
      <alignment horizontal="center"/>
    </xf>
    <xf numFmtId="169" fontId="76" fillId="0" borderId="0" xfId="282" applyNumberFormat="1" applyFont="1" applyBorder="1" applyAlignment="1"/>
    <xf numFmtId="169" fontId="76" fillId="0" borderId="19" xfId="282" applyNumberFormat="1" applyFont="1" applyBorder="1"/>
    <xf numFmtId="0" fontId="68" fillId="12" borderId="0" xfId="0" applyFont="1" applyFill="1"/>
    <xf numFmtId="170" fontId="70" fillId="16" borderId="35" xfId="0" applyNumberFormat="1" applyFont="1" applyFill="1" applyBorder="1" applyAlignment="1">
      <alignment horizontal="center" wrapText="1"/>
    </xf>
    <xf numFmtId="168" fontId="70" fillId="16" borderId="2" xfId="0" applyNumberFormat="1" applyFont="1" applyFill="1" applyBorder="1" applyAlignment="1">
      <alignment horizontal="left" wrapText="1"/>
    </xf>
    <xf numFmtId="0" fontId="10" fillId="0" borderId="0" xfId="283"/>
    <xf numFmtId="0" fontId="78" fillId="0" borderId="0" xfId="283" applyFont="1"/>
    <xf numFmtId="0" fontId="40" fillId="0" borderId="0" xfId="283" applyFont="1"/>
    <xf numFmtId="0" fontId="10" fillId="0" borderId="0" xfId="283" applyFont="1"/>
    <xf numFmtId="0" fontId="40" fillId="0" borderId="3" xfId="283" applyFont="1" applyBorder="1"/>
    <xf numFmtId="0" fontId="10" fillId="0" borderId="48" xfId="283" applyBorder="1"/>
    <xf numFmtId="0" fontId="10" fillId="0" borderId="36" xfId="283" applyBorder="1"/>
    <xf numFmtId="0" fontId="40" fillId="0" borderId="22" xfId="283" applyFont="1" applyBorder="1"/>
    <xf numFmtId="0" fontId="10" fillId="0" borderId="0" xfId="283" applyBorder="1"/>
    <xf numFmtId="0" fontId="10" fillId="0" borderId="58" xfId="283" applyBorder="1"/>
    <xf numFmtId="0" fontId="78" fillId="0" borderId="3" xfId="283" applyFont="1" applyBorder="1"/>
    <xf numFmtId="0" fontId="78" fillId="0" borderId="22" xfId="283" applyFont="1" applyBorder="1"/>
    <xf numFmtId="0" fontId="78" fillId="0" borderId="5" xfId="283" applyFont="1" applyBorder="1"/>
    <xf numFmtId="0" fontId="10" fillId="0" borderId="30" xfId="283" applyBorder="1"/>
    <xf numFmtId="0" fontId="10" fillId="0" borderId="59" xfId="283" applyBorder="1"/>
    <xf numFmtId="0" fontId="78" fillId="0" borderId="48" xfId="283" applyFont="1" applyBorder="1"/>
    <xf numFmtId="0" fontId="10" fillId="0" borderId="36" xfId="283" applyFont="1" applyBorder="1"/>
    <xf numFmtId="0" fontId="78" fillId="0" borderId="0" xfId="283" applyFont="1" applyBorder="1"/>
    <xf numFmtId="0" fontId="10" fillId="0" borderId="58" xfId="283" applyFont="1" applyBorder="1"/>
    <xf numFmtId="0" fontId="78" fillId="0" borderId="30" xfId="283" applyFont="1" applyBorder="1"/>
    <xf numFmtId="0" fontId="10" fillId="0" borderId="59" xfId="283" applyFont="1" applyBorder="1"/>
    <xf numFmtId="0" fontId="78" fillId="0" borderId="3" xfId="283" applyFont="1" applyFill="1" applyBorder="1"/>
    <xf numFmtId="0" fontId="78" fillId="0" borderId="5" xfId="283" applyFont="1" applyFill="1" applyBorder="1"/>
    <xf numFmtId="0" fontId="78" fillId="0" borderId="0" xfId="283" applyFont="1" applyFill="1" applyBorder="1"/>
    <xf numFmtId="168" fontId="79" fillId="16" borderId="38" xfId="0" applyNumberFormat="1" applyFont="1" applyFill="1" applyBorder="1" applyAlignment="1">
      <alignment horizontal="center" vertical="center" wrapText="1"/>
    </xf>
    <xf numFmtId="3" fontId="79" fillId="16" borderId="39" xfId="0" applyNumberFormat="1" applyFont="1" applyFill="1" applyBorder="1" applyAlignment="1">
      <alignment horizontal="center" vertical="center" wrapText="1"/>
    </xf>
    <xf numFmtId="0" fontId="79" fillId="16" borderId="34" xfId="0" applyFont="1" applyFill="1" applyBorder="1" applyAlignment="1">
      <alignment horizontal="center" vertical="center" wrapText="1"/>
    </xf>
    <xf numFmtId="3" fontId="79" fillId="15" borderId="38" xfId="0" applyNumberFormat="1" applyFont="1" applyFill="1" applyBorder="1" applyAlignment="1">
      <alignment horizontal="center" vertical="center" wrapText="1"/>
    </xf>
    <xf numFmtId="4" fontId="79" fillId="16" borderId="38" xfId="0" applyNumberFormat="1" applyFont="1" applyFill="1" applyBorder="1" applyAlignment="1">
      <alignment horizontal="center" vertical="center" wrapText="1"/>
    </xf>
    <xf numFmtId="10" fontId="79" fillId="16" borderId="34" xfId="0" applyNumberFormat="1" applyFont="1" applyFill="1" applyBorder="1" applyAlignment="1">
      <alignment horizontal="center" vertical="center" wrapText="1"/>
    </xf>
    <xf numFmtId="2" fontId="79" fillId="15" borderId="38" xfId="0" applyNumberFormat="1" applyFont="1" applyFill="1" applyBorder="1" applyAlignment="1">
      <alignment horizontal="center" vertical="center" wrapText="1"/>
    </xf>
    <xf numFmtId="0" fontId="79" fillId="16" borderId="39" xfId="0" applyFont="1" applyFill="1" applyBorder="1" applyAlignment="1">
      <alignment horizontal="center" vertical="center" wrapText="1"/>
    </xf>
    <xf numFmtId="164" fontId="79" fillId="15" borderId="34" xfId="0" applyNumberFormat="1" applyFont="1" applyFill="1" applyBorder="1" applyAlignment="1" applyProtection="1">
      <alignment horizontal="center" vertical="center"/>
      <protection hidden="1"/>
    </xf>
    <xf numFmtId="4" fontId="79" fillId="16" borderId="39" xfId="0" applyNumberFormat="1" applyFont="1" applyFill="1" applyBorder="1" applyAlignment="1">
      <alignment horizontal="center" vertical="center" wrapText="1"/>
    </xf>
    <xf numFmtId="9" fontId="79" fillId="16" borderId="39" xfId="0" applyNumberFormat="1" applyFont="1" applyFill="1" applyBorder="1" applyAlignment="1">
      <alignment horizontal="center" vertical="center" wrapText="1"/>
    </xf>
    <xf numFmtId="3" fontId="79" fillId="15" borderId="40" xfId="0" applyNumberFormat="1" applyFont="1" applyFill="1" applyBorder="1" applyAlignment="1">
      <alignment horizontal="center" vertical="center" wrapText="1"/>
    </xf>
    <xf numFmtId="168" fontId="79" fillId="16" borderId="41" xfId="0" applyNumberFormat="1" applyFont="1" applyFill="1" applyBorder="1" applyAlignment="1">
      <alignment horizontal="center" vertical="center" wrapText="1"/>
    </xf>
    <xf numFmtId="3" fontId="79" fillId="16" borderId="43" xfId="0" applyNumberFormat="1" applyFont="1" applyFill="1" applyBorder="1" applyAlignment="1">
      <alignment horizontal="center" vertical="center" wrapText="1"/>
    </xf>
    <xf numFmtId="0" fontId="79" fillId="16" borderId="42" xfId="0" applyFont="1" applyFill="1" applyBorder="1" applyAlignment="1">
      <alignment horizontal="center" vertical="center" wrapText="1"/>
    </xf>
    <xf numFmtId="3" fontId="79" fillId="15" borderId="41" xfId="0" applyNumberFormat="1" applyFont="1" applyFill="1" applyBorder="1" applyAlignment="1">
      <alignment horizontal="center" vertical="center" wrapText="1"/>
    </xf>
    <xf numFmtId="4" fontId="79" fillId="16" borderId="41" xfId="0" applyNumberFormat="1" applyFont="1" applyFill="1" applyBorder="1" applyAlignment="1">
      <alignment horizontal="center" vertical="center" wrapText="1"/>
    </xf>
    <xf numFmtId="10" fontId="79" fillId="16" borderId="42" xfId="0" applyNumberFormat="1" applyFont="1" applyFill="1" applyBorder="1" applyAlignment="1">
      <alignment horizontal="center" vertical="center" wrapText="1"/>
    </xf>
    <xf numFmtId="2" fontId="79" fillId="15" borderId="41" xfId="0" applyNumberFormat="1" applyFont="1" applyFill="1" applyBorder="1" applyAlignment="1">
      <alignment horizontal="center" vertical="center" wrapText="1"/>
    </xf>
    <xf numFmtId="0" fontId="79" fillId="16" borderId="43" xfId="0" applyFont="1" applyFill="1" applyBorder="1" applyAlignment="1">
      <alignment horizontal="center" vertical="center" wrapText="1"/>
    </xf>
    <xf numFmtId="164" fontId="79" fillId="15" borderId="42" xfId="0" applyNumberFormat="1" applyFont="1" applyFill="1" applyBorder="1" applyAlignment="1" applyProtection="1">
      <alignment horizontal="center" vertical="center"/>
      <protection hidden="1"/>
    </xf>
    <xf numFmtId="4" fontId="79" fillId="16" borderId="43" xfId="0" applyNumberFormat="1" applyFont="1" applyFill="1" applyBorder="1" applyAlignment="1">
      <alignment horizontal="center" vertical="center" wrapText="1"/>
    </xf>
    <xf numFmtId="9" fontId="79" fillId="16" borderId="43" xfId="0" applyNumberFormat="1" applyFont="1" applyFill="1" applyBorder="1" applyAlignment="1">
      <alignment horizontal="center" vertical="center" wrapText="1"/>
    </xf>
    <xf numFmtId="3" fontId="79" fillId="15" borderId="44" xfId="0" applyNumberFormat="1" applyFont="1" applyFill="1" applyBorder="1" applyAlignment="1">
      <alignment horizontal="center" vertical="center" wrapText="1"/>
    </xf>
    <xf numFmtId="0" fontId="79" fillId="16" borderId="38" xfId="0" applyFont="1" applyFill="1" applyBorder="1" applyAlignment="1">
      <alignment horizontal="center" vertical="center" wrapText="1"/>
    </xf>
    <xf numFmtId="0" fontId="79" fillId="16" borderId="49" xfId="0" applyFont="1" applyFill="1" applyBorder="1" applyAlignment="1">
      <alignment horizontal="center" vertical="center" wrapText="1"/>
    </xf>
    <xf numFmtId="0" fontId="79" fillId="16" borderId="41" xfId="0" applyFont="1" applyFill="1" applyBorder="1" applyAlignment="1">
      <alignment horizontal="center" vertical="center" wrapText="1"/>
    </xf>
    <xf numFmtId="0" fontId="79" fillId="16" borderId="50" xfId="0" applyFont="1" applyFill="1" applyBorder="1" applyAlignment="1">
      <alignment horizontal="center" vertical="center" wrapText="1"/>
    </xf>
    <xf numFmtId="170" fontId="57" fillId="15" borderId="60" xfId="0" applyNumberFormat="1" applyFont="1" applyFill="1" applyBorder="1" applyAlignment="1">
      <alignment horizontal="center" vertical="center" wrapText="1"/>
    </xf>
    <xf numFmtId="170" fontId="79" fillId="16" borderId="41" xfId="0" applyNumberFormat="1" applyFont="1" applyFill="1" applyBorder="1" applyAlignment="1">
      <alignment horizontal="center" vertical="center" wrapText="1"/>
    </xf>
    <xf numFmtId="2" fontId="79" fillId="16" borderId="41" xfId="0" applyNumberFormat="1" applyFont="1" applyFill="1" applyBorder="1" applyAlignment="1">
      <alignment horizontal="center" vertical="center" wrapText="1"/>
    </xf>
    <xf numFmtId="170" fontId="79" fillId="15" borderId="41" xfId="0" applyNumberFormat="1" applyFont="1" applyFill="1" applyBorder="1" applyAlignment="1">
      <alignment horizontal="center" vertical="center" wrapText="1"/>
    </xf>
    <xf numFmtId="3" fontId="56" fillId="16" borderId="35" xfId="0" applyNumberFormat="1" applyFont="1" applyFill="1" applyBorder="1" applyAlignment="1">
      <alignment horizontal="center" vertical="center" wrapText="1"/>
    </xf>
    <xf numFmtId="168" fontId="70" fillId="16" borderId="61" xfId="0" applyNumberFormat="1" applyFont="1" applyFill="1" applyBorder="1" applyAlignment="1">
      <alignment horizontal="left"/>
    </xf>
    <xf numFmtId="168" fontId="70" fillId="16" borderId="4" xfId="0" applyNumberFormat="1" applyFont="1" applyFill="1" applyBorder="1" applyAlignment="1">
      <alignment horizontal="left"/>
    </xf>
    <xf numFmtId="164" fontId="56" fillId="15" borderId="1" xfId="0" applyNumberFormat="1" applyFont="1" applyFill="1" applyBorder="1" applyAlignment="1" applyProtection="1">
      <alignment horizontal="center" vertical="center"/>
      <protection hidden="1"/>
    </xf>
    <xf numFmtId="0" fontId="78" fillId="5" borderId="0" xfId="283" applyFont="1" applyFill="1"/>
    <xf numFmtId="0" fontId="40" fillId="5" borderId="0" xfId="283" applyFont="1" applyFill="1"/>
    <xf numFmtId="0" fontId="35" fillId="0" borderId="4" xfId="0" applyFont="1" applyBorder="1" applyAlignment="1">
      <alignment wrapText="1"/>
    </xf>
    <xf numFmtId="170" fontId="35" fillId="0" borderId="48" xfId="0" applyNumberFormat="1" applyFont="1" applyBorder="1"/>
    <xf numFmtId="170" fontId="35" fillId="0" borderId="0" xfId="0" applyNumberFormat="1" applyFont="1" applyBorder="1"/>
    <xf numFmtId="0" fontId="0" fillId="22" borderId="0" xfId="0" applyFont="1" applyFill="1" applyBorder="1" applyAlignment="1">
      <alignment wrapText="1"/>
    </xf>
    <xf numFmtId="0" fontId="71" fillId="22" borderId="0" xfId="0" applyFont="1" applyFill="1" applyBorder="1" applyAlignment="1">
      <alignment wrapText="1"/>
    </xf>
    <xf numFmtId="0" fontId="0" fillId="0" borderId="1" xfId="0" applyBorder="1"/>
    <xf numFmtId="170" fontId="0" fillId="0" borderId="1" xfId="0" applyNumberFormat="1" applyBorder="1"/>
    <xf numFmtId="0" fontId="80" fillId="4" borderId="41" xfId="0" applyFont="1" applyFill="1" applyBorder="1" applyAlignment="1">
      <alignment vertical="center" wrapText="1"/>
    </xf>
    <xf numFmtId="0" fontId="80" fillId="4" borderId="52" xfId="0" applyFont="1" applyFill="1" applyBorder="1" applyAlignment="1">
      <alignment vertical="center" wrapText="1"/>
    </xf>
    <xf numFmtId="0" fontId="80" fillId="4" borderId="45" xfId="0" applyFont="1" applyFill="1" applyBorder="1" applyAlignment="1">
      <alignment vertical="center" wrapText="1"/>
    </xf>
    <xf numFmtId="0" fontId="80" fillId="4" borderId="0" xfId="0" applyFont="1" applyFill="1" applyBorder="1" applyAlignment="1">
      <alignment vertical="center" wrapText="1"/>
    </xf>
    <xf numFmtId="0" fontId="58" fillId="17" borderId="65" xfId="0" applyFont="1" applyFill="1" applyBorder="1" applyAlignment="1">
      <alignment horizontal="center" vertical="center" wrapText="1"/>
    </xf>
    <xf numFmtId="0" fontId="80" fillId="16" borderId="43" xfId="0" applyFont="1" applyFill="1" applyBorder="1" applyAlignment="1">
      <alignment horizontal="center" vertical="center" wrapText="1"/>
    </xf>
    <xf numFmtId="0" fontId="80" fillId="16" borderId="47" xfId="0" applyFont="1" applyFill="1" applyBorder="1" applyAlignment="1">
      <alignment horizontal="center" vertical="center" wrapText="1"/>
    </xf>
    <xf numFmtId="0" fontId="10" fillId="5" borderId="0" xfId="283" applyFont="1" applyFill="1"/>
    <xf numFmtId="0" fontId="10" fillId="5" borderId="0" xfId="283" applyFill="1"/>
    <xf numFmtId="0" fontId="77" fillId="0" borderId="0" xfId="0" applyFont="1" applyFill="1" applyBorder="1" applyAlignment="1">
      <alignment wrapText="1"/>
    </xf>
    <xf numFmtId="0" fontId="77" fillId="0" borderId="0" xfId="0" applyFont="1" applyAlignment="1">
      <alignment wrapText="1"/>
    </xf>
    <xf numFmtId="4" fontId="10" fillId="5" borderId="0" xfId="283" applyNumberFormat="1" applyFill="1"/>
    <xf numFmtId="4" fontId="10" fillId="0" borderId="0" xfId="283" applyNumberFormat="1"/>
    <xf numFmtId="15" fontId="71" fillId="0" borderId="0" xfId="0" applyNumberFormat="1" applyFont="1"/>
    <xf numFmtId="1" fontId="79" fillId="16" borderId="41" xfId="0" applyNumberFormat="1" applyFont="1" applyFill="1" applyBorder="1" applyAlignment="1">
      <alignment horizontal="center" vertical="center" wrapText="1"/>
    </xf>
    <xf numFmtId="170" fontId="79" fillId="15" borderId="41" xfId="0" applyNumberFormat="1" applyFont="1" applyFill="1" applyBorder="1" applyAlignment="1">
      <alignment horizontal="center" vertical="center"/>
    </xf>
    <xf numFmtId="0" fontId="79" fillId="16" borderId="43" xfId="0" applyFont="1" applyFill="1" applyBorder="1" applyAlignment="1">
      <alignment horizontal="center" vertical="center"/>
    </xf>
    <xf numFmtId="4" fontId="79" fillId="16" borderId="50" xfId="0" applyNumberFormat="1" applyFont="1" applyFill="1" applyBorder="1" applyAlignment="1">
      <alignment horizontal="center" vertical="center" wrapText="1"/>
    </xf>
    <xf numFmtId="171" fontId="79" fillId="15" borderId="42" xfId="0" applyNumberFormat="1" applyFont="1" applyFill="1" applyBorder="1" applyAlignment="1">
      <alignment horizontal="center" vertical="center" wrapText="1"/>
    </xf>
    <xf numFmtId="9" fontId="79" fillId="16" borderId="41" xfId="0" applyNumberFormat="1" applyFont="1" applyFill="1" applyBorder="1" applyAlignment="1">
      <alignment horizontal="center" vertical="center" wrapText="1"/>
    </xf>
    <xf numFmtId="0" fontId="71" fillId="5" borderId="0" xfId="283" applyFont="1" applyFill="1"/>
    <xf numFmtId="170" fontId="77" fillId="0" borderId="0" xfId="0" applyNumberFormat="1" applyFont="1"/>
    <xf numFmtId="169" fontId="65" fillId="0" borderId="0" xfId="282" applyNumberFormat="1" applyFont="1" applyBorder="1" applyAlignment="1">
      <alignment vertical="center"/>
    </xf>
    <xf numFmtId="0" fontId="65" fillId="0" borderId="24" xfId="0" applyFont="1" applyBorder="1" applyAlignment="1">
      <alignment vertical="center"/>
    </xf>
    <xf numFmtId="169" fontId="65" fillId="0" borderId="19" xfId="282" applyNumberFormat="1" applyFont="1" applyBorder="1" applyAlignment="1">
      <alignment vertical="center"/>
    </xf>
    <xf numFmtId="0" fontId="80" fillId="0" borderId="0" xfId="0" applyFont="1" applyFill="1" applyBorder="1" applyAlignment="1">
      <alignment horizontal="center" vertical="center" wrapText="1"/>
    </xf>
    <xf numFmtId="0" fontId="81" fillId="0" borderId="62" xfId="0" applyFont="1" applyBorder="1" applyAlignment="1">
      <alignment wrapText="1"/>
    </xf>
    <xf numFmtId="170" fontId="45" fillId="16" borderId="65" xfId="0" applyNumberFormat="1" applyFont="1" applyFill="1" applyBorder="1" applyAlignment="1">
      <alignment horizontal="center" wrapText="1"/>
    </xf>
    <xf numFmtId="168" fontId="82" fillId="16" borderId="41" xfId="0" applyNumberFormat="1" applyFont="1" applyFill="1" applyBorder="1" applyAlignment="1">
      <alignment horizontal="center" vertical="center" wrapText="1"/>
    </xf>
    <xf numFmtId="3" fontId="82" fillId="16" borderId="43" xfId="0" applyNumberFormat="1" applyFont="1" applyFill="1" applyBorder="1" applyAlignment="1">
      <alignment horizontal="center" vertical="center" wrapText="1"/>
    </xf>
    <xf numFmtId="0" fontId="82" fillId="16" borderId="42" xfId="0" applyFont="1" applyFill="1" applyBorder="1" applyAlignment="1">
      <alignment horizontal="center" vertical="center" wrapText="1"/>
    </xf>
    <xf numFmtId="3" fontId="82" fillId="15" borderId="41" xfId="0" applyNumberFormat="1" applyFont="1" applyFill="1" applyBorder="1" applyAlignment="1">
      <alignment horizontal="center" vertical="center" wrapText="1"/>
    </xf>
    <xf numFmtId="4" fontId="82" fillId="16" borderId="41" xfId="0" applyNumberFormat="1" applyFont="1" applyFill="1" applyBorder="1" applyAlignment="1">
      <alignment horizontal="center" vertical="center" wrapText="1"/>
    </xf>
    <xf numFmtId="10" fontId="82" fillId="16" borderId="42" xfId="0" applyNumberFormat="1" applyFont="1" applyFill="1" applyBorder="1" applyAlignment="1">
      <alignment horizontal="center" vertical="center" wrapText="1"/>
    </xf>
    <xf numFmtId="2" fontId="82" fillId="15" borderId="41" xfId="0" applyNumberFormat="1" applyFont="1" applyFill="1" applyBorder="1" applyAlignment="1">
      <alignment horizontal="center" vertical="center" wrapText="1"/>
    </xf>
    <xf numFmtId="0" fontId="82" fillId="16" borderId="43" xfId="0" applyFont="1" applyFill="1" applyBorder="1" applyAlignment="1">
      <alignment horizontal="center" vertical="center" wrapText="1"/>
    </xf>
    <xf numFmtId="164" fontId="82" fillId="15" borderId="42" xfId="0" applyNumberFormat="1" applyFont="1" applyFill="1" applyBorder="1" applyAlignment="1" applyProtection="1">
      <alignment horizontal="center" vertical="center"/>
      <protection hidden="1"/>
    </xf>
    <xf numFmtId="4" fontId="82" fillId="16" borderId="43" xfId="0" applyNumberFormat="1" applyFont="1" applyFill="1" applyBorder="1" applyAlignment="1">
      <alignment horizontal="center" vertical="center" wrapText="1"/>
    </xf>
    <xf numFmtId="9" fontId="82" fillId="16" borderId="43" xfId="0" applyNumberFormat="1" applyFont="1" applyFill="1" applyBorder="1" applyAlignment="1">
      <alignment horizontal="center" vertical="center" wrapText="1"/>
    </xf>
    <xf numFmtId="0" fontId="82" fillId="16" borderId="50" xfId="0" applyFont="1" applyFill="1" applyBorder="1" applyAlignment="1">
      <alignment horizontal="center" vertical="center" wrapText="1"/>
    </xf>
    <xf numFmtId="170" fontId="82" fillId="16" borderId="41" xfId="0" applyNumberFormat="1" applyFont="1" applyFill="1" applyBorder="1" applyAlignment="1">
      <alignment horizontal="center" vertical="center" wrapText="1"/>
    </xf>
    <xf numFmtId="2" fontId="82" fillId="16" borderId="41" xfId="0" applyNumberFormat="1" applyFont="1" applyFill="1" applyBorder="1" applyAlignment="1">
      <alignment horizontal="center" vertical="center" wrapText="1"/>
    </xf>
    <xf numFmtId="3" fontId="82" fillId="16" borderId="41" xfId="0" applyNumberFormat="1" applyFont="1" applyFill="1" applyBorder="1" applyAlignment="1">
      <alignment horizontal="center" vertical="center" wrapText="1"/>
    </xf>
    <xf numFmtId="170" fontId="82" fillId="15" borderId="41" xfId="0" applyNumberFormat="1" applyFont="1" applyFill="1" applyBorder="1" applyAlignment="1">
      <alignment horizontal="center" vertical="center" wrapText="1"/>
    </xf>
    <xf numFmtId="170" fontId="82" fillId="16" borderId="52" xfId="0" applyNumberFormat="1" applyFont="1" applyFill="1" applyBorder="1" applyAlignment="1">
      <alignment horizontal="center" vertical="center" wrapText="1"/>
    </xf>
    <xf numFmtId="0" fontId="82" fillId="16" borderId="13" xfId="0" applyFont="1" applyFill="1" applyBorder="1" applyAlignment="1">
      <alignment horizontal="center" vertical="center" wrapText="1"/>
    </xf>
    <xf numFmtId="170" fontId="82" fillId="15" borderId="52" xfId="0" applyNumberFormat="1" applyFont="1" applyFill="1" applyBorder="1" applyAlignment="1">
      <alignment horizontal="center" vertical="center" wrapText="1"/>
    </xf>
    <xf numFmtId="2" fontId="82" fillId="16" borderId="52" xfId="0" applyNumberFormat="1" applyFont="1" applyFill="1" applyBorder="1" applyAlignment="1">
      <alignment horizontal="center" vertical="center" wrapText="1"/>
    </xf>
    <xf numFmtId="0" fontId="0" fillId="0" borderId="1" xfId="0" applyFont="1" applyBorder="1"/>
    <xf numFmtId="3" fontId="56" fillId="15" borderId="36" xfId="0" applyNumberFormat="1" applyFont="1" applyFill="1" applyBorder="1" applyAlignment="1">
      <alignment horizontal="center" vertical="center" wrapText="1"/>
    </xf>
    <xf numFmtId="3" fontId="56" fillId="15" borderId="35" xfId="0" applyNumberFormat="1" applyFont="1" applyFill="1" applyBorder="1" applyAlignment="1">
      <alignment horizontal="center" vertical="center" wrapText="1"/>
    </xf>
    <xf numFmtId="9" fontId="56" fillId="16" borderId="36" xfId="0" applyNumberFormat="1" applyFont="1" applyFill="1" applyBorder="1" applyAlignment="1">
      <alignment horizontal="center" vertical="center" wrapText="1"/>
    </xf>
    <xf numFmtId="9" fontId="56" fillId="16" borderId="35" xfId="0" applyNumberFormat="1" applyFont="1" applyFill="1" applyBorder="1" applyAlignment="1">
      <alignment horizontal="center" vertical="center" wrapText="1"/>
    </xf>
    <xf numFmtId="3" fontId="56" fillId="15" borderId="43" xfId="0" applyNumberFormat="1" applyFont="1" applyFill="1" applyBorder="1" applyAlignment="1">
      <alignment horizontal="center" vertical="center" wrapText="1"/>
    </xf>
    <xf numFmtId="170" fontId="71" fillId="0" borderId="0" xfId="0" applyNumberFormat="1" applyFont="1"/>
    <xf numFmtId="170" fontId="45" fillId="16" borderId="1" xfId="0" applyNumberFormat="1" applyFont="1" applyFill="1" applyBorder="1" applyAlignment="1">
      <alignment horizontal="center" wrapText="1"/>
    </xf>
    <xf numFmtId="170" fontId="45" fillId="16" borderId="38" xfId="0" applyNumberFormat="1" applyFont="1" applyFill="1" applyBorder="1" applyAlignment="1">
      <alignment horizontal="center" wrapText="1"/>
    </xf>
    <xf numFmtId="170" fontId="45" fillId="16" borderId="41" xfId="0" applyNumberFormat="1" applyFont="1" applyFill="1" applyBorder="1" applyAlignment="1">
      <alignment horizontal="center" wrapText="1"/>
    </xf>
    <xf numFmtId="170" fontId="45" fillId="16" borderId="45" xfId="0" applyNumberFormat="1" applyFont="1" applyFill="1" applyBorder="1" applyAlignment="1">
      <alignment horizontal="center" wrapText="1"/>
    </xf>
    <xf numFmtId="169" fontId="0" fillId="0" borderId="1" xfId="0" applyNumberFormat="1" applyBorder="1"/>
    <xf numFmtId="44" fontId="0" fillId="0" borderId="0" xfId="282" applyFont="1"/>
    <xf numFmtId="44" fontId="0" fillId="0" borderId="0" xfId="0" applyNumberFormat="1"/>
    <xf numFmtId="44" fontId="0" fillId="0" borderId="1" xfId="0" applyNumberFormat="1" applyBorder="1"/>
    <xf numFmtId="44" fontId="71" fillId="0" borderId="0" xfId="282" applyFont="1"/>
    <xf numFmtId="44" fontId="74" fillId="0" borderId="1" xfId="0" applyNumberFormat="1" applyFont="1" applyBorder="1"/>
    <xf numFmtId="4" fontId="68" fillId="5" borderId="0" xfId="283" applyNumberFormat="1" applyFont="1" applyFill="1"/>
    <xf numFmtId="2" fontId="54" fillId="0" borderId="0" xfId="0" applyNumberFormat="1" applyFont="1" applyFill="1" applyBorder="1" applyAlignment="1">
      <alignment vertical="center"/>
    </xf>
    <xf numFmtId="2" fontId="54" fillId="0" borderId="0" xfId="0" applyNumberFormat="1" applyFont="1" applyFill="1" applyBorder="1" applyAlignment="1">
      <alignment horizontal="right" vertical="center"/>
    </xf>
    <xf numFmtId="0" fontId="20" fillId="0" borderId="0" xfId="0" applyFont="1" applyFill="1" applyBorder="1" applyAlignment="1">
      <alignment vertical="center"/>
    </xf>
    <xf numFmtId="0" fontId="35" fillId="0" borderId="0" xfId="0" applyFont="1" applyFill="1" applyAlignment="1">
      <alignment vertical="center"/>
    </xf>
    <xf numFmtId="10" fontId="56" fillId="16" borderId="49" xfId="0" applyNumberFormat="1" applyFont="1" applyFill="1" applyBorder="1" applyAlignment="1">
      <alignment horizontal="center" vertical="center" wrapText="1"/>
    </xf>
    <xf numFmtId="10" fontId="56" fillId="16" borderId="50" xfId="0" applyNumberFormat="1" applyFont="1" applyFill="1" applyBorder="1" applyAlignment="1">
      <alignment horizontal="center" vertical="center" wrapText="1"/>
    </xf>
    <xf numFmtId="10" fontId="56" fillId="16" borderId="51" xfId="0" applyNumberFormat="1" applyFont="1" applyFill="1" applyBorder="1" applyAlignment="1">
      <alignment horizontal="center" vertical="center" wrapText="1"/>
    </xf>
    <xf numFmtId="0" fontId="10" fillId="5" borderId="0" xfId="283" applyFill="1" applyAlignment="1">
      <alignment horizontal="right"/>
    </xf>
    <xf numFmtId="0" fontId="10" fillId="0" borderId="0" xfId="283" applyAlignment="1">
      <alignment wrapText="1"/>
    </xf>
    <xf numFmtId="0" fontId="10" fillId="5" borderId="0" xfId="283" applyFill="1" applyAlignment="1">
      <alignment wrapText="1"/>
    </xf>
    <xf numFmtId="44" fontId="10" fillId="0" borderId="0" xfId="282" applyFont="1"/>
    <xf numFmtId="170" fontId="0" fillId="0" borderId="0" xfId="0" applyNumberFormat="1" applyAlignment="1">
      <alignment wrapText="1"/>
    </xf>
    <xf numFmtId="170" fontId="45" fillId="16" borderId="22" xfId="0" applyNumberFormat="1" applyFont="1" applyFill="1" applyBorder="1" applyAlignment="1">
      <alignment horizontal="center" wrapText="1"/>
    </xf>
    <xf numFmtId="170" fontId="45" fillId="16" borderId="5" xfId="0" applyNumberFormat="1" applyFont="1" applyFill="1" applyBorder="1" applyAlignment="1">
      <alignment horizontal="center" wrapText="1"/>
    </xf>
    <xf numFmtId="170" fontId="57" fillId="0" borderId="36" xfId="0" applyNumberFormat="1" applyFont="1" applyFill="1" applyBorder="1" applyAlignment="1">
      <alignment vertical="center" wrapText="1"/>
    </xf>
    <xf numFmtId="170" fontId="57" fillId="0" borderId="58" xfId="0" applyNumberFormat="1" applyFont="1" applyFill="1" applyBorder="1" applyAlignment="1">
      <alignment vertical="center" wrapText="1"/>
    </xf>
    <xf numFmtId="170" fontId="57" fillId="0" borderId="59" xfId="0" applyNumberFormat="1" applyFont="1" applyFill="1" applyBorder="1" applyAlignment="1">
      <alignment vertical="center" wrapText="1"/>
    </xf>
    <xf numFmtId="170" fontId="70" fillId="16" borderId="48" xfId="0" applyNumberFormat="1" applyFont="1" applyFill="1" applyBorder="1" applyAlignment="1">
      <alignment horizontal="center" wrapText="1"/>
    </xf>
    <xf numFmtId="170" fontId="35" fillId="0" borderId="2" xfId="0" applyNumberFormat="1" applyFont="1" applyFill="1" applyBorder="1" applyAlignment="1">
      <alignment wrapText="1"/>
    </xf>
    <xf numFmtId="3" fontId="0" fillId="0" borderId="1" xfId="0" applyNumberFormat="1" applyBorder="1"/>
    <xf numFmtId="0" fontId="9" fillId="0" borderId="0" xfId="283" applyFont="1"/>
    <xf numFmtId="0" fontId="83" fillId="22" borderId="0" xfId="0" applyFont="1" applyFill="1" applyBorder="1" applyAlignment="1">
      <alignment wrapText="1"/>
    </xf>
    <xf numFmtId="170" fontId="43" fillId="0" borderId="0" xfId="0" applyNumberFormat="1" applyFont="1"/>
    <xf numFmtId="0" fontId="10" fillId="0" borderId="22" xfId="283" applyBorder="1"/>
    <xf numFmtId="0" fontId="78" fillId="5" borderId="22" xfId="283" applyFont="1" applyFill="1" applyBorder="1"/>
    <xf numFmtId="4" fontId="10" fillId="5" borderId="58" xfId="283" applyNumberFormat="1" applyFill="1" applyBorder="1"/>
    <xf numFmtId="4" fontId="10" fillId="0" borderId="58" xfId="283" applyNumberFormat="1" applyBorder="1"/>
    <xf numFmtId="0" fontId="10" fillId="0" borderId="0" xfId="283" applyFill="1"/>
    <xf numFmtId="0" fontId="78" fillId="0" borderId="0" xfId="283" applyFont="1" applyFill="1"/>
    <xf numFmtId="4" fontId="10" fillId="0" borderId="0" xfId="283" applyNumberFormat="1" applyFill="1"/>
    <xf numFmtId="0" fontId="10" fillId="0" borderId="0" xfId="283" applyFill="1" applyBorder="1"/>
    <xf numFmtId="4" fontId="10" fillId="0" borderId="0" xfId="283" applyNumberFormat="1" applyFill="1" applyBorder="1"/>
    <xf numFmtId="4" fontId="9" fillId="0" borderId="0" xfId="283" applyNumberFormat="1" applyFont="1" applyFill="1" applyBorder="1"/>
    <xf numFmtId="0" fontId="10" fillId="0" borderId="48" xfId="283" applyFill="1" applyBorder="1"/>
    <xf numFmtId="0" fontId="10" fillId="0" borderId="30" xfId="283" applyFill="1" applyBorder="1"/>
    <xf numFmtId="0" fontId="78" fillId="0" borderId="48" xfId="283" applyFont="1" applyFill="1" applyBorder="1"/>
    <xf numFmtId="0" fontId="78" fillId="0" borderId="30" xfId="283" applyFont="1" applyFill="1" applyBorder="1"/>
    <xf numFmtId="0" fontId="9" fillId="5" borderId="0" xfId="283" applyFont="1" applyFill="1"/>
    <xf numFmtId="170" fontId="10" fillId="0" borderId="0" xfId="283" applyNumberFormat="1"/>
    <xf numFmtId="0" fontId="10" fillId="0" borderId="22" xfId="283" applyFill="1" applyBorder="1"/>
    <xf numFmtId="170" fontId="10" fillId="0" borderId="58" xfId="283" applyNumberFormat="1" applyFill="1" applyBorder="1"/>
    <xf numFmtId="3" fontId="82" fillId="16" borderId="38" xfId="0" applyNumberFormat="1" applyFont="1" applyFill="1" applyBorder="1" applyAlignment="1">
      <alignment horizontal="center" vertical="center" wrapText="1"/>
    </xf>
    <xf numFmtId="0" fontId="84" fillId="0" borderId="0" xfId="283" applyFont="1"/>
    <xf numFmtId="4" fontId="84" fillId="0" borderId="0" xfId="283" applyNumberFormat="1" applyFont="1"/>
    <xf numFmtId="9" fontId="84" fillId="0" borderId="0" xfId="281" applyFont="1"/>
    <xf numFmtId="0" fontId="8" fillId="0" borderId="0" xfId="283" applyFont="1"/>
    <xf numFmtId="0" fontId="84" fillId="25" borderId="0" xfId="283" applyFont="1" applyFill="1"/>
    <xf numFmtId="170" fontId="84" fillId="25" borderId="0" xfId="283" applyNumberFormat="1" applyFont="1" applyFill="1"/>
    <xf numFmtId="0" fontId="10" fillId="5" borderId="0" xfId="283" applyFill="1" applyAlignment="1">
      <alignment horizontal="center"/>
    </xf>
    <xf numFmtId="0" fontId="10" fillId="0" borderId="1" xfId="283" applyBorder="1" applyAlignment="1">
      <alignment horizontal="center"/>
    </xf>
    <xf numFmtId="0" fontId="23" fillId="0" borderId="0" xfId="0" applyFont="1" applyFill="1" applyAlignment="1">
      <alignment horizontal="left" vertical="center"/>
    </xf>
    <xf numFmtId="0" fontId="6" fillId="0" borderId="0" xfId="283" applyFont="1"/>
    <xf numFmtId="0" fontId="71" fillId="0" borderId="0" xfId="0" applyNumberFormat="1" applyFont="1" applyFill="1" applyBorder="1" applyAlignment="1"/>
    <xf numFmtId="0" fontId="85" fillId="0" borderId="0" xfId="0" applyFont="1" applyAlignment="1">
      <alignment horizontal="left" vertical="center" indent="4"/>
    </xf>
    <xf numFmtId="0" fontId="86" fillId="26" borderId="70" xfId="0" applyFont="1" applyFill="1" applyBorder="1" applyAlignment="1">
      <alignment vertical="center" wrapText="1"/>
    </xf>
    <xf numFmtId="0" fontId="87" fillId="26" borderId="71" xfId="0" applyFont="1" applyFill="1" applyBorder="1" applyAlignment="1">
      <alignment vertical="center" wrapText="1"/>
    </xf>
    <xf numFmtId="0" fontId="88" fillId="0" borderId="70" xfId="0" applyFont="1" applyBorder="1" applyAlignment="1">
      <alignment vertical="center" wrapText="1"/>
    </xf>
    <xf numFmtId="0" fontId="89" fillId="0" borderId="71" xfId="0" applyFont="1" applyBorder="1" applyAlignment="1">
      <alignment vertical="center" wrapText="1"/>
    </xf>
    <xf numFmtId="0" fontId="88" fillId="26" borderId="70" xfId="0" applyFont="1" applyFill="1" applyBorder="1" applyAlignment="1">
      <alignment vertical="center" wrapText="1"/>
    </xf>
    <xf numFmtId="0" fontId="89" fillId="26" borderId="71" xfId="0" applyFont="1" applyFill="1" applyBorder="1" applyAlignment="1">
      <alignment vertical="center" wrapText="1"/>
    </xf>
    <xf numFmtId="2" fontId="56" fillId="15" borderId="15" xfId="0" applyNumberFormat="1" applyFont="1" applyFill="1" applyBorder="1" applyAlignment="1">
      <alignment horizontal="center" vertical="center" wrapText="1"/>
    </xf>
    <xf numFmtId="0" fontId="90" fillId="26" borderId="70" xfId="0" applyFont="1" applyFill="1" applyBorder="1" applyAlignment="1">
      <alignment vertical="center" wrapText="1"/>
    </xf>
    <xf numFmtId="0" fontId="91" fillId="26" borderId="71" xfId="0" applyFont="1" applyFill="1" applyBorder="1" applyAlignment="1">
      <alignment vertical="center" wrapText="1"/>
    </xf>
    <xf numFmtId="3" fontId="82" fillId="15" borderId="50" xfId="0" applyNumberFormat="1" applyFont="1" applyFill="1" applyBorder="1" applyAlignment="1">
      <alignment horizontal="center" vertical="center" wrapText="1"/>
    </xf>
    <xf numFmtId="3" fontId="56" fillId="15" borderId="50" xfId="0" applyNumberFormat="1" applyFont="1" applyFill="1" applyBorder="1" applyAlignment="1">
      <alignment horizontal="center" vertical="center" wrapText="1"/>
    </xf>
    <xf numFmtId="2" fontId="56" fillId="15" borderId="50" xfId="0" applyNumberFormat="1" applyFont="1" applyFill="1" applyBorder="1" applyAlignment="1">
      <alignment horizontal="center" vertical="center" wrapText="1"/>
    </xf>
    <xf numFmtId="3" fontId="56" fillId="15" borderId="15" xfId="0" applyNumberFormat="1" applyFont="1" applyFill="1" applyBorder="1" applyAlignment="1">
      <alignment horizontal="center" vertical="center" wrapText="1"/>
    </xf>
    <xf numFmtId="3" fontId="79" fillId="15" borderId="50" xfId="0" applyNumberFormat="1" applyFont="1" applyFill="1" applyBorder="1" applyAlignment="1">
      <alignment horizontal="center" vertical="center" wrapText="1"/>
    </xf>
    <xf numFmtId="3" fontId="56" fillId="15" borderId="13" xfId="0" applyNumberFormat="1" applyFont="1" applyFill="1" applyBorder="1" applyAlignment="1">
      <alignment horizontal="center" vertical="center" wrapText="1"/>
    </xf>
    <xf numFmtId="171" fontId="82" fillId="15" borderId="15" xfId="0" applyNumberFormat="1" applyFont="1" applyFill="1" applyBorder="1" applyAlignment="1">
      <alignment horizontal="center" vertical="center" wrapText="1"/>
    </xf>
    <xf numFmtId="3" fontId="56" fillId="15" borderId="51" xfId="0" applyNumberFormat="1" applyFont="1" applyFill="1" applyBorder="1" applyAlignment="1">
      <alignment horizontal="center" vertical="center" wrapText="1"/>
    </xf>
    <xf numFmtId="3" fontId="79" fillId="16" borderId="41" xfId="0" applyNumberFormat="1" applyFont="1" applyFill="1" applyBorder="1" applyAlignment="1">
      <alignment horizontal="center" vertical="center" wrapText="1"/>
    </xf>
    <xf numFmtId="3" fontId="82" fillId="16" borderId="52" xfId="0" applyNumberFormat="1" applyFont="1" applyFill="1" applyBorder="1" applyAlignment="1">
      <alignment horizontal="center" vertical="center" wrapText="1"/>
    </xf>
    <xf numFmtId="2" fontId="56" fillId="15" borderId="56" xfId="0" applyNumberFormat="1" applyFont="1" applyFill="1" applyBorder="1" applyAlignment="1">
      <alignment horizontal="center" vertical="center" wrapText="1"/>
    </xf>
    <xf numFmtId="0" fontId="79" fillId="16" borderId="0" xfId="0" applyFont="1" applyFill="1" applyBorder="1" applyAlignment="1">
      <alignment horizontal="center" vertical="center" wrapText="1"/>
    </xf>
    <xf numFmtId="170" fontId="79" fillId="15" borderId="2" xfId="0" applyNumberFormat="1" applyFont="1" applyFill="1" applyBorder="1" applyAlignment="1">
      <alignment horizontal="center" vertical="center" wrapText="1"/>
    </xf>
    <xf numFmtId="170" fontId="79" fillId="16" borderId="2" xfId="0" applyNumberFormat="1" applyFont="1" applyFill="1" applyBorder="1" applyAlignment="1">
      <alignment horizontal="center" vertical="center" wrapText="1"/>
    </xf>
    <xf numFmtId="2" fontId="79" fillId="16" borderId="2" xfId="0" applyNumberFormat="1" applyFont="1" applyFill="1" applyBorder="1" applyAlignment="1">
      <alignment horizontal="center" vertical="center" wrapText="1"/>
    </xf>
    <xf numFmtId="3" fontId="79" fillId="16" borderId="2" xfId="0" applyNumberFormat="1" applyFont="1" applyFill="1" applyBorder="1" applyAlignment="1">
      <alignment horizontal="center" vertical="center" wrapText="1"/>
    </xf>
    <xf numFmtId="3" fontId="79" fillId="15" borderId="15" xfId="0" applyNumberFormat="1" applyFont="1" applyFill="1" applyBorder="1" applyAlignment="1">
      <alignment horizontal="center" vertical="center" wrapText="1"/>
    </xf>
    <xf numFmtId="170" fontId="79" fillId="15" borderId="55" xfId="0" applyNumberFormat="1" applyFont="1" applyFill="1" applyBorder="1" applyAlignment="1">
      <alignment horizontal="center" vertical="center" wrapText="1"/>
    </xf>
    <xf numFmtId="164" fontId="56" fillId="16" borderId="41" xfId="0" applyNumberFormat="1" applyFont="1" applyFill="1" applyBorder="1" applyAlignment="1">
      <alignment horizontal="center" vertical="center" wrapText="1"/>
    </xf>
    <xf numFmtId="0" fontId="92" fillId="0" borderId="70" xfId="0" applyFont="1" applyBorder="1" applyAlignment="1">
      <alignment vertical="center" wrapText="1"/>
    </xf>
    <xf numFmtId="0" fontId="93" fillId="0" borderId="71" xfId="0" applyFont="1" applyBorder="1" applyAlignment="1">
      <alignment vertical="center" wrapText="1"/>
    </xf>
    <xf numFmtId="0" fontId="92" fillId="26" borderId="70" xfId="0" applyFont="1" applyFill="1" applyBorder="1" applyAlignment="1">
      <alignment vertical="center" wrapText="1"/>
    </xf>
    <xf numFmtId="0" fontId="93" fillId="26" borderId="71" xfId="0" applyFont="1" applyFill="1" applyBorder="1" applyAlignment="1">
      <alignment vertical="center" wrapText="1"/>
    </xf>
    <xf numFmtId="0" fontId="94" fillId="26" borderId="71" xfId="0" applyFont="1" applyFill="1" applyBorder="1" applyAlignment="1">
      <alignment vertical="center" wrapText="1"/>
    </xf>
    <xf numFmtId="0" fontId="96" fillId="0" borderId="65" xfId="0" applyFont="1" applyBorder="1" applyAlignment="1">
      <alignment vertical="center" wrapText="1"/>
    </xf>
    <xf numFmtId="0" fontId="96" fillId="0" borderId="60" xfId="0" applyFont="1" applyBorder="1" applyAlignment="1">
      <alignment vertical="center"/>
    </xf>
    <xf numFmtId="0" fontId="96" fillId="0" borderId="59" xfId="0" applyFont="1" applyBorder="1" applyAlignment="1">
      <alignment vertical="center"/>
    </xf>
    <xf numFmtId="0" fontId="38" fillId="0" borderId="0" xfId="0" applyFont="1" applyAlignment="1">
      <alignment horizontal="center" vertical="center"/>
    </xf>
    <xf numFmtId="168" fontId="70" fillId="16" borderId="55" xfId="0" applyNumberFormat="1" applyFont="1" applyFill="1" applyBorder="1" applyAlignment="1">
      <alignment horizontal="left" vertical="center" wrapText="1"/>
    </xf>
    <xf numFmtId="168" fontId="70" fillId="16" borderId="41" xfId="0" applyNumberFormat="1" applyFont="1" applyFill="1" applyBorder="1" applyAlignment="1">
      <alignment horizontal="left" vertical="center" wrapText="1"/>
    </xf>
    <xf numFmtId="168" fontId="70" fillId="16" borderId="45" xfId="0" applyNumberFormat="1" applyFont="1" applyFill="1" applyBorder="1" applyAlignment="1">
      <alignment horizontal="left" vertical="center" wrapText="1"/>
    </xf>
    <xf numFmtId="0" fontId="34" fillId="27" borderId="72" xfId="0" applyFont="1" applyFill="1" applyBorder="1"/>
    <xf numFmtId="0" fontId="34" fillId="27" borderId="73" xfId="0" applyFont="1" applyFill="1" applyBorder="1" applyAlignment="1">
      <alignment horizontal="center"/>
    </xf>
    <xf numFmtId="0" fontId="0" fillId="0" borderId="72" xfId="0" applyFont="1" applyBorder="1"/>
    <xf numFmtId="20" fontId="0" fillId="0" borderId="73" xfId="0" applyNumberFormat="1" applyFont="1" applyBorder="1" applyAlignment="1">
      <alignment horizontal="center"/>
    </xf>
    <xf numFmtId="0" fontId="0" fillId="0" borderId="75" xfId="0" applyFont="1" applyBorder="1" applyAlignment="1">
      <alignment horizontal="left"/>
    </xf>
    <xf numFmtId="0" fontId="0" fillId="0" borderId="76" xfId="0" applyFont="1" applyBorder="1" applyAlignment="1">
      <alignment horizontal="center"/>
    </xf>
    <xf numFmtId="20" fontId="97" fillId="0" borderId="77" xfId="0" applyNumberFormat="1" applyFont="1" applyBorder="1" applyAlignment="1">
      <alignment horizontal="center"/>
    </xf>
    <xf numFmtId="20" fontId="0" fillId="0" borderId="74" xfId="0" applyNumberFormat="1" applyFont="1" applyBorder="1" applyAlignment="1">
      <alignment horizontal="center"/>
    </xf>
    <xf numFmtId="0" fontId="5" fillId="0" borderId="0" xfId="283" applyFont="1"/>
    <xf numFmtId="0" fontId="4" fillId="0" borderId="0" xfId="283" applyFont="1"/>
    <xf numFmtId="0" fontId="10" fillId="0" borderId="0" xfId="283" applyAlignment="1">
      <alignment horizontal="center"/>
    </xf>
    <xf numFmtId="0" fontId="96" fillId="0" borderId="0" xfId="0" applyFont="1" applyAlignment="1">
      <alignment vertical="center"/>
    </xf>
    <xf numFmtId="168" fontId="70" fillId="16" borderId="2" xfId="0" applyNumberFormat="1" applyFont="1" applyFill="1" applyBorder="1" applyAlignment="1">
      <alignment horizontal="left" vertical="center" wrapText="1"/>
    </xf>
    <xf numFmtId="0" fontId="56" fillId="16" borderId="78" xfId="0" applyFont="1" applyFill="1" applyBorder="1" applyAlignment="1">
      <alignment horizontal="center" vertical="center" wrapText="1"/>
    </xf>
    <xf numFmtId="1" fontId="56" fillId="16" borderId="52" xfId="0" applyNumberFormat="1" applyFont="1" applyFill="1" applyBorder="1" applyAlignment="1">
      <alignment horizontal="center" vertical="center" wrapText="1"/>
    </xf>
    <xf numFmtId="4" fontId="56" fillId="16" borderId="52" xfId="0" applyNumberFormat="1" applyFont="1" applyFill="1" applyBorder="1" applyAlignment="1">
      <alignment horizontal="center" vertical="center" wrapText="1"/>
    </xf>
    <xf numFmtId="10" fontId="56" fillId="16" borderId="78" xfId="0" applyNumberFormat="1" applyFont="1" applyFill="1" applyBorder="1" applyAlignment="1">
      <alignment horizontal="center" vertical="center" wrapText="1"/>
    </xf>
    <xf numFmtId="170" fontId="56" fillId="15" borderId="52" xfId="0" applyNumberFormat="1" applyFont="1" applyFill="1" applyBorder="1" applyAlignment="1">
      <alignment horizontal="center" vertical="center"/>
    </xf>
    <xf numFmtId="0" fontId="56" fillId="16" borderId="79" xfId="0" applyFont="1" applyFill="1" applyBorder="1" applyAlignment="1">
      <alignment horizontal="center" vertical="center"/>
    </xf>
    <xf numFmtId="4" fontId="56" fillId="16" borderId="13" xfId="0" applyNumberFormat="1" applyFont="1" applyFill="1" applyBorder="1" applyAlignment="1">
      <alignment horizontal="center" vertical="center" wrapText="1"/>
    </xf>
    <xf numFmtId="3" fontId="56" fillId="16" borderId="79" xfId="0" applyNumberFormat="1" applyFont="1" applyFill="1" applyBorder="1" applyAlignment="1">
      <alignment horizontal="center" vertical="center" wrapText="1"/>
    </xf>
    <xf numFmtId="0" fontId="10" fillId="5" borderId="0" xfId="283" applyFill="1" applyAlignment="1">
      <alignment horizontal="right" wrapText="1"/>
    </xf>
    <xf numFmtId="0" fontId="10" fillId="5" borderId="0" xfId="283" applyFill="1" applyAlignment="1">
      <alignment horizontal="left" wrapText="1"/>
    </xf>
    <xf numFmtId="0" fontId="4" fillId="5" borderId="0" xfId="283" applyFont="1" applyFill="1" applyAlignment="1">
      <alignment horizontal="left" wrapText="1"/>
    </xf>
    <xf numFmtId="0" fontId="7" fillId="5" borderId="0" xfId="283" applyFont="1" applyFill="1" applyAlignment="1">
      <alignment wrapText="1"/>
    </xf>
    <xf numFmtId="0" fontId="7" fillId="5" borderId="0" xfId="283" applyFont="1" applyFill="1" applyAlignment="1">
      <alignment horizontal="center" wrapText="1"/>
    </xf>
    <xf numFmtId="0" fontId="3" fillId="5" borderId="0" xfId="283" applyFont="1" applyFill="1" applyAlignment="1">
      <alignment horizontal="right"/>
    </xf>
    <xf numFmtId="0" fontId="2" fillId="5" borderId="0" xfId="283" applyFont="1" applyFill="1" applyAlignment="1">
      <alignment horizontal="right"/>
    </xf>
    <xf numFmtId="170" fontId="0" fillId="24" borderId="1" xfId="0" applyNumberFormat="1" applyFill="1" applyBorder="1"/>
    <xf numFmtId="170" fontId="70" fillId="24" borderId="1" xfId="0" applyNumberFormat="1" applyFont="1" applyFill="1" applyBorder="1"/>
    <xf numFmtId="0" fontId="2" fillId="24" borderId="22" xfId="283" applyFont="1" applyFill="1" applyBorder="1"/>
    <xf numFmtId="4" fontId="10" fillId="0" borderId="0" xfId="283" applyNumberFormat="1" applyBorder="1"/>
    <xf numFmtId="170" fontId="10" fillId="0" borderId="0" xfId="283" applyNumberFormat="1" applyFill="1" applyBorder="1"/>
    <xf numFmtId="0" fontId="10" fillId="0" borderId="5" xfId="283" applyBorder="1"/>
    <xf numFmtId="0" fontId="10" fillId="5" borderId="0" xfId="283" applyFill="1" applyAlignment="1">
      <alignment horizontal="left"/>
    </xf>
    <xf numFmtId="0" fontId="40" fillId="5" borderId="0" xfId="283" applyFont="1" applyFill="1" applyAlignment="1">
      <alignment horizontal="left"/>
    </xf>
    <xf numFmtId="168" fontId="70" fillId="16" borderId="35" xfId="0" applyNumberFormat="1" applyFont="1" applyFill="1" applyBorder="1" applyAlignment="1">
      <alignment horizontal="left" wrapText="1"/>
    </xf>
    <xf numFmtId="0" fontId="0" fillId="0" borderId="55" xfId="0" applyBorder="1" applyAlignment="1">
      <alignment horizontal="left" wrapText="1"/>
    </xf>
    <xf numFmtId="0" fontId="0" fillId="0" borderId="55" xfId="0" applyBorder="1" applyAlignment="1">
      <alignment horizontal="left"/>
    </xf>
    <xf numFmtId="0" fontId="0" fillId="0" borderId="48" xfId="0" applyFont="1" applyBorder="1" applyAlignment="1">
      <alignment wrapText="1"/>
    </xf>
    <xf numFmtId="0" fontId="56" fillId="4" borderId="55" xfId="0" applyFont="1" applyFill="1" applyBorder="1" applyAlignment="1">
      <alignment vertical="center" wrapText="1"/>
    </xf>
    <xf numFmtId="0" fontId="79" fillId="4" borderId="41" xfId="0" applyFont="1" applyFill="1" applyBorder="1" applyAlignment="1">
      <alignment vertical="center" wrapText="1"/>
    </xf>
    <xf numFmtId="0" fontId="82" fillId="4" borderId="41" xfId="0" applyFont="1" applyFill="1" applyBorder="1" applyAlignment="1">
      <alignment vertical="center" wrapText="1"/>
    </xf>
    <xf numFmtId="0" fontId="79" fillId="4" borderId="52" xfId="0" applyFont="1" applyFill="1" applyBorder="1" applyAlignment="1">
      <alignment vertical="center" wrapText="1"/>
    </xf>
    <xf numFmtId="0" fontId="79" fillId="4" borderId="2" xfId="0" applyFont="1" applyFill="1" applyBorder="1" applyAlignment="1">
      <alignment vertical="center" wrapText="1"/>
    </xf>
    <xf numFmtId="0" fontId="82" fillId="4" borderId="52" xfId="0" applyFont="1" applyFill="1" applyBorder="1" applyAlignment="1">
      <alignment vertical="center" wrapText="1"/>
    </xf>
    <xf numFmtId="3" fontId="57" fillId="15" borderId="1" xfId="0" applyNumberFormat="1" applyFont="1" applyFill="1" applyBorder="1" applyAlignment="1">
      <alignment horizontal="center" vertical="center" wrapText="1"/>
    </xf>
    <xf numFmtId="0" fontId="68" fillId="18" borderId="0" xfId="0" applyFont="1" applyFill="1" applyAlignment="1">
      <alignment vertical="center"/>
    </xf>
    <xf numFmtId="0" fontId="56" fillId="0" borderId="0" xfId="0" applyFont="1" applyFill="1" applyBorder="1" applyAlignment="1">
      <alignment vertical="center"/>
    </xf>
    <xf numFmtId="9" fontId="57" fillId="15" borderId="1" xfId="0" applyNumberFormat="1" applyFont="1" applyFill="1" applyBorder="1" applyAlignment="1">
      <alignment horizontal="center" vertical="center"/>
    </xf>
    <xf numFmtId="0" fontId="57" fillId="16" borderId="1" xfId="0" applyFont="1" applyFill="1" applyBorder="1" applyAlignment="1">
      <alignment horizontal="center" vertical="center" wrapText="1"/>
    </xf>
    <xf numFmtId="0" fontId="56" fillId="0" borderId="0" xfId="0" applyFont="1" applyAlignment="1">
      <alignment horizontal="right" vertical="center"/>
    </xf>
    <xf numFmtId="9" fontId="0" fillId="0" borderId="0" xfId="0" applyNumberFormat="1" applyAlignment="1">
      <alignment horizontal="center" vertical="center"/>
    </xf>
    <xf numFmtId="0" fontId="71" fillId="23" borderId="0" xfId="0" applyFont="1" applyFill="1" applyAlignment="1">
      <alignment vertical="center"/>
    </xf>
    <xf numFmtId="2" fontId="0" fillId="0" borderId="0" xfId="0" applyNumberFormat="1" applyFont="1" applyAlignment="1">
      <alignment vertical="center"/>
    </xf>
    <xf numFmtId="0" fontId="71" fillId="10" borderId="0" xfId="0" applyFont="1" applyFill="1" applyAlignment="1">
      <alignment vertical="center" wrapText="1"/>
    </xf>
    <xf numFmtId="0" fontId="0" fillId="18" borderId="0" xfId="0" applyFont="1" applyFill="1" applyAlignment="1">
      <alignment vertical="center"/>
    </xf>
    <xf numFmtId="0" fontId="71" fillId="18" borderId="0" xfId="0" applyFont="1" applyFill="1" applyAlignment="1">
      <alignment vertical="center"/>
    </xf>
    <xf numFmtId="0" fontId="34" fillId="3"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2" fontId="56" fillId="0" borderId="0" xfId="0" applyNumberFormat="1" applyFont="1" applyAlignment="1">
      <alignment vertical="center"/>
    </xf>
    <xf numFmtId="2" fontId="0" fillId="0" borderId="0" xfId="0" applyNumberFormat="1" applyAlignment="1">
      <alignment vertical="center"/>
    </xf>
    <xf numFmtId="170" fontId="0" fillId="0" borderId="0" xfId="0" applyNumberFormat="1" applyAlignment="1">
      <alignment vertical="center"/>
    </xf>
    <xf numFmtId="0" fontId="68" fillId="0" borderId="0" xfId="0" applyFont="1" applyAlignment="1">
      <alignment vertical="center"/>
    </xf>
    <xf numFmtId="3" fontId="0" fillId="0" borderId="0" xfId="0" applyNumberFormat="1" applyFont="1" applyAlignment="1">
      <alignment vertical="center"/>
    </xf>
    <xf numFmtId="0" fontId="0" fillId="10" borderId="0" xfId="0" applyFont="1" applyFill="1" applyAlignment="1">
      <alignment vertical="center"/>
    </xf>
    <xf numFmtId="0" fontId="65" fillId="0" borderId="0" xfId="0" applyFont="1" applyBorder="1" applyAlignment="1">
      <alignment vertical="center"/>
    </xf>
    <xf numFmtId="0" fontId="65" fillId="0" borderId="0" xfId="0" applyFont="1" applyBorder="1" applyAlignment="1">
      <alignment horizontal="center" vertical="center"/>
    </xf>
    <xf numFmtId="7" fontId="65" fillId="0" borderId="0" xfId="282" applyNumberFormat="1" applyFont="1" applyBorder="1" applyAlignment="1">
      <alignment vertical="center"/>
    </xf>
    <xf numFmtId="44" fontId="65" fillId="0" borderId="0" xfId="282" applyNumberFormat="1" applyFont="1" applyBorder="1" applyAlignment="1">
      <alignment vertical="center"/>
    </xf>
    <xf numFmtId="10" fontId="57" fillId="16" borderId="1" xfId="281" applyNumberFormat="1" applyFont="1" applyFill="1" applyBorder="1" applyAlignment="1">
      <alignment horizontal="center" vertical="center"/>
    </xf>
    <xf numFmtId="0" fontId="56" fillId="4" borderId="38" xfId="0" applyFont="1" applyFill="1" applyBorder="1" applyAlignment="1">
      <alignment horizontal="left" vertical="center" wrapText="1"/>
    </xf>
    <xf numFmtId="0" fontId="56" fillId="4" borderId="41" xfId="0" applyFont="1" applyFill="1" applyBorder="1" applyAlignment="1">
      <alignment horizontal="left" vertical="center" wrapText="1"/>
    </xf>
    <xf numFmtId="0" fontId="0" fillId="12" borderId="0" xfId="0" applyFill="1" applyAlignment="1">
      <alignment vertical="center"/>
    </xf>
    <xf numFmtId="0" fontId="74" fillId="12" borderId="0" xfId="0" applyFont="1" applyFill="1" applyAlignment="1">
      <alignment vertical="center"/>
    </xf>
    <xf numFmtId="9" fontId="79" fillId="16" borderId="50" xfId="0" applyNumberFormat="1" applyFont="1" applyFill="1" applyBorder="1" applyAlignment="1">
      <alignment horizontal="center" vertical="center" wrapText="1"/>
    </xf>
    <xf numFmtId="0" fontId="74" fillId="23" borderId="0" xfId="0" applyFont="1" applyFill="1" applyAlignment="1">
      <alignment vertical="center"/>
    </xf>
    <xf numFmtId="168" fontId="56" fillId="16" borderId="52" xfId="0" applyNumberFormat="1" applyFont="1" applyFill="1" applyBorder="1" applyAlignment="1">
      <alignment horizontal="center" vertical="center" wrapText="1"/>
    </xf>
    <xf numFmtId="9" fontId="56" fillId="16" borderId="78" xfId="0" applyNumberFormat="1" applyFont="1" applyFill="1" applyBorder="1" applyAlignment="1">
      <alignment horizontal="center" vertical="center" wrapText="1"/>
    </xf>
    <xf numFmtId="3" fontId="0" fillId="0" borderId="0" xfId="0" applyNumberFormat="1" applyAlignment="1">
      <alignment vertical="center"/>
    </xf>
    <xf numFmtId="170" fontId="56" fillId="0" borderId="0" xfId="0" applyNumberFormat="1" applyFont="1" applyAlignment="1">
      <alignment vertical="center"/>
    </xf>
    <xf numFmtId="3" fontId="56" fillId="0" borderId="0" xfId="0" applyNumberFormat="1" applyFont="1" applyAlignment="1">
      <alignment vertical="center"/>
    </xf>
    <xf numFmtId="0" fontId="56" fillId="4" borderId="0" xfId="0" applyFont="1" applyFill="1" applyBorder="1" applyAlignment="1">
      <alignment vertical="center" wrapText="1"/>
    </xf>
    <xf numFmtId="170" fontId="65" fillId="0" borderId="0" xfId="282" applyNumberFormat="1" applyFont="1" applyBorder="1" applyAlignment="1">
      <alignment vertical="center"/>
    </xf>
    <xf numFmtId="170" fontId="0" fillId="0" borderId="0" xfId="0" applyNumberFormat="1" applyFill="1" applyBorder="1" applyAlignment="1">
      <alignment vertical="center"/>
    </xf>
    <xf numFmtId="0" fontId="0" fillId="21" borderId="0" xfId="0" applyFill="1" applyAlignment="1">
      <alignment vertical="center"/>
    </xf>
    <xf numFmtId="0" fontId="0" fillId="23" borderId="0" xfId="0" applyFill="1" applyAlignment="1">
      <alignment vertical="center"/>
    </xf>
    <xf numFmtId="0" fontId="35" fillId="0" borderId="0" xfId="0" applyFont="1" applyFill="1" applyBorder="1" applyAlignment="1">
      <alignment vertical="center"/>
    </xf>
    <xf numFmtId="170" fontId="0" fillId="0" borderId="0" xfId="0" applyNumberFormat="1" applyFont="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23" xfId="0" applyBorder="1" applyAlignment="1">
      <alignment vertical="center"/>
    </xf>
    <xf numFmtId="10" fontId="0" fillId="0" borderId="0" xfId="0" applyNumberFormat="1" applyFont="1" applyAlignment="1">
      <alignment vertical="center"/>
    </xf>
    <xf numFmtId="0" fontId="0" fillId="0" borderId="0" xfId="0" applyBorder="1" applyAlignment="1">
      <alignment vertical="center"/>
    </xf>
    <xf numFmtId="0" fontId="0" fillId="0" borderId="24" xfId="0" applyBorder="1" applyAlignment="1">
      <alignment vertical="center"/>
    </xf>
    <xf numFmtId="164" fontId="0" fillId="0" borderId="0" xfId="0" applyNumberFormat="1" applyFont="1" applyAlignment="1">
      <alignment vertical="center"/>
    </xf>
    <xf numFmtId="0" fontId="0" fillId="0" borderId="19"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5" xfId="0" applyBorder="1" applyAlignment="1">
      <alignment vertical="center"/>
    </xf>
    <xf numFmtId="0" fontId="64" fillId="19" borderId="3" xfId="0" applyFont="1" applyFill="1" applyBorder="1" applyAlignment="1">
      <alignment horizontal="left" vertical="center"/>
    </xf>
    <xf numFmtId="0" fontId="64" fillId="19" borderId="48" xfId="0" applyFont="1" applyFill="1" applyBorder="1" applyAlignment="1">
      <alignment horizontal="left" vertical="center"/>
    </xf>
    <xf numFmtId="0" fontId="64" fillId="19" borderId="6" xfId="0" applyFont="1" applyFill="1" applyBorder="1" applyAlignment="1">
      <alignment horizontal="left" vertical="center"/>
    </xf>
    <xf numFmtId="169" fontId="65" fillId="0" borderId="53" xfId="282" applyNumberFormat="1" applyFont="1" applyBorder="1" applyAlignment="1">
      <alignment vertical="center"/>
    </xf>
    <xf numFmtId="169" fontId="65" fillId="0" borderId="35" xfId="0" applyNumberFormat="1" applyFont="1" applyBorder="1" applyAlignment="1">
      <alignment vertical="center"/>
    </xf>
    <xf numFmtId="6" fontId="65" fillId="0" borderId="0" xfId="0" applyNumberFormat="1" applyFont="1" applyAlignment="1">
      <alignment vertical="center"/>
    </xf>
    <xf numFmtId="0" fontId="65" fillId="0" borderId="22" xfId="0" applyFont="1" applyBorder="1" applyAlignment="1">
      <alignment vertical="center"/>
    </xf>
    <xf numFmtId="44" fontId="65" fillId="0" borderId="0" xfId="282" applyFont="1" applyBorder="1" applyAlignment="1">
      <alignment vertical="center"/>
    </xf>
    <xf numFmtId="169" fontId="65" fillId="0" borderId="2" xfId="0" applyNumberFormat="1" applyFont="1" applyBorder="1" applyAlignment="1">
      <alignment vertical="center"/>
    </xf>
    <xf numFmtId="0" fontId="65" fillId="0" borderId="54" xfId="0" applyFont="1" applyBorder="1" applyAlignment="1">
      <alignment vertical="center"/>
    </xf>
    <xf numFmtId="0" fontId="65" fillId="0" borderId="15" xfId="0" applyFont="1" applyBorder="1" applyAlignment="1">
      <alignment vertical="center"/>
    </xf>
    <xf numFmtId="0" fontId="65" fillId="0" borderId="25" xfId="0" applyFont="1" applyBorder="1" applyAlignment="1">
      <alignment vertical="center"/>
    </xf>
    <xf numFmtId="169" fontId="65" fillId="0" borderId="14" xfId="282" applyNumberFormat="1" applyFont="1" applyBorder="1" applyAlignment="1">
      <alignment vertical="center"/>
    </xf>
    <xf numFmtId="169" fontId="64" fillId="19" borderId="55" xfId="282" applyNumberFormat="1" applyFont="1" applyFill="1" applyBorder="1" applyAlignment="1">
      <alignment vertical="center"/>
    </xf>
    <xf numFmtId="6" fontId="65" fillId="20" borderId="0" xfId="0" applyNumberFormat="1" applyFont="1" applyFill="1" applyAlignment="1">
      <alignment vertical="center"/>
    </xf>
    <xf numFmtId="0" fontId="0" fillId="0" borderId="0" xfId="0" applyFont="1" applyBorder="1" applyAlignment="1">
      <alignment vertical="center"/>
    </xf>
    <xf numFmtId="0" fontId="69" fillId="0" borderId="0" xfId="62" quotePrefix="1" applyNumberFormat="1" applyFont="1" applyBorder="1" applyAlignment="1">
      <alignment vertical="center" wrapText="1"/>
    </xf>
    <xf numFmtId="0" fontId="69" fillId="0" borderId="0" xfId="62" quotePrefix="1" applyNumberFormat="1" applyFont="1" applyBorder="1" applyAlignment="1">
      <alignment vertical="center"/>
    </xf>
    <xf numFmtId="0" fontId="32" fillId="0" borderId="0" xfId="62" quotePrefix="1" applyNumberFormat="1" applyFont="1" applyBorder="1" applyAlignment="1">
      <alignment vertical="center" wrapText="1"/>
    </xf>
    <xf numFmtId="0" fontId="32" fillId="0" borderId="0" xfId="62" quotePrefix="1" applyNumberFormat="1" applyFont="1" applyBorder="1" applyAlignment="1">
      <alignment vertical="center"/>
    </xf>
    <xf numFmtId="44" fontId="65" fillId="0" borderId="0" xfId="282" applyNumberFormat="1" applyFont="1" applyBorder="1" applyAlignment="1">
      <alignment horizontal="left" vertical="center"/>
    </xf>
    <xf numFmtId="0" fontId="65" fillId="0" borderId="0" xfId="0" applyFont="1" applyBorder="1" applyAlignment="1">
      <alignment horizontal="left" vertical="center"/>
    </xf>
    <xf numFmtId="0" fontId="60" fillId="17" borderId="0" xfId="0" applyFont="1" applyFill="1" applyAlignment="1">
      <alignment vertical="center"/>
    </xf>
    <xf numFmtId="0" fontId="57" fillId="0" borderId="0" xfId="0" applyFont="1" applyAlignment="1">
      <alignment horizontal="left" vertical="center"/>
    </xf>
    <xf numFmtId="0" fontId="77" fillId="0" borderId="0" xfId="0" applyFont="1" applyAlignment="1">
      <alignment vertical="center"/>
    </xf>
    <xf numFmtId="0" fontId="79" fillId="0" borderId="0" xfId="0" applyFont="1" applyFill="1" applyBorder="1" applyAlignment="1">
      <alignment horizontal="center" vertical="center" wrapText="1"/>
    </xf>
    <xf numFmtId="0" fontId="79" fillId="4" borderId="34" xfId="0" applyFont="1" applyFill="1" applyBorder="1" applyAlignment="1">
      <alignment horizontal="left" vertical="center" wrapText="1"/>
    </xf>
    <xf numFmtId="0" fontId="79" fillId="4" borderId="42" xfId="0" applyFont="1" applyFill="1" applyBorder="1" applyAlignment="1">
      <alignment vertical="center" wrapText="1"/>
    </xf>
    <xf numFmtId="0" fontId="0" fillId="24" borderId="0" xfId="0" applyFill="1" applyAlignment="1">
      <alignment vertical="center"/>
    </xf>
    <xf numFmtId="0" fontId="56" fillId="4" borderId="42" xfId="0" applyFont="1" applyFill="1" applyBorder="1" applyAlignment="1">
      <alignment horizontal="left" vertical="center" wrapText="1"/>
    </xf>
    <xf numFmtId="0" fontId="82" fillId="4" borderId="42" xfId="0" applyFont="1" applyFill="1" applyBorder="1" applyAlignment="1">
      <alignment vertical="center" wrapText="1"/>
    </xf>
    <xf numFmtId="0" fontId="56" fillId="4" borderId="42" xfId="0" applyFont="1" applyFill="1" applyBorder="1" applyAlignment="1">
      <alignment vertical="center" wrapText="1"/>
    </xf>
    <xf numFmtId="0" fontId="56" fillId="4" borderId="46" xfId="0" applyFont="1" applyFill="1" applyBorder="1" applyAlignment="1">
      <alignment vertical="center" wrapText="1"/>
    </xf>
    <xf numFmtId="0" fontId="0" fillId="0" borderId="1" xfId="0" applyBorder="1" applyAlignment="1">
      <alignment vertical="center"/>
    </xf>
    <xf numFmtId="6" fontId="0" fillId="0" borderId="0" xfId="0" applyNumberFormat="1" applyFill="1" applyBorder="1" applyAlignment="1">
      <alignment vertical="center"/>
    </xf>
    <xf numFmtId="0" fontId="0" fillId="0" borderId="0" xfId="0" applyBorder="1" applyAlignment="1">
      <alignment vertical="center" wrapText="1"/>
    </xf>
    <xf numFmtId="0" fontId="19" fillId="0" borderId="0" xfId="0" applyFont="1" applyFill="1" applyBorder="1" applyAlignment="1">
      <alignment vertical="center"/>
    </xf>
    <xf numFmtId="165" fontId="19" fillId="0" borderId="0" xfId="0" applyNumberFormat="1" applyFont="1" applyFill="1" applyBorder="1" applyAlignment="1">
      <alignment vertical="center"/>
    </xf>
    <xf numFmtId="0" fontId="19" fillId="0" borderId="0" xfId="0" applyFont="1" applyFill="1" applyAlignment="1">
      <alignment vertical="center"/>
    </xf>
    <xf numFmtId="0" fontId="71" fillId="18" borderId="0" xfId="0" applyFont="1" applyFill="1" applyBorder="1" applyAlignment="1">
      <alignment vertical="center"/>
    </xf>
    <xf numFmtId="0" fontId="35" fillId="0" borderId="0" xfId="0" applyFont="1" applyBorder="1" applyAlignment="1">
      <alignment vertical="center"/>
    </xf>
    <xf numFmtId="0" fontId="85" fillId="0" borderId="0" xfId="0" applyFont="1" applyAlignment="1">
      <alignment vertical="center"/>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0" fontId="40" fillId="0" borderId="0" xfId="0" applyFont="1" applyBorder="1" applyAlignment="1">
      <alignment vertical="center" wrapText="1"/>
    </xf>
    <xf numFmtId="165" fontId="33" fillId="0" borderId="0" xfId="0" applyNumberFormat="1" applyFont="1" applyFill="1" applyBorder="1" applyAlignment="1">
      <alignment horizontal="left" vertical="center" wrapText="1"/>
    </xf>
    <xf numFmtId="170" fontId="19" fillId="0" borderId="0" xfId="0" applyNumberFormat="1" applyFont="1" applyFill="1" applyBorder="1" applyAlignment="1">
      <alignment vertical="center" wrapText="1"/>
    </xf>
    <xf numFmtId="165" fontId="19" fillId="0" borderId="0" xfId="0" applyNumberFormat="1" applyFont="1" applyFill="1" applyBorder="1" applyAlignment="1">
      <alignment vertical="center" wrapText="1"/>
    </xf>
    <xf numFmtId="0" fontId="95" fillId="0" borderId="1" xfId="0" applyFont="1" applyBorder="1" applyAlignment="1">
      <alignment vertical="center" wrapText="1"/>
    </xf>
    <xf numFmtId="0" fontId="19" fillId="0" borderId="0" xfId="0" applyFont="1" applyBorder="1" applyAlignment="1">
      <alignment vertical="center"/>
    </xf>
    <xf numFmtId="0" fontId="33" fillId="0" borderId="0" xfId="0" applyFont="1" applyBorder="1" applyAlignment="1">
      <alignment vertical="center" wrapText="1"/>
    </xf>
    <xf numFmtId="0" fontId="0" fillId="0" borderId="21" xfId="0" applyFont="1" applyBorder="1" applyAlignment="1">
      <alignment vertical="center"/>
    </xf>
    <xf numFmtId="0" fontId="0" fillId="0" borderId="20" xfId="0" applyFont="1" applyBorder="1" applyAlignment="1">
      <alignment vertical="center"/>
    </xf>
    <xf numFmtId="9" fontId="0" fillId="0" borderId="0" xfId="0" applyNumberFormat="1" applyAlignment="1">
      <alignment vertical="center"/>
    </xf>
    <xf numFmtId="6" fontId="0" fillId="0" borderId="0" xfId="0" applyNumberFormat="1" applyBorder="1" applyAlignment="1">
      <alignment vertical="center"/>
    </xf>
    <xf numFmtId="3" fontId="0" fillId="0" borderId="15" xfId="0" applyNumberFormat="1" applyBorder="1" applyAlignment="1">
      <alignment vertical="center"/>
    </xf>
    <xf numFmtId="0" fontId="56" fillId="4" borderId="34" xfId="0" applyFont="1" applyFill="1" applyBorder="1" applyAlignment="1">
      <alignment horizontal="left" vertical="center" wrapText="1"/>
    </xf>
    <xf numFmtId="0" fontId="68" fillId="10" borderId="0" xfId="0" applyFont="1" applyFill="1" applyAlignment="1">
      <alignment vertical="center"/>
    </xf>
    <xf numFmtId="0" fontId="68" fillId="23" borderId="0" xfId="0" applyFont="1" applyFill="1" applyAlignment="1">
      <alignment vertical="center"/>
    </xf>
    <xf numFmtId="171" fontId="56" fillId="15" borderId="40" xfId="0" applyNumberFormat="1" applyFont="1" applyFill="1" applyBorder="1" applyAlignment="1">
      <alignment horizontal="center" vertical="center" wrapText="1"/>
    </xf>
    <xf numFmtId="3" fontId="56" fillId="15" borderId="56" xfId="0" applyNumberFormat="1" applyFont="1" applyFill="1" applyBorder="1" applyAlignment="1">
      <alignment horizontal="center" vertical="center" wrapText="1"/>
    </xf>
    <xf numFmtId="9" fontId="56" fillId="16" borderId="56" xfId="0" applyNumberFormat="1" applyFont="1" applyFill="1" applyBorder="1" applyAlignment="1">
      <alignment horizontal="center" vertical="center" wrapText="1"/>
    </xf>
    <xf numFmtId="171" fontId="56" fillId="15" borderId="57" xfId="0" applyNumberFormat="1" applyFont="1" applyFill="1" applyBorder="1" applyAlignment="1">
      <alignment horizontal="center" vertical="center" wrapText="1"/>
    </xf>
    <xf numFmtId="171" fontId="56" fillId="15" borderId="44" xfId="0" applyNumberFormat="1" applyFont="1" applyFill="1" applyBorder="1" applyAlignment="1">
      <alignment horizontal="center" vertical="center" wrapText="1"/>
    </xf>
    <xf numFmtId="0" fontId="73" fillId="0" borderId="11" xfId="0" applyFont="1" applyBorder="1" applyAlignment="1">
      <alignment vertical="center"/>
    </xf>
    <xf numFmtId="171" fontId="57" fillId="15" borderId="1" xfId="0" applyNumberFormat="1" applyFont="1" applyFill="1" applyBorder="1" applyAlignment="1">
      <alignment horizontal="center" vertical="center" wrapText="1"/>
    </xf>
    <xf numFmtId="0" fontId="40" fillId="0" borderId="1" xfId="0" applyFont="1" applyBorder="1" applyAlignment="1">
      <alignment vertical="center"/>
    </xf>
    <xf numFmtId="165" fontId="40" fillId="0" borderId="61" xfId="0" applyNumberFormat="1" applyFont="1" applyBorder="1" applyAlignment="1">
      <alignment vertical="center"/>
    </xf>
    <xf numFmtId="170" fontId="40" fillId="0" borderId="11" xfId="0" applyNumberFormat="1" applyFont="1" applyBorder="1" applyAlignment="1">
      <alignment vertical="center"/>
    </xf>
  </cellXfs>
  <cellStyles count="358">
    <cellStyle name="20% - Accent3" xfId="280" builtinId="38"/>
    <cellStyle name="Comma" xfId="69" builtinId="3"/>
    <cellStyle name="Currency" xfId="282" builtinId="4"/>
    <cellStyle name="Currency 3" xfId="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4" builtinId="9" hidden="1"/>
    <cellStyle name="Followed Hyperlink" xfId="66" builtinId="9" hidden="1"/>
    <cellStyle name="Followed Hyperlink" xfId="68"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Good 3" xfId="43"/>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3" builtinId="8" hidden="1"/>
    <cellStyle name="Hyperlink" xfId="65" builtinId="8" hidden="1"/>
    <cellStyle name="Hyperlink" xfId="67"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Normal" xfId="0" builtinId="0"/>
    <cellStyle name="Normal 2" xfId="41"/>
    <cellStyle name="Normal 3" xfId="283"/>
    <cellStyle name="Normal_Sheet1" xfId="62"/>
    <cellStyle name="Percent" xfId="281" builtinId="5"/>
  </cellStyles>
  <dxfs count="71">
    <dxf>
      <font>
        <strike val="0"/>
        <outline val="0"/>
        <shadow val="0"/>
        <u val="none"/>
        <vertAlign val="baseline"/>
        <sz val="12"/>
        <name val="Times New Roman"/>
        <scheme val="none"/>
      </font>
    </dxf>
    <dxf>
      <font>
        <b/>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dxf>
    <dxf>
      <font>
        <b/>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dxf>
    <dxf>
      <font>
        <b/>
        <i val="0"/>
        <strike val="0"/>
        <condense val="0"/>
        <extend val="0"/>
        <outline val="0"/>
        <shadow val="0"/>
        <u val="none"/>
        <vertAlign val="baseline"/>
        <sz val="12"/>
        <color rgb="FF000000"/>
        <name val="Times New Roman"/>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Times New Roman"/>
        <scheme val="none"/>
      </font>
      <alignment horizontal="left" vertical="center" textRotation="0" wrapText="1" indent="1" justifyLastLine="0" shrinkToFit="0" readingOrder="0"/>
    </dxf>
    <dxf>
      <border outline="0">
        <top style="medium">
          <color rgb="FF4F81BD"/>
        </top>
      </border>
    </dxf>
    <dxf>
      <font>
        <strike val="0"/>
        <outline val="0"/>
        <shadow val="0"/>
        <u val="none"/>
        <vertAlign val="baseline"/>
        <sz val="12"/>
        <name val="Times New Roman"/>
        <scheme val="none"/>
      </font>
    </dxf>
    <dxf>
      <font>
        <b/>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border diagonalUp="0" diagonalDown="0" outline="0">
        <left style="medium">
          <color rgb="FF4F81BD"/>
        </left>
        <right style="medium">
          <color rgb="FF4F81BD"/>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5" formatCode="h:mm"/>
      <alignment horizontal="center" vertical="bottom" textRotation="0" wrapText="0" indent="0" justifyLastLine="0" shrinkToFit="0" readingOrder="0"/>
      <border diagonalUp="0" diagonalDown="0">
        <left/>
        <right style="thin">
          <color indexed="64"/>
        </right>
        <top/>
        <bottom/>
        <vertical/>
        <horizontal/>
      </border>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border diagonalUp="0" diagonalDown="0">
        <left style="thin">
          <color indexed="64"/>
        </left>
        <right/>
        <top/>
        <bottom/>
        <vertical/>
        <horizontal/>
      </border>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5" formatCode="h:mm"/>
    </dxf>
    <dxf>
      <font>
        <b/>
        <i val="0"/>
        <strike val="0"/>
        <condense val="0"/>
        <extend val="0"/>
        <outline val="0"/>
        <shadow val="0"/>
        <u val="none"/>
        <vertAlign val="baseline"/>
        <sz val="12"/>
        <color theme="1"/>
        <name val="Calibri"/>
        <scheme val="minor"/>
      </font>
    </dxf>
    <dxf>
      <numFmt numFmtId="25" formatCode="h:mm"/>
    </dxf>
    <dxf>
      <numFmt numFmtId="25" formatCode="h:mm"/>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25" formatCode="h:mm"/>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25" formatCode="h:mm"/>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25" formatCode="h:mm"/>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25" formatCode="h:mm"/>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25" formatCode="h:mm"/>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numFmt numFmtId="25" formatCode="h:mm"/>
    </dxf>
    <dxf>
      <font>
        <b/>
        <i val="0"/>
        <strike val="0"/>
        <condense val="0"/>
        <extend val="0"/>
        <outline val="0"/>
        <shadow val="0"/>
        <u val="none"/>
        <vertAlign val="baseline"/>
        <sz val="12"/>
        <color theme="1"/>
        <name val="Calibri"/>
        <scheme val="minor"/>
      </font>
    </dxf>
    <dxf>
      <numFmt numFmtId="0" formatCode="General"/>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border diagonalUp="0" diagonalDown="0">
        <left/>
        <right style="thin">
          <color indexed="64"/>
        </right>
        <top/>
        <bottom/>
        <vertical/>
        <horizontal/>
      </border>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border diagonalUp="0" diagonalDown="0">
        <left/>
        <right style="thin">
          <color indexed="64"/>
        </right>
        <top/>
        <bottom/>
        <vertical/>
        <horizontal/>
      </border>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border diagonalUp="0" diagonalDown="0">
        <left style="thin">
          <color indexed="64"/>
        </left>
        <right/>
        <top/>
        <bottom/>
        <vertical/>
        <horizontal/>
      </border>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numFmt numFmtId="25" formatCode="h:mm"/>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dxf>
    <dxf>
      <numFmt numFmtId="34" formatCode="_(&quot;$&quot;* #,##0.00_);_(&quot;$&quot;* \(#,##0.00\);_(&quot;$&quot;* &quot;-&quot;??_);_(@_)"/>
    </dxf>
    <dxf>
      <numFmt numFmtId="0" formatCode="Genera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theme" Target="theme/theme1.xml"/><Relationship Id="rId24" Type="http://schemas.openxmlformats.org/officeDocument/2006/relationships/styles" Target="styles.xml"/><Relationship Id="rId25" Type="http://schemas.openxmlformats.org/officeDocument/2006/relationships/sharedStrings" Target="sharedStrings.xml"/><Relationship Id="rId26"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HIV -</a:t>
            </a:r>
            <a:endParaRPr lang="en-US"/>
          </a:p>
        </c:rich>
      </c:tx>
      <c:layout>
        <c:manualLayout>
          <c:xMode val="edge"/>
          <c:yMode val="edge"/>
          <c:x val="0.000334185744792635"/>
          <c:y val="0.000251169189502849"/>
        </c:manualLayout>
      </c:layout>
      <c:overlay val="1"/>
    </c:title>
    <c:autoTitleDeleted val="0"/>
    <c:plotArea>
      <c:layout/>
      <c:pieChart>
        <c:varyColors val="1"/>
        <c:ser>
          <c:idx val="1"/>
          <c:order val="0"/>
          <c:dLbls>
            <c:showLegendKey val="0"/>
            <c:showVal val="0"/>
            <c:showCatName val="1"/>
            <c:showSerName val="0"/>
            <c:showPercent val="1"/>
            <c:showBubbleSize val="0"/>
            <c:showLeaderLines val="1"/>
          </c:dLbls>
          <c:cat>
            <c:strRef>
              <c:f>Summary!$B$8:$B$15</c:f>
              <c:strCache>
                <c:ptCount val="8"/>
                <c:pt idx="0">
                  <c:v>Personnel</c:v>
                </c:pt>
                <c:pt idx="1">
                  <c:v>Transportation</c:v>
                </c:pt>
                <c:pt idx="2">
                  <c:v>Equipment</c:v>
                </c:pt>
                <c:pt idx="3">
                  <c:v>Supplies (TOTAL)</c:v>
                </c:pt>
                <c:pt idx="4">
                  <c:v>Buildings + overhead</c:v>
                </c:pt>
                <c:pt idx="5">
                  <c:v>Start up costs (TOTAL)</c:v>
                </c:pt>
                <c:pt idx="6">
                  <c:v>Reccuring meetings</c:v>
                </c:pt>
                <c:pt idx="7">
                  <c:v>Data capture and use (TOTAL)</c:v>
                </c:pt>
              </c:strCache>
            </c:strRef>
          </c:cat>
          <c:val>
            <c:numRef>
              <c:f>Summary!$C$8:$C$15</c:f>
              <c:numCache>
                <c:formatCode>#,##0.00</c:formatCode>
                <c:ptCount val="8"/>
                <c:pt idx="0">
                  <c:v>192364.1354003945</c:v>
                </c:pt>
                <c:pt idx="1">
                  <c:v>30014.68674919202</c:v>
                </c:pt>
                <c:pt idx="2">
                  <c:v>3579.789256748136</c:v>
                </c:pt>
                <c:pt idx="3">
                  <c:v>33775.03442101258</c:v>
                </c:pt>
                <c:pt idx="4">
                  <c:v>17585.20710059171</c:v>
                </c:pt>
                <c:pt idx="5">
                  <c:v>3586.941372130104</c:v>
                </c:pt>
                <c:pt idx="6">
                  <c:v>3996.0</c:v>
                </c:pt>
                <c:pt idx="7">
                  <c:v>5898.25466651654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HIV +</a:t>
            </a:r>
            <a:endParaRPr lang="en-US"/>
          </a:p>
        </c:rich>
      </c:tx>
      <c:layout>
        <c:manualLayout>
          <c:xMode val="edge"/>
          <c:yMode val="edge"/>
          <c:x val="0.0196020816447781"/>
          <c:y val="0.0872451908205656"/>
        </c:manualLayout>
      </c:layout>
      <c:overlay val="1"/>
    </c:title>
    <c:autoTitleDeleted val="0"/>
    <c:plotArea>
      <c:layout/>
      <c:pieChart>
        <c:varyColors val="1"/>
        <c:ser>
          <c:idx val="1"/>
          <c:order val="0"/>
          <c:dLbls>
            <c:showLegendKey val="0"/>
            <c:showVal val="0"/>
            <c:showCatName val="1"/>
            <c:showSerName val="0"/>
            <c:showPercent val="1"/>
            <c:showBubbleSize val="0"/>
            <c:showLeaderLines val="1"/>
          </c:dLbls>
          <c:cat>
            <c:strRef>
              <c:f>Summary!$E$8:$E$15</c:f>
              <c:strCache>
                <c:ptCount val="8"/>
                <c:pt idx="0">
                  <c:v>Personnel</c:v>
                </c:pt>
                <c:pt idx="1">
                  <c:v>Transportation</c:v>
                </c:pt>
                <c:pt idx="2">
                  <c:v>Equipment</c:v>
                </c:pt>
                <c:pt idx="3">
                  <c:v>Supplies (TOTAL)</c:v>
                </c:pt>
                <c:pt idx="4">
                  <c:v>Buildings + overhead</c:v>
                </c:pt>
                <c:pt idx="5">
                  <c:v>Start up costs (TOTAL)</c:v>
                </c:pt>
                <c:pt idx="6">
                  <c:v>Reccuring meetings</c:v>
                </c:pt>
                <c:pt idx="7">
                  <c:v>Data capture and use (TOTAL)</c:v>
                </c:pt>
              </c:strCache>
            </c:strRef>
          </c:cat>
          <c:val>
            <c:numRef>
              <c:f>Summary!$F$8:$F$15</c:f>
              <c:numCache>
                <c:formatCode>#,##0.00</c:formatCode>
                <c:ptCount val="8"/>
                <c:pt idx="0">
                  <c:v>192364.1354003945</c:v>
                </c:pt>
                <c:pt idx="1">
                  <c:v>30014.68674919202</c:v>
                </c:pt>
                <c:pt idx="2">
                  <c:v>3579.789256748136</c:v>
                </c:pt>
                <c:pt idx="3">
                  <c:v>218302.5267369997</c:v>
                </c:pt>
                <c:pt idx="4">
                  <c:v>17585.20710059171</c:v>
                </c:pt>
                <c:pt idx="5">
                  <c:v>3586.941372130104</c:v>
                </c:pt>
                <c:pt idx="6">
                  <c:v>3996.0</c:v>
                </c:pt>
                <c:pt idx="7">
                  <c:v>5898.25466651654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171450</xdr:colOff>
      <xdr:row>5</xdr:row>
      <xdr:rowOff>47625</xdr:rowOff>
    </xdr:from>
    <xdr:to>
      <xdr:col>19</xdr:col>
      <xdr:colOff>380999</xdr:colOff>
      <xdr:row>40</xdr:row>
      <xdr:rowOff>57150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180975</xdr:colOff>
      <xdr:row>37</xdr:row>
      <xdr:rowOff>371475</xdr:rowOff>
    </xdr:from>
    <xdr:to>
      <xdr:col>19</xdr:col>
      <xdr:colOff>596900</xdr:colOff>
      <xdr:row>67</xdr:row>
      <xdr:rowOff>0</xdr:rowOff>
    </xdr:to>
    <xdr:graphicFrame macro="">
      <xdr:nvGraphicFramePr>
        <xdr:cNvPr id="100" name="Chart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1083252</xdr:colOff>
      <xdr:row>67</xdr:row>
      <xdr:rowOff>85726</xdr:rowOff>
    </xdr:from>
    <xdr:to>
      <xdr:col>15</xdr:col>
      <xdr:colOff>146339</xdr:colOff>
      <xdr:row>69</xdr:row>
      <xdr:rowOff>66676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6027" y="12144376"/>
          <a:ext cx="3406487"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402642</xdr:colOff>
      <xdr:row>2</xdr:row>
      <xdr:rowOff>152400</xdr:rowOff>
    </xdr:from>
    <xdr:to>
      <xdr:col>18</xdr:col>
      <xdr:colOff>247650</xdr:colOff>
      <xdr:row>16</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3917" y="762000"/>
          <a:ext cx="7274508" cy="331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762000</xdr:colOff>
      <xdr:row>1</xdr:row>
      <xdr:rowOff>0</xdr:rowOff>
    </xdr:from>
    <xdr:to>
      <xdr:col>15</xdr:col>
      <xdr:colOff>443230</xdr:colOff>
      <xdr:row>12</xdr:row>
      <xdr:rowOff>97155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67975" y="200025"/>
          <a:ext cx="5072380" cy="2297430"/>
        </a:xfrm>
        <a:prstGeom prst="rect">
          <a:avLst/>
        </a:prstGeom>
        <a:noFill/>
      </xdr:spPr>
    </xdr:pic>
    <xdr:clientData/>
  </xdr:twoCellAnchor>
</xdr:wsDr>
</file>

<file path=xl/tables/table1.xml><?xml version="1.0" encoding="utf-8"?>
<table xmlns="http://schemas.openxmlformats.org/spreadsheetml/2006/main" id="9" name="Table9" displayName="Table9" ref="A1:C8" totalsRowShown="0">
  <autoFilter ref="A1:C8"/>
  <tableColumns count="3">
    <tableColumn id="1" name="Hiring new staff"/>
    <tableColumn id="2" name=" "/>
    <tableColumn id="3" name="Column1"/>
  </tableColumns>
  <tableStyleInfo name="TableStyleLight2" showFirstColumn="0" showLastColumn="0" showRowStripes="1" showColumnStripes="0"/>
</table>
</file>

<file path=xl/tables/table10.xml><?xml version="1.0" encoding="utf-8"?>
<table xmlns="http://schemas.openxmlformats.org/spreadsheetml/2006/main" id="18" name="Table18" displayName="Table18" ref="B77:G97" totalsRowShown="0" headerRowDxfId="39">
  <tableColumns count="6">
    <tableColumn id="1" name=" "/>
    <tableColumn id="2" name="VISIT 1"/>
    <tableColumn id="3" name="VISIT 2"/>
    <tableColumn id="4" name="VISIT 3"/>
    <tableColumn id="5" name="VISIT 4"/>
    <tableColumn id="6" name="VISIT 5" dataDxfId="38"/>
  </tableColumns>
  <tableStyleInfo name="TableStyleLight9" showFirstColumn="0" showLastColumn="0" showRowStripes="1" showColumnStripes="0"/>
</table>
</file>

<file path=xl/tables/table11.xml><?xml version="1.0" encoding="utf-8"?>
<table xmlns="http://schemas.openxmlformats.org/spreadsheetml/2006/main" id="19" name="Table19" displayName="Table19" ref="B127:G128" totalsRowShown="0" headerRowDxfId="37" dataDxfId="36">
  <tableColumns count="6">
    <tableColumn id="1" name=" " dataDxfId="35"/>
    <tableColumn id="2" name="VISIT 1" dataDxfId="34"/>
    <tableColumn id="3" name="VISIT 2" dataDxfId="33"/>
    <tableColumn id="4" name="VISIT 3" dataDxfId="32"/>
    <tableColumn id="5" name="VISIT 4" dataDxfId="31"/>
    <tableColumn id="6" name="VISIT 5" dataDxfId="30"/>
  </tableColumns>
  <tableStyleInfo name="TableStyleLight2" showFirstColumn="0" showLastColumn="0" showRowStripes="1" showColumnStripes="0"/>
</table>
</file>

<file path=xl/tables/table12.xml><?xml version="1.0" encoding="utf-8"?>
<table xmlns="http://schemas.openxmlformats.org/spreadsheetml/2006/main" id="20" name="Table20" displayName="Table20" ref="B135:C139" totalsRowShown="0">
  <tableColumns count="2">
    <tableColumn id="1" name=" "/>
    <tableColumn id="2" name="VISIT 1" dataDxfId="29"/>
  </tableColumns>
  <tableStyleInfo name="TableStyleLight11" showFirstColumn="0" showLastColumn="0" showRowStripes="1" showColumnStripes="0"/>
</table>
</file>

<file path=xl/tables/table13.xml><?xml version="1.0" encoding="utf-8"?>
<table xmlns="http://schemas.openxmlformats.org/spreadsheetml/2006/main" id="21" name="Table21" displayName="Table21" ref="B143:C145" totalsRowShown="0">
  <tableColumns count="2">
    <tableColumn id="1" name=" "/>
    <tableColumn id="2" name="2" dataDxfId="28"/>
  </tableColumns>
  <tableStyleInfo name="TableStyleMedium11" showFirstColumn="0" showLastColumn="0" showRowStripes="1" showColumnStripes="0"/>
</table>
</file>

<file path=xl/tables/table14.xml><?xml version="1.0" encoding="utf-8"?>
<table xmlns="http://schemas.openxmlformats.org/spreadsheetml/2006/main" id="22" name="Table22" displayName="Table22" ref="B154:D156" totalsRowShown="0">
  <tableColumns count="3">
    <tableColumn id="1" name=" "/>
    <tableColumn id="2" name="evening 1" dataDxfId="27"/>
    <tableColumn id="3" name="evening 2" dataDxfId="26"/>
  </tableColumns>
  <tableStyleInfo name="TableStyleMedium6" showFirstColumn="0" showLastColumn="0" showRowStripes="1" showColumnStripes="0"/>
</table>
</file>

<file path=xl/tables/table15.xml><?xml version="1.0" encoding="utf-8"?>
<table xmlns="http://schemas.openxmlformats.org/spreadsheetml/2006/main" id="23" name="Table1824" displayName="Table1824" ref="B101:G118" totalsRowShown="0" headerRowDxfId="25">
  <tableColumns count="6">
    <tableColumn id="1" name=" "/>
    <tableColumn id="2" name="VISIT 1"/>
    <tableColumn id="3" name="VISIT 2"/>
    <tableColumn id="4" name="VISIT 3"/>
    <tableColumn id="5" name="VISIT 4"/>
    <tableColumn id="6" name="VISIT 5" dataDxfId="24"/>
  </tableColumns>
  <tableStyleInfo name="TableStyleLight9" showFirstColumn="0" showLastColumn="0" showRowStripes="1" showColumnStripes="0"/>
</table>
</file>

<file path=xl/tables/table16.xml><?xml version="1.0" encoding="utf-8"?>
<table xmlns="http://schemas.openxmlformats.org/spreadsheetml/2006/main" id="24" name="Table525" displayName="Table525" ref="B19:L23" totalsRowShown="0" headerRowDxfId="23" dataDxfId="22">
  <tableColumns count="11">
    <tableColumn id="1" name="HIV-"/>
    <tableColumn id="2" name="VISIT 1" dataDxfId="21"/>
    <tableColumn id="3" name="VISIT 2" dataDxfId="20"/>
    <tableColumn id="4" name="VISIT 3" dataDxfId="19"/>
    <tableColumn id="5" name="VISIT 4*" dataDxfId="18"/>
    <tableColumn id="6" name="VISIT 5" dataDxfId="17"/>
    <tableColumn id="7" name="VISIT 6" dataDxfId="16"/>
    <tableColumn id="8" name="VISIT 7" dataDxfId="15"/>
    <tableColumn id="9" name="Min" dataDxfId="14">
      <calculatedColumnFormula>MIN(Table525[[#This Row],[VISIT 1]:[VISIT 7]])</calculatedColumnFormula>
    </tableColumn>
    <tableColumn id="10" name="Max" dataDxfId="13">
      <calculatedColumnFormula>MAX(Table525[[#This Row],[VISIT 1]:[VISIT 7]])</calculatedColumnFormula>
    </tableColumn>
    <tableColumn id="11" name="Average" dataDxfId="12">
      <calculatedColumnFormula>AVERAGE(Table525[[#This Row],[VISIT 1]:[VISIT 7]])</calculatedColumnFormula>
    </tableColumn>
  </tableColumns>
  <tableStyleInfo name="TableStyleLight9" showFirstColumn="0" showLastColumn="0" showRowStripes="1" showColumnStripes="0"/>
</table>
</file>

<file path=xl/tables/table17.xml><?xml version="1.0" encoding="utf-8"?>
<table xmlns="http://schemas.openxmlformats.org/spreadsheetml/2006/main" id="1" name="Table162" displayName="Table162" ref="B171:F174" totalsRowShown="0" headerRowDxfId="11">
  <tableColumns count="5">
    <tableColumn id="1" name=" "/>
    <tableColumn id="2" name="DAY 1"/>
    <tableColumn id="3" name="DAY 2"/>
    <tableColumn id="4" name="DAY 3"/>
    <tableColumn id="5" name="DAY 4"/>
  </tableColumns>
  <tableStyleInfo name="TableStyleLight8" showFirstColumn="0" showLastColumn="0" showRowStripes="1" showColumnStripes="0"/>
</table>
</file>

<file path=xl/tables/table18.xml><?xml version="1.0" encoding="utf-8"?>
<table xmlns="http://schemas.openxmlformats.org/spreadsheetml/2006/main" id="3" name="Table1624" displayName="Table1624" ref="B177:D180" totalsRowShown="0" headerRowDxfId="10">
  <tableColumns count="3">
    <tableColumn id="1" name="Average time per participant"/>
    <tableColumn id="2" name="HIV-"/>
    <tableColumn id="3" name="HIV+"/>
  </tableColumns>
  <tableStyleInfo name="TableStyleLight8" showFirstColumn="0" showLastColumn="0" showRowStripes="1" showColumnStripes="0"/>
</table>
</file>

<file path=xl/tables/table19.xml><?xml version="1.0" encoding="utf-8"?>
<table xmlns="http://schemas.openxmlformats.org/spreadsheetml/2006/main" id="6" name="Table16247" displayName="Table16247" ref="B205:D207" totalsRowShown="0" headerRowDxfId="9">
  <tableColumns count="3">
    <tableColumn id="1" name="Average time per participant"/>
    <tableColumn id="2" name="HIV-"/>
    <tableColumn id="3" name="HIV+"/>
  </tableColumns>
  <tableStyleInfo name="TableStyleLight8" showFirstColumn="0" showLastColumn="0" showRowStripes="1" showColumnStripes="0"/>
</table>
</file>

<file path=xl/tables/table2.xml><?xml version="1.0" encoding="utf-8"?>
<table xmlns="http://schemas.openxmlformats.org/spreadsheetml/2006/main" id="10" name="Table10" displayName="Table10" ref="A10:F17" totalsRowShown="0">
  <tableColumns count="6">
    <tableColumn id="1" name="Community mobilization"/>
    <tableColumn id="2" name="type"/>
    <tableColumn id="3" name="cost" dataDxfId="70">
      <calculatedColumnFormula>N9*8</calculatedColumnFormula>
    </tableColumn>
    <tableColumn id="4" name="cost rand" dataDxfId="69">
      <calculatedColumnFormula>S107</calculatedColumnFormula>
    </tableColumn>
    <tableColumn id="5" name="cost USD" dataDxfId="68">
      <calculatedColumnFormula>Table10[[#This Row],[cost rand]]/$X$17</calculatedColumnFormula>
    </tableColumn>
    <tableColumn id="6" name="annualized cost in usd" dataDxfId="67">
      <calculatedColumnFormula>Table10[[#This Row],[cost USD]]/$M$3</calculatedColumnFormula>
    </tableColumn>
  </tableColumns>
  <tableStyleInfo name="TableStyleMedium9" showFirstColumn="0" showLastColumn="0" showRowStripes="1" showColumnStripes="0"/>
</table>
</file>

<file path=xl/tables/table20.xml><?xml version="1.0" encoding="utf-8"?>
<table xmlns="http://schemas.openxmlformats.org/spreadsheetml/2006/main" id="4" name="Table4" displayName="Table4" ref="A2:F11" totalsRowShown="0" headerRowDxfId="8" dataDxfId="7" tableBorderDxfId="6">
  <autoFilter ref="A2:F11"/>
  <tableColumns count="6">
    <tableColumn id="1" name="Regimen prescribed" dataDxfId="5"/>
    <tableColumn id="2" name="Line (1st, 2nd, mix) " dataDxfId="4"/>
    <tableColumn id="3" name="% to 2L (if mix)" dataDxfId="3"/>
    <tableColumn id="4" name="Price of regimen" dataDxfId="2"/>
    <tableColumn id="8" name="Copay from patient" dataDxfId="1"/>
    <tableColumn id="9" name="Weighted Price" dataDxfId="0"/>
  </tableColumns>
  <tableStyleInfo name="TableStyleMedium9" showFirstColumn="0" showLastColumn="0" showRowStripes="1" showColumnStripes="0"/>
</table>
</file>

<file path=xl/tables/table21.xml><?xml version="1.0" encoding="utf-8"?>
<table xmlns="http://schemas.openxmlformats.org/spreadsheetml/2006/main" id="2" name="Table2" displayName="Table2" ref="A2:I34" totalsRowShown="0">
  <autoFilter ref="A2:I34"/>
  <tableColumns count="9">
    <tableColumn id="1" name="HBCT"/>
    <tableColumn id="2" name="1"/>
    <tableColumn id="3" name="2"/>
    <tableColumn id="4" name="3"/>
    <tableColumn id="5" name="4"/>
    <tableColumn id="6" name="5"/>
    <tableColumn id="7" name="mean"/>
    <tableColumn id="8" name="min"/>
    <tableColumn id="9" name="max"/>
  </tableColumns>
  <tableStyleInfo name="TableStyleLight13" showFirstColumn="0" showLastColumn="0" showRowStripes="1" showColumnStripes="0"/>
</table>
</file>

<file path=xl/tables/table3.xml><?xml version="1.0" encoding="utf-8"?>
<table xmlns="http://schemas.openxmlformats.org/spreadsheetml/2006/main" id="8" name="Table8" displayName="Table8" ref="A26:D40" totalsRowShown="0">
  <autoFilter ref="A26:D40"/>
  <tableColumns count="4">
    <tableColumn id="1" name="Name"/>
    <tableColumn id="2" name="Quantity"/>
    <tableColumn id="3" name="Price/unit"/>
    <tableColumn id="4" name="Total cost"/>
  </tableColumns>
  <tableStyleInfo name="TableStyleMedium20" showFirstColumn="0" showLastColumn="0" showRowStripes="1" showColumnStripes="0"/>
</table>
</file>

<file path=xl/tables/table4.xml><?xml version="1.0" encoding="utf-8"?>
<table xmlns="http://schemas.openxmlformats.org/spreadsheetml/2006/main" id="5" name="Table5" displayName="Table5" ref="B3:L11" totalsRowShown="0" headerRowDxfId="66" dataDxfId="65">
  <tableColumns count="11">
    <tableColumn id="1" name="HIV-"/>
    <tableColumn id="2" name="VISIT 1" dataDxfId="64"/>
    <tableColumn id="3" name="VISIT 2" dataDxfId="63"/>
    <tableColumn id="4" name="VISIT 3" dataDxfId="62"/>
    <tableColumn id="5" name="VISIT 4*" dataDxfId="61"/>
    <tableColumn id="6" name="VISIT 5" dataDxfId="60"/>
    <tableColumn id="7" name="VISIT 6" dataDxfId="59"/>
    <tableColumn id="8" name="VISIT 7" dataDxfId="58"/>
    <tableColumn id="9" name="Min" dataDxfId="57">
      <calculatedColumnFormula>MIN(Table5[[#This Row],[VISIT 1]:[VISIT 7]])</calculatedColumnFormula>
    </tableColumn>
    <tableColumn id="10" name="Max" dataDxfId="56">
      <calculatedColumnFormula>MAX(Table5[[#This Row],[VISIT 1]:[VISIT 7]])</calculatedColumnFormula>
    </tableColumn>
    <tableColumn id="11" name="Average" dataDxfId="55">
      <calculatedColumnFormula>AVERAGE(Table5[[#This Row],[VISIT 1]:[VISIT 7]])</calculatedColumnFormula>
    </tableColumn>
  </tableColumns>
  <tableStyleInfo name="TableStyleLight9" showFirstColumn="0" showLastColumn="0" showRowStripes="1" showColumnStripes="0"/>
</table>
</file>

<file path=xl/tables/table5.xml><?xml version="1.0" encoding="utf-8"?>
<table xmlns="http://schemas.openxmlformats.org/spreadsheetml/2006/main" id="13" name="Table13" displayName="Table13" ref="B29:H35" totalsRowShown="0">
  <tableColumns count="7">
    <tableColumn id="1" name="HIV- uncircumcised male"/>
    <tableColumn id="2" name="VISIT 1" dataDxfId="54"/>
    <tableColumn id="3" name="VISIT 2" dataDxfId="53"/>
    <tableColumn id="4" name="VISIT 3" dataDxfId="52"/>
    <tableColumn id="5" name="Min" dataDxfId="51">
      <calculatedColumnFormula>SUM(F11:F29)</calculatedColumnFormula>
    </tableColumn>
    <tableColumn id="6" name="Max" dataDxfId="50">
      <calculatedColumnFormula>MAX(Table13[[#This Row],[VISIT 1]:[VISIT 3]])</calculatedColumnFormula>
    </tableColumn>
    <tableColumn id="7" name="Average" dataDxfId="49">
      <calculatedColumnFormula>AVERAGE(Table13[[#This Row],[VISIT 1]:[VISIT 3]])</calculatedColumnFormula>
    </tableColumn>
  </tableColumns>
  <tableStyleInfo name="TableStyleLight11" showFirstColumn="0" showLastColumn="0" showRowStripes="1" showColumnStripes="0"/>
</table>
</file>

<file path=xl/tables/table6.xml><?xml version="1.0" encoding="utf-8"?>
<table xmlns="http://schemas.openxmlformats.org/spreadsheetml/2006/main" id="14" name="Table14" displayName="Table14" ref="B38:C48" totalsRowShown="0">
  <tableColumns count="2">
    <tableColumn id="1" name="Known HIV+ not on ART (PIMA arm)"/>
    <tableColumn id="2" name="VISIT 1" dataDxfId="48"/>
  </tableColumns>
  <tableStyleInfo name="TableStyleLight12" showFirstColumn="0" showLastColumn="0" showRowStripes="1" showColumnStripes="0"/>
</table>
</file>

<file path=xl/tables/table7.xml><?xml version="1.0" encoding="utf-8"?>
<table xmlns="http://schemas.openxmlformats.org/spreadsheetml/2006/main" id="15" name="Table15" displayName="Table15" ref="B50:C58" totalsRowShown="0">
  <tableColumns count="2">
    <tableColumn id="1" name="Newly discovered HIV+  "/>
    <tableColumn id="2" name="VISIT 1" dataDxfId="47"/>
  </tableColumns>
  <tableStyleInfo name="TableStyleLight10" showFirstColumn="0" showLastColumn="0" showRowStripes="1" showColumnStripes="0"/>
</table>
</file>

<file path=xl/tables/table8.xml><?xml version="1.0" encoding="utf-8"?>
<table xmlns="http://schemas.openxmlformats.org/spreadsheetml/2006/main" id="16" name="Table16" displayName="Table16" ref="B63:F66" totalsRowShown="0" headerRowDxfId="46">
  <tableColumns count="5">
    <tableColumn id="1" name=" "/>
    <tableColumn id="2" name="DAY 1"/>
    <tableColumn id="3" name="DAY 2"/>
    <tableColumn id="4" name="DAY 3"/>
    <tableColumn id="5" name="DAY 4"/>
  </tableColumns>
  <tableStyleInfo name="TableStyleLight8" showFirstColumn="0" showLastColumn="0" showRowStripes="1" showColumnStripes="0"/>
</table>
</file>

<file path=xl/tables/table9.xml><?xml version="1.0" encoding="utf-8"?>
<table xmlns="http://schemas.openxmlformats.org/spreadsheetml/2006/main" id="17" name="Table17" displayName="Table17" ref="B70:J73" totalsRowShown="0" headerRowDxfId="45">
  <tableColumns count="9">
    <tableColumn id="1" name="PARTICIPANT TIME"/>
    <tableColumn id="2" name="1" dataDxfId="44"/>
    <tableColumn id="3" name="2" dataDxfId="43"/>
    <tableColumn id="4" name="3"/>
    <tableColumn id="5" name="4"/>
    <tableColumn id="6" name="5"/>
    <tableColumn id="7" name="Min" dataDxfId="42">
      <calculatedColumnFormula>MIN(Table17[[#This Row],[1]:[5]])</calculatedColumnFormula>
    </tableColumn>
    <tableColumn id="8" name="Max" dataDxfId="41"/>
    <tableColumn id="9" name="Average" dataDxfId="40">
      <calculatedColumnFormula>AVERAGE(Table17[[#This Row],[1]:[5]])</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3.xml.rels><?xml version="1.0" encoding="UTF-8" standalone="yes"?>
<Relationships xmlns="http://schemas.openxmlformats.org/package/2006/relationships"><Relationship Id="rId11" Type="http://schemas.openxmlformats.org/officeDocument/2006/relationships/table" Target="../tables/table14.xml"/><Relationship Id="rId12" Type="http://schemas.openxmlformats.org/officeDocument/2006/relationships/table" Target="../tables/table15.xml"/><Relationship Id="rId13" Type="http://schemas.openxmlformats.org/officeDocument/2006/relationships/table" Target="../tables/table16.xml"/><Relationship Id="rId14" Type="http://schemas.openxmlformats.org/officeDocument/2006/relationships/table" Target="../tables/table17.xml"/><Relationship Id="rId15" Type="http://schemas.openxmlformats.org/officeDocument/2006/relationships/table" Target="../tables/table18.xml"/><Relationship Id="rId16" Type="http://schemas.openxmlformats.org/officeDocument/2006/relationships/table" Target="../tables/table19.xml"/><Relationship Id="rId1" Type="http://schemas.openxmlformats.org/officeDocument/2006/relationships/table" Target="../tables/table4.xml"/><Relationship Id="rId2" Type="http://schemas.openxmlformats.org/officeDocument/2006/relationships/table" Target="../tables/table5.xml"/><Relationship Id="rId3" Type="http://schemas.openxmlformats.org/officeDocument/2006/relationships/table" Target="../tables/table6.xml"/><Relationship Id="rId4" Type="http://schemas.openxmlformats.org/officeDocument/2006/relationships/table" Target="../tables/table7.xml"/><Relationship Id="rId5" Type="http://schemas.openxmlformats.org/officeDocument/2006/relationships/table" Target="../tables/table8.xml"/><Relationship Id="rId6" Type="http://schemas.openxmlformats.org/officeDocument/2006/relationships/table" Target="../tables/table9.xml"/><Relationship Id="rId7" Type="http://schemas.openxmlformats.org/officeDocument/2006/relationships/table" Target="../tables/table10.xml"/><Relationship Id="rId8" Type="http://schemas.openxmlformats.org/officeDocument/2006/relationships/table" Target="../tables/table11.xml"/><Relationship Id="rId9" Type="http://schemas.openxmlformats.org/officeDocument/2006/relationships/table" Target="../tables/table12.xml"/><Relationship Id="rId10" Type="http://schemas.openxmlformats.org/officeDocument/2006/relationships/table" Target="../tables/table13.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workbookViewId="0">
      <selection activeCell="E17" sqref="E17"/>
    </sheetView>
  </sheetViews>
  <sheetFormatPr baseColWidth="10" defaultColWidth="11" defaultRowHeight="15" x14ac:dyDescent="0"/>
  <sheetData>
    <row r="1" spans="1:4">
      <c r="A1" s="1" t="s">
        <v>0</v>
      </c>
    </row>
    <row r="2" spans="1:4">
      <c r="A2" s="2" t="s">
        <v>1</v>
      </c>
    </row>
    <row r="3" spans="1:4">
      <c r="A3" s="2" t="s">
        <v>2</v>
      </c>
    </row>
    <row r="4" spans="1:4">
      <c r="A4" s="2" t="s">
        <v>3</v>
      </c>
    </row>
    <row r="5" spans="1:4">
      <c r="A5" s="2" t="s">
        <v>4</v>
      </c>
    </row>
    <row r="6" spans="1:4">
      <c r="A6" s="2" t="s">
        <v>1669</v>
      </c>
    </row>
    <row r="7" spans="1:4">
      <c r="A7" s="2" t="s">
        <v>5</v>
      </c>
    </row>
    <row r="10" spans="1:4">
      <c r="A10" s="3" t="s">
        <v>132</v>
      </c>
      <c r="D10" t="s">
        <v>34</v>
      </c>
    </row>
    <row r="11" spans="1:4">
      <c r="A11" s="3" t="s">
        <v>137</v>
      </c>
    </row>
    <row r="12" spans="1:4">
      <c r="A12" t="s">
        <v>13</v>
      </c>
    </row>
    <row r="13" spans="1:4">
      <c r="A13" s="4" t="s">
        <v>34</v>
      </c>
    </row>
    <row r="14" spans="1:4">
      <c r="A14" s="4" t="s">
        <v>6</v>
      </c>
    </row>
    <row r="15" spans="1:4">
      <c r="A15" s="4" t="s">
        <v>7</v>
      </c>
    </row>
    <row r="16" spans="1:4">
      <c r="A16" s="4"/>
    </row>
    <row r="17" spans="1:1">
      <c r="A17" s="4" t="s">
        <v>8</v>
      </c>
    </row>
    <row r="18" spans="1:1">
      <c r="A18" s="4" t="s">
        <v>9</v>
      </c>
    </row>
    <row r="19" spans="1:1">
      <c r="A19" s="4" t="s">
        <v>10</v>
      </c>
    </row>
    <row r="20" spans="1:1">
      <c r="A20" s="4" t="s">
        <v>11</v>
      </c>
    </row>
    <row r="21" spans="1:1">
      <c r="A21" s="4" t="s">
        <v>12</v>
      </c>
    </row>
    <row r="22" spans="1:1">
      <c r="A22" s="4" t="s">
        <v>123</v>
      </c>
    </row>
    <row r="23" spans="1:1">
      <c r="A23" s="4" t="s">
        <v>124</v>
      </c>
    </row>
    <row r="24" spans="1:1">
      <c r="A24" s="4" t="s">
        <v>71</v>
      </c>
    </row>
    <row r="25" spans="1:1">
      <c r="A25" s="4" t="s">
        <v>125</v>
      </c>
    </row>
    <row r="26" spans="1:1">
      <c r="A26" s="4" t="s">
        <v>126</v>
      </c>
    </row>
    <row r="27" spans="1:1">
      <c r="A27" s="4" t="s">
        <v>127</v>
      </c>
    </row>
    <row r="28" spans="1:1">
      <c r="A28" s="4" t="s">
        <v>128</v>
      </c>
    </row>
    <row r="29" spans="1:1">
      <c r="A29" s="4" t="s">
        <v>129</v>
      </c>
    </row>
    <row r="30" spans="1:1">
      <c r="A30" s="4" t="s">
        <v>130</v>
      </c>
    </row>
    <row r="31" spans="1:1">
      <c r="A31" s="4" t="s">
        <v>131</v>
      </c>
    </row>
    <row r="33" spans="1:1">
      <c r="A33" t="s">
        <v>163</v>
      </c>
    </row>
    <row r="34" spans="1:1">
      <c r="A34" t="s">
        <v>166</v>
      </c>
    </row>
    <row r="35" spans="1:1">
      <c r="A35" t="s">
        <v>164</v>
      </c>
    </row>
    <row r="36" spans="1:1">
      <c r="A36" t="s">
        <v>165</v>
      </c>
    </row>
    <row r="38" spans="1:1">
      <c r="A38" t="s">
        <v>167</v>
      </c>
    </row>
    <row r="39" spans="1:1">
      <c r="A39" t="s">
        <v>168</v>
      </c>
    </row>
    <row r="41" spans="1:1">
      <c r="A41" t="s">
        <v>169</v>
      </c>
    </row>
    <row r="42" spans="1:1">
      <c r="A42" t="s">
        <v>171</v>
      </c>
    </row>
    <row r="43" spans="1:1">
      <c r="A43" t="s">
        <v>170</v>
      </c>
    </row>
    <row r="44" spans="1:1">
      <c r="A44" t="s">
        <v>173</v>
      </c>
    </row>
    <row r="49" spans="1:1">
      <c r="A49" t="s">
        <v>513</v>
      </c>
    </row>
    <row r="50" spans="1:1">
      <c r="A50" t="s">
        <v>514</v>
      </c>
    </row>
    <row r="51" spans="1:1">
      <c r="A51" t="s">
        <v>515</v>
      </c>
    </row>
    <row r="52" spans="1:1">
      <c r="A52" t="s">
        <v>516</v>
      </c>
    </row>
    <row r="54" spans="1:1">
      <c r="A54" s="54" t="s">
        <v>520</v>
      </c>
    </row>
    <row r="55" spans="1:1">
      <c r="A55" t="s">
        <v>517</v>
      </c>
    </row>
    <row r="57" spans="1:1">
      <c r="A57" t="s">
        <v>519</v>
      </c>
    </row>
    <row r="58" spans="1:1">
      <c r="A58" t="s">
        <v>521</v>
      </c>
    </row>
    <row r="59" spans="1:1">
      <c r="A59" t="s">
        <v>522</v>
      </c>
    </row>
    <row r="60" spans="1:1">
      <c r="A60" t="s">
        <v>523</v>
      </c>
    </row>
    <row r="62" spans="1:1">
      <c r="A62" t="s">
        <v>524</v>
      </c>
    </row>
    <row r="63" spans="1:1">
      <c r="A63" t="s">
        <v>525</v>
      </c>
    </row>
    <row r="64" spans="1:1">
      <c r="A64" t="s">
        <v>526</v>
      </c>
    </row>
    <row r="65" spans="1:1">
      <c r="A65" t="s">
        <v>527</v>
      </c>
    </row>
    <row r="66" spans="1:1">
      <c r="A66" t="s">
        <v>528</v>
      </c>
    </row>
    <row r="67" spans="1:1">
      <c r="A67" t="s">
        <v>529</v>
      </c>
    </row>
    <row r="68" spans="1:1">
      <c r="A68" t="s">
        <v>530</v>
      </c>
    </row>
    <row r="69" spans="1:1">
      <c r="A69" t="s">
        <v>531</v>
      </c>
    </row>
    <row r="70" spans="1:1">
      <c r="A70" t="s">
        <v>532</v>
      </c>
    </row>
    <row r="71" spans="1:1">
      <c r="A71" t="s">
        <v>533</v>
      </c>
    </row>
    <row r="72" spans="1:1">
      <c r="A72" t="s">
        <v>534</v>
      </c>
    </row>
    <row r="73" spans="1:1">
      <c r="A73" t="s">
        <v>535</v>
      </c>
    </row>
    <row r="75" spans="1:1">
      <c r="A75" t="s">
        <v>536</v>
      </c>
    </row>
    <row r="76" spans="1:1">
      <c r="A76" t="s">
        <v>537</v>
      </c>
    </row>
    <row r="77" spans="1:1">
      <c r="A77" t="s">
        <v>538</v>
      </c>
    </row>
    <row r="78" spans="1:1">
      <c r="A78" t="s">
        <v>539</v>
      </c>
    </row>
    <row r="80" spans="1:1">
      <c r="A80" t="s">
        <v>577</v>
      </c>
    </row>
    <row r="81" spans="1:1">
      <c r="A81" t="s">
        <v>540</v>
      </c>
    </row>
    <row r="82" spans="1:1">
      <c r="A82" t="s">
        <v>541</v>
      </c>
    </row>
    <row r="84" spans="1:1">
      <c r="A84" s="36"/>
    </row>
    <row r="85" spans="1:1">
      <c r="A85" t="s">
        <v>542</v>
      </c>
    </row>
    <row r="86" spans="1:1">
      <c r="A86" t="s">
        <v>578</v>
      </c>
    </row>
    <row r="87" spans="1:1">
      <c r="A87" t="s">
        <v>548</v>
      </c>
    </row>
    <row r="88" spans="1:1">
      <c r="A88" t="s">
        <v>543</v>
      </c>
    </row>
    <row r="89" spans="1:1">
      <c r="A89" t="s">
        <v>544</v>
      </c>
    </row>
    <row r="90" spans="1:1">
      <c r="A90" t="s">
        <v>545</v>
      </c>
    </row>
    <row r="92" spans="1:1">
      <c r="A92" t="s">
        <v>546</v>
      </c>
    </row>
    <row r="93" spans="1:1">
      <c r="A93" t="s">
        <v>547</v>
      </c>
    </row>
    <row r="96" spans="1:1">
      <c r="A96" s="54" t="s">
        <v>549</v>
      </c>
    </row>
    <row r="98" spans="1:1">
      <c r="A98" t="s">
        <v>550</v>
      </c>
    </row>
    <row r="99" spans="1:1">
      <c r="A99" t="s">
        <v>551</v>
      </c>
    </row>
    <row r="100" spans="1:1">
      <c r="A100" t="s">
        <v>552</v>
      </c>
    </row>
    <row r="102" spans="1:1">
      <c r="A102" s="54" t="s">
        <v>553</v>
      </c>
    </row>
    <row r="105" spans="1:1">
      <c r="A105" s="54" t="s">
        <v>554</v>
      </c>
    </row>
    <row r="107" spans="1:1">
      <c r="A107" t="s">
        <v>555</v>
      </c>
    </row>
    <row r="108" spans="1:1">
      <c r="A108" t="s">
        <v>556</v>
      </c>
    </row>
    <row r="110" spans="1:1">
      <c r="A110" t="s">
        <v>557</v>
      </c>
    </row>
    <row r="112" spans="1:1">
      <c r="A112" t="s">
        <v>558</v>
      </c>
    </row>
    <row r="113" spans="1:7">
      <c r="A113" t="s">
        <v>581</v>
      </c>
    </row>
    <row r="114" spans="1:7">
      <c r="A114" t="s">
        <v>559</v>
      </c>
    </row>
    <row r="115" spans="1:7">
      <c r="A115" t="s">
        <v>560</v>
      </c>
    </row>
    <row r="116" spans="1:7">
      <c r="G116" t="s">
        <v>34</v>
      </c>
    </row>
    <row r="117" spans="1:7">
      <c r="A117" s="54" t="s">
        <v>561</v>
      </c>
    </row>
    <row r="118" spans="1:7">
      <c r="A118" t="s">
        <v>579</v>
      </c>
    </row>
    <row r="119" spans="1:7">
      <c r="A119" s="54" t="s">
        <v>562</v>
      </c>
    </row>
    <row r="120" spans="1:7">
      <c r="A120" t="s">
        <v>569</v>
      </c>
    </row>
    <row r="121" spans="1:7">
      <c r="A121" s="54" t="s">
        <v>570</v>
      </c>
    </row>
    <row r="122" spans="1:7">
      <c r="A122" s="36" t="s">
        <v>571</v>
      </c>
    </row>
    <row r="123" spans="1:7">
      <c r="A123" s="54" t="s">
        <v>572</v>
      </c>
    </row>
    <row r="124" spans="1:7">
      <c r="A124" t="s">
        <v>563</v>
      </c>
      <c r="D124" t="s">
        <v>34</v>
      </c>
    </row>
    <row r="125" spans="1:7">
      <c r="A125" s="54" t="s">
        <v>565</v>
      </c>
    </row>
    <row r="127" spans="1:7">
      <c r="A127" s="54" t="s">
        <v>564</v>
      </c>
    </row>
    <row r="129" spans="1:1">
      <c r="A129" s="54" t="s">
        <v>580</v>
      </c>
    </row>
    <row r="130" spans="1:1">
      <c r="A130" t="s">
        <v>567</v>
      </c>
    </row>
    <row r="131" spans="1:1">
      <c r="A131" t="s">
        <v>566</v>
      </c>
    </row>
    <row r="135" spans="1:1">
      <c r="A135" t="s">
        <v>568</v>
      </c>
    </row>
    <row r="137" spans="1:1">
      <c r="A137" t="s">
        <v>582</v>
      </c>
    </row>
    <row r="138" spans="1:1">
      <c r="A138" t="s">
        <v>583</v>
      </c>
    </row>
    <row r="139" spans="1:1">
      <c r="A139" t="s">
        <v>584</v>
      </c>
    </row>
    <row r="142" spans="1:1">
      <c r="A142" t="s">
        <v>689</v>
      </c>
    </row>
    <row r="143" spans="1:1">
      <c r="A143" t="s">
        <v>690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U48"/>
  <sheetViews>
    <sheetView topLeftCell="A2" workbookViewId="0">
      <selection activeCell="D8" sqref="D8"/>
    </sheetView>
  </sheetViews>
  <sheetFormatPr baseColWidth="10" defaultColWidth="8.83203125" defaultRowHeight="15" x14ac:dyDescent="0"/>
  <cols>
    <col min="1" max="1" width="8.6640625" style="786" customWidth="1"/>
    <col min="2" max="2" width="45.33203125" style="176" customWidth="1"/>
    <col min="3" max="3" width="12" style="176" customWidth="1"/>
    <col min="4" max="8" width="8.83203125" style="176"/>
    <col min="9" max="9" width="10.1640625" style="176" customWidth="1"/>
    <col min="10" max="11" width="8.83203125" style="176"/>
    <col min="12" max="12" width="9.33203125" style="176" customWidth="1"/>
    <col min="13" max="14" width="8.83203125" style="176"/>
    <col min="15" max="15" width="9.6640625" style="176" customWidth="1"/>
    <col min="16" max="17" width="8.83203125" style="176"/>
    <col min="18" max="18" width="9.6640625" style="176" customWidth="1"/>
    <col min="19" max="16384" width="8.83203125" style="176"/>
  </cols>
  <sheetData>
    <row r="1" spans="1:18" ht="16" thickBot="1">
      <c r="F1" s="176" t="s">
        <v>34</v>
      </c>
    </row>
    <row r="2" spans="1:18" ht="16" thickBot="1">
      <c r="D2" s="846" t="s">
        <v>1347</v>
      </c>
      <c r="F2" s="793">
        <v>0.03</v>
      </c>
    </row>
    <row r="3" spans="1:18">
      <c r="J3" s="176" t="s">
        <v>1745</v>
      </c>
    </row>
    <row r="4" spans="1:18">
      <c r="D4" s="436"/>
    </row>
    <row r="5" spans="1:18" ht="16" thickBot="1">
      <c r="B5" s="780" t="s">
        <v>1498</v>
      </c>
    </row>
    <row r="6" spans="1:18" ht="37" thickBot="1">
      <c r="B6" s="155" t="s">
        <v>1348</v>
      </c>
      <c r="C6" s="155" t="s">
        <v>1327</v>
      </c>
      <c r="D6" s="155" t="s">
        <v>1329</v>
      </c>
      <c r="E6" s="155" t="s">
        <v>1330</v>
      </c>
      <c r="F6" s="158" t="s">
        <v>1363</v>
      </c>
      <c r="G6" s="157" t="s">
        <v>1331</v>
      </c>
      <c r="H6" s="155" t="s">
        <v>1497</v>
      </c>
      <c r="I6" s="155" t="s">
        <v>1496</v>
      </c>
      <c r="J6" s="155" t="s">
        <v>1333</v>
      </c>
      <c r="K6" s="155" t="s">
        <v>1334</v>
      </c>
      <c r="L6" s="155" t="s">
        <v>1335</v>
      </c>
      <c r="M6" s="155" t="s">
        <v>1336</v>
      </c>
      <c r="N6" s="155" t="s">
        <v>1337</v>
      </c>
      <c r="O6" s="158" t="s">
        <v>1338</v>
      </c>
      <c r="P6" s="159" t="s">
        <v>1339</v>
      </c>
      <c r="Q6" s="159" t="s">
        <v>1340</v>
      </c>
      <c r="R6" s="310" t="s">
        <v>1341</v>
      </c>
    </row>
    <row r="7" spans="1:18" ht="16" thickBot="1">
      <c r="A7" s="880" t="s">
        <v>1531</v>
      </c>
      <c r="B7" s="794" t="s">
        <v>1495</v>
      </c>
      <c r="C7" s="419"/>
      <c r="D7" s="420">
        <v>24</v>
      </c>
      <c r="E7" s="450">
        <f t="shared" ref="E7:E16" si="0">I7*D7</f>
        <v>188928</v>
      </c>
      <c r="F7" s="421">
        <v>10.14</v>
      </c>
      <c r="G7" s="632">
        <f>P34</f>
        <v>0</v>
      </c>
      <c r="H7" s="415">
        <f>IF(F7=0,0,E7*F7*(1+G7))</f>
        <v>1915729.9200000002</v>
      </c>
      <c r="I7" s="206">
        <f>328*D7</f>
        <v>7872</v>
      </c>
      <c r="J7" s="416">
        <v>5</v>
      </c>
      <c r="K7" s="399">
        <f>(1-1/(1+$F$2)^J7)*$F$2^-1</f>
        <v>4.5797071871945301</v>
      </c>
      <c r="L7" s="193">
        <f>IF(K7=0,0,I7/K7)</f>
        <v>1718.8871860653358</v>
      </c>
      <c r="M7" s="417">
        <v>1</v>
      </c>
      <c r="N7" s="193">
        <f>L7*M7</f>
        <v>1718.8871860653358</v>
      </c>
      <c r="O7" s="377">
        <v>1</v>
      </c>
      <c r="P7" s="377"/>
      <c r="Q7" s="423"/>
      <c r="R7" s="193">
        <f>N7</f>
        <v>1718.8871860653358</v>
      </c>
    </row>
    <row r="8" spans="1:18" ht="16" thickBot="1">
      <c r="B8" s="178" t="s">
        <v>145</v>
      </c>
      <c r="C8" s="424"/>
      <c r="D8" s="425"/>
      <c r="E8" s="210">
        <f t="shared" si="0"/>
        <v>0</v>
      </c>
      <c r="F8" s="426">
        <v>10.14</v>
      </c>
      <c r="G8" s="633">
        <f>P35</f>
        <v>0</v>
      </c>
      <c r="H8" s="418">
        <f t="shared" ref="H8:H16" si="1">IF(F8=0,0,E8*F8*(1+G8))</f>
        <v>0</v>
      </c>
      <c r="I8" s="208"/>
      <c r="J8" s="413">
        <v>5</v>
      </c>
      <c r="K8" s="400">
        <f t="shared" ref="K8:K16" si="2">(1-1/(1+$F$2)^J8)*$F$2^-1</f>
        <v>4.5797071871945301</v>
      </c>
      <c r="L8" s="193">
        <f t="shared" ref="L8:L16" si="3">IF(K8=0,0,I8/K8)</f>
        <v>0</v>
      </c>
      <c r="M8" s="414">
        <v>1</v>
      </c>
      <c r="N8" s="194">
        <f t="shared" ref="N8:N16" si="4">L8*M8</f>
        <v>0</v>
      </c>
      <c r="O8" s="379">
        <v>1</v>
      </c>
      <c r="P8" s="379"/>
      <c r="Q8" s="211"/>
      <c r="R8" s="193">
        <f t="shared" ref="R8:R16" si="5">N8</f>
        <v>0</v>
      </c>
    </row>
    <row r="9" spans="1:18" ht="16" thickBot="1">
      <c r="A9" s="881" t="s">
        <v>1530</v>
      </c>
      <c r="B9" s="795" t="s">
        <v>146</v>
      </c>
      <c r="C9" s="424"/>
      <c r="D9" s="425">
        <v>1</v>
      </c>
      <c r="E9" s="210">
        <v>2000</v>
      </c>
      <c r="F9" s="426">
        <v>10.14</v>
      </c>
      <c r="G9" s="633">
        <f>P34</f>
        <v>0</v>
      </c>
      <c r="H9" s="418">
        <f t="shared" si="1"/>
        <v>20280</v>
      </c>
      <c r="I9" s="208">
        <f>E9</f>
        <v>2000</v>
      </c>
      <c r="J9" s="413">
        <v>15</v>
      </c>
      <c r="K9" s="400">
        <f t="shared" si="2"/>
        <v>11.937935086776079</v>
      </c>
      <c r="L9" s="193">
        <f t="shared" si="3"/>
        <v>167.53316092457609</v>
      </c>
      <c r="M9" s="414">
        <v>1</v>
      </c>
      <c r="N9" s="194">
        <f t="shared" si="4"/>
        <v>167.53316092457609</v>
      </c>
      <c r="O9" s="379">
        <v>1</v>
      </c>
      <c r="P9" s="379"/>
      <c r="Q9" s="211"/>
      <c r="R9" s="193">
        <f t="shared" si="5"/>
        <v>167.53316092457609</v>
      </c>
    </row>
    <row r="10" spans="1:18" ht="16" thickBot="1">
      <c r="B10" s="178" t="s">
        <v>1500</v>
      </c>
      <c r="C10" s="424"/>
      <c r="D10" s="425"/>
      <c r="E10" s="210">
        <f t="shared" si="0"/>
        <v>0</v>
      </c>
      <c r="F10" s="426">
        <v>10.14</v>
      </c>
      <c r="G10" s="633">
        <f>P35</f>
        <v>0</v>
      </c>
      <c r="H10" s="418">
        <f t="shared" si="1"/>
        <v>0</v>
      </c>
      <c r="I10" s="208"/>
      <c r="J10" s="413">
        <v>5</v>
      </c>
      <c r="K10" s="400">
        <f t="shared" si="2"/>
        <v>4.5797071871945301</v>
      </c>
      <c r="L10" s="193">
        <f t="shared" si="3"/>
        <v>0</v>
      </c>
      <c r="M10" s="414">
        <v>1</v>
      </c>
      <c r="N10" s="194">
        <f t="shared" si="4"/>
        <v>0</v>
      </c>
      <c r="O10" s="379">
        <v>1</v>
      </c>
      <c r="P10" s="379"/>
      <c r="Q10" s="211"/>
      <c r="R10" s="193">
        <f t="shared" si="5"/>
        <v>0</v>
      </c>
    </row>
    <row r="11" spans="1:18" ht="16" thickBot="1">
      <c r="B11" s="178"/>
      <c r="C11" s="424"/>
      <c r="D11" s="425"/>
      <c r="E11" s="210">
        <f t="shared" si="0"/>
        <v>0</v>
      </c>
      <c r="F11" s="426"/>
      <c r="G11" s="633"/>
      <c r="H11" s="418">
        <f t="shared" si="1"/>
        <v>0</v>
      </c>
      <c r="I11" s="182"/>
      <c r="J11" s="413">
        <v>5</v>
      </c>
      <c r="K11" s="400">
        <f t="shared" si="2"/>
        <v>4.5797071871945301</v>
      </c>
      <c r="L11" s="193">
        <f t="shared" si="3"/>
        <v>0</v>
      </c>
      <c r="M11" s="414">
        <v>1</v>
      </c>
      <c r="N11" s="194">
        <f t="shared" si="4"/>
        <v>0</v>
      </c>
      <c r="O11" s="379"/>
      <c r="P11" s="379"/>
      <c r="Q11" s="211"/>
      <c r="R11" s="193">
        <f t="shared" si="5"/>
        <v>0</v>
      </c>
    </row>
    <row r="12" spans="1:18" ht="16" thickBot="1">
      <c r="B12" s="178"/>
      <c r="C12" s="424"/>
      <c r="D12" s="425"/>
      <c r="E12" s="210">
        <f t="shared" si="0"/>
        <v>0</v>
      </c>
      <c r="F12" s="426"/>
      <c r="G12" s="633"/>
      <c r="H12" s="418">
        <f t="shared" si="1"/>
        <v>0</v>
      </c>
      <c r="I12" s="182"/>
      <c r="J12" s="413">
        <v>5</v>
      </c>
      <c r="K12" s="400">
        <f t="shared" si="2"/>
        <v>4.5797071871945301</v>
      </c>
      <c r="L12" s="193">
        <f t="shared" si="3"/>
        <v>0</v>
      </c>
      <c r="M12" s="414">
        <v>1</v>
      </c>
      <c r="N12" s="194">
        <f t="shared" si="4"/>
        <v>0</v>
      </c>
      <c r="O12" s="379"/>
      <c r="P12" s="379"/>
      <c r="Q12" s="211"/>
      <c r="R12" s="193">
        <f t="shared" si="5"/>
        <v>0</v>
      </c>
    </row>
    <row r="13" spans="1:18" ht="16" thickBot="1">
      <c r="B13" s="178"/>
      <c r="C13" s="424"/>
      <c r="D13" s="425"/>
      <c r="E13" s="210">
        <f t="shared" si="0"/>
        <v>0</v>
      </c>
      <c r="F13" s="426"/>
      <c r="G13" s="633"/>
      <c r="H13" s="418">
        <f t="shared" si="1"/>
        <v>0</v>
      </c>
      <c r="I13" s="182"/>
      <c r="J13" s="413">
        <v>5</v>
      </c>
      <c r="K13" s="400">
        <f t="shared" si="2"/>
        <v>4.5797071871945301</v>
      </c>
      <c r="L13" s="193">
        <f t="shared" si="3"/>
        <v>0</v>
      </c>
      <c r="M13" s="414">
        <v>1</v>
      </c>
      <c r="N13" s="194">
        <f t="shared" si="4"/>
        <v>0</v>
      </c>
      <c r="O13" s="379"/>
      <c r="P13" s="379"/>
      <c r="Q13" s="211"/>
      <c r="R13" s="193">
        <f t="shared" si="5"/>
        <v>0</v>
      </c>
    </row>
    <row r="14" spans="1:18" ht="16" thickBot="1">
      <c r="B14" s="178"/>
      <c r="C14" s="424"/>
      <c r="D14" s="425"/>
      <c r="E14" s="210">
        <f t="shared" si="0"/>
        <v>0</v>
      </c>
      <c r="F14" s="426"/>
      <c r="G14" s="633"/>
      <c r="H14" s="418">
        <f t="shared" si="1"/>
        <v>0</v>
      </c>
      <c r="I14" s="182"/>
      <c r="J14" s="413">
        <v>5</v>
      </c>
      <c r="K14" s="400">
        <f t="shared" si="2"/>
        <v>4.5797071871945301</v>
      </c>
      <c r="L14" s="193">
        <f t="shared" si="3"/>
        <v>0</v>
      </c>
      <c r="M14" s="414">
        <v>1</v>
      </c>
      <c r="N14" s="194">
        <f t="shared" si="4"/>
        <v>0</v>
      </c>
      <c r="O14" s="379"/>
      <c r="P14" s="379"/>
      <c r="Q14" s="211"/>
      <c r="R14" s="193">
        <f t="shared" si="5"/>
        <v>0</v>
      </c>
    </row>
    <row r="15" spans="1:18" ht="16" thickBot="1">
      <c r="B15" s="178"/>
      <c r="C15" s="424"/>
      <c r="D15" s="425"/>
      <c r="E15" s="210">
        <f t="shared" si="0"/>
        <v>0</v>
      </c>
      <c r="F15" s="208"/>
      <c r="G15" s="633"/>
      <c r="H15" s="418">
        <f t="shared" si="1"/>
        <v>0</v>
      </c>
      <c r="I15" s="182"/>
      <c r="J15" s="413">
        <v>5</v>
      </c>
      <c r="K15" s="400">
        <f t="shared" si="2"/>
        <v>4.5797071871945301</v>
      </c>
      <c r="L15" s="193">
        <f t="shared" si="3"/>
        <v>0</v>
      </c>
      <c r="M15" s="414">
        <v>1</v>
      </c>
      <c r="N15" s="194">
        <f t="shared" si="4"/>
        <v>0</v>
      </c>
      <c r="O15" s="208"/>
      <c r="P15" s="208"/>
      <c r="Q15" s="428"/>
      <c r="R15" s="193">
        <f t="shared" si="5"/>
        <v>0</v>
      </c>
    </row>
    <row r="16" spans="1:18" ht="16" thickBot="1">
      <c r="B16" s="180"/>
      <c r="C16" s="429"/>
      <c r="D16" s="430"/>
      <c r="E16" s="215">
        <f t="shared" si="0"/>
        <v>0</v>
      </c>
      <c r="F16" s="213"/>
      <c r="G16" s="634"/>
      <c r="H16" s="432">
        <f t="shared" si="1"/>
        <v>0</v>
      </c>
      <c r="I16" s="184"/>
      <c r="J16" s="433">
        <v>5</v>
      </c>
      <c r="K16" s="401">
        <f t="shared" si="2"/>
        <v>4.5797071871945301</v>
      </c>
      <c r="L16" s="193">
        <f t="shared" si="3"/>
        <v>0</v>
      </c>
      <c r="M16" s="434">
        <v>1</v>
      </c>
      <c r="N16" s="195">
        <f t="shared" si="4"/>
        <v>0</v>
      </c>
      <c r="O16" s="213"/>
      <c r="P16" s="213"/>
      <c r="Q16" s="435"/>
      <c r="R16" s="193">
        <f t="shared" si="5"/>
        <v>0</v>
      </c>
    </row>
    <row r="17" spans="1:19" ht="16" thickBot="1">
      <c r="B17" s="307"/>
      <c r="D17" s="307"/>
      <c r="E17" s="307"/>
      <c r="F17" s="307"/>
      <c r="G17" s="307"/>
      <c r="H17" s="307"/>
      <c r="I17" s="307"/>
      <c r="J17" s="307"/>
      <c r="K17" s="307"/>
      <c r="L17" s="307"/>
      <c r="M17" s="307"/>
      <c r="N17" s="307"/>
      <c r="O17" s="307"/>
      <c r="P17" s="307"/>
      <c r="Q17" s="436" t="s">
        <v>1717</v>
      </c>
      <c r="R17" s="437">
        <f>SUM(R7:R16)</f>
        <v>1886.4203469899119</v>
      </c>
    </row>
    <row r="18" spans="1:19" ht="16" thickBot="1">
      <c r="B18" s="176" t="s">
        <v>1864</v>
      </c>
      <c r="Q18" s="176" t="s">
        <v>34</v>
      </c>
    </row>
    <row r="19" spans="1:19" ht="16" thickBot="1">
      <c r="B19" s="259" t="s">
        <v>34</v>
      </c>
      <c r="O19" s="436" t="s">
        <v>1345</v>
      </c>
      <c r="P19" s="771">
        <v>0</v>
      </c>
    </row>
    <row r="20" spans="1:19">
      <c r="B20" s="176" t="s">
        <v>34</v>
      </c>
      <c r="E20" s="176" t="s">
        <v>34</v>
      </c>
      <c r="P20" s="773" t="s">
        <v>1346</v>
      </c>
    </row>
    <row r="23" spans="1:19" ht="16" thickBot="1">
      <c r="B23" s="780" t="s">
        <v>1499</v>
      </c>
      <c r="D23" s="308" t="s">
        <v>1622</v>
      </c>
      <c r="E23" s="308" t="s">
        <v>1622</v>
      </c>
      <c r="F23" s="308"/>
      <c r="G23" s="308"/>
      <c r="H23" s="308" t="s">
        <v>1623</v>
      </c>
      <c r="I23" s="308" t="s">
        <v>1623</v>
      </c>
      <c r="J23" s="308"/>
      <c r="K23" s="308"/>
      <c r="L23" s="308"/>
      <c r="M23" s="308"/>
    </row>
    <row r="24" spans="1:19" ht="33" thickBot="1">
      <c r="B24" s="155" t="s">
        <v>1348</v>
      </c>
      <c r="C24" s="165" t="s">
        <v>1329</v>
      </c>
      <c r="D24" s="155" t="s">
        <v>1328</v>
      </c>
      <c r="E24" s="155" t="s">
        <v>1330</v>
      </c>
      <c r="F24" s="166" t="s">
        <v>1369</v>
      </c>
      <c r="G24" s="166" t="s">
        <v>1370</v>
      </c>
      <c r="H24" s="166" t="s">
        <v>1620</v>
      </c>
      <c r="I24" s="158" t="s">
        <v>1624</v>
      </c>
      <c r="J24" s="159" t="s">
        <v>1339</v>
      </c>
      <c r="K24" s="159" t="s">
        <v>1340</v>
      </c>
      <c r="L24" s="310" t="s">
        <v>1341</v>
      </c>
      <c r="M24" s="308"/>
    </row>
    <row r="25" spans="1:19">
      <c r="A25" s="881" t="s">
        <v>1530</v>
      </c>
      <c r="B25" s="275" t="s">
        <v>1501</v>
      </c>
      <c r="C25" s="372"/>
      <c r="D25" s="373">
        <f>U48</f>
        <v>334.31952662721892</v>
      </c>
      <c r="E25" s="390">
        <f>D25</f>
        <v>334.31952662721892</v>
      </c>
      <c r="F25" s="220">
        <v>1</v>
      </c>
      <c r="G25" s="411">
        <f>E25</f>
        <v>334.31952662721892</v>
      </c>
      <c r="H25" s="411">
        <f>G25*12</f>
        <v>4011.834319526627</v>
      </c>
      <c r="I25" s="412"/>
      <c r="J25" s="377"/>
      <c r="K25" s="377"/>
      <c r="L25" s="882">
        <f>H25</f>
        <v>4011.834319526627</v>
      </c>
      <c r="M25" s="308"/>
    </row>
    <row r="26" spans="1:19">
      <c r="B26" s="762" t="s">
        <v>1502</v>
      </c>
      <c r="C26" s="396"/>
      <c r="D26" s="220"/>
      <c r="E26" s="222"/>
      <c r="F26" s="220"/>
      <c r="G26" s="883"/>
      <c r="H26" s="883"/>
      <c r="I26" s="884"/>
      <c r="J26" s="884"/>
      <c r="K26" s="884"/>
      <c r="L26" s="885"/>
      <c r="M26" s="308"/>
    </row>
    <row r="27" spans="1:19">
      <c r="B27" s="178"/>
      <c r="C27" s="189"/>
      <c r="D27" s="208"/>
      <c r="E27" s="194">
        <f>C27*D27</f>
        <v>0</v>
      </c>
      <c r="F27" s="208"/>
      <c r="G27" s="194" t="s">
        <v>1516</v>
      </c>
      <c r="H27" s="194">
        <v>0</v>
      </c>
      <c r="I27" s="379"/>
      <c r="J27" s="379"/>
      <c r="K27" s="379"/>
      <c r="L27" s="886">
        <v>0</v>
      </c>
      <c r="M27" s="308"/>
    </row>
    <row r="28" spans="1:19">
      <c r="B28" s="178"/>
      <c r="C28" s="189"/>
      <c r="D28" s="208"/>
      <c r="E28" s="194">
        <f t="shared" ref="E28:E34" si="6">C28*D28</f>
        <v>0</v>
      </c>
      <c r="F28" s="208"/>
      <c r="G28" s="194" t="s">
        <v>1516</v>
      </c>
      <c r="H28" s="194">
        <v>0</v>
      </c>
      <c r="I28" s="379"/>
      <c r="J28" s="379"/>
      <c r="K28" s="379"/>
      <c r="L28" s="886">
        <v>0</v>
      </c>
      <c r="M28" s="308"/>
    </row>
    <row r="29" spans="1:19">
      <c r="B29" s="178"/>
      <c r="C29" s="189"/>
      <c r="D29" s="208"/>
      <c r="E29" s="194">
        <f t="shared" si="6"/>
        <v>0</v>
      </c>
      <c r="F29" s="208"/>
      <c r="G29" s="194" t="s">
        <v>1516</v>
      </c>
      <c r="H29" s="194">
        <v>0</v>
      </c>
      <c r="I29" s="379"/>
      <c r="J29" s="379"/>
      <c r="K29" s="379"/>
      <c r="L29" s="886">
        <v>0</v>
      </c>
      <c r="M29" s="308"/>
    </row>
    <row r="30" spans="1:19">
      <c r="B30" s="178"/>
      <c r="C30" s="189"/>
      <c r="D30" s="208"/>
      <c r="E30" s="194">
        <f t="shared" si="6"/>
        <v>0</v>
      </c>
      <c r="F30" s="208"/>
      <c r="G30" s="194" t="s">
        <v>1516</v>
      </c>
      <c r="H30" s="194">
        <v>0</v>
      </c>
      <c r="I30" s="379"/>
      <c r="J30" s="379"/>
      <c r="K30" s="379"/>
      <c r="L30" s="886">
        <v>0</v>
      </c>
      <c r="M30" s="308"/>
      <c r="R30" s="887">
        <v>500</v>
      </c>
      <c r="S30" s="176">
        <f>R30*12</f>
        <v>6000</v>
      </c>
    </row>
    <row r="31" spans="1:19">
      <c r="B31" s="178"/>
      <c r="C31" s="189"/>
      <c r="D31" s="208"/>
      <c r="E31" s="194">
        <f t="shared" si="6"/>
        <v>0</v>
      </c>
      <c r="F31" s="208"/>
      <c r="G31" s="194" t="s">
        <v>1516</v>
      </c>
      <c r="H31" s="194">
        <v>0</v>
      </c>
      <c r="I31" s="379"/>
      <c r="J31" s="379"/>
      <c r="K31" s="379"/>
      <c r="L31" s="886">
        <v>0</v>
      </c>
      <c r="M31" s="308"/>
    </row>
    <row r="32" spans="1:19">
      <c r="B32" s="178"/>
      <c r="C32" s="189"/>
      <c r="D32" s="208"/>
      <c r="E32" s="194">
        <f t="shared" si="6"/>
        <v>0</v>
      </c>
      <c r="F32" s="208"/>
      <c r="G32" s="194" t="s">
        <v>1516</v>
      </c>
      <c r="H32" s="194">
        <v>0</v>
      </c>
      <c r="I32" s="379"/>
      <c r="J32" s="379"/>
      <c r="K32" s="379"/>
      <c r="L32" s="886">
        <v>0</v>
      </c>
      <c r="M32" s="308"/>
    </row>
    <row r="33" spans="2:21">
      <c r="B33" s="178"/>
      <c r="C33" s="189"/>
      <c r="D33" s="208"/>
      <c r="E33" s="194">
        <f t="shared" si="6"/>
        <v>0</v>
      </c>
      <c r="F33" s="208"/>
      <c r="G33" s="194" t="s">
        <v>1516</v>
      </c>
      <c r="H33" s="194">
        <v>0</v>
      </c>
      <c r="I33" s="379"/>
      <c r="J33" s="379"/>
      <c r="K33" s="379"/>
      <c r="L33" s="886">
        <v>0</v>
      </c>
      <c r="M33" s="308"/>
    </row>
    <row r="34" spans="2:21">
      <c r="B34" s="178"/>
      <c r="C34" s="189"/>
      <c r="D34" s="208"/>
      <c r="E34" s="194">
        <f t="shared" si="6"/>
        <v>0</v>
      </c>
      <c r="F34" s="208"/>
      <c r="G34" s="194" t="s">
        <v>1516</v>
      </c>
      <c r="H34" s="194">
        <v>0</v>
      </c>
      <c r="I34" s="208"/>
      <c r="J34" s="208"/>
      <c r="K34" s="212"/>
      <c r="L34" s="886">
        <v>0</v>
      </c>
      <c r="M34" s="308"/>
    </row>
    <row r="35" spans="2:21" ht="16" thickBot="1">
      <c r="B35" s="180"/>
      <c r="C35" s="186"/>
      <c r="D35" s="213"/>
      <c r="E35" s="195">
        <f>C35*D35</f>
        <v>0</v>
      </c>
      <c r="F35" s="213"/>
      <c r="G35" s="195" t="s">
        <v>1516</v>
      </c>
      <c r="H35" s="195">
        <v>0</v>
      </c>
      <c r="I35" s="213"/>
      <c r="J35" s="213"/>
      <c r="K35" s="217"/>
      <c r="L35" s="886">
        <v>0</v>
      </c>
      <c r="M35" s="308"/>
    </row>
    <row r="36" spans="2:21" ht="16" thickBot="1">
      <c r="B36" s="307"/>
      <c r="C36" s="307"/>
      <c r="D36" s="307"/>
      <c r="E36" s="307"/>
      <c r="F36" s="307"/>
      <c r="G36" s="307"/>
      <c r="H36" s="307"/>
      <c r="I36" s="307"/>
      <c r="J36" s="307"/>
      <c r="K36" s="436" t="s">
        <v>1460</v>
      </c>
      <c r="L36" s="888">
        <f>SUM(L25:L35)</f>
        <v>4011.834319526627</v>
      </c>
      <c r="M36" s="308"/>
      <c r="P36" s="176" t="s">
        <v>1625</v>
      </c>
    </row>
    <row r="37" spans="2:21" ht="16" thickBot="1">
      <c r="M37" s="308"/>
    </row>
    <row r="38" spans="2:21" ht="16" thickBot="1">
      <c r="I38" s="436" t="s">
        <v>1345</v>
      </c>
      <c r="J38" s="771">
        <v>0</v>
      </c>
      <c r="M38" s="308"/>
    </row>
    <row r="39" spans="2:21">
      <c r="J39" s="773" t="s">
        <v>1346</v>
      </c>
      <c r="M39" s="308"/>
    </row>
    <row r="40" spans="2:21" ht="16" thickBot="1">
      <c r="B40" s="259" t="s">
        <v>34</v>
      </c>
      <c r="C40" s="308"/>
      <c r="D40" s="308"/>
      <c r="E40" s="308"/>
      <c r="F40" s="308"/>
      <c r="G40" s="308"/>
      <c r="H40" s="308"/>
      <c r="I40" s="308"/>
      <c r="J40" s="308"/>
      <c r="K40" s="308"/>
      <c r="L40" s="308"/>
      <c r="M40" s="308"/>
    </row>
    <row r="41" spans="2:21" ht="16" thickBot="1">
      <c r="B41" s="889" t="s">
        <v>1528</v>
      </c>
      <c r="C41" s="890">
        <v>171000</v>
      </c>
      <c r="D41" s="891">
        <v>25110.13215859031</v>
      </c>
    </row>
    <row r="42" spans="2:21">
      <c r="T42" s="176" t="s">
        <v>1710</v>
      </c>
    </row>
    <row r="43" spans="2:21">
      <c r="C43" s="176">
        <v>37336.244541484717</v>
      </c>
      <c r="D43" s="176" t="s">
        <v>1529</v>
      </c>
      <c r="K43" s="176" t="s">
        <v>34</v>
      </c>
      <c r="O43" s="733" t="s">
        <v>1846</v>
      </c>
      <c r="S43" s="176">
        <f>135</f>
        <v>135</v>
      </c>
      <c r="T43" s="176">
        <v>24</v>
      </c>
      <c r="U43" s="176">
        <f>S43*T43</f>
        <v>3240</v>
      </c>
    </row>
    <row r="44" spans="2:21">
      <c r="O44" s="733" t="s">
        <v>1847</v>
      </c>
      <c r="S44" s="176">
        <v>30</v>
      </c>
      <c r="T44" s="176">
        <v>1</v>
      </c>
      <c r="U44" s="176">
        <f t="shared" ref="U44:U45" si="7">S44*T44</f>
        <v>30</v>
      </c>
    </row>
    <row r="45" spans="2:21">
      <c r="O45" s="733" t="s">
        <v>1848</v>
      </c>
      <c r="S45" s="176">
        <v>30</v>
      </c>
      <c r="T45" s="176">
        <v>4</v>
      </c>
      <c r="U45" s="176">
        <f t="shared" si="7"/>
        <v>120</v>
      </c>
    </row>
    <row r="47" spans="2:21">
      <c r="T47" s="176" t="s">
        <v>51</v>
      </c>
      <c r="U47" s="176">
        <f>SUM(U43:U45)</f>
        <v>3390</v>
      </c>
    </row>
    <row r="48" spans="2:21">
      <c r="T48" s="176" t="s">
        <v>1849</v>
      </c>
      <c r="U48" s="176">
        <f>U47/10.14</f>
        <v>334.31952662721892</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C58"/>
  <sheetViews>
    <sheetView workbookViewId="0">
      <selection activeCell="D13" sqref="D13"/>
    </sheetView>
  </sheetViews>
  <sheetFormatPr baseColWidth="10" defaultColWidth="11" defaultRowHeight="15" x14ac:dyDescent="0"/>
  <sheetData>
    <row r="1" spans="1:3">
      <c r="A1" t="s">
        <v>239</v>
      </c>
    </row>
    <row r="2" spans="1:3">
      <c r="C2" s="60">
        <v>0.49861111111111112</v>
      </c>
    </row>
    <row r="3" spans="1:3">
      <c r="A3" t="s">
        <v>240</v>
      </c>
    </row>
    <row r="5" spans="1:3">
      <c r="A5" t="s">
        <v>241</v>
      </c>
    </row>
    <row r="6" spans="1:3">
      <c r="A6" t="s">
        <v>242</v>
      </c>
    </row>
    <row r="7" spans="1:3">
      <c r="A7" t="s">
        <v>243</v>
      </c>
    </row>
    <row r="8" spans="1:3">
      <c r="A8" t="s">
        <v>244</v>
      </c>
    </row>
    <row r="9" spans="1:3">
      <c r="A9" t="s">
        <v>245</v>
      </c>
    </row>
    <row r="10" spans="1:3">
      <c r="A10" t="s">
        <v>246</v>
      </c>
    </row>
    <row r="11" spans="1:3">
      <c r="A11" t="s">
        <v>1383</v>
      </c>
    </row>
    <row r="12" spans="1:3">
      <c r="A12" t="s">
        <v>1384</v>
      </c>
    </row>
    <row r="13" spans="1:3">
      <c r="A13" t="s">
        <v>247</v>
      </c>
    </row>
    <row r="15" spans="1:3">
      <c r="A15" t="s">
        <v>248</v>
      </c>
    </row>
    <row r="16" spans="1:3">
      <c r="A16" t="s">
        <v>249</v>
      </c>
    </row>
    <row r="18" spans="1:1">
      <c r="A18" t="s">
        <v>250</v>
      </c>
    </row>
    <row r="19" spans="1:1">
      <c r="A19" t="s">
        <v>252</v>
      </c>
    </row>
    <row r="20" spans="1:1">
      <c r="A20" t="s">
        <v>251</v>
      </c>
    </row>
    <row r="22" spans="1:1">
      <c r="A22" t="s">
        <v>253</v>
      </c>
    </row>
    <row r="23" spans="1:1">
      <c r="A23" t="s">
        <v>254</v>
      </c>
    </row>
    <row r="24" spans="1:1">
      <c r="A24" t="s">
        <v>255</v>
      </c>
    </row>
    <row r="25" spans="1:1">
      <c r="A25" t="s">
        <v>256</v>
      </c>
    </row>
    <row r="26" spans="1:1">
      <c r="A26" t="s">
        <v>257</v>
      </c>
    </row>
    <row r="27" spans="1:1">
      <c r="A27" t="s">
        <v>258</v>
      </c>
    </row>
    <row r="29" spans="1:1">
      <c r="A29" t="s">
        <v>259</v>
      </c>
    </row>
    <row r="30" spans="1:1">
      <c r="A30" t="s">
        <v>260</v>
      </c>
    </row>
    <row r="31" spans="1:1">
      <c r="A31" t="s">
        <v>261</v>
      </c>
    </row>
    <row r="32" spans="1:1">
      <c r="A32" t="s">
        <v>262</v>
      </c>
    </row>
    <row r="33" spans="1:1">
      <c r="A33" t="s">
        <v>263</v>
      </c>
    </row>
    <row r="34" spans="1:1">
      <c r="A34" t="s">
        <v>264</v>
      </c>
    </row>
    <row r="35" spans="1:1">
      <c r="A35" t="s">
        <v>266</v>
      </c>
    </row>
    <row r="36" spans="1:1">
      <c r="A36" t="s">
        <v>265</v>
      </c>
    </row>
    <row r="38" spans="1:1">
      <c r="A38" t="s">
        <v>267</v>
      </c>
    </row>
    <row r="39" spans="1:1">
      <c r="A39" t="s">
        <v>268</v>
      </c>
    </row>
    <row r="40" spans="1:1">
      <c r="A40" t="s">
        <v>269</v>
      </c>
    </row>
    <row r="42" spans="1:1">
      <c r="A42" t="s">
        <v>270</v>
      </c>
    </row>
    <row r="43" spans="1:1">
      <c r="A43">
        <v>4</v>
      </c>
    </row>
    <row r="44" spans="1:1">
      <c r="A44" t="s">
        <v>271</v>
      </c>
    </row>
    <row r="45" spans="1:1">
      <c r="A45" t="s">
        <v>272</v>
      </c>
    </row>
    <row r="46" spans="1:1">
      <c r="A46" t="s">
        <v>273</v>
      </c>
    </row>
    <row r="47" spans="1:1">
      <c r="A47" t="s">
        <v>274</v>
      </c>
    </row>
    <row r="48" spans="1:1">
      <c r="A48" t="s">
        <v>275</v>
      </c>
    </row>
    <row r="50" spans="1:1">
      <c r="A50" t="s">
        <v>276</v>
      </c>
    </row>
    <row r="51" spans="1:1">
      <c r="A51" t="s">
        <v>277</v>
      </c>
    </row>
    <row r="52" spans="1:1">
      <c r="A52" t="s">
        <v>278</v>
      </c>
    </row>
    <row r="53" spans="1:1">
      <c r="A53" t="s">
        <v>279</v>
      </c>
    </row>
    <row r="55" spans="1:1">
      <c r="A55" t="s">
        <v>280</v>
      </c>
    </row>
    <row r="56" spans="1:1">
      <c r="A56" t="s">
        <v>281</v>
      </c>
    </row>
    <row r="58" spans="1:1">
      <c r="A58" t="s">
        <v>282</v>
      </c>
    </row>
  </sheetData>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499984740745262"/>
  </sheetPr>
  <dimension ref="A1:R185"/>
  <sheetViews>
    <sheetView topLeftCell="A28" workbookViewId="0">
      <selection activeCell="F74" sqref="F74"/>
    </sheetView>
  </sheetViews>
  <sheetFormatPr baseColWidth="10" defaultColWidth="11" defaultRowHeight="15" x14ac:dyDescent="0"/>
  <cols>
    <col min="2" max="2" width="65" bestFit="1" customWidth="1"/>
  </cols>
  <sheetData>
    <row r="1" spans="1:13">
      <c r="A1" s="64">
        <v>41596</v>
      </c>
      <c r="C1" t="s">
        <v>76</v>
      </c>
      <c r="D1" t="s">
        <v>175</v>
      </c>
      <c r="E1" t="s">
        <v>198</v>
      </c>
      <c r="H1" t="s">
        <v>322</v>
      </c>
    </row>
    <row r="2" spans="1:13" s="54" customFormat="1">
      <c r="A2" s="54" t="s">
        <v>174</v>
      </c>
      <c r="B2" s="54" t="s">
        <v>176</v>
      </c>
      <c r="F2" s="54" t="s">
        <v>1199</v>
      </c>
      <c r="H2" s="36" t="s">
        <v>321</v>
      </c>
    </row>
    <row r="3" spans="1:13">
      <c r="B3" t="s">
        <v>177</v>
      </c>
      <c r="F3" s="67" t="s">
        <v>311</v>
      </c>
      <c r="H3" t="s">
        <v>333</v>
      </c>
    </row>
    <row r="4" spans="1:13">
      <c r="A4" t="s">
        <v>34</v>
      </c>
      <c r="B4" t="s">
        <v>178</v>
      </c>
      <c r="H4" t="s">
        <v>334</v>
      </c>
    </row>
    <row r="5" spans="1:13">
      <c r="B5" t="s">
        <v>78</v>
      </c>
      <c r="C5" t="s">
        <v>214</v>
      </c>
      <c r="H5" s="54" t="s">
        <v>1094</v>
      </c>
      <c r="L5" t="s">
        <v>79</v>
      </c>
      <c r="M5" s="60">
        <f>H34</f>
        <v>9.0277777777777873E-3</v>
      </c>
    </row>
    <row r="6" spans="1:13">
      <c r="A6" s="60">
        <v>5.6944444444444443E-2</v>
      </c>
      <c r="B6" t="s">
        <v>179</v>
      </c>
      <c r="C6" s="63">
        <f>A31-A6</f>
        <v>4.374999999999999E-2</v>
      </c>
      <c r="E6" t="s">
        <v>1085</v>
      </c>
      <c r="H6" s="63">
        <f>A7-A6</f>
        <v>2.0833333333333398E-3</v>
      </c>
      <c r="L6" t="s">
        <v>78</v>
      </c>
      <c r="M6" s="60">
        <f>H6</f>
        <v>2.0833333333333398E-3</v>
      </c>
    </row>
    <row r="7" spans="1:13">
      <c r="A7" s="60">
        <v>5.9027777777777783E-2</v>
      </c>
      <c r="B7" t="s">
        <v>180</v>
      </c>
      <c r="C7" t="s">
        <v>312</v>
      </c>
      <c r="E7" s="60">
        <f>A8-A7</f>
        <v>1.388888888888884E-3</v>
      </c>
      <c r="H7" s="54" t="s">
        <v>1089</v>
      </c>
      <c r="L7" t="s">
        <v>1233</v>
      </c>
      <c r="M7" s="60">
        <f>H8</f>
        <v>1.388888888888884E-3</v>
      </c>
    </row>
    <row r="8" spans="1:13">
      <c r="A8" s="60">
        <v>6.0416666666666667E-2</v>
      </c>
      <c r="B8" t="s">
        <v>181</v>
      </c>
      <c r="E8" s="81" t="s">
        <v>1086</v>
      </c>
      <c r="F8" s="82"/>
      <c r="H8" s="63">
        <f>E7</f>
        <v>1.388888888888884E-3</v>
      </c>
      <c r="L8" s="54" t="s">
        <v>1235</v>
      </c>
    </row>
    <row r="9" spans="1:13">
      <c r="A9" s="60">
        <v>6.25E-2</v>
      </c>
      <c r="B9" t="s">
        <v>182</v>
      </c>
      <c r="E9" s="88">
        <f>A10-A9</f>
        <v>2.7777777777777818E-3</v>
      </c>
      <c r="F9" s="84"/>
      <c r="H9" s="54" t="s">
        <v>1096</v>
      </c>
      <c r="I9" s="54"/>
      <c r="L9" t="s">
        <v>376</v>
      </c>
      <c r="M9" s="60">
        <f>H10</f>
        <v>2.7777777777777679E-3</v>
      </c>
    </row>
    <row r="10" spans="1:13">
      <c r="A10" s="60">
        <v>6.5277777777777782E-2</v>
      </c>
      <c r="B10" t="s">
        <v>183</v>
      </c>
      <c r="C10" t="s">
        <v>1092</v>
      </c>
      <c r="E10" t="s">
        <v>300</v>
      </c>
      <c r="H10" s="63">
        <f>E11</f>
        <v>2.7777777777777679E-3</v>
      </c>
      <c r="I10" s="54"/>
      <c r="L10" t="s">
        <v>1237</v>
      </c>
      <c r="M10" s="60">
        <f>H13</f>
        <v>1.1805555555555555E-2</v>
      </c>
    </row>
    <row r="11" spans="1:13">
      <c r="A11" s="60">
        <v>6.805555555555555E-2</v>
      </c>
      <c r="B11" t="s">
        <v>184</v>
      </c>
      <c r="C11" s="60">
        <f>A19-A6</f>
        <v>2.3611111111111117E-2</v>
      </c>
      <c r="E11" s="60">
        <f>A11-A10</f>
        <v>2.7777777777777679E-3</v>
      </c>
      <c r="L11" t="s">
        <v>1234</v>
      </c>
      <c r="M11" s="60">
        <f>H15</f>
        <v>2.7777777777777887E-3</v>
      </c>
    </row>
    <row r="12" spans="1:13">
      <c r="A12" s="60">
        <v>6.9444444444444434E-2</v>
      </c>
      <c r="B12" t="s">
        <v>185</v>
      </c>
      <c r="E12" t="s">
        <v>1087</v>
      </c>
      <c r="H12" s="54" t="s">
        <v>1097</v>
      </c>
      <c r="L12" s="54" t="s">
        <v>1236</v>
      </c>
    </row>
    <row r="13" spans="1:13">
      <c r="A13" s="60">
        <v>7.0833333333333331E-2</v>
      </c>
      <c r="B13" t="s">
        <v>186</v>
      </c>
      <c r="E13" s="60">
        <f>A13-A11</f>
        <v>2.7777777777777818E-3</v>
      </c>
      <c r="H13" s="63">
        <f>E13+E15+E17</f>
        <v>1.1805555555555555E-2</v>
      </c>
      <c r="L13" t="s">
        <v>376</v>
      </c>
      <c r="M13" s="60">
        <f>E22</f>
        <v>5.5555555555555636E-3</v>
      </c>
    </row>
    <row r="14" spans="1:13">
      <c r="A14" s="60">
        <v>7.1527777777777787E-2</v>
      </c>
      <c r="B14" t="s">
        <v>187</v>
      </c>
      <c r="E14" t="s">
        <v>1088</v>
      </c>
      <c r="H14" s="54" t="s">
        <v>1095</v>
      </c>
      <c r="L14" t="s">
        <v>1237</v>
      </c>
      <c r="M14" s="60">
        <f>E24+E26+E28</f>
        <v>1.1111111111111099E-2</v>
      </c>
    </row>
    <row r="15" spans="1:13">
      <c r="A15" s="60">
        <v>7.3611111111111113E-2</v>
      </c>
      <c r="B15" t="s">
        <v>188</v>
      </c>
      <c r="E15" s="60">
        <f>A16-A14</f>
        <v>7.6388888888888756E-3</v>
      </c>
      <c r="H15" s="63">
        <f>G19</f>
        <v>2.7777777777777887E-3</v>
      </c>
      <c r="L15" t="s">
        <v>203</v>
      </c>
      <c r="M15" s="60">
        <f>H30</f>
        <v>1.388888888888884E-3</v>
      </c>
    </row>
    <row r="16" spans="1:13">
      <c r="A16" s="60">
        <v>7.9166666666666663E-2</v>
      </c>
      <c r="B16" t="s">
        <v>189</v>
      </c>
      <c r="E16" t="s">
        <v>992</v>
      </c>
    </row>
    <row r="17" spans="1:12">
      <c r="A17" s="60">
        <v>7.9166666666666663E-2</v>
      </c>
      <c r="B17" t="s">
        <v>190</v>
      </c>
      <c r="E17" s="60">
        <f>A19-A17</f>
        <v>1.3888888888888978E-3</v>
      </c>
      <c r="I17" t="s">
        <v>34</v>
      </c>
    </row>
    <row r="18" spans="1:12">
      <c r="A18" s="60">
        <v>7.9861111111111105E-2</v>
      </c>
      <c r="B18" t="s">
        <v>191</v>
      </c>
      <c r="E18" t="s">
        <v>1093</v>
      </c>
    </row>
    <row r="19" spans="1:12">
      <c r="A19" s="60">
        <v>8.0555555555555561E-2</v>
      </c>
      <c r="B19" t="s">
        <v>192</v>
      </c>
      <c r="E19" s="60">
        <f>A9-A8</f>
        <v>2.0833333333333329E-3</v>
      </c>
      <c r="F19" s="60">
        <f>A19-A18</f>
        <v>6.9444444444445586E-4</v>
      </c>
      <c r="G19" s="60">
        <f>SUM(E19:F19)</f>
        <v>2.7777777777777887E-3</v>
      </c>
    </row>
    <row r="20" spans="1:12" s="62" customFormat="1">
      <c r="A20" s="61">
        <v>8.1250000000000003E-2</v>
      </c>
      <c r="B20" s="62" t="s">
        <v>194</v>
      </c>
      <c r="E20" s="62" t="s">
        <v>193</v>
      </c>
      <c r="H20" s="89" t="s">
        <v>1096</v>
      </c>
      <c r="I20" s="89"/>
      <c r="L20" s="62" t="s">
        <v>1090</v>
      </c>
    </row>
    <row r="21" spans="1:12">
      <c r="A21" s="60">
        <v>8.5416666666666655E-2</v>
      </c>
      <c r="B21" t="s">
        <v>195</v>
      </c>
      <c r="C21" t="s">
        <v>1098</v>
      </c>
      <c r="E21" t="s">
        <v>300</v>
      </c>
      <c r="H21" s="63">
        <f>E22</f>
        <v>5.5555555555555636E-3</v>
      </c>
      <c r="I21" s="54"/>
    </row>
    <row r="22" spans="1:12">
      <c r="A22" s="60">
        <v>8.6805555555555566E-2</v>
      </c>
      <c r="B22" t="s">
        <v>196</v>
      </c>
      <c r="C22" s="60">
        <f>A27-A20</f>
        <v>1.6666666666666663E-2</v>
      </c>
      <c r="E22" s="60">
        <f>A22-A20</f>
        <v>5.5555555555555636E-3</v>
      </c>
    </row>
    <row r="23" spans="1:12">
      <c r="A23" s="60">
        <v>8.6805555555555566E-2</v>
      </c>
      <c r="B23" t="s">
        <v>197</v>
      </c>
      <c r="E23" t="s">
        <v>372</v>
      </c>
      <c r="H23" s="54" t="s">
        <v>1097</v>
      </c>
    </row>
    <row r="24" spans="1:12">
      <c r="A24" s="60">
        <v>8.8888888888888892E-2</v>
      </c>
      <c r="B24" t="s">
        <v>200</v>
      </c>
      <c r="E24" s="60">
        <f>A24-A23</f>
        <v>2.0833333333333259E-3</v>
      </c>
      <c r="H24" s="63">
        <f>E24+E26+E28</f>
        <v>1.1111111111111099E-2</v>
      </c>
    </row>
    <row r="25" spans="1:12">
      <c r="A25" s="60">
        <v>9.1666666666666674E-2</v>
      </c>
      <c r="B25" t="s">
        <v>199</v>
      </c>
      <c r="E25" t="s">
        <v>1091</v>
      </c>
      <c r="H25" s="54" t="s">
        <v>1095</v>
      </c>
    </row>
    <row r="26" spans="1:12">
      <c r="A26" s="60">
        <v>9.5833333333333326E-2</v>
      </c>
      <c r="B26" t="s">
        <v>201</v>
      </c>
      <c r="E26" s="60">
        <f>A26-A24</f>
        <v>6.9444444444444337E-3</v>
      </c>
      <c r="H26" s="63">
        <f>A26-A25</f>
        <v>4.1666666666666519E-3</v>
      </c>
      <c r="I26" t="s">
        <v>1099</v>
      </c>
    </row>
    <row r="27" spans="1:12">
      <c r="A27" s="60">
        <v>9.7916666666666666E-2</v>
      </c>
      <c r="B27" t="s">
        <v>202</v>
      </c>
      <c r="E27" t="s">
        <v>992</v>
      </c>
    </row>
    <row r="28" spans="1:12" s="62" customFormat="1">
      <c r="A28" s="61">
        <v>9.7916666666666666E-2</v>
      </c>
      <c r="B28" s="62" t="s">
        <v>203</v>
      </c>
      <c r="E28" s="61">
        <f>A27-A26</f>
        <v>2.0833333333333398E-3</v>
      </c>
    </row>
    <row r="29" spans="1:12">
      <c r="A29" s="60">
        <v>9.930555555555555E-2</v>
      </c>
      <c r="B29" t="s">
        <v>204</v>
      </c>
      <c r="E29" t="s">
        <v>1101</v>
      </c>
      <c r="H29" s="54" t="s">
        <v>1100</v>
      </c>
      <c r="I29" s="54"/>
    </row>
    <row r="30" spans="1:12">
      <c r="A30" s="60">
        <v>9.9999999999999992E-2</v>
      </c>
      <c r="B30" t="s">
        <v>205</v>
      </c>
      <c r="E30" s="60">
        <f>A31-A29</f>
        <v>1.388888888888884E-3</v>
      </c>
      <c r="H30" s="63">
        <f>A29-A28</f>
        <v>1.388888888888884E-3</v>
      </c>
      <c r="I30" s="54"/>
    </row>
    <row r="31" spans="1:12">
      <c r="A31" s="60">
        <v>0.10069444444444443</v>
      </c>
      <c r="B31" t="s">
        <v>206</v>
      </c>
      <c r="C31" s="60"/>
    </row>
    <row r="33" spans="1:16">
      <c r="A33" s="60">
        <v>0.10972222222222222</v>
      </c>
      <c r="B33" t="s">
        <v>207</v>
      </c>
      <c r="H33" s="54" t="s">
        <v>1102</v>
      </c>
      <c r="I33" s="54"/>
    </row>
    <row r="34" spans="1:16">
      <c r="D34" t="s">
        <v>34</v>
      </c>
      <c r="H34" s="63">
        <f>A33-A31</f>
        <v>9.0277777777777873E-3</v>
      </c>
      <c r="I34" s="54"/>
    </row>
    <row r="37" spans="1:16">
      <c r="A37" s="64">
        <v>41597</v>
      </c>
      <c r="E37" t="s">
        <v>198</v>
      </c>
      <c r="H37" s="54"/>
      <c r="I37" s="54"/>
    </row>
    <row r="38" spans="1:16">
      <c r="G38" s="60">
        <v>7.7083333333333337E-2</v>
      </c>
      <c r="H38" s="54" t="s">
        <v>1103</v>
      </c>
      <c r="I38" s="54"/>
    </row>
    <row r="39" spans="1:16">
      <c r="A39" s="60">
        <v>0.53541666666666665</v>
      </c>
      <c r="B39" t="s">
        <v>313</v>
      </c>
      <c r="G39" s="60">
        <v>0.11527777777777777</v>
      </c>
      <c r="H39" s="63">
        <f>G40-H41</f>
        <v>3.0555555555555544E-2</v>
      </c>
      <c r="I39" s="63">
        <f>H39+H44</f>
        <v>4.2361111111111086E-2</v>
      </c>
    </row>
    <row r="40" spans="1:16">
      <c r="A40" s="60">
        <v>4.7222222222222221E-2</v>
      </c>
      <c r="B40" t="s">
        <v>314</v>
      </c>
      <c r="G40" s="60">
        <f>G39-G38</f>
        <v>3.8194444444444434E-2</v>
      </c>
      <c r="H40" s="54" t="s">
        <v>1104</v>
      </c>
      <c r="I40" s="54"/>
    </row>
    <row r="41" spans="1:16">
      <c r="A41" s="60">
        <v>5.486111111111111E-2</v>
      </c>
      <c r="B41" t="s">
        <v>315</v>
      </c>
      <c r="E41" t="s">
        <v>34</v>
      </c>
      <c r="H41" s="63">
        <f>A41-A40</f>
        <v>7.6388888888888895E-3</v>
      </c>
      <c r="I41" s="54"/>
      <c r="J41" s="54" t="s">
        <v>1105</v>
      </c>
    </row>
    <row r="42" spans="1:16">
      <c r="A42" s="60">
        <v>7.3611111111111113E-2</v>
      </c>
      <c r="B42" t="s">
        <v>316</v>
      </c>
      <c r="J42" s="63">
        <f>E49</f>
        <v>1.3888888888889117E-3</v>
      </c>
      <c r="M42" s="119"/>
      <c r="N42" s="119"/>
      <c r="O42" s="119"/>
      <c r="P42" s="119"/>
    </row>
    <row r="43" spans="1:16">
      <c r="A43" s="60">
        <v>8.5416666666666655E-2</v>
      </c>
      <c r="B43" t="s">
        <v>79</v>
      </c>
      <c r="G43" s="54" t="s">
        <v>1200</v>
      </c>
      <c r="H43" s="90" t="s">
        <v>1105</v>
      </c>
      <c r="J43" s="54" t="s">
        <v>1132</v>
      </c>
      <c r="L43" s="54"/>
      <c r="M43" s="119"/>
      <c r="N43" s="119" t="s">
        <v>1199</v>
      </c>
      <c r="O43" s="119" t="s">
        <v>1200</v>
      </c>
      <c r="P43" s="119"/>
    </row>
    <row r="44" spans="1:16">
      <c r="A44" s="60">
        <v>8.6805555555555566E-2</v>
      </c>
      <c r="B44" t="s">
        <v>78</v>
      </c>
      <c r="G44" s="67" t="s">
        <v>311</v>
      </c>
      <c r="H44" s="91">
        <f>A43-A42</f>
        <v>1.1805555555555541E-2</v>
      </c>
      <c r="J44" s="63">
        <f>E51</f>
        <v>7.6388888888888756E-3</v>
      </c>
      <c r="L44" s="54" t="s">
        <v>1110</v>
      </c>
      <c r="M44" s="119" t="s">
        <v>79</v>
      </c>
      <c r="N44" s="120">
        <v>9.0277777777777873E-3</v>
      </c>
      <c r="O44" s="120">
        <f>J42</f>
        <v>1.3888888888889117E-3</v>
      </c>
      <c r="P44" s="119"/>
    </row>
    <row r="45" spans="1:16">
      <c r="A45" s="60">
        <v>9.2361111111111116E-2</v>
      </c>
      <c r="B45" t="s">
        <v>228</v>
      </c>
      <c r="L45" s="63">
        <f>E55</f>
        <v>2.0833333333333259E-3</v>
      </c>
      <c r="M45" s="119" t="s">
        <v>78</v>
      </c>
      <c r="N45" s="120">
        <v>2.0833333333333398E-3</v>
      </c>
      <c r="O45" s="120">
        <f>J44</f>
        <v>7.6388888888888756E-3</v>
      </c>
      <c r="P45" s="119"/>
    </row>
    <row r="46" spans="1:16">
      <c r="A46" s="60">
        <v>9.4444444444444442E-2</v>
      </c>
      <c r="B46" t="s">
        <v>323</v>
      </c>
      <c r="H46" t="s">
        <v>1105</v>
      </c>
      <c r="J46" s="54" t="s">
        <v>1089</v>
      </c>
      <c r="M46" s="119" t="s">
        <v>1233</v>
      </c>
      <c r="N46" s="120">
        <v>1.388888888888884E-3</v>
      </c>
      <c r="O46" s="120">
        <f>J47</f>
        <v>4.1666666666666657E-3</v>
      </c>
      <c r="P46" s="119"/>
    </row>
    <row r="47" spans="1:16">
      <c r="A47" s="60">
        <v>9.8611111111111108E-2</v>
      </c>
      <c r="B47" t="s">
        <v>324</v>
      </c>
      <c r="D47" t="s">
        <v>336</v>
      </c>
      <c r="H47" s="60">
        <f>A44-A43</f>
        <v>1.3888888888889117E-3</v>
      </c>
      <c r="J47" s="92">
        <f>E53</f>
        <v>4.1666666666666657E-3</v>
      </c>
      <c r="K47" s="77"/>
      <c r="L47" s="77"/>
      <c r="M47" s="121" t="s">
        <v>1235</v>
      </c>
      <c r="N47" s="119"/>
      <c r="O47" s="119"/>
      <c r="P47" s="119"/>
    </row>
    <row r="48" spans="1:16">
      <c r="A48" s="60">
        <v>0.10069444444444443</v>
      </c>
      <c r="B48" t="s">
        <v>325</v>
      </c>
      <c r="E48" t="s">
        <v>488</v>
      </c>
      <c r="J48" s="78" t="s">
        <v>1096</v>
      </c>
      <c r="K48" s="78"/>
      <c r="L48" s="77"/>
      <c r="M48" s="119" t="s">
        <v>376</v>
      </c>
      <c r="N48" s="120">
        <v>2.7777777777777679E-3</v>
      </c>
      <c r="O48" s="120">
        <f>J49</f>
        <v>2.7777777777777957E-3</v>
      </c>
      <c r="P48" s="119"/>
    </row>
    <row r="49" spans="1:16">
      <c r="A49" s="60">
        <v>0.10277777777777779</v>
      </c>
      <c r="B49" t="s">
        <v>326</v>
      </c>
      <c r="E49" s="60">
        <f>A44-A43</f>
        <v>1.3888888888889117E-3</v>
      </c>
      <c r="J49" s="63">
        <f>E57</f>
        <v>2.7777777777777957E-3</v>
      </c>
      <c r="K49" s="54"/>
      <c r="M49" s="119" t="s">
        <v>1237</v>
      </c>
      <c r="N49" s="120">
        <v>1.1805555555555555E-2</v>
      </c>
      <c r="O49" s="120">
        <f>J52</f>
        <v>1.2499999999999983E-2</v>
      </c>
      <c r="P49" s="119"/>
    </row>
    <row r="50" spans="1:16">
      <c r="A50" s="60">
        <v>0.10347222222222223</v>
      </c>
      <c r="B50" t="s">
        <v>327</v>
      </c>
      <c r="E50" t="s">
        <v>1106</v>
      </c>
      <c r="G50" t="s">
        <v>372</v>
      </c>
      <c r="M50" s="119" t="s">
        <v>1234</v>
      </c>
      <c r="N50" s="120">
        <v>2.7777777777777887E-3</v>
      </c>
      <c r="O50" s="120">
        <f>J54</f>
        <v>2.7777777777777679E-3</v>
      </c>
      <c r="P50" s="119"/>
    </row>
    <row r="51" spans="1:16">
      <c r="A51" s="60">
        <v>0.10416666666666667</v>
      </c>
      <c r="B51" t="s">
        <v>328</v>
      </c>
      <c r="E51" s="60">
        <f>A46-A44</f>
        <v>7.6388888888888756E-3</v>
      </c>
      <c r="G51" s="60">
        <f>A52-A50</f>
        <v>2.0833333333333259E-3</v>
      </c>
      <c r="J51" s="54" t="s">
        <v>1097</v>
      </c>
      <c r="M51" s="121" t="s">
        <v>1236</v>
      </c>
      <c r="N51" s="119"/>
      <c r="O51" s="119"/>
      <c r="P51" s="119"/>
    </row>
    <row r="52" spans="1:16">
      <c r="A52" s="60">
        <v>0.10555555555555556</v>
      </c>
      <c r="B52" t="s">
        <v>329</v>
      </c>
      <c r="E52" t="s">
        <v>1029</v>
      </c>
      <c r="G52" t="s">
        <v>1107</v>
      </c>
      <c r="J52" s="63">
        <f>G51+G53+G55</f>
        <v>1.2499999999999983E-2</v>
      </c>
      <c r="M52" s="119" t="s">
        <v>376</v>
      </c>
      <c r="N52" s="120">
        <v>5.5555555555555636E-3</v>
      </c>
      <c r="O52" s="119"/>
      <c r="P52" s="119"/>
    </row>
    <row r="53" spans="1:16">
      <c r="A53" s="60">
        <v>0.10625</v>
      </c>
      <c r="B53" t="s">
        <v>330</v>
      </c>
      <c r="E53" s="60">
        <f>A47-A46</f>
        <v>4.1666666666666657E-3</v>
      </c>
      <c r="G53" s="60">
        <f>A56-A52</f>
        <v>7.6388888888888895E-3</v>
      </c>
      <c r="J53" s="54" t="s">
        <v>1095</v>
      </c>
      <c r="M53" s="119" t="s">
        <v>1237</v>
      </c>
      <c r="N53" s="120">
        <v>1.1111111111111099E-2</v>
      </c>
      <c r="O53" s="119"/>
      <c r="P53" s="119"/>
    </row>
    <row r="54" spans="1:16">
      <c r="A54" s="60">
        <v>0.1076388888888889</v>
      </c>
      <c r="B54" t="s">
        <v>331</v>
      </c>
      <c r="E54" t="s">
        <v>960</v>
      </c>
      <c r="G54" t="s">
        <v>288</v>
      </c>
      <c r="J54" s="63">
        <f>A55-A54</f>
        <v>2.7777777777777679E-3</v>
      </c>
      <c r="K54" t="s">
        <v>1099</v>
      </c>
      <c r="M54" s="119" t="s">
        <v>203</v>
      </c>
      <c r="N54" s="120">
        <v>1.388888888888884E-3</v>
      </c>
      <c r="O54" s="120">
        <f>J56</f>
        <v>2.0833333333333259E-3</v>
      </c>
      <c r="P54" s="119"/>
    </row>
    <row r="55" spans="1:16">
      <c r="A55" s="60">
        <v>0.11041666666666666</v>
      </c>
      <c r="B55" t="s">
        <v>332</v>
      </c>
      <c r="E55" s="60">
        <f>A48-A47</f>
        <v>2.0833333333333259E-3</v>
      </c>
      <c r="G55" s="60">
        <f>A58-A56</f>
        <v>2.7777777777777679E-3</v>
      </c>
      <c r="J55" s="54" t="s">
        <v>1111</v>
      </c>
      <c r="M55" s="119" t="s">
        <v>1108</v>
      </c>
      <c r="N55" s="119"/>
      <c r="O55" s="120">
        <f>J58</f>
        <v>3.4722222222222376E-3</v>
      </c>
      <c r="P55" s="119"/>
    </row>
    <row r="56" spans="1:16">
      <c r="A56" s="60">
        <v>0.11319444444444444</v>
      </c>
      <c r="B56" t="s">
        <v>201</v>
      </c>
      <c r="E56" t="s">
        <v>300</v>
      </c>
      <c r="G56" t="s">
        <v>1108</v>
      </c>
      <c r="J56" s="63">
        <f>G59</f>
        <v>2.0833333333333259E-3</v>
      </c>
      <c r="M56" s="119" t="s">
        <v>51</v>
      </c>
      <c r="N56" s="120">
        <f>SUM(N44:N55)</f>
        <v>4.791666666666667E-2</v>
      </c>
      <c r="O56" s="120">
        <f>SUM(O44:O55)</f>
        <v>3.6805555555555564E-2</v>
      </c>
      <c r="P56" s="119"/>
    </row>
    <row r="57" spans="1:16">
      <c r="A57" s="60">
        <v>0.11527777777777777</v>
      </c>
      <c r="B57" t="s">
        <v>335</v>
      </c>
      <c r="E57" s="60">
        <f>A50-A48</f>
        <v>2.7777777777777957E-3</v>
      </c>
      <c r="G57" s="60">
        <f>A59-A58</f>
        <v>3.4722222222222376E-3</v>
      </c>
      <c r="J57" s="54" t="s">
        <v>1112</v>
      </c>
      <c r="M57" s="119"/>
      <c r="N57" s="119"/>
      <c r="O57" s="119"/>
      <c r="P57" s="119"/>
    </row>
    <row r="58" spans="1:16">
      <c r="A58" s="60">
        <v>0.11597222222222221</v>
      </c>
      <c r="B58" t="s">
        <v>337</v>
      </c>
      <c r="G58" t="s">
        <v>338</v>
      </c>
      <c r="J58" s="63">
        <f>G57</f>
        <v>3.4722222222222376E-3</v>
      </c>
      <c r="M58" s="119"/>
      <c r="N58" s="119"/>
      <c r="O58" s="119"/>
      <c r="P58" s="119"/>
    </row>
    <row r="59" spans="1:16">
      <c r="A59" s="60">
        <v>0.11944444444444445</v>
      </c>
      <c r="B59" t="s">
        <v>338</v>
      </c>
      <c r="G59" s="60">
        <f>A60-A59</f>
        <v>2.0833333333333259E-3</v>
      </c>
      <c r="H59" t="s">
        <v>214</v>
      </c>
      <c r="J59" s="54" t="s">
        <v>1133</v>
      </c>
    </row>
    <row r="60" spans="1:16">
      <c r="A60" s="60">
        <v>0.12152777777777778</v>
      </c>
      <c r="B60" t="s">
        <v>339</v>
      </c>
      <c r="G60" t="s">
        <v>1109</v>
      </c>
      <c r="H60" s="63">
        <f>A61-A43</f>
        <v>3.7500000000000019E-2</v>
      </c>
      <c r="J60" s="63">
        <f>G61</f>
        <v>1.3888888888888978E-3</v>
      </c>
    </row>
    <row r="61" spans="1:16" s="34" customFormat="1">
      <c r="A61" s="68">
        <v>0.12291666666666667</v>
      </c>
      <c r="B61" s="34" t="s">
        <v>340</v>
      </c>
      <c r="G61" s="68">
        <f>A61-A60</f>
        <v>1.3888888888888978E-3</v>
      </c>
      <c r="I61" s="34" t="s">
        <v>342</v>
      </c>
    </row>
    <row r="62" spans="1:16">
      <c r="A62" s="60">
        <v>0.12430555555555556</v>
      </c>
      <c r="B62" t="s">
        <v>341</v>
      </c>
    </row>
    <row r="63" spans="1:16">
      <c r="A63" s="60">
        <v>0.12638888888888888</v>
      </c>
      <c r="B63" t="s">
        <v>343</v>
      </c>
      <c r="G63" s="54" t="s">
        <v>349</v>
      </c>
      <c r="H63" s="54"/>
    </row>
    <row r="64" spans="1:16">
      <c r="A64" s="60">
        <v>0.13333333333333333</v>
      </c>
      <c r="B64" t="s">
        <v>344</v>
      </c>
      <c r="G64" s="63">
        <f>A65-A62</f>
        <v>1.1805555555555541E-2</v>
      </c>
      <c r="H64" s="54"/>
    </row>
    <row r="65" spans="1:18">
      <c r="A65" s="60">
        <v>0.1361111111111111</v>
      </c>
      <c r="B65" t="s">
        <v>345</v>
      </c>
      <c r="G65" s="54"/>
      <c r="H65" s="54"/>
    </row>
    <row r="66" spans="1:18" s="62" customFormat="1">
      <c r="A66" s="61">
        <v>0.13749999999999998</v>
      </c>
      <c r="B66" s="62" t="s">
        <v>346</v>
      </c>
      <c r="G66" s="89" t="s">
        <v>349</v>
      </c>
      <c r="H66" s="89"/>
    </row>
    <row r="67" spans="1:18" s="34" customFormat="1">
      <c r="A67" s="68">
        <v>0.13958333333333334</v>
      </c>
      <c r="B67" s="34" t="s">
        <v>347</v>
      </c>
      <c r="G67" s="93">
        <f>A67-A65</f>
        <v>3.4722222222222376E-3</v>
      </c>
      <c r="H67" s="94"/>
    </row>
    <row r="68" spans="1:18">
      <c r="A68" s="60">
        <v>0.14027777777777778</v>
      </c>
      <c r="B68" t="s">
        <v>348</v>
      </c>
      <c r="E68" t="s">
        <v>1106</v>
      </c>
      <c r="G68" s="54" t="s">
        <v>1203</v>
      </c>
      <c r="K68" s="54" t="s">
        <v>1105</v>
      </c>
      <c r="N68" s="119"/>
      <c r="O68" s="119"/>
      <c r="P68" s="119"/>
      <c r="Q68" s="119"/>
      <c r="R68" s="119"/>
    </row>
    <row r="69" spans="1:18">
      <c r="A69" s="60">
        <v>0.14097222222222222</v>
      </c>
      <c r="B69" t="s">
        <v>228</v>
      </c>
      <c r="E69" s="60">
        <f>A71-A68</f>
        <v>6.9444444444444475E-3</v>
      </c>
      <c r="G69" s="67" t="s">
        <v>311</v>
      </c>
      <c r="I69" t="s">
        <v>354</v>
      </c>
      <c r="K69" s="63">
        <f>E69</f>
        <v>6.9444444444444475E-3</v>
      </c>
      <c r="N69" s="119"/>
      <c r="O69" s="119" t="s">
        <v>1199</v>
      </c>
      <c r="P69" s="119" t="s">
        <v>1200</v>
      </c>
      <c r="Q69" s="119" t="s">
        <v>1203</v>
      </c>
      <c r="R69" s="119"/>
    </row>
    <row r="70" spans="1:18">
      <c r="A70" s="60">
        <v>0.1451388888888889</v>
      </c>
      <c r="B70" t="s">
        <v>350</v>
      </c>
      <c r="E70" t="s">
        <v>1029</v>
      </c>
      <c r="K70" s="54" t="s">
        <v>1110</v>
      </c>
      <c r="N70" s="119" t="s">
        <v>79</v>
      </c>
      <c r="O70" s="120">
        <v>9.0277777777777873E-3</v>
      </c>
      <c r="P70" s="120">
        <v>1.3888888888889117E-3</v>
      </c>
      <c r="Q70" s="120">
        <v>1.3888888888888889E-3</v>
      </c>
      <c r="R70" s="119"/>
    </row>
    <row r="71" spans="1:18">
      <c r="A71" s="60">
        <v>0.14722222222222223</v>
      </c>
      <c r="B71" t="s">
        <v>351</v>
      </c>
      <c r="E71" s="60">
        <f>A72-A71</f>
        <v>2.0833333333333259E-3</v>
      </c>
      <c r="K71" s="63">
        <f>E73</f>
        <v>2.0833333333333259E-3</v>
      </c>
      <c r="M71" s="77"/>
      <c r="N71" s="119" t="s">
        <v>78</v>
      </c>
      <c r="O71" s="120">
        <v>2.0833333333333398E-3</v>
      </c>
      <c r="P71" s="120">
        <v>7.6388888888888756E-3</v>
      </c>
      <c r="Q71" s="120">
        <f>E69-Q70</f>
        <v>5.5555555555555584E-3</v>
      </c>
      <c r="R71" s="119"/>
    </row>
    <row r="72" spans="1:18">
      <c r="A72" s="60">
        <v>0.14930555555555555</v>
      </c>
      <c r="B72" t="s">
        <v>352</v>
      </c>
      <c r="C72" t="s">
        <v>1113</v>
      </c>
      <c r="E72" t="s">
        <v>960</v>
      </c>
      <c r="M72" s="77"/>
      <c r="N72" s="119" t="s">
        <v>1233</v>
      </c>
      <c r="O72" s="120">
        <v>1.388888888888884E-3</v>
      </c>
      <c r="P72" s="120">
        <v>4.1666666666666657E-3</v>
      </c>
      <c r="Q72" s="120">
        <f>K74</f>
        <v>2.0833333333333259E-3</v>
      </c>
      <c r="R72" s="119"/>
    </row>
    <row r="73" spans="1:18">
      <c r="A73" s="60">
        <v>0.15138888888888888</v>
      </c>
      <c r="B73" t="s">
        <v>353</v>
      </c>
      <c r="C73" t="s">
        <v>1114</v>
      </c>
      <c r="E73" s="60">
        <f>A73-A72</f>
        <v>2.0833333333333259E-3</v>
      </c>
      <c r="K73" s="54" t="s">
        <v>1089</v>
      </c>
      <c r="N73" s="119" t="s">
        <v>1240</v>
      </c>
      <c r="O73" s="119"/>
      <c r="P73" s="119"/>
      <c r="Q73" s="120">
        <f>K71</f>
        <v>2.0833333333333259E-3</v>
      </c>
      <c r="R73" s="119"/>
    </row>
    <row r="74" spans="1:18">
      <c r="A74" s="60" t="s">
        <v>1084</v>
      </c>
      <c r="E74" t="s">
        <v>1115</v>
      </c>
      <c r="K74" s="92">
        <f>E71</f>
        <v>2.0833333333333259E-3</v>
      </c>
      <c r="L74" s="77"/>
      <c r="N74" s="121" t="s">
        <v>1235</v>
      </c>
      <c r="O74" s="119"/>
      <c r="P74" s="119"/>
      <c r="Q74" s="119"/>
      <c r="R74" s="119"/>
    </row>
    <row r="75" spans="1:18">
      <c r="A75" s="60">
        <v>0.15486111111111112</v>
      </c>
      <c r="B75" t="s">
        <v>355</v>
      </c>
      <c r="E75" s="60">
        <f>A75-G75</f>
        <v>2.7777777777777957E-3</v>
      </c>
      <c r="G75" s="60">
        <v>0.15208333333333332</v>
      </c>
      <c r="K75" s="78" t="s">
        <v>1096</v>
      </c>
      <c r="L75" s="78"/>
      <c r="N75" s="119" t="s">
        <v>376</v>
      </c>
      <c r="O75" s="120">
        <v>2.7777777777777679E-3</v>
      </c>
      <c r="P75" s="120">
        <v>2.7777777777777957E-3</v>
      </c>
      <c r="Q75" s="120">
        <f>K76</f>
        <v>3.4722222222222099E-3</v>
      </c>
      <c r="R75" s="119"/>
    </row>
    <row r="76" spans="1:18">
      <c r="A76" s="60">
        <v>0.15833333333333333</v>
      </c>
      <c r="B76" t="s">
        <v>356</v>
      </c>
      <c r="E76" t="s">
        <v>300</v>
      </c>
      <c r="G76" t="s">
        <v>214</v>
      </c>
      <c r="K76" s="63">
        <f>E77</f>
        <v>3.4722222222222099E-3</v>
      </c>
      <c r="L76" s="54"/>
      <c r="N76" s="119" t="s">
        <v>1237</v>
      </c>
      <c r="O76" s="120">
        <v>1.1805555555555555E-2</v>
      </c>
      <c r="P76" s="120">
        <v>1.2499999999999983E-2</v>
      </c>
      <c r="Q76" s="120">
        <f>K79</f>
        <v>1.1111111111111099E-2</v>
      </c>
      <c r="R76" s="119"/>
    </row>
    <row r="77" spans="1:18">
      <c r="A77" s="60">
        <v>0.15833333333333333</v>
      </c>
      <c r="B77" t="s">
        <v>357</v>
      </c>
      <c r="E77" s="60">
        <f>A76-A75</f>
        <v>3.4722222222222099E-3</v>
      </c>
      <c r="G77" s="63">
        <f>A85-A68</f>
        <v>3.055555555555553E-2</v>
      </c>
      <c r="N77" s="119" t="s">
        <v>1234</v>
      </c>
      <c r="O77" s="120">
        <v>2.7777777777777887E-3</v>
      </c>
      <c r="P77" s="120">
        <v>2.7777777777777679E-3</v>
      </c>
      <c r="Q77" s="120">
        <f>K81</f>
        <v>4.1666666666666796E-3</v>
      </c>
      <c r="R77" s="119"/>
    </row>
    <row r="78" spans="1:18">
      <c r="A78" s="60">
        <v>0.15902777777777777</v>
      </c>
      <c r="B78" t="s">
        <v>358</v>
      </c>
      <c r="E78" t="s">
        <v>1116</v>
      </c>
      <c r="G78" t="s">
        <v>364</v>
      </c>
      <c r="K78" s="54" t="s">
        <v>1097</v>
      </c>
      <c r="N78" s="121" t="s">
        <v>1236</v>
      </c>
      <c r="O78" s="119"/>
      <c r="P78" s="119"/>
      <c r="Q78" s="119"/>
      <c r="R78" s="119"/>
    </row>
    <row r="79" spans="1:18">
      <c r="A79" s="60">
        <v>0.16041666666666668</v>
      </c>
      <c r="B79" t="s">
        <v>359</v>
      </c>
      <c r="C79" t="s">
        <v>1118</v>
      </c>
      <c r="E79" s="60">
        <f>A79-A77</f>
        <v>2.0833333333333537E-3</v>
      </c>
      <c r="K79" s="63">
        <f>E79+E81+E83</f>
        <v>1.1111111111111099E-2</v>
      </c>
      <c r="N79" s="119" t="s">
        <v>1238</v>
      </c>
      <c r="O79" s="120">
        <v>5.5555555555555636E-3</v>
      </c>
      <c r="P79" s="119"/>
      <c r="Q79" s="120">
        <f>H89</f>
        <v>1.388888888888884E-3</v>
      </c>
      <c r="R79" s="119"/>
    </row>
    <row r="80" spans="1:18">
      <c r="A80" s="60">
        <v>0.16041666666666668</v>
      </c>
      <c r="B80" t="s">
        <v>330</v>
      </c>
      <c r="C80" s="60">
        <f>A85-A68</f>
        <v>3.055555555555553E-2</v>
      </c>
      <c r="E80" t="s">
        <v>1091</v>
      </c>
      <c r="K80" s="54" t="s">
        <v>1095</v>
      </c>
      <c r="N80" s="119" t="s">
        <v>1234</v>
      </c>
      <c r="O80" s="119"/>
      <c r="P80" s="119"/>
      <c r="Q80" s="120">
        <f>H87</f>
        <v>4.1666666666667074E-3</v>
      </c>
      <c r="R80" s="119"/>
    </row>
    <row r="81" spans="1:18">
      <c r="A81" s="60">
        <v>0.16319444444444445</v>
      </c>
      <c r="B81" t="s">
        <v>360</v>
      </c>
      <c r="E81" s="60">
        <f>A83-A80</f>
        <v>6.9444444444444198E-3</v>
      </c>
      <c r="K81" s="63">
        <f>E75+E85</f>
        <v>4.1666666666666796E-3</v>
      </c>
      <c r="N81" s="119" t="s">
        <v>1237</v>
      </c>
      <c r="O81" s="120">
        <v>1.1111111111111099E-2</v>
      </c>
      <c r="P81" s="119"/>
      <c r="Q81" s="123" t="s">
        <v>1241</v>
      </c>
      <c r="R81" s="119"/>
    </row>
    <row r="82" spans="1:18">
      <c r="A82" s="60">
        <v>0.16527777777777777</v>
      </c>
      <c r="B82" t="s">
        <v>361</v>
      </c>
      <c r="E82" t="s">
        <v>992</v>
      </c>
      <c r="K82" s="63" t="s">
        <v>34</v>
      </c>
      <c r="N82" s="119" t="s">
        <v>203</v>
      </c>
      <c r="O82" s="120">
        <v>1.388888888888884E-3</v>
      </c>
      <c r="P82" s="120">
        <v>2.0833333333333259E-3</v>
      </c>
      <c r="Q82" s="119"/>
      <c r="R82" s="119"/>
    </row>
    <row r="83" spans="1:18">
      <c r="A83" s="60">
        <v>0.1673611111111111</v>
      </c>
      <c r="B83" t="s">
        <v>201</v>
      </c>
      <c r="E83" s="60">
        <f>A84-A83</f>
        <v>2.0833333333333259E-3</v>
      </c>
      <c r="N83" s="119" t="s">
        <v>1108</v>
      </c>
      <c r="O83" s="119"/>
      <c r="P83" s="120">
        <v>3.4722222222222376E-3</v>
      </c>
      <c r="Q83" s="119"/>
      <c r="R83" s="119"/>
    </row>
    <row r="84" spans="1:18">
      <c r="A84" s="60">
        <v>0.16944444444444443</v>
      </c>
      <c r="B84" t="s">
        <v>362</v>
      </c>
      <c r="E84" t="s">
        <v>1117</v>
      </c>
      <c r="N84" s="119" t="s">
        <v>51</v>
      </c>
      <c r="O84" s="120">
        <f>SUM(O70:O83)</f>
        <v>4.791666666666667E-2</v>
      </c>
      <c r="P84" s="120">
        <f>SUM(P70:P83)</f>
        <v>3.6805555555555564E-2</v>
      </c>
      <c r="Q84" s="119"/>
      <c r="R84" s="119"/>
    </row>
    <row r="85" spans="1:18" s="34" customFormat="1">
      <c r="A85" s="68">
        <v>0.17083333333333331</v>
      </c>
      <c r="B85" s="34" t="s">
        <v>363</v>
      </c>
      <c r="E85" s="68">
        <f>A85-A84</f>
        <v>1.388888888888884E-3</v>
      </c>
      <c r="N85" s="119" t="s">
        <v>1239</v>
      </c>
      <c r="O85" s="119"/>
      <c r="P85" s="119"/>
      <c r="Q85" s="124"/>
      <c r="R85" s="124"/>
    </row>
    <row r="86" spans="1:18">
      <c r="A86" s="60">
        <v>0.17083333333333331</v>
      </c>
      <c r="B86" s="69" t="s">
        <v>368</v>
      </c>
      <c r="H86" s="54" t="s">
        <v>1095</v>
      </c>
    </row>
    <row r="87" spans="1:18">
      <c r="A87" s="60">
        <v>0.17500000000000002</v>
      </c>
      <c r="B87" s="69" t="s">
        <v>300</v>
      </c>
      <c r="E87" s="60">
        <f>A88-A86</f>
        <v>5.5555555555555913E-3</v>
      </c>
      <c r="H87" s="63">
        <f>A87-A86</f>
        <v>4.1666666666667074E-3</v>
      </c>
    </row>
    <row r="88" spans="1:18">
      <c r="A88" s="60">
        <v>0.1763888888888889</v>
      </c>
      <c r="B88" s="69" t="s">
        <v>369</v>
      </c>
      <c r="H88" s="78" t="s">
        <v>1096</v>
      </c>
      <c r="I88" s="78"/>
    </row>
    <row r="89" spans="1:18">
      <c r="B89" s="69" t="s">
        <v>444</v>
      </c>
      <c r="H89" s="63">
        <f>A88-A87</f>
        <v>1.388888888888884E-3</v>
      </c>
      <c r="I89" s="54"/>
    </row>
    <row r="91" spans="1:18" s="34" customFormat="1">
      <c r="A91" s="95">
        <v>41966</v>
      </c>
    </row>
    <row r="92" spans="1:18">
      <c r="E92" s="54"/>
    </row>
    <row r="93" spans="1:18">
      <c r="A93" s="60">
        <v>0.37916666666666665</v>
      </c>
      <c r="B93" t="s">
        <v>938</v>
      </c>
      <c r="E93" s="54" t="s">
        <v>1119</v>
      </c>
      <c r="G93" t="s">
        <v>1120</v>
      </c>
    </row>
    <row r="94" spans="1:18">
      <c r="A94" s="60">
        <v>0.3888888888888889</v>
      </c>
      <c r="B94" t="s">
        <v>939</v>
      </c>
      <c r="E94" s="63">
        <f>A96-A93-G94</f>
        <v>2.916666666666673E-2</v>
      </c>
      <c r="G94" s="60">
        <f>A95-A94</f>
        <v>6.9444444444444198E-3</v>
      </c>
    </row>
    <row r="95" spans="1:18">
      <c r="A95" s="60">
        <v>0.39583333333333331</v>
      </c>
      <c r="B95" t="s">
        <v>940</v>
      </c>
      <c r="E95" s="54" t="s">
        <v>1121</v>
      </c>
    </row>
    <row r="96" spans="1:18" s="34" customFormat="1">
      <c r="A96" s="68">
        <v>0.4152777777777778</v>
      </c>
      <c r="B96" s="34" t="s">
        <v>941</v>
      </c>
      <c r="E96" s="93">
        <f>A97-A96</f>
        <v>7.6388888888888618E-3</v>
      </c>
    </row>
    <row r="97" spans="1:9">
      <c r="A97" s="60">
        <v>0.42291666666666666</v>
      </c>
      <c r="B97" t="s">
        <v>942</v>
      </c>
      <c r="E97" t="s">
        <v>1106</v>
      </c>
    </row>
    <row r="98" spans="1:9">
      <c r="A98" s="60">
        <v>0.4236111111111111</v>
      </c>
      <c r="B98" t="s">
        <v>943</v>
      </c>
      <c r="E98" s="60">
        <f>A99-A97</f>
        <v>2.7777777777777679E-3</v>
      </c>
    </row>
    <row r="99" spans="1:9">
      <c r="A99" s="60">
        <v>0.42569444444444443</v>
      </c>
      <c r="B99" t="s">
        <v>944</v>
      </c>
      <c r="E99" t="s">
        <v>945</v>
      </c>
      <c r="H99" t="s">
        <v>1246</v>
      </c>
    </row>
    <row r="100" spans="1:9">
      <c r="A100" s="60">
        <v>0.42569444444444443</v>
      </c>
      <c r="B100" t="s">
        <v>945</v>
      </c>
      <c r="E100" s="60">
        <f>A102-A100</f>
        <v>1.388888888888884E-3</v>
      </c>
      <c r="H100" s="60">
        <f>SUM(E98+E100)</f>
        <v>4.1666666666666519E-3</v>
      </c>
    </row>
    <row r="101" spans="1:9">
      <c r="A101" s="60">
        <v>0.42638888888888887</v>
      </c>
      <c r="B101" t="s">
        <v>946</v>
      </c>
      <c r="E101" t="s">
        <v>1123</v>
      </c>
      <c r="H101" t="s">
        <v>1247</v>
      </c>
    </row>
    <row r="102" spans="1:9">
      <c r="A102" s="60">
        <v>0.42708333333333331</v>
      </c>
      <c r="B102" t="s">
        <v>947</v>
      </c>
      <c r="E102" s="60">
        <f>A103-A102</f>
        <v>8.3333333333333037E-3</v>
      </c>
      <c r="H102" s="60">
        <f>E102+E104</f>
        <v>1.1111111111111183E-2</v>
      </c>
    </row>
    <row r="103" spans="1:9">
      <c r="A103" s="60">
        <v>0.43541666666666662</v>
      </c>
      <c r="B103" t="s">
        <v>948</v>
      </c>
      <c r="E103" t="s">
        <v>1122</v>
      </c>
    </row>
    <row r="104" spans="1:9" s="34" customFormat="1">
      <c r="A104" s="68">
        <v>0.4381944444444445</v>
      </c>
      <c r="B104" s="34" t="s">
        <v>949</v>
      </c>
      <c r="E104" s="68">
        <f>A104-A103</f>
        <v>2.7777777777778789E-3</v>
      </c>
    </row>
    <row r="105" spans="1:9">
      <c r="A105" s="60">
        <v>0.44166666666666665</v>
      </c>
      <c r="B105" t="s">
        <v>950</v>
      </c>
      <c r="E105" t="s">
        <v>1124</v>
      </c>
    </row>
    <row r="106" spans="1:9">
      <c r="A106" s="60">
        <v>0.4458333333333333</v>
      </c>
      <c r="B106" t="s">
        <v>951</v>
      </c>
      <c r="E106" s="60">
        <f>A106-A105</f>
        <v>4.1666666666666519E-3</v>
      </c>
    </row>
    <row r="107" spans="1:9">
      <c r="A107" s="60">
        <v>0.45069444444444445</v>
      </c>
      <c r="B107" t="s">
        <v>952</v>
      </c>
      <c r="E107" t="s">
        <v>1125</v>
      </c>
      <c r="H107" s="60">
        <f>C108</f>
        <v>1.1805555555555569E-2</v>
      </c>
    </row>
    <row r="108" spans="1:9">
      <c r="A108" s="60">
        <v>0.4513888888888889</v>
      </c>
      <c r="B108" t="s">
        <v>953</v>
      </c>
      <c r="C108" s="60">
        <f>A109-A105</f>
        <v>1.1805555555555569E-2</v>
      </c>
      <c r="E108" s="60">
        <f>A107-A106</f>
        <v>4.8611111111111494E-3</v>
      </c>
    </row>
    <row r="109" spans="1:9" s="34" customFormat="1">
      <c r="A109" s="68">
        <v>0.45347222222222222</v>
      </c>
      <c r="B109" s="34" t="s">
        <v>954</v>
      </c>
      <c r="E109" s="34" t="s">
        <v>1085</v>
      </c>
    </row>
    <row r="110" spans="1:9" s="62" customFormat="1">
      <c r="A110" s="61">
        <v>0.45833333333333331</v>
      </c>
      <c r="B110" s="62" t="s">
        <v>955</v>
      </c>
      <c r="E110" s="61">
        <f>A108-A107</f>
        <v>6.9444444444444198E-4</v>
      </c>
      <c r="I110" t="s">
        <v>1131</v>
      </c>
    </row>
    <row r="111" spans="1:9" s="77" customFormat="1">
      <c r="A111" s="96">
        <v>0.46527777777777773</v>
      </c>
      <c r="B111" s="77" t="s">
        <v>956</v>
      </c>
      <c r="E111" s="77" t="s">
        <v>1126</v>
      </c>
      <c r="I111" s="60">
        <f>G113</f>
        <v>3.4722222222222654E-3</v>
      </c>
    </row>
    <row r="112" spans="1:9" s="77" customFormat="1">
      <c r="A112" s="96">
        <v>0.46875</v>
      </c>
      <c r="B112" s="77" t="s">
        <v>957</v>
      </c>
      <c r="E112" s="96">
        <f>A109-A108</f>
        <v>2.0833333333333259E-3</v>
      </c>
      <c r="F112" s="77" t="s">
        <v>1108</v>
      </c>
      <c r="G112" t="s">
        <v>1127</v>
      </c>
      <c r="H112"/>
    </row>
    <row r="113" spans="1:16" s="34" customFormat="1">
      <c r="A113" s="68">
        <v>0.47222222222222227</v>
      </c>
      <c r="B113" s="34" t="s">
        <v>958</v>
      </c>
      <c r="F113" s="68">
        <f>A111-A109</f>
        <v>1.1805555555555514E-2</v>
      </c>
      <c r="G113" s="68">
        <f>A113-A112</f>
        <v>3.4722222222222654E-3</v>
      </c>
    </row>
    <row r="114" spans="1:16">
      <c r="A114" s="60">
        <v>0.47430555555555554</v>
      </c>
      <c r="B114" t="s">
        <v>959</v>
      </c>
      <c r="C114" s="60"/>
      <c r="E114" t="s">
        <v>976</v>
      </c>
      <c r="H114" t="s">
        <v>1204</v>
      </c>
    </row>
    <row r="115" spans="1:16">
      <c r="A115" s="60">
        <v>0.47638888888888892</v>
      </c>
      <c r="B115" t="s">
        <v>944</v>
      </c>
      <c r="E115" s="100">
        <f>A115-A114</f>
        <v>2.0833333333333814E-3</v>
      </c>
      <c r="H115" s="54" t="s">
        <v>1132</v>
      </c>
      <c r="L115" t="s">
        <v>1199</v>
      </c>
      <c r="M115" t="s">
        <v>1200</v>
      </c>
      <c r="N115" t="s">
        <v>1203</v>
      </c>
      <c r="O115" t="s">
        <v>1204</v>
      </c>
    </row>
    <row r="116" spans="1:16">
      <c r="A116" s="60">
        <v>0.4777777777777778</v>
      </c>
      <c r="B116" t="s">
        <v>961</v>
      </c>
      <c r="E116" s="101" t="s">
        <v>1125</v>
      </c>
      <c r="H116" s="63">
        <f>E115+E117</f>
        <v>3.4722222222222654E-3</v>
      </c>
      <c r="K116" t="s">
        <v>79</v>
      </c>
      <c r="L116" s="60">
        <v>9.0277777777777873E-3</v>
      </c>
      <c r="M116" s="60">
        <v>1.3888888888889117E-3</v>
      </c>
      <c r="N116" s="60">
        <v>1.3888888888888889E-3</v>
      </c>
      <c r="O116" s="60"/>
    </row>
    <row r="117" spans="1:16">
      <c r="A117" s="60">
        <v>0.47986111111111113</v>
      </c>
      <c r="B117" t="s">
        <v>962</v>
      </c>
      <c r="E117" s="100">
        <f>A116-A115</f>
        <v>1.388888888888884E-3</v>
      </c>
      <c r="K117" t="s">
        <v>78</v>
      </c>
      <c r="L117" s="60">
        <v>2.0833333333333398E-3</v>
      </c>
      <c r="M117" s="60">
        <v>7.6388888888888756E-3</v>
      </c>
      <c r="N117" s="60">
        <v>5.5555555555555584E-3</v>
      </c>
      <c r="O117" s="60">
        <f>H116</f>
        <v>3.4722222222222654E-3</v>
      </c>
    </row>
    <row r="118" spans="1:16">
      <c r="A118" s="60">
        <v>0.48402777777777778</v>
      </c>
      <c r="B118" t="s">
        <v>963</v>
      </c>
      <c r="E118" s="101" t="s">
        <v>1085</v>
      </c>
      <c r="H118" s="54" t="s">
        <v>1110</v>
      </c>
      <c r="K118" t="s">
        <v>1233</v>
      </c>
      <c r="L118" s="60">
        <v>1.388888888888884E-3</v>
      </c>
      <c r="M118" s="60">
        <v>4.1666666666666657E-3</v>
      </c>
      <c r="N118" s="60">
        <v>2.0833333333333259E-3</v>
      </c>
      <c r="O118" s="60">
        <f>H122</f>
        <v>2.0833333333333259E-3</v>
      </c>
    </row>
    <row r="119" spans="1:16">
      <c r="A119" s="60">
        <v>0.48541666666666666</v>
      </c>
      <c r="B119" t="s">
        <v>964</v>
      </c>
      <c r="E119" s="100">
        <f>A117-A116</f>
        <v>2.0833333333333259E-3</v>
      </c>
      <c r="H119" s="63">
        <f>E121</f>
        <v>4.1666666666666519E-3</v>
      </c>
      <c r="K119" t="s">
        <v>1240</v>
      </c>
      <c r="N119" s="60">
        <v>2.0833333333333259E-3</v>
      </c>
      <c r="O119" s="60">
        <f>H119</f>
        <v>4.1666666666666519E-3</v>
      </c>
    </row>
    <row r="120" spans="1:16">
      <c r="A120" s="60">
        <v>0.48680555555555555</v>
      </c>
      <c r="B120" t="s">
        <v>965</v>
      </c>
      <c r="C120" s="60">
        <f>A119-A118</f>
        <v>1.388888888888884E-3</v>
      </c>
      <c r="E120" s="101" t="s">
        <v>960</v>
      </c>
      <c r="K120" s="54" t="s">
        <v>1235</v>
      </c>
    </row>
    <row r="121" spans="1:16">
      <c r="A121" s="60">
        <v>0.48958333333333331</v>
      </c>
      <c r="B121" t="s">
        <v>885</v>
      </c>
      <c r="C121" s="60">
        <f>A127-A122</f>
        <v>6.9444444444444198E-3</v>
      </c>
      <c r="E121" s="100">
        <f>A118-A117</f>
        <v>4.1666666666666519E-3</v>
      </c>
      <c r="H121" s="54" t="s">
        <v>1089</v>
      </c>
      <c r="K121" t="s">
        <v>376</v>
      </c>
      <c r="L121" s="60">
        <v>2.7777777777777679E-3</v>
      </c>
      <c r="M121" s="60">
        <v>2.7777777777777957E-3</v>
      </c>
      <c r="N121" s="60">
        <v>3.4722222222222099E-3</v>
      </c>
      <c r="O121" s="60">
        <f>H124</f>
        <v>4.1666666666666519E-3</v>
      </c>
    </row>
    <row r="122" spans="1:16">
      <c r="A122" s="60">
        <v>0.48958333333333331</v>
      </c>
      <c r="B122" t="s">
        <v>966</v>
      </c>
      <c r="E122" s="101" t="s">
        <v>1128</v>
      </c>
      <c r="H122" s="92">
        <f>E119</f>
        <v>2.0833333333333259E-3</v>
      </c>
      <c r="I122" s="77"/>
      <c r="J122" s="77"/>
      <c r="K122" t="s">
        <v>1237</v>
      </c>
      <c r="L122" s="60">
        <v>1.1805555555555555E-2</v>
      </c>
      <c r="M122" s="60">
        <v>1.2499999999999983E-2</v>
      </c>
      <c r="N122" s="60">
        <v>1.1111111111111099E-2</v>
      </c>
      <c r="O122" s="60">
        <f>H127</f>
        <v>1.2500000000000011E-2</v>
      </c>
    </row>
    <row r="123" spans="1:16">
      <c r="A123" s="60">
        <v>0.4916666666666667</v>
      </c>
      <c r="B123" t="s">
        <v>475</v>
      </c>
      <c r="E123" s="100">
        <f>A119-A118</f>
        <v>1.388888888888884E-3</v>
      </c>
      <c r="H123" s="78" t="s">
        <v>1096</v>
      </c>
      <c r="I123" s="78"/>
      <c r="J123" s="77"/>
      <c r="K123" t="s">
        <v>1234</v>
      </c>
      <c r="L123" s="60">
        <v>2.7777777777777887E-3</v>
      </c>
      <c r="M123" s="60">
        <v>2.7777777777777679E-3</v>
      </c>
      <c r="N123" s="60">
        <v>4.1666666666666796E-3</v>
      </c>
      <c r="O123" s="60">
        <f>H129+H139</f>
        <v>2.7777777777777124E-3</v>
      </c>
      <c r="P123" t="s">
        <v>34</v>
      </c>
    </row>
    <row r="124" spans="1:16">
      <c r="A124" s="60">
        <v>0.49236111111111108</v>
      </c>
      <c r="B124" t="s">
        <v>967</v>
      </c>
      <c r="E124" s="101" t="s">
        <v>300</v>
      </c>
      <c r="H124" s="63">
        <f>E125</f>
        <v>4.1666666666666519E-3</v>
      </c>
      <c r="I124" s="54"/>
      <c r="K124" s="54" t="s">
        <v>1236</v>
      </c>
    </row>
    <row r="125" spans="1:16">
      <c r="A125" s="60">
        <v>0.49444444444444446</v>
      </c>
      <c r="B125" t="s">
        <v>968</v>
      </c>
      <c r="C125" t="s">
        <v>1118</v>
      </c>
      <c r="E125" s="100">
        <f>A121-A119</f>
        <v>4.1666666666666519E-3</v>
      </c>
      <c r="K125" t="s">
        <v>1238</v>
      </c>
      <c r="L125" s="60">
        <v>5.5555555555555636E-3</v>
      </c>
      <c r="N125" s="60">
        <v>1.388888888888884E-3</v>
      </c>
    </row>
    <row r="126" spans="1:16">
      <c r="A126" s="60">
        <v>0.49513888888888885</v>
      </c>
      <c r="B126" t="s">
        <v>969</v>
      </c>
      <c r="C126" s="60">
        <f>A140-A114</f>
        <v>3.4027777777777768E-2</v>
      </c>
      <c r="E126" s="101" t="s">
        <v>1134</v>
      </c>
      <c r="G126" t="s">
        <v>1093</v>
      </c>
      <c r="H126" s="54" t="s">
        <v>1097</v>
      </c>
      <c r="K126" t="s">
        <v>1234</v>
      </c>
      <c r="N126" s="60">
        <v>4.1666666666667074E-3</v>
      </c>
    </row>
    <row r="127" spans="1:16">
      <c r="A127" s="60">
        <v>0.49652777777777773</v>
      </c>
      <c r="B127" t="s">
        <v>970</v>
      </c>
      <c r="E127" s="100">
        <f>A127-A122</f>
        <v>6.9444444444444198E-3</v>
      </c>
      <c r="G127" s="60">
        <f>A127-A126</f>
        <v>1.388888888888884E-3</v>
      </c>
      <c r="H127" s="63">
        <f>E123+E127+E130+E137</f>
        <v>1.2500000000000011E-2</v>
      </c>
      <c r="K127" t="s">
        <v>1237</v>
      </c>
      <c r="L127" s="60">
        <v>1.1111111111111099E-2</v>
      </c>
      <c r="N127" s="122" t="s">
        <v>1241</v>
      </c>
      <c r="O127" s="77"/>
    </row>
    <row r="128" spans="1:16">
      <c r="A128" s="60">
        <v>0.49861111111111112</v>
      </c>
      <c r="B128" t="s">
        <v>971</v>
      </c>
      <c r="E128" s="101" t="s">
        <v>288</v>
      </c>
      <c r="H128" s="54" t="s">
        <v>1095</v>
      </c>
      <c r="K128" t="s">
        <v>203</v>
      </c>
      <c r="L128" s="60">
        <v>1.388888888888884E-3</v>
      </c>
      <c r="M128" s="60">
        <v>2.0833333333333259E-3</v>
      </c>
    </row>
    <row r="129" spans="1:17">
      <c r="A129" s="60">
        <v>0.49861111111111112</v>
      </c>
      <c r="B129" t="s">
        <v>491</v>
      </c>
      <c r="E129" s="101"/>
      <c r="H129" s="63">
        <f>E132</f>
        <v>6.9444444444438647E-4</v>
      </c>
      <c r="I129" t="s">
        <v>34</v>
      </c>
      <c r="K129" t="s">
        <v>1108</v>
      </c>
      <c r="M129" s="60">
        <v>3.4722222222222376E-3</v>
      </c>
      <c r="O129" s="60">
        <f>H132</f>
        <v>2.0833333333333814E-3</v>
      </c>
    </row>
    <row r="130" spans="1:17">
      <c r="A130" s="60">
        <v>0.4993055555555555</v>
      </c>
      <c r="B130" t="s">
        <v>972</v>
      </c>
      <c r="C130" s="60">
        <f>A139-A129</f>
        <v>7.6388888888888618E-3</v>
      </c>
      <c r="E130" s="100">
        <f>A128-A127</f>
        <v>2.0833333333333814E-3</v>
      </c>
      <c r="K130" t="s">
        <v>51</v>
      </c>
      <c r="L130" s="60">
        <v>4.791666666666667E-2</v>
      </c>
      <c r="M130" s="60">
        <v>3.6805555555555564E-2</v>
      </c>
      <c r="N130" s="60">
        <f>SUM(N116:N126)</f>
        <v>3.541666666666668E-2</v>
      </c>
    </row>
    <row r="131" spans="1:17">
      <c r="A131" s="60">
        <v>0.5</v>
      </c>
      <c r="E131" s="102" t="s">
        <v>1093</v>
      </c>
      <c r="H131" s="54" t="s">
        <v>1135</v>
      </c>
      <c r="I131" s="54"/>
      <c r="J131" s="54"/>
      <c r="K131" t="s">
        <v>1239</v>
      </c>
      <c r="N131" s="77"/>
    </row>
    <row r="132" spans="1:17">
      <c r="A132" s="60">
        <v>0.5</v>
      </c>
      <c r="B132" t="s">
        <v>507</v>
      </c>
      <c r="E132" s="60">
        <f>A130-A129</f>
        <v>6.9444444444438647E-4</v>
      </c>
      <c r="H132" s="63">
        <f>E134+E141</f>
        <v>2.0833333333333814E-3</v>
      </c>
      <c r="I132" s="54"/>
      <c r="J132" s="54"/>
    </row>
    <row r="133" spans="1:17">
      <c r="A133" s="60">
        <v>0.50208333333333333</v>
      </c>
      <c r="B133" t="s">
        <v>973</v>
      </c>
      <c r="E133" s="77" t="s">
        <v>1004</v>
      </c>
      <c r="H133" s="54" t="s">
        <v>1136</v>
      </c>
      <c r="I133" s="54"/>
      <c r="J133" s="54"/>
    </row>
    <row r="134" spans="1:17">
      <c r="A134" s="60">
        <v>0.50208333333333333</v>
      </c>
      <c r="B134" t="s">
        <v>974</v>
      </c>
      <c r="C134" s="60">
        <f>A135-A129</f>
        <v>4.1666666666666519E-3</v>
      </c>
      <c r="E134" s="96">
        <f>A131-A130</f>
        <v>6.9444444444449749E-4</v>
      </c>
      <c r="H134" s="63">
        <f>E139</f>
        <v>6.9444444444444198E-4</v>
      </c>
      <c r="I134" s="54"/>
      <c r="J134" s="54"/>
    </row>
    <row r="135" spans="1:17">
      <c r="A135" s="60">
        <v>0.50277777777777777</v>
      </c>
      <c r="B135" t="s">
        <v>1108</v>
      </c>
      <c r="C135" s="60"/>
      <c r="H135" s="63"/>
      <c r="I135" s="54"/>
      <c r="J135" s="54"/>
    </row>
    <row r="136" spans="1:17">
      <c r="A136" s="60">
        <v>0.50416666666666665</v>
      </c>
      <c r="B136" t="s">
        <v>975</v>
      </c>
      <c r="E136" t="s">
        <v>507</v>
      </c>
      <c r="H136" s="54" t="s">
        <v>1137</v>
      </c>
      <c r="I136" s="54"/>
      <c r="J136" s="54"/>
    </row>
    <row r="137" spans="1:17">
      <c r="A137" s="60">
        <v>0.50486111111111109</v>
      </c>
      <c r="B137" t="s">
        <v>932</v>
      </c>
      <c r="E137" s="96">
        <f>A133-A132</f>
        <v>2.0833333333333259E-3</v>
      </c>
      <c r="H137" s="63">
        <f>E143</f>
        <v>2.0833333333333259E-3</v>
      </c>
      <c r="I137" s="54"/>
      <c r="J137" s="54"/>
    </row>
    <row r="138" spans="1:17">
      <c r="A138" s="60">
        <v>0.50624999999999998</v>
      </c>
      <c r="B138" t="s">
        <v>684</v>
      </c>
      <c r="E138" s="77" t="s">
        <v>1129</v>
      </c>
      <c r="H138" s="54" t="s">
        <v>1138</v>
      </c>
    </row>
    <row r="139" spans="1:17">
      <c r="A139" s="60">
        <v>0.50624999999999998</v>
      </c>
      <c r="B139" t="s">
        <v>304</v>
      </c>
      <c r="E139" s="96">
        <f>A135-A134</f>
        <v>6.9444444444444198E-4</v>
      </c>
      <c r="H139" s="63">
        <f>E145</f>
        <v>2.0833333333333259E-3</v>
      </c>
    </row>
    <row r="140" spans="1:17" s="34" customFormat="1">
      <c r="A140" s="103">
        <v>0.5083333333333333</v>
      </c>
      <c r="B140" s="104" t="s">
        <v>1139</v>
      </c>
      <c r="E140" s="77" t="s">
        <v>1108</v>
      </c>
    </row>
    <row r="141" spans="1:17">
      <c r="A141" s="88">
        <v>0.51666666666666672</v>
      </c>
      <c r="B141" s="84" t="s">
        <v>977</v>
      </c>
      <c r="C141" t="s">
        <v>976</v>
      </c>
      <c r="E141" s="97">
        <f>A136-A135</f>
        <v>1.388888888888884E-3</v>
      </c>
      <c r="H141" s="60">
        <v>4.9999999999999996E-2</v>
      </c>
      <c r="M141" t="s">
        <v>1199</v>
      </c>
      <c r="N141" t="s">
        <v>1200</v>
      </c>
      <c r="O141" t="s">
        <v>1203</v>
      </c>
      <c r="P141" t="s">
        <v>1204</v>
      </c>
      <c r="Q141" t="s">
        <v>1208</v>
      </c>
    </row>
    <row r="142" spans="1:17">
      <c r="A142" s="60">
        <v>0.51666666666666672</v>
      </c>
      <c r="B142" t="s">
        <v>978</v>
      </c>
      <c r="C142" s="100">
        <f>A141-A140</f>
        <v>8.3333333333334147E-3</v>
      </c>
      <c r="E142" s="98" t="s">
        <v>1130</v>
      </c>
      <c r="H142" s="60">
        <v>9.4444444444444442E-2</v>
      </c>
      <c r="I142" s="60">
        <f>H142-H141</f>
        <v>4.4444444444444446E-2</v>
      </c>
      <c r="L142" t="s">
        <v>79</v>
      </c>
      <c r="M142" s="60">
        <v>9.0277777777777873E-3</v>
      </c>
      <c r="N142" s="60">
        <v>1.3888888888889117E-3</v>
      </c>
      <c r="O142" s="60">
        <v>1.3888888888888889E-3</v>
      </c>
      <c r="P142" s="60"/>
    </row>
    <row r="143" spans="1:17">
      <c r="A143" s="60">
        <v>0.51944444444444449</v>
      </c>
      <c r="B143" t="s">
        <v>979</v>
      </c>
      <c r="C143" s="105" t="s">
        <v>1085</v>
      </c>
      <c r="E143" s="97">
        <f>A138-A136</f>
        <v>2.0833333333333259E-3</v>
      </c>
      <c r="H143" s="54" t="s">
        <v>1132</v>
      </c>
      <c r="K143" t="s">
        <v>1147</v>
      </c>
      <c r="L143" t="s">
        <v>78</v>
      </c>
      <c r="M143" s="60">
        <v>2.0833333333333398E-3</v>
      </c>
      <c r="N143" s="60">
        <v>7.6388888888888756E-3</v>
      </c>
      <c r="O143" s="60">
        <v>5.5555555555555584E-3</v>
      </c>
      <c r="P143" s="60">
        <v>3.4722222222222654E-3</v>
      </c>
      <c r="Q143" s="60">
        <f>C142</f>
        <v>8.3333333333334147E-3</v>
      </c>
    </row>
    <row r="144" spans="1:17">
      <c r="A144" s="60">
        <v>0.52083333333333337</v>
      </c>
      <c r="B144" t="s">
        <v>980</v>
      </c>
      <c r="C144" s="106">
        <f>A143-A142</f>
        <v>2.7777777777777679E-3</v>
      </c>
      <c r="E144" s="98" t="s">
        <v>477</v>
      </c>
      <c r="H144" s="63">
        <f>C142</f>
        <v>8.3333333333334147E-3</v>
      </c>
      <c r="L144" t="s">
        <v>1233</v>
      </c>
      <c r="M144" s="60">
        <v>1.388888888888884E-3</v>
      </c>
      <c r="N144" s="60">
        <v>4.1666666666666657E-3</v>
      </c>
      <c r="O144" s="60">
        <v>2.0833333333333259E-3</v>
      </c>
      <c r="P144" s="60">
        <v>2.0833333333333259E-3</v>
      </c>
      <c r="Q144" s="60">
        <f>C144</f>
        <v>2.7777777777777679E-3</v>
      </c>
    </row>
    <row r="145" spans="1:17">
      <c r="A145" s="60">
        <v>0.5229166666666667</v>
      </c>
      <c r="B145" t="s">
        <v>981</v>
      </c>
      <c r="C145" t="s">
        <v>1144</v>
      </c>
      <c r="E145" s="99">
        <f>A140-A138</f>
        <v>2.0833333333333259E-3</v>
      </c>
      <c r="L145" t="s">
        <v>1240</v>
      </c>
      <c r="O145" s="60">
        <v>2.0833333333333259E-3</v>
      </c>
      <c r="P145" s="60">
        <v>4.1666666666666519E-3</v>
      </c>
      <c r="Q145" s="60">
        <f>C148</f>
        <v>2.0833333333333259E-3</v>
      </c>
    </row>
    <row r="146" spans="1:17">
      <c r="A146" s="60">
        <v>0.52361111111111114</v>
      </c>
      <c r="B146" t="s">
        <v>491</v>
      </c>
      <c r="C146" s="60">
        <f>A145-A143</f>
        <v>3.4722222222222099E-3</v>
      </c>
      <c r="F146" s="86" t="s">
        <v>989</v>
      </c>
      <c r="G146" s="86"/>
      <c r="H146" s="54" t="s">
        <v>1110</v>
      </c>
      <c r="L146" s="54" t="s">
        <v>1235</v>
      </c>
    </row>
    <row r="147" spans="1:17">
      <c r="A147" s="60">
        <v>0.52500000000000002</v>
      </c>
      <c r="B147" t="s">
        <v>477</v>
      </c>
      <c r="C147" s="105" t="s">
        <v>960</v>
      </c>
      <c r="H147" s="63">
        <f>C148</f>
        <v>2.0833333333333259E-3</v>
      </c>
      <c r="L147" t="s">
        <v>376</v>
      </c>
      <c r="M147" s="60">
        <v>2.7777777777777679E-3</v>
      </c>
      <c r="N147" s="60">
        <v>2.7777777777777957E-3</v>
      </c>
      <c r="O147" s="60">
        <v>3.4722222222222099E-3</v>
      </c>
      <c r="P147" s="60">
        <v>4.1666666666666519E-3</v>
      </c>
      <c r="Q147" s="60">
        <f>H152</f>
        <v>1.388888888888884E-3</v>
      </c>
    </row>
    <row r="148" spans="1:17">
      <c r="A148" s="60">
        <v>0.52569444444444446</v>
      </c>
      <c r="B148" t="s">
        <v>982</v>
      </c>
      <c r="C148" s="106">
        <f>A147-A145</f>
        <v>2.0833333333333259E-3</v>
      </c>
      <c r="L148" t="s">
        <v>1237</v>
      </c>
      <c r="M148" s="60">
        <v>1.1805555555555555E-2</v>
      </c>
      <c r="N148" s="60">
        <v>1.2499999999999983E-2</v>
      </c>
      <c r="O148" s="60">
        <v>1.1111111111111099E-2</v>
      </c>
      <c r="P148" s="60">
        <v>1.2500000000000011E-2</v>
      </c>
      <c r="Q148" s="60">
        <f>H155</f>
        <v>9.7222222222221877E-3</v>
      </c>
    </row>
    <row r="149" spans="1:17">
      <c r="A149" s="60">
        <v>0.52847222222222223</v>
      </c>
      <c r="B149" t="s">
        <v>983</v>
      </c>
      <c r="C149" t="s">
        <v>477</v>
      </c>
      <c r="H149" s="54" t="s">
        <v>1089</v>
      </c>
      <c r="K149" t="s">
        <v>1152</v>
      </c>
      <c r="L149" t="s">
        <v>1234</v>
      </c>
      <c r="M149" s="60">
        <v>2.7777777777777887E-3</v>
      </c>
      <c r="N149" s="60">
        <v>2.7777777777777679E-3</v>
      </c>
      <c r="O149" s="60">
        <v>4.1666666666666796E-3</v>
      </c>
      <c r="P149" s="60">
        <v>2.7777777777777124E-3</v>
      </c>
      <c r="Q149" s="60">
        <f>H157</f>
        <v>1.3194444444444425E-2</v>
      </c>
    </row>
    <row r="150" spans="1:17">
      <c r="A150" s="60">
        <v>0.52986111111111112</v>
      </c>
      <c r="B150" t="s">
        <v>984</v>
      </c>
      <c r="C150" s="60">
        <f>A148-A147</f>
        <v>6.9444444444444198E-4</v>
      </c>
      <c r="H150" s="92">
        <f>C144/2</f>
        <v>1.388888888888884E-3</v>
      </c>
      <c r="I150" s="77"/>
      <c r="J150" s="77"/>
      <c r="K150" s="77"/>
      <c r="L150" t="s">
        <v>1142</v>
      </c>
      <c r="Q150" s="60">
        <f>H159</f>
        <v>7.6388888888889034E-3</v>
      </c>
    </row>
    <row r="151" spans="1:17">
      <c r="A151" s="60">
        <v>0.53125</v>
      </c>
      <c r="B151" t="s">
        <v>985</v>
      </c>
      <c r="C151" s="105" t="s">
        <v>1140</v>
      </c>
      <c r="H151" s="78" t="s">
        <v>1096</v>
      </c>
      <c r="I151" s="78"/>
      <c r="J151" s="77"/>
      <c r="K151" s="77"/>
      <c r="L151" s="54" t="s">
        <v>1236</v>
      </c>
    </row>
    <row r="152" spans="1:17">
      <c r="A152" s="60">
        <v>0.53194444444444444</v>
      </c>
      <c r="B152" t="s">
        <v>986</v>
      </c>
      <c r="C152" s="106">
        <f>A149-A148</f>
        <v>2.7777777777777679E-3</v>
      </c>
      <c r="H152" s="63">
        <f>C156</f>
        <v>1.388888888888884E-3</v>
      </c>
      <c r="I152" s="54"/>
      <c r="L152" t="s">
        <v>1238</v>
      </c>
      <c r="M152" s="60">
        <v>5.5555555555555636E-3</v>
      </c>
      <c r="O152" s="60">
        <v>1.388888888888884E-3</v>
      </c>
      <c r="Q152" s="60">
        <f>H170</f>
        <v>2.7777777777777887E-3</v>
      </c>
    </row>
    <row r="153" spans="1:17">
      <c r="A153" s="60">
        <v>0.53472222222222221</v>
      </c>
      <c r="B153" t="s">
        <v>966</v>
      </c>
      <c r="C153" s="105" t="s">
        <v>491</v>
      </c>
      <c r="L153" t="s">
        <v>1234</v>
      </c>
      <c r="O153" s="60">
        <v>4.1666666666667074E-3</v>
      </c>
      <c r="Q153" s="60">
        <f>H175+H185</f>
        <v>6.2499999999999917E-3</v>
      </c>
    </row>
    <row r="154" spans="1:17">
      <c r="A154" s="60">
        <v>0.53541666666666665</v>
      </c>
      <c r="B154" t="s">
        <v>475</v>
      </c>
      <c r="C154" s="106">
        <f>A150-A149</f>
        <v>1.388888888888884E-3</v>
      </c>
      <c r="H154" s="54" t="s">
        <v>1097</v>
      </c>
      <c r="L154" t="s">
        <v>1237</v>
      </c>
      <c r="M154" s="60">
        <v>1.1111111111111099E-2</v>
      </c>
      <c r="O154" s="122" t="s">
        <v>1241</v>
      </c>
      <c r="P154" s="77"/>
      <c r="Q154" s="60">
        <f>H173</f>
        <v>1.1805555555555541E-2</v>
      </c>
    </row>
    <row r="155" spans="1:17">
      <c r="A155" s="60">
        <v>0.53680555555555554</v>
      </c>
      <c r="B155" t="s">
        <v>994</v>
      </c>
      <c r="C155" t="s">
        <v>300</v>
      </c>
      <c r="D155" s="60">
        <v>7.9166666666666663E-2</v>
      </c>
      <c r="H155" s="63">
        <f>C158+C160+C152+E163</f>
        <v>9.7222222222221877E-3</v>
      </c>
      <c r="L155" s="62" t="s">
        <v>203</v>
      </c>
      <c r="M155" s="61">
        <v>1.388888888888884E-3</v>
      </c>
      <c r="N155" s="61">
        <v>2.0833333333333259E-3</v>
      </c>
      <c r="O155" s="62"/>
      <c r="P155" s="62"/>
      <c r="Q155" s="62"/>
    </row>
    <row r="156" spans="1:17">
      <c r="A156" s="60">
        <v>0.53749999999999998</v>
      </c>
      <c r="B156" t="s">
        <v>987</v>
      </c>
      <c r="C156" s="60">
        <f>A151-A150</f>
        <v>1.388888888888884E-3</v>
      </c>
      <c r="D156" s="60">
        <v>8.6805555555555566E-2</v>
      </c>
      <c r="H156" s="54" t="s">
        <v>1145</v>
      </c>
      <c r="L156" s="77" t="s">
        <v>1108</v>
      </c>
      <c r="M156" s="77"/>
      <c r="N156" s="96">
        <v>3.4722222222222376E-3</v>
      </c>
      <c r="O156" s="77"/>
      <c r="P156" s="96">
        <v>2.0833333333333814E-3</v>
      </c>
      <c r="Q156" s="96">
        <f>H178</f>
        <v>5.5555555555555775E-3</v>
      </c>
    </row>
    <row r="157" spans="1:17">
      <c r="A157" s="60">
        <v>0.54027777777777775</v>
      </c>
      <c r="B157" t="s">
        <v>988</v>
      </c>
      <c r="C157" t="s">
        <v>1141</v>
      </c>
      <c r="H157" s="63">
        <f>C146+C150+C164+E165+C154</f>
        <v>1.3194444444444425E-2</v>
      </c>
      <c r="I157" t="s">
        <v>34</v>
      </c>
      <c r="L157" s="77" t="s">
        <v>51</v>
      </c>
      <c r="M157" s="96">
        <v>4.791666666666667E-2</v>
      </c>
      <c r="N157" s="96">
        <v>3.6805555555555564E-2</v>
      </c>
      <c r="O157" s="96">
        <v>3.541666666666668E-2</v>
      </c>
      <c r="P157" s="77"/>
      <c r="Q157" s="77"/>
    </row>
    <row r="158" spans="1:17">
      <c r="A158" s="60">
        <v>4.1666666666666664E-2</v>
      </c>
      <c r="B158" t="s">
        <v>990</v>
      </c>
      <c r="C158" s="106">
        <f>A153-A151</f>
        <v>3.4722222222222099E-3</v>
      </c>
      <c r="H158" s="54" t="s">
        <v>1146</v>
      </c>
      <c r="L158" t="s">
        <v>1239</v>
      </c>
      <c r="O158" s="77"/>
    </row>
    <row r="159" spans="1:17">
      <c r="A159" s="60">
        <v>4.3055555555555562E-2</v>
      </c>
      <c r="B159" t="s">
        <v>991</v>
      </c>
      <c r="C159" s="106" t="s">
        <v>1091</v>
      </c>
      <c r="H159" s="63">
        <f>C162</f>
        <v>7.6388888888889034E-3</v>
      </c>
      <c r="I159" s="54"/>
      <c r="J159" s="54"/>
    </row>
    <row r="160" spans="1:17">
      <c r="A160" s="60">
        <v>4.5138888888888888E-2</v>
      </c>
      <c r="B160" t="s">
        <v>491</v>
      </c>
      <c r="C160" s="106">
        <f>A156-A153</f>
        <v>2.7777777777777679E-3</v>
      </c>
      <c r="H160" s="63"/>
      <c r="I160" s="54"/>
      <c r="J160" s="54"/>
    </row>
    <row r="161" spans="1:17">
      <c r="A161" s="60">
        <v>4.6527777777777779E-2</v>
      </c>
      <c r="B161" t="s">
        <v>992</v>
      </c>
      <c r="C161" s="105" t="s">
        <v>1142</v>
      </c>
      <c r="H161" s="54" t="s">
        <v>34</v>
      </c>
      <c r="I161" s="54"/>
      <c r="J161" s="54"/>
    </row>
    <row r="162" spans="1:17">
      <c r="A162" s="60">
        <v>4.7222222222222221E-2</v>
      </c>
      <c r="B162" t="s">
        <v>993</v>
      </c>
      <c r="C162" s="106">
        <f>D156-D155</f>
        <v>7.6388888888889034E-3</v>
      </c>
      <c r="E162" s="77" t="s">
        <v>992</v>
      </c>
      <c r="H162" s="63"/>
      <c r="I162" s="54"/>
      <c r="J162" s="54"/>
    </row>
    <row r="163" spans="1:17">
      <c r="A163" s="60">
        <v>5.0694444444444452E-2</v>
      </c>
      <c r="B163" t="s">
        <v>995</v>
      </c>
      <c r="C163" s="69" t="s">
        <v>491</v>
      </c>
      <c r="D163" s="77"/>
      <c r="E163" s="96">
        <f>A162-A161</f>
        <v>6.9444444444444198E-4</v>
      </c>
      <c r="F163" s="77"/>
      <c r="H163" s="63"/>
      <c r="I163" s="54"/>
      <c r="J163" s="54"/>
    </row>
    <row r="164" spans="1:17">
      <c r="A164" s="60">
        <v>5.2083333333333336E-2</v>
      </c>
      <c r="B164" t="s">
        <v>996</v>
      </c>
      <c r="C164" s="96">
        <f>A161-A160</f>
        <v>1.3888888888888909E-3</v>
      </c>
      <c r="D164" s="77"/>
      <c r="E164" s="77" t="s">
        <v>1143</v>
      </c>
      <c r="F164" s="77"/>
      <c r="H164" s="54" t="s">
        <v>34</v>
      </c>
      <c r="I164" s="54"/>
      <c r="J164" s="54"/>
    </row>
    <row r="165" spans="1:17" s="34" customFormat="1">
      <c r="A165" s="68">
        <v>5.347222222222222E-2</v>
      </c>
      <c r="B165" s="34" t="s">
        <v>385</v>
      </c>
      <c r="E165" s="68">
        <f>A165-A162</f>
        <v>6.2499999999999986E-3</v>
      </c>
      <c r="H165" s="93"/>
      <c r="I165" s="94"/>
      <c r="J165" s="94"/>
    </row>
    <row r="166" spans="1:17">
      <c r="A166" s="60">
        <v>5.347222222222222E-2</v>
      </c>
      <c r="B166" t="s">
        <v>997</v>
      </c>
      <c r="C166" t="s">
        <v>1148</v>
      </c>
      <c r="H166" s="54" t="s">
        <v>34</v>
      </c>
      <c r="M166" t="s">
        <v>1199</v>
      </c>
      <c r="N166" t="s">
        <v>1200</v>
      </c>
      <c r="O166" t="s">
        <v>1203</v>
      </c>
      <c r="P166" t="s">
        <v>1204</v>
      </c>
      <c r="Q166" t="s">
        <v>1208</v>
      </c>
    </row>
    <row r="167" spans="1:17">
      <c r="A167" s="60">
        <v>5.486111111111111E-2</v>
      </c>
      <c r="B167" t="s">
        <v>998</v>
      </c>
      <c r="C167" s="60">
        <f>A167-A166</f>
        <v>1.3888888888888909E-3</v>
      </c>
      <c r="H167" s="54" t="s">
        <v>1089</v>
      </c>
      <c r="L167" t="s">
        <v>79</v>
      </c>
      <c r="M167" s="60">
        <v>9.0277777777777873E-3</v>
      </c>
      <c r="N167" s="60">
        <v>1.3888888888889117E-3</v>
      </c>
      <c r="O167" s="60">
        <v>1.3888888888888889E-3</v>
      </c>
      <c r="P167" s="60"/>
    </row>
    <row r="168" spans="1:17">
      <c r="A168" s="60">
        <v>5.6250000000000001E-2</v>
      </c>
      <c r="B168" t="s">
        <v>999</v>
      </c>
      <c r="C168" t="s">
        <v>372</v>
      </c>
      <c r="H168" s="92">
        <f>C144/2</f>
        <v>1.388888888888884E-3</v>
      </c>
      <c r="I168" s="77"/>
      <c r="J168" s="77"/>
      <c r="K168" s="77"/>
      <c r="L168" t="s">
        <v>78</v>
      </c>
      <c r="M168" s="60">
        <v>2.0833333333333398E-3</v>
      </c>
      <c r="N168" s="60">
        <v>7.6388888888888756E-3</v>
      </c>
      <c r="O168" s="60">
        <v>5.5555555555555584E-3</v>
      </c>
      <c r="P168" s="60">
        <v>3.4722222222222654E-3</v>
      </c>
    </row>
    <row r="169" spans="1:17">
      <c r="A169" s="60">
        <v>5.7638888888888885E-2</v>
      </c>
      <c r="B169" t="s">
        <v>1000</v>
      </c>
      <c r="C169" s="60">
        <f>A169-A167</f>
        <v>2.7777777777777748E-3</v>
      </c>
      <c r="H169" s="78" t="s">
        <v>1096</v>
      </c>
      <c r="I169" s="78"/>
      <c r="J169" s="77"/>
      <c r="K169" s="77"/>
      <c r="L169" t="s">
        <v>1233</v>
      </c>
      <c r="M169" s="60">
        <v>1.388888888888884E-3</v>
      </c>
      <c r="N169" s="60">
        <v>4.1666666666666657E-3</v>
      </c>
      <c r="O169" s="60">
        <v>2.0833333333333259E-3</v>
      </c>
      <c r="P169" s="60">
        <v>2.0833333333333259E-3</v>
      </c>
    </row>
    <row r="170" spans="1:17">
      <c r="A170" s="60">
        <v>5.8333333333333327E-2</v>
      </c>
      <c r="B170" t="s">
        <v>885</v>
      </c>
      <c r="C170" s="96" t="s">
        <v>1149</v>
      </c>
      <c r="H170" s="63">
        <f>C167+C171</f>
        <v>2.7777777777777887E-3</v>
      </c>
      <c r="I170" s="54"/>
      <c r="L170" t="s">
        <v>1240</v>
      </c>
      <c r="O170" s="60">
        <v>2.0833333333333259E-3</v>
      </c>
      <c r="P170" s="60">
        <v>4.1666666666666519E-3</v>
      </c>
    </row>
    <row r="171" spans="1:17">
      <c r="A171" s="60">
        <v>5.9027777777777783E-2</v>
      </c>
      <c r="B171" t="s">
        <v>966</v>
      </c>
      <c r="C171" s="96">
        <f>A171-A169</f>
        <v>1.3888888888888978E-3</v>
      </c>
      <c r="G171" s="60" t="s">
        <v>34</v>
      </c>
      <c r="L171" s="54" t="s">
        <v>1235</v>
      </c>
    </row>
    <row r="172" spans="1:17">
      <c r="A172" s="60">
        <v>6.1111111111111116E-2</v>
      </c>
      <c r="B172" t="s">
        <v>476</v>
      </c>
      <c r="C172" t="s">
        <v>1150</v>
      </c>
      <c r="H172" s="54" t="s">
        <v>1097</v>
      </c>
      <c r="L172" t="s">
        <v>376</v>
      </c>
      <c r="M172" s="60">
        <v>2.7777777777777679E-3</v>
      </c>
      <c r="N172" s="60">
        <v>2.7777777777777957E-3</v>
      </c>
      <c r="O172" s="60">
        <v>3.4722222222222099E-3</v>
      </c>
      <c r="P172" s="60">
        <v>4.1666666666666519E-3</v>
      </c>
    </row>
    <row r="173" spans="1:17">
      <c r="A173" s="60">
        <v>6.3194444444444442E-2</v>
      </c>
      <c r="B173" t="s">
        <v>491</v>
      </c>
      <c r="C173" s="96">
        <f>A175-A171</f>
        <v>6.9444444444444406E-3</v>
      </c>
      <c r="H173" s="63">
        <f>C169+C173+C175</f>
        <v>1.1805555555555541E-2</v>
      </c>
      <c r="L173" t="s">
        <v>1237</v>
      </c>
      <c r="M173" s="60">
        <v>1.1805555555555555E-2</v>
      </c>
      <c r="N173" s="60">
        <v>1.2499999999999983E-2</v>
      </c>
      <c r="O173" s="60">
        <v>1.1111111111111099E-2</v>
      </c>
      <c r="P173" s="60">
        <v>1.2500000000000011E-2</v>
      </c>
    </row>
    <row r="174" spans="1:17">
      <c r="A174" s="60">
        <v>6.3888888888888884E-2</v>
      </c>
      <c r="B174" t="s">
        <v>1001</v>
      </c>
      <c r="C174" t="s">
        <v>288</v>
      </c>
      <c r="H174" s="54" t="s">
        <v>1145</v>
      </c>
      <c r="L174" t="s">
        <v>1234</v>
      </c>
      <c r="M174" s="60">
        <v>2.7777777777777887E-3</v>
      </c>
      <c r="N174" s="60">
        <v>2.7777777777777679E-3</v>
      </c>
      <c r="O174" s="60">
        <v>4.1666666666666796E-3</v>
      </c>
      <c r="P174" s="60">
        <v>2.7777777777777124E-3</v>
      </c>
    </row>
    <row r="175" spans="1:17">
      <c r="A175" s="60">
        <v>6.5972222222222224E-2</v>
      </c>
      <c r="B175" t="s">
        <v>1002</v>
      </c>
      <c r="C175" s="60">
        <f>A176-A175</f>
        <v>2.0833333333333259E-3</v>
      </c>
      <c r="H175" s="63">
        <f>C177</f>
        <v>3.4722222222222099E-3</v>
      </c>
      <c r="I175" t="s">
        <v>34</v>
      </c>
      <c r="L175" s="54" t="s">
        <v>1236</v>
      </c>
    </row>
    <row r="176" spans="1:17">
      <c r="A176" s="60">
        <v>6.805555555555555E-2</v>
      </c>
      <c r="B176" t="s">
        <v>1003</v>
      </c>
      <c r="C176" t="s">
        <v>477</v>
      </c>
      <c r="L176" t="s">
        <v>1238</v>
      </c>
      <c r="M176" s="60">
        <v>5.5555555555555636E-3</v>
      </c>
      <c r="O176" s="60">
        <v>1.388888888888884E-3</v>
      </c>
    </row>
    <row r="177" spans="1:16">
      <c r="A177" s="60">
        <v>6.805555555555555E-2</v>
      </c>
      <c r="B177" t="s">
        <v>1004</v>
      </c>
      <c r="C177" s="60">
        <f>A180-A179</f>
        <v>3.4722222222222099E-3</v>
      </c>
      <c r="H177" s="54" t="s">
        <v>1135</v>
      </c>
      <c r="I177" s="54"/>
      <c r="J177" s="54"/>
      <c r="L177" t="s">
        <v>1234</v>
      </c>
      <c r="O177" s="60">
        <v>4.1666666666667074E-3</v>
      </c>
    </row>
    <row r="178" spans="1:16">
      <c r="A178" s="60">
        <v>7.1527777777777787E-2</v>
      </c>
      <c r="B178" t="s">
        <v>1108</v>
      </c>
      <c r="C178" t="s">
        <v>1108</v>
      </c>
      <c r="H178" s="63">
        <f>C179</f>
        <v>5.5555555555555775E-3</v>
      </c>
      <c r="I178" s="54"/>
      <c r="J178" s="54"/>
      <c r="L178" t="s">
        <v>1237</v>
      </c>
      <c r="M178" s="60">
        <v>1.1111111111111099E-2</v>
      </c>
      <c r="O178" s="122" t="s">
        <v>1241</v>
      </c>
      <c r="P178" s="77"/>
    </row>
    <row r="179" spans="1:16">
      <c r="A179" s="60">
        <v>7.1527777777777787E-2</v>
      </c>
      <c r="B179" t="s">
        <v>304</v>
      </c>
      <c r="C179" s="60">
        <f>(A178-A177)+(A181-A180)</f>
        <v>5.5555555555555775E-3</v>
      </c>
      <c r="H179" s="54"/>
      <c r="I179" s="54"/>
      <c r="J179" s="54"/>
      <c r="L179" t="s">
        <v>203</v>
      </c>
      <c r="M179" s="60">
        <v>1.388888888888884E-3</v>
      </c>
      <c r="N179" s="60">
        <v>2.0833333333333259E-3</v>
      </c>
    </row>
    <row r="180" spans="1:16">
      <c r="A180" s="60">
        <v>7.4999999999999997E-2</v>
      </c>
      <c r="B180" t="s">
        <v>1005</v>
      </c>
      <c r="C180" t="s">
        <v>1151</v>
      </c>
      <c r="H180" s="63"/>
      <c r="I180" s="54"/>
      <c r="J180" s="54"/>
      <c r="L180" t="s">
        <v>1108</v>
      </c>
      <c r="N180" s="60">
        <v>3.4722222222222376E-3</v>
      </c>
      <c r="P180" s="60">
        <v>2.0833333333333814E-3</v>
      </c>
    </row>
    <row r="181" spans="1:16">
      <c r="A181" s="60">
        <v>7.7083333333333337E-2</v>
      </c>
      <c r="B181" t="s">
        <v>1006</v>
      </c>
      <c r="C181" s="60">
        <f>A182-A181</f>
        <v>6.9444444444444198E-4</v>
      </c>
      <c r="H181" s="63"/>
      <c r="I181" s="54"/>
      <c r="J181" s="54"/>
      <c r="L181" t="s">
        <v>51</v>
      </c>
      <c r="M181" s="60">
        <v>4.791666666666667E-2</v>
      </c>
      <c r="N181" s="60">
        <v>3.6805555555555564E-2</v>
      </c>
      <c r="O181" s="60">
        <v>3.541666666666668E-2</v>
      </c>
    </row>
    <row r="182" spans="1:16">
      <c r="A182" s="60">
        <v>7.7777777777777779E-2</v>
      </c>
      <c r="B182" t="s">
        <v>304</v>
      </c>
      <c r="C182" t="s">
        <v>304</v>
      </c>
      <c r="H182" s="54" t="s">
        <v>1137</v>
      </c>
      <c r="I182" s="54"/>
      <c r="J182" s="54"/>
      <c r="L182" t="s">
        <v>1239</v>
      </c>
      <c r="O182" s="77"/>
    </row>
    <row r="183" spans="1:16">
      <c r="A183" s="60">
        <v>8.0555555555555561E-2</v>
      </c>
      <c r="B183" t="s">
        <v>1007</v>
      </c>
      <c r="C183" s="60">
        <f>A183-A182</f>
        <v>2.7777777777777818E-3</v>
      </c>
      <c r="H183" s="63">
        <f>C181</f>
        <v>6.9444444444444198E-4</v>
      </c>
      <c r="I183" s="54"/>
      <c r="J183" s="54"/>
    </row>
    <row r="184" spans="1:16">
      <c r="A184" s="60">
        <v>8.7500000000000008E-2</v>
      </c>
      <c r="B184" t="s">
        <v>1008</v>
      </c>
      <c r="H184" s="54" t="s">
        <v>1138</v>
      </c>
      <c r="L184" t="s">
        <v>1267</v>
      </c>
    </row>
    <row r="185" spans="1:16">
      <c r="A185" s="60">
        <v>0.1076388888888889</v>
      </c>
      <c r="B185" t="s">
        <v>1009</v>
      </c>
      <c r="H185" s="63">
        <f>C183</f>
        <v>2.7777777777777818E-3</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N207"/>
  <sheetViews>
    <sheetView topLeftCell="A175" workbookViewId="0">
      <selection activeCell="A177" sqref="A177:D180"/>
    </sheetView>
  </sheetViews>
  <sheetFormatPr baseColWidth="10" defaultColWidth="8.83203125" defaultRowHeight="15" x14ac:dyDescent="0"/>
  <cols>
    <col min="1" max="1" width="15.33203125" bestFit="1" customWidth="1"/>
    <col min="2" max="2" width="33.5" customWidth="1"/>
    <col min="3" max="4" width="10.1640625" style="55" customWidth="1"/>
    <col min="5" max="5" width="8.83203125" style="55"/>
    <col min="6" max="6" width="9.33203125" style="55" customWidth="1"/>
    <col min="7" max="9" width="8.83203125" style="55"/>
    <col min="10" max="10" width="9.83203125" customWidth="1"/>
  </cols>
  <sheetData>
    <row r="1" spans="2:12">
      <c r="B1" s="54" t="s">
        <v>1202</v>
      </c>
    </row>
    <row r="3" spans="2:12" ht="15.75" hidden="1">
      <c r="B3" s="54" t="s">
        <v>1198</v>
      </c>
      <c r="C3" s="55" t="s">
        <v>1199</v>
      </c>
      <c r="D3" s="55" t="s">
        <v>1200</v>
      </c>
      <c r="E3" s="55" t="s">
        <v>1203</v>
      </c>
      <c r="F3" s="55" t="s">
        <v>1205</v>
      </c>
      <c r="G3" s="55" t="s">
        <v>1208</v>
      </c>
      <c r="H3" s="55" t="s">
        <v>1209</v>
      </c>
      <c r="I3" s="55" t="s">
        <v>1210</v>
      </c>
      <c r="J3" s="129" t="s">
        <v>1243</v>
      </c>
      <c r="K3" s="130" t="s">
        <v>1244</v>
      </c>
      <c r="L3" s="131" t="s">
        <v>1245</v>
      </c>
    </row>
    <row r="4" spans="2:12" ht="15.75" hidden="1">
      <c r="B4" t="s">
        <v>1029</v>
      </c>
      <c r="C4" s="113">
        <v>2.0833333333333537E-3</v>
      </c>
      <c r="D4" s="113">
        <v>2.0833333333333537E-3</v>
      </c>
      <c r="E4" s="113">
        <v>2.0833333333333259E-3</v>
      </c>
      <c r="F4" s="113">
        <v>1.388888888888884E-3</v>
      </c>
      <c r="G4" s="113">
        <v>1.388888888888884E-3</v>
      </c>
      <c r="H4" s="113">
        <v>1.388888888888884E-3</v>
      </c>
      <c r="I4" s="113">
        <v>1.388888888888884E-3</v>
      </c>
      <c r="J4" s="132">
        <f>MIN(Table5[[#This Row],[VISIT 1]:[VISIT 7]])</f>
        <v>1.388888888888884E-3</v>
      </c>
      <c r="K4" s="133">
        <f>MAX(Table5[[#This Row],[VISIT 1]:[VISIT 7]])</f>
        <v>2.0833333333333537E-3</v>
      </c>
      <c r="L4" s="134">
        <f>AVERAGE(Table5[[#This Row],[VISIT 1]:[VISIT 7]])</f>
        <v>1.6865079365079385E-3</v>
      </c>
    </row>
    <row r="5" spans="2:12" ht="15.75" hidden="1">
      <c r="B5" t="s">
        <v>300</v>
      </c>
      <c r="C5" s="113">
        <v>3.4722222222222099E-3</v>
      </c>
      <c r="D5" s="113">
        <v>2.0833333333333259E-3</v>
      </c>
      <c r="E5" s="113">
        <v>3.4722222222222238E-3</v>
      </c>
      <c r="F5" s="113">
        <v>2.0833333333333398E-3</v>
      </c>
      <c r="G5" s="113">
        <v>4.8611111111110938E-3</v>
      </c>
      <c r="H5" s="113">
        <v>4.8611111111110938E-3</v>
      </c>
      <c r="I5" s="113">
        <v>1.388888888888884E-3</v>
      </c>
      <c r="J5" s="132">
        <f>MIN(Table5[[#This Row],[VISIT 1]:[VISIT 7]])</f>
        <v>1.388888888888884E-3</v>
      </c>
      <c r="K5" s="133">
        <f>MAX(Table5[[#This Row],[VISIT 1]:[VISIT 7]])</f>
        <v>4.8611111111110938E-3</v>
      </c>
      <c r="L5" s="134">
        <f>AVERAGE(Table5[[#This Row],[VISIT 1]:[VISIT 7]])</f>
        <v>3.1746031746031672E-3</v>
      </c>
    </row>
    <row r="6" spans="2:12" ht="15.75" hidden="1">
      <c r="B6" t="s">
        <v>372</v>
      </c>
      <c r="C6" s="113">
        <v>2.0833333333333537E-3</v>
      </c>
      <c r="D6" s="113">
        <v>4.1666666666666519E-3</v>
      </c>
      <c r="E6" s="113">
        <v>5.5555555555555497E-3</v>
      </c>
      <c r="F6" s="113">
        <v>2.0833333333333333E-3</v>
      </c>
      <c r="G6" s="113">
        <v>9.7222222222222432E-3</v>
      </c>
      <c r="H6" s="113">
        <v>2.7777777777777679E-3</v>
      </c>
      <c r="I6" s="113">
        <v>6.9444444444446973E-4</v>
      </c>
      <c r="J6" s="132">
        <f>MIN(Table5[[#This Row],[VISIT 1]:[VISIT 7]])</f>
        <v>6.9444444444446973E-4</v>
      </c>
      <c r="K6" s="133">
        <f>MAX(Table5[[#This Row],[VISIT 1]:[VISIT 7]])</f>
        <v>9.7222222222222432E-3</v>
      </c>
      <c r="L6" s="134">
        <f>AVERAGE(Table5[[#This Row],[VISIT 1]:[VISIT 7]])</f>
        <v>3.869047619047624E-3</v>
      </c>
    </row>
    <row r="7" spans="2:12" ht="15.75" hidden="1">
      <c r="B7" t="s">
        <v>1201</v>
      </c>
      <c r="C7" s="113">
        <v>1.388888888888884E-3</v>
      </c>
      <c r="D7" s="113">
        <v>4.8611111111110938E-3</v>
      </c>
      <c r="E7" s="113">
        <v>2.0833333333333259E-3</v>
      </c>
      <c r="F7" s="113">
        <v>1.3888888888888889E-3</v>
      </c>
      <c r="G7" s="113">
        <v>4.1666666666666519E-3</v>
      </c>
      <c r="H7" s="113">
        <v>1.388888888888884E-3</v>
      </c>
      <c r="I7" s="113">
        <v>2.0833333333333259E-3</v>
      </c>
      <c r="J7" s="132">
        <f>MIN(Table5[[#This Row],[VISIT 1]:[VISIT 7]])</f>
        <v>1.388888888888884E-3</v>
      </c>
      <c r="K7" s="133">
        <f>MAX(Table5[[#This Row],[VISIT 1]:[VISIT 7]])</f>
        <v>4.8611111111110938E-3</v>
      </c>
      <c r="L7" s="134">
        <f>AVERAGE(Table5[[#This Row],[VISIT 1]:[VISIT 7]])</f>
        <v>2.4801587301587222E-3</v>
      </c>
    </row>
    <row r="8" spans="2:12" ht="15.75" hidden="1">
      <c r="B8" t="s">
        <v>1154</v>
      </c>
      <c r="C8" s="113">
        <v>6.9444444444444198E-3</v>
      </c>
      <c r="D8" s="113">
        <v>5.5555555555555913E-3</v>
      </c>
      <c r="E8" s="113">
        <v>6.9444444444444614E-3</v>
      </c>
      <c r="F8" s="113">
        <v>8.3333333333333176E-3</v>
      </c>
      <c r="G8" s="113">
        <v>4.1666666666666796E-3</v>
      </c>
      <c r="H8" s="113">
        <v>9.7222222222222432E-3</v>
      </c>
      <c r="I8" s="113">
        <v>1.0416666666666671E-2</v>
      </c>
      <c r="J8" s="132">
        <f>MIN(Table5[[#This Row],[VISIT 1]:[VISIT 7]])</f>
        <v>4.1666666666666796E-3</v>
      </c>
      <c r="K8" s="133">
        <f>MAX(Table5[[#This Row],[VISIT 1]:[VISIT 7]])</f>
        <v>1.0416666666666671E-2</v>
      </c>
      <c r="L8" s="134">
        <f>AVERAGE(Table5[[#This Row],[VISIT 1]:[VISIT 7]])</f>
        <v>7.4404761904761979E-3</v>
      </c>
    </row>
    <row r="9" spans="2:12" ht="15.75" hidden="1">
      <c r="B9" t="s">
        <v>288</v>
      </c>
      <c r="C9" s="113">
        <v>2.7777777777777779E-3</v>
      </c>
      <c r="D9" s="113">
        <v>2.0833333333333259E-3</v>
      </c>
      <c r="E9" s="113">
        <v>2.7777777777777679E-3</v>
      </c>
      <c r="F9" s="113">
        <v>4.1666666666666796E-3</v>
      </c>
      <c r="G9" s="113">
        <v>6.9444444444444198E-4</v>
      </c>
      <c r="H9" s="113">
        <v>5.5555555555555558E-3</v>
      </c>
      <c r="I9" s="113">
        <v>2.7777777777777679E-3</v>
      </c>
      <c r="J9" s="132">
        <f>MIN(Table5[[#This Row],[VISIT 1]:[VISIT 7]])</f>
        <v>6.9444444444444198E-4</v>
      </c>
      <c r="K9" s="133">
        <f>MAX(Table5[[#This Row],[VISIT 1]:[VISIT 7]])</f>
        <v>5.5555555555555558E-3</v>
      </c>
      <c r="L9" s="134">
        <f>AVERAGE(Table5[[#This Row],[VISIT 1]:[VISIT 7]])</f>
        <v>2.9761904761904739E-3</v>
      </c>
    </row>
    <row r="10" spans="2:12" ht="15.75" hidden="1">
      <c r="B10" s="54" t="s">
        <v>51</v>
      </c>
      <c r="C10" s="114">
        <v>1.8749999999999999E-2</v>
      </c>
      <c r="D10" s="114">
        <v>2.0833333333333332E-2</v>
      </c>
      <c r="E10" s="114">
        <v>2.2916666666666655E-2</v>
      </c>
      <c r="F10" s="114">
        <v>1.9444444444444445E-2</v>
      </c>
      <c r="G10" s="114">
        <v>2.4999999999999994E-2</v>
      </c>
      <c r="H10" s="114">
        <v>2.5694444444444429E-2</v>
      </c>
      <c r="I10" s="114">
        <v>1.8750000000000003E-2</v>
      </c>
      <c r="J10" s="139">
        <f>MIN(Table5[[#This Row],[VISIT 1]:[VISIT 7]])</f>
        <v>1.8749999999999999E-2</v>
      </c>
      <c r="K10" s="140">
        <f>MAX(Table5[[#This Row],[VISIT 1]:[VISIT 7]])</f>
        <v>2.5694444444444429E-2</v>
      </c>
      <c r="L10" s="141">
        <f>AVERAGE(Table5[[#This Row],[VISIT 1]:[VISIT 7]])</f>
        <v>2.1626984126984123E-2</v>
      </c>
    </row>
    <row r="11" spans="2:12" ht="15.75" hidden="1">
      <c r="B11" s="54" t="s">
        <v>1214</v>
      </c>
      <c r="C11" s="114">
        <f>C10-C16</f>
        <v>1.7361111111111112E-2</v>
      </c>
      <c r="D11" s="114">
        <v>1.9444444444444445E-2</v>
      </c>
      <c r="E11" s="114">
        <v>1.8749999999999989E-2</v>
      </c>
      <c r="F11" s="114">
        <v>1.5277777777777779E-2</v>
      </c>
      <c r="G11" s="114">
        <v>2.3611111111111107E-2</v>
      </c>
      <c r="H11" s="114">
        <v>2.4999999999999984E-2</v>
      </c>
      <c r="I11" s="114">
        <v>1.5277777777777765E-2</v>
      </c>
      <c r="J11" s="135">
        <f>MIN(Table5[[#This Row],[VISIT 1]:[VISIT 7]])</f>
        <v>1.5277777777777765E-2</v>
      </c>
      <c r="K11" s="136">
        <f>MAX(Table5[[#This Row],[VISIT 1]:[VISIT 7]])</f>
        <v>2.4999999999999984E-2</v>
      </c>
      <c r="L11" s="137">
        <f>AVERAGE(Table5[[#This Row],[VISIT 1]:[VISIT 7]])</f>
        <v>1.924603174603174E-2</v>
      </c>
    </row>
    <row r="12" spans="2:12" ht="15.75" hidden="1"/>
    <row r="13" spans="2:12" ht="15.75" hidden="1">
      <c r="B13" t="s">
        <v>1206</v>
      </c>
    </row>
    <row r="14" spans="2:12" ht="15.75" hidden="1">
      <c r="B14" t="s">
        <v>1207</v>
      </c>
    </row>
    <row r="15" spans="2:12" ht="15.75" hidden="1">
      <c r="H15" s="55" t="s">
        <v>34</v>
      </c>
    </row>
    <row r="16" spans="2:12">
      <c r="B16" s="119" t="s">
        <v>1532</v>
      </c>
      <c r="C16" s="143">
        <v>1.3888888888888889E-3</v>
      </c>
      <c r="D16" s="143">
        <v>1.3888888888888889E-3</v>
      </c>
      <c r="E16" s="143">
        <v>4.1666666666666666E-3</v>
      </c>
      <c r="F16" s="143">
        <v>4.1666666666666666E-3</v>
      </c>
      <c r="G16" s="143">
        <v>1.3888888888888889E-3</v>
      </c>
      <c r="H16" s="143">
        <v>6.9444444444444447E-4</v>
      </c>
      <c r="I16" s="143">
        <v>3.472222222222222E-3</v>
      </c>
    </row>
    <row r="17" spans="2:12">
      <c r="B17" s="54" t="s">
        <v>1202</v>
      </c>
    </row>
    <row r="19" spans="2:12">
      <c r="B19" s="54" t="s">
        <v>1198</v>
      </c>
      <c r="C19" s="55" t="s">
        <v>1199</v>
      </c>
      <c r="D19" s="55" t="s">
        <v>1200</v>
      </c>
      <c r="E19" s="55" t="s">
        <v>1203</v>
      </c>
      <c r="F19" s="55" t="s">
        <v>1205</v>
      </c>
      <c r="G19" s="55" t="s">
        <v>1208</v>
      </c>
      <c r="H19" s="55" t="s">
        <v>1209</v>
      </c>
      <c r="I19" s="55" t="s">
        <v>1210</v>
      </c>
      <c r="J19" s="129" t="s">
        <v>1243</v>
      </c>
      <c r="K19" s="130" t="s">
        <v>1244</v>
      </c>
      <c r="L19" s="131" t="s">
        <v>1245</v>
      </c>
    </row>
    <row r="20" spans="2:12">
      <c r="B20" t="s">
        <v>372</v>
      </c>
      <c r="C20" s="113">
        <v>2.0833333333333537E-3</v>
      </c>
      <c r="D20" s="113">
        <v>4.1666666666666519E-3</v>
      </c>
      <c r="E20" s="113">
        <v>5.5555555555555497E-3</v>
      </c>
      <c r="F20" s="113">
        <v>2.0833333333333333E-3</v>
      </c>
      <c r="G20" s="113">
        <v>9.7222222222222432E-3</v>
      </c>
      <c r="H20" s="113">
        <v>2.7777777777777679E-3</v>
      </c>
      <c r="I20" s="113">
        <v>6.9444444444446973E-4</v>
      </c>
      <c r="J20" s="132">
        <f>MIN(Table525[[#This Row],[VISIT 1]:[VISIT 7]])</f>
        <v>6.9444444444446973E-4</v>
      </c>
      <c r="K20" s="133">
        <f>MAX(Table525[[#This Row],[VISIT 1]:[VISIT 7]])</f>
        <v>9.7222222222222432E-3</v>
      </c>
      <c r="L20" s="134">
        <f>AVERAGE(Table525[[#This Row],[VISIT 1]:[VISIT 7]])</f>
        <v>3.869047619047624E-3</v>
      </c>
    </row>
    <row r="21" spans="2:12">
      <c r="B21" t="s">
        <v>1154</v>
      </c>
      <c r="C21" s="113">
        <v>6.9444444444444198E-3</v>
      </c>
      <c r="D21" s="113">
        <v>5.5555555555555913E-3</v>
      </c>
      <c r="E21" s="113">
        <v>6.9444444444444614E-3</v>
      </c>
      <c r="F21" s="113">
        <v>8.3333333333333176E-3</v>
      </c>
      <c r="G21" s="113">
        <v>4.1666666666666796E-3</v>
      </c>
      <c r="H21" s="113">
        <v>9.7222222222222432E-3</v>
      </c>
      <c r="I21" s="113">
        <v>1.0416666666666671E-2</v>
      </c>
      <c r="J21" s="132">
        <f>MIN(Table525[[#This Row],[VISIT 1]:[VISIT 7]])</f>
        <v>4.1666666666666796E-3</v>
      </c>
      <c r="K21" s="133">
        <f>MAX(Table525[[#This Row],[VISIT 1]:[VISIT 7]])</f>
        <v>1.0416666666666671E-2</v>
      </c>
      <c r="L21" s="134">
        <f>AVERAGE(Table525[[#This Row],[VISIT 1]:[VISIT 7]])</f>
        <v>7.4404761904761979E-3</v>
      </c>
    </row>
    <row r="22" spans="2:12">
      <c r="B22" t="s">
        <v>288</v>
      </c>
      <c r="C22" s="113">
        <v>2.7777777777777779E-3</v>
      </c>
      <c r="D22" s="113">
        <v>2.0833333333333259E-3</v>
      </c>
      <c r="E22" s="113">
        <v>2.7777777777777679E-3</v>
      </c>
      <c r="F22" s="113">
        <v>4.1666666666666796E-3</v>
      </c>
      <c r="G22" s="113">
        <v>6.9444444444444198E-4</v>
      </c>
      <c r="H22" s="113">
        <v>5.5555555555555558E-3</v>
      </c>
      <c r="I22" s="113">
        <v>2.7777777777777679E-3</v>
      </c>
      <c r="J22" s="132">
        <f>MIN(Table525[[#This Row],[VISIT 1]:[VISIT 7]])</f>
        <v>6.9444444444444198E-4</v>
      </c>
      <c r="K22" s="133">
        <f>MAX(Table525[[#This Row],[VISIT 1]:[VISIT 7]])</f>
        <v>5.5555555555555558E-3</v>
      </c>
      <c r="L22" s="134">
        <f>AVERAGE(Table525[[#This Row],[VISIT 1]:[VISIT 7]])</f>
        <v>2.9761904761904739E-3</v>
      </c>
    </row>
    <row r="23" spans="2:12">
      <c r="B23" s="54" t="s">
        <v>1265</v>
      </c>
      <c r="C23" s="114">
        <f t="shared" ref="C23:I23" si="0">SUM(C20:C22)-C26</f>
        <v>1.0416666666666663E-2</v>
      </c>
      <c r="D23" s="114">
        <f t="shared" si="0"/>
        <v>1.041666666666668E-2</v>
      </c>
      <c r="E23" s="114">
        <f t="shared" si="0"/>
        <v>1.1111111111111113E-2</v>
      </c>
      <c r="F23" s="114">
        <f t="shared" si="0"/>
        <v>1.0416666666666664E-2</v>
      </c>
      <c r="G23" s="114">
        <f t="shared" si="0"/>
        <v>1.3194444444444476E-2</v>
      </c>
      <c r="H23" s="114">
        <f t="shared" si="0"/>
        <v>1.7361111111111122E-2</v>
      </c>
      <c r="I23" s="114">
        <f t="shared" si="0"/>
        <v>1.0416666666666687E-2</v>
      </c>
      <c r="J23" s="135">
        <f>MIN(Table525[[#This Row],[VISIT 1]:[VISIT 7]])</f>
        <v>1.0416666666666663E-2</v>
      </c>
      <c r="K23" s="136">
        <f>MAX(Table525[[#This Row],[VISIT 1]:[VISIT 7]])</f>
        <v>1.7361111111111122E-2</v>
      </c>
      <c r="L23" s="137">
        <f>AVERAGE(Table525[[#This Row],[VISIT 1]:[VISIT 7]])</f>
        <v>1.1904761904761915E-2</v>
      </c>
    </row>
    <row r="25" spans="2:12">
      <c r="H25" s="55" t="s">
        <v>34</v>
      </c>
    </row>
    <row r="26" spans="2:12">
      <c r="B26" s="119" t="s">
        <v>1213</v>
      </c>
      <c r="C26" s="143">
        <v>1.3888888888888889E-3</v>
      </c>
      <c r="D26" s="143">
        <v>1.3888888888888889E-3</v>
      </c>
      <c r="E26" s="143">
        <v>4.1666666666666666E-3</v>
      </c>
      <c r="F26" s="143">
        <v>4.1666666666666666E-3</v>
      </c>
      <c r="G26" s="143">
        <v>1.3888888888888889E-3</v>
      </c>
      <c r="H26" s="143">
        <v>6.9444444444444447E-4</v>
      </c>
      <c r="I26" s="143">
        <v>3.472222222222222E-3</v>
      </c>
    </row>
    <row r="28" spans="2:12">
      <c r="B28" t="s">
        <v>34</v>
      </c>
    </row>
    <row r="29" spans="2:12">
      <c r="B29" s="54" t="s">
        <v>1216</v>
      </c>
      <c r="C29" s="55" t="s">
        <v>1199</v>
      </c>
      <c r="D29" s="55" t="s">
        <v>1200</v>
      </c>
      <c r="E29" s="55" t="s">
        <v>1203</v>
      </c>
      <c r="F29" s="129" t="s">
        <v>1243</v>
      </c>
      <c r="G29" s="130" t="s">
        <v>1244</v>
      </c>
      <c r="H29" s="131" t="s">
        <v>1245</v>
      </c>
    </row>
    <row r="30" spans="2:12">
      <c r="B30" t="s">
        <v>372</v>
      </c>
      <c r="C30" s="113">
        <v>2.0833333333333259E-3</v>
      </c>
      <c r="D30" s="113">
        <v>1.388888888888884E-3</v>
      </c>
      <c r="E30" s="116">
        <v>8.3333333333333592E-3</v>
      </c>
      <c r="F30" s="132">
        <f>MIN(Table13[[#This Row],[VISIT 1]:[VISIT 3]])</f>
        <v>1.388888888888884E-3</v>
      </c>
      <c r="G30" s="133">
        <f>MAX(Table13[[#This Row],[VISIT 1]:[VISIT 3]])</f>
        <v>8.3333333333333592E-3</v>
      </c>
      <c r="H30" s="134">
        <f>AVERAGE(Table13[[#This Row],[VISIT 1]:[VISIT 3]])</f>
        <v>3.93518518518519E-3</v>
      </c>
    </row>
    <row r="31" spans="2:12">
      <c r="B31" t="s">
        <v>1154</v>
      </c>
      <c r="C31" s="113">
        <v>4.1666666666666796E-3</v>
      </c>
      <c r="D31" s="113">
        <v>7.6388888888889173E-3</v>
      </c>
      <c r="E31" s="116">
        <v>1.041666666666663E-2</v>
      </c>
      <c r="F31" s="132">
        <f>MIN(Table13[[#This Row],[VISIT 1]:[VISIT 3]])</f>
        <v>4.1666666666666796E-3</v>
      </c>
      <c r="G31" s="133">
        <f>MAX(Table13[[#This Row],[VISIT 1]:[VISIT 3]])</f>
        <v>1.041666666666663E-2</v>
      </c>
      <c r="H31" s="134">
        <f>AVERAGE(Table13[[#This Row],[VISIT 1]:[VISIT 3]])</f>
        <v>7.4074074074074086E-3</v>
      </c>
    </row>
    <row r="32" spans="2:12">
      <c r="B32" t="s">
        <v>288</v>
      </c>
      <c r="C32" s="113">
        <v>4.1666666666666519E-3</v>
      </c>
      <c r="D32" s="113">
        <v>2.7777777777777679E-3</v>
      </c>
      <c r="E32" s="116">
        <v>3.4722222222222376E-3</v>
      </c>
      <c r="F32" s="132">
        <f>MIN(Table13[[#This Row],[VISIT 1]:[VISIT 3]])</f>
        <v>2.7777777777777679E-3</v>
      </c>
      <c r="G32" s="133">
        <f>MAX(Table13[[#This Row],[VISIT 1]:[VISIT 3]])</f>
        <v>4.1666666666666519E-3</v>
      </c>
      <c r="H32" s="134">
        <f>AVERAGE(Table13[[#This Row],[VISIT 1]:[VISIT 3]])</f>
        <v>3.472222222222219E-3</v>
      </c>
    </row>
    <row r="33" spans="2:8">
      <c r="B33" t="s">
        <v>1161</v>
      </c>
      <c r="C33" s="113">
        <v>4.8611111111111494E-3</v>
      </c>
      <c r="D33" s="113">
        <v>4.8611111111111112E-3</v>
      </c>
      <c r="E33" s="116">
        <v>2.0833333333333259E-3</v>
      </c>
      <c r="F33" s="132">
        <f>MIN(Table13[[#This Row],[VISIT 1]:[VISIT 3]])</f>
        <v>2.0833333333333259E-3</v>
      </c>
      <c r="G33" s="133">
        <f>MAX(Table13[[#This Row],[VISIT 1]:[VISIT 3]])</f>
        <v>4.8611111111111494E-3</v>
      </c>
      <c r="H33" s="134">
        <f>AVERAGE(Table13[[#This Row],[VISIT 1]:[VISIT 3]])</f>
        <v>3.9351851851851952E-3</v>
      </c>
    </row>
    <row r="34" spans="2:8">
      <c r="B34" t="s">
        <v>1215</v>
      </c>
      <c r="C34" s="113">
        <v>5.5555555555555358E-3</v>
      </c>
      <c r="E34" s="115"/>
      <c r="F34" s="132">
        <f>MIN(Table13[[#This Row],[VISIT 1]:[VISIT 3]])</f>
        <v>5.5555555555555358E-3</v>
      </c>
      <c r="G34" s="133">
        <f>MAX(Table13[[#This Row],[VISIT 1]:[VISIT 3]])</f>
        <v>5.5555555555555358E-3</v>
      </c>
      <c r="H34" s="134">
        <f>AVERAGE(Table13[[#This Row],[VISIT 1]:[VISIT 3]])</f>
        <v>5.5555555555555358E-3</v>
      </c>
    </row>
    <row r="35" spans="2:8">
      <c r="B35" s="54" t="s">
        <v>51</v>
      </c>
      <c r="C35" s="114">
        <f>SUM(C30:C34)</f>
        <v>2.0833333333333343E-2</v>
      </c>
      <c r="D35" s="114">
        <f>SUM(D30:D34)</f>
        <v>1.666666666666668E-2</v>
      </c>
      <c r="E35" s="114">
        <f>SUM(E30:E34)</f>
        <v>2.4305555555555552E-2</v>
      </c>
      <c r="F35" s="139">
        <f>MIN(Table13[[#This Row],[VISIT 1]:[VISIT 3]])</f>
        <v>1.666666666666668E-2</v>
      </c>
      <c r="G35" s="140">
        <f>MAX(Table13[[#This Row],[VISIT 1]:[VISIT 3]])</f>
        <v>2.4305555555555552E-2</v>
      </c>
      <c r="H35" s="137">
        <f>AVERAGE(Table13[[#This Row],[VISIT 1]:[VISIT 3]])</f>
        <v>2.0601851851851857E-2</v>
      </c>
    </row>
    <row r="38" spans="2:8">
      <c r="B38" s="117" t="s">
        <v>1217</v>
      </c>
      <c r="C38" s="55" t="s">
        <v>1199</v>
      </c>
    </row>
    <row r="39" spans="2:8">
      <c r="B39" t="s">
        <v>372</v>
      </c>
      <c r="C39" s="113">
        <v>6.9444444444444198E-3</v>
      </c>
    </row>
    <row r="40" spans="2:8">
      <c r="B40" t="s">
        <v>1220</v>
      </c>
      <c r="C40" s="113">
        <v>1.4583333333333365E-2</v>
      </c>
    </row>
    <row r="41" spans="2:8">
      <c r="B41" t="s">
        <v>992</v>
      </c>
      <c r="C41" s="113">
        <v>1.388888888888884E-3</v>
      </c>
    </row>
    <row r="42" spans="2:8">
      <c r="B42" t="s">
        <v>1176</v>
      </c>
      <c r="C42" s="113">
        <v>1.388888888888884E-3</v>
      </c>
    </row>
    <row r="43" spans="2:8">
      <c r="B43" t="s">
        <v>1177</v>
      </c>
      <c r="C43" s="113">
        <v>6.9444444444444198E-4</v>
      </c>
    </row>
    <row r="44" spans="2:8">
      <c r="B44" t="s">
        <v>1179</v>
      </c>
      <c r="C44" s="113">
        <v>2.0833333333333259E-3</v>
      </c>
    </row>
    <row r="45" spans="2:8">
      <c r="B45" t="s">
        <v>1186</v>
      </c>
      <c r="C45" s="113">
        <v>1.5972222222222221E-2</v>
      </c>
    </row>
    <row r="46" spans="2:8">
      <c r="B46" t="s">
        <v>1191</v>
      </c>
      <c r="C46" s="113">
        <v>2.0833333333333259E-3</v>
      </c>
    </row>
    <row r="47" spans="2:8">
      <c r="B47" s="54" t="s">
        <v>51</v>
      </c>
      <c r="C47" s="113">
        <f>SUM(C39:C46)</f>
        <v>4.5138888888888867E-2</v>
      </c>
    </row>
    <row r="48" spans="2:8">
      <c r="B48" t="s">
        <v>1266</v>
      </c>
      <c r="C48" s="113"/>
    </row>
    <row r="50" spans="2:8">
      <c r="B50" s="117" t="s">
        <v>1218</v>
      </c>
      <c r="C50" s="55" t="s">
        <v>1199</v>
      </c>
      <c r="E50" s="55" t="s">
        <v>34</v>
      </c>
    </row>
    <row r="51" spans="2:8">
      <c r="B51" t="s">
        <v>372</v>
      </c>
      <c r="C51" s="113">
        <v>7.6388888888888756E-3</v>
      </c>
    </row>
    <row r="52" spans="2:8">
      <c r="B52" t="s">
        <v>304</v>
      </c>
      <c r="C52" s="113">
        <v>5.5555555555555636E-3</v>
      </c>
    </row>
    <row r="53" spans="2:8">
      <c r="B53" t="s">
        <v>1169</v>
      </c>
      <c r="C53" s="113">
        <v>2.0833333333333398E-3</v>
      </c>
    </row>
    <row r="54" spans="2:8">
      <c r="B54" t="s">
        <v>1091</v>
      </c>
      <c r="C54" s="113">
        <v>4.8611111111111216E-3</v>
      </c>
    </row>
    <row r="55" spans="2:8">
      <c r="B55" t="s">
        <v>1193</v>
      </c>
      <c r="C55" s="113">
        <v>2.0833333333333398E-3</v>
      </c>
    </row>
    <row r="56" spans="2:8">
      <c r="B56" t="s">
        <v>1195</v>
      </c>
      <c r="C56" s="113">
        <v>1.0416666666666657E-2</v>
      </c>
    </row>
    <row r="57" spans="2:8">
      <c r="B57" t="s">
        <v>1196</v>
      </c>
      <c r="C57" s="113">
        <v>2.0833333333333259E-3</v>
      </c>
    </row>
    <row r="58" spans="2:8">
      <c r="B58" s="54" t="s">
        <v>51</v>
      </c>
      <c r="C58" s="114">
        <f>SUM(C51:C57)</f>
        <v>3.4722222222222224E-2</v>
      </c>
    </row>
    <row r="59" spans="2:8">
      <c r="F59" t="s">
        <v>34</v>
      </c>
      <c r="H59" t="s">
        <v>34</v>
      </c>
    </row>
    <row r="61" spans="2:8">
      <c r="H61"/>
    </row>
    <row r="62" spans="2:8">
      <c r="B62" t="s">
        <v>1222</v>
      </c>
      <c r="H62" t="s">
        <v>34</v>
      </c>
    </row>
    <row r="63" spans="2:8">
      <c r="B63" t="s">
        <v>34</v>
      </c>
      <c r="C63" s="55" t="s">
        <v>1228</v>
      </c>
      <c r="D63" s="55" t="s">
        <v>1225</v>
      </c>
      <c r="E63" s="55" t="s">
        <v>1226</v>
      </c>
      <c r="F63" s="55" t="s">
        <v>1227</v>
      </c>
    </row>
    <row r="64" spans="2:8">
      <c r="B64" t="s">
        <v>1221</v>
      </c>
      <c r="C64" s="113">
        <v>1.6666666666666718E-2</v>
      </c>
      <c r="D64" s="113">
        <v>2.4305555555555525E-2</v>
      </c>
      <c r="E64" s="113">
        <v>2.0833333333333287E-2</v>
      </c>
    </row>
    <row r="65" spans="2:10">
      <c r="B65" t="s">
        <v>1223</v>
      </c>
      <c r="C65" s="113">
        <v>3.4722222222222182E-2</v>
      </c>
      <c r="E65" s="113">
        <v>3.472222222222221E-2</v>
      </c>
      <c r="F65" s="55" t="s">
        <v>34</v>
      </c>
    </row>
    <row r="66" spans="2:10">
      <c r="B66" s="118" t="s">
        <v>1224</v>
      </c>
      <c r="F66" s="113">
        <v>1.4583333333333365E-2</v>
      </c>
    </row>
    <row r="70" spans="2:10">
      <c r="B70" s="54" t="s">
        <v>452</v>
      </c>
      <c r="C70" s="55" t="s">
        <v>108</v>
      </c>
      <c r="D70" s="55" t="s">
        <v>109</v>
      </c>
      <c r="E70" s="55" t="s">
        <v>110</v>
      </c>
      <c r="F70" s="55" t="s">
        <v>111</v>
      </c>
      <c r="G70" s="55" t="s">
        <v>112</v>
      </c>
      <c r="H70" s="55" t="s">
        <v>1243</v>
      </c>
      <c r="I70" s="55" t="s">
        <v>1244</v>
      </c>
      <c r="J70" s="55" t="s">
        <v>1245</v>
      </c>
    </row>
    <row r="71" spans="2:10">
      <c r="B71" t="s">
        <v>1229</v>
      </c>
      <c r="C71" s="113" t="s">
        <v>494</v>
      </c>
      <c r="D71" s="113">
        <v>1.0416666666666666E-2</v>
      </c>
      <c r="E71" s="113">
        <v>1.0416666666666666E-2</v>
      </c>
      <c r="F71" s="113">
        <v>4.1666666666666664E-2</v>
      </c>
      <c r="G71" s="113" t="s">
        <v>682</v>
      </c>
      <c r="H71" s="55" t="str">
        <f>Table17[[#This Row],[1]]</f>
        <v>:05</v>
      </c>
      <c r="J71" s="150">
        <f>AVERAGE(Table17[[#This Row],[1]:[5]])</f>
        <v>2.0833333333333332E-2</v>
      </c>
    </row>
    <row r="72" spans="2:10">
      <c r="B72" t="s">
        <v>1230</v>
      </c>
      <c r="C72" s="113" t="s">
        <v>1232</v>
      </c>
      <c r="D72" s="113" t="s">
        <v>1232</v>
      </c>
      <c r="E72" s="55" t="s">
        <v>484</v>
      </c>
      <c r="F72" s="55" t="s">
        <v>484</v>
      </c>
      <c r="G72" s="55" t="s">
        <v>484</v>
      </c>
      <c r="H72" s="55" t="s">
        <v>34</v>
      </c>
      <c r="J72" t="s">
        <v>34</v>
      </c>
    </row>
    <row r="73" spans="2:10">
      <c r="B73" t="s">
        <v>1231</v>
      </c>
      <c r="C73" s="113">
        <v>4.1666666666666664E-2</v>
      </c>
      <c r="D73" s="113">
        <v>4.1666666666666664E-2</v>
      </c>
      <c r="E73" s="55" t="s">
        <v>454</v>
      </c>
      <c r="F73" s="113">
        <v>1.0416666666666666E-2</v>
      </c>
      <c r="G73" s="113">
        <v>8.3333333333333329E-2</v>
      </c>
      <c r="H73" s="113" t="str">
        <f>Table17[[#This Row],[3]]</f>
        <v>:10</v>
      </c>
      <c r="J73" s="150">
        <f>AVERAGE(Table17[[#This Row],[1]:[5]])</f>
        <v>4.4270833333333329E-2</v>
      </c>
    </row>
    <row r="75" spans="2:10" ht="15.75" hidden="1">
      <c r="B75" s="54" t="s">
        <v>1262</v>
      </c>
    </row>
    <row r="76" spans="2:10" ht="15.75" hidden="1">
      <c r="B76" s="54" t="s">
        <v>1242</v>
      </c>
    </row>
    <row r="77" spans="2:10" ht="15.75" hidden="1">
      <c r="B77" t="s">
        <v>34</v>
      </c>
      <c r="C77" s="54" t="s">
        <v>1199</v>
      </c>
      <c r="D77" s="54" t="s">
        <v>1200</v>
      </c>
      <c r="E77" s="54" t="s">
        <v>1203</v>
      </c>
      <c r="F77" s="54" t="s">
        <v>1204</v>
      </c>
      <c r="G77" s="54" t="s">
        <v>1208</v>
      </c>
    </row>
    <row r="78" spans="2:10" ht="15.75" hidden="1">
      <c r="B78" t="s">
        <v>79</v>
      </c>
      <c r="C78" s="60">
        <v>9.0277777777777873E-3</v>
      </c>
      <c r="D78" s="60">
        <v>1.3888888888889117E-3</v>
      </c>
      <c r="E78" s="60">
        <v>1.3888888888888889E-3</v>
      </c>
      <c r="F78" s="60"/>
      <c r="G78"/>
    </row>
    <row r="79" spans="2:10" ht="15.75" hidden="1">
      <c r="B79" t="s">
        <v>78</v>
      </c>
      <c r="C79" s="60">
        <v>2.0833333333333398E-3</v>
      </c>
      <c r="D79" s="60">
        <v>7.6388888888888756E-3</v>
      </c>
      <c r="E79" s="60">
        <v>5.5555555555555584E-3</v>
      </c>
      <c r="F79" s="60">
        <v>3.4722222222222654E-3</v>
      </c>
      <c r="G79" s="60">
        <v>8.3333333333334147E-3</v>
      </c>
    </row>
    <row r="80" spans="2:10" ht="15.75" hidden="1">
      <c r="B80" t="s">
        <v>1233</v>
      </c>
      <c r="C80" s="60">
        <v>1.388888888888884E-3</v>
      </c>
      <c r="D80" s="60">
        <v>4.1666666666666657E-3</v>
      </c>
      <c r="E80" s="60">
        <v>2.0833333333333259E-3</v>
      </c>
      <c r="F80" s="60">
        <v>2.0833333333333259E-3</v>
      </c>
      <c r="G80" s="60">
        <v>2.7777777777777679E-3</v>
      </c>
    </row>
    <row r="81" spans="2:14" ht="15.75" hidden="1">
      <c r="B81" t="s">
        <v>1240</v>
      </c>
      <c r="C81"/>
      <c r="D81"/>
      <c r="E81" s="60">
        <v>2.0833333333333259E-3</v>
      </c>
      <c r="F81" s="60">
        <v>4.1666666666666519E-3</v>
      </c>
      <c r="G81" s="60">
        <v>2.0833333333333259E-3</v>
      </c>
      <c r="I81"/>
    </row>
    <row r="82" spans="2:14" ht="15.75" hidden="1">
      <c r="B82" s="125" t="s">
        <v>1235</v>
      </c>
      <c r="C82" s="48"/>
      <c r="D82" s="48"/>
      <c r="E82" s="48"/>
      <c r="F82" s="48"/>
      <c r="G82" s="48"/>
      <c r="I82" s="60"/>
    </row>
    <row r="83" spans="2:14" ht="15.75" hidden="1">
      <c r="B83" t="s">
        <v>376</v>
      </c>
      <c r="C83" s="60">
        <v>2.7777777777777679E-3</v>
      </c>
      <c r="D83" s="60">
        <v>2.7777777777777957E-3</v>
      </c>
      <c r="E83" s="60">
        <v>3.4722222222222099E-3</v>
      </c>
      <c r="F83" s="60">
        <v>4.1666666666666519E-3</v>
      </c>
      <c r="G83" s="60">
        <v>1.388888888888884E-3</v>
      </c>
      <c r="I83"/>
    </row>
    <row r="84" spans="2:14" ht="15.75" hidden="1">
      <c r="B84" t="s">
        <v>299</v>
      </c>
      <c r="C84" s="60">
        <v>2.7777777777777818E-3</v>
      </c>
      <c r="D84" s="60">
        <v>2.0833333333333259E-3</v>
      </c>
      <c r="E84" s="60">
        <v>2.0833333333333537E-3</v>
      </c>
      <c r="F84" s="60">
        <v>1.3888888888888889E-3</v>
      </c>
      <c r="G84" s="60">
        <v>6.2499999999999995E-3</v>
      </c>
      <c r="I84" s="60"/>
      <c r="K84" t="s">
        <v>34</v>
      </c>
    </row>
    <row r="85" spans="2:14" ht="15.75" hidden="1">
      <c r="B85" t="s">
        <v>1237</v>
      </c>
      <c r="C85" s="60">
        <v>7.6388888888888756E-3</v>
      </c>
      <c r="D85" s="60">
        <v>7.6388888888888895E-3</v>
      </c>
      <c r="E85" s="60">
        <v>6.9444444444444198E-3</v>
      </c>
      <c r="F85" s="60">
        <v>6.9444444444444441E-3</v>
      </c>
      <c r="G85" s="60">
        <v>2.7777777777777779E-3</v>
      </c>
      <c r="I85" s="77"/>
      <c r="J85" s="77"/>
      <c r="K85" s="77"/>
      <c r="L85" s="77"/>
      <c r="M85" s="77"/>
      <c r="N85" s="77"/>
    </row>
    <row r="86" spans="2:14" ht="15.75" hidden="1">
      <c r="B86" t="s">
        <v>450</v>
      </c>
      <c r="C86" s="60">
        <v>1.3888888888888978E-3</v>
      </c>
      <c r="D86" s="60">
        <v>2.7777777777777679E-3</v>
      </c>
      <c r="E86" s="60">
        <v>2.0833333333333259E-3</v>
      </c>
      <c r="F86" s="60">
        <v>4.1666666666666666E-3</v>
      </c>
      <c r="G86" s="60">
        <v>6.9444444444444447E-4</v>
      </c>
      <c r="I86" s="96"/>
      <c r="J86" s="77"/>
      <c r="K86" s="77"/>
      <c r="L86" s="77"/>
      <c r="M86" s="77"/>
      <c r="N86" s="77"/>
    </row>
    <row r="87" spans="2:14" ht="15.75" hidden="1">
      <c r="B87" t="s">
        <v>1234</v>
      </c>
      <c r="C87" s="60">
        <v>2.7777777777777887E-3</v>
      </c>
      <c r="D87" s="60">
        <v>2.7777777777777679E-3</v>
      </c>
      <c r="E87" s="60">
        <v>4.1666666666666796E-3</v>
      </c>
      <c r="F87" s="60">
        <v>2.7777777777777124E-3</v>
      </c>
      <c r="G87" s="60">
        <v>1.3194444444444425E-2</v>
      </c>
      <c r="I87" s="151"/>
      <c r="J87" s="77"/>
      <c r="K87" s="77"/>
      <c r="L87" s="77"/>
      <c r="M87" s="77"/>
      <c r="N87" s="77"/>
    </row>
    <row r="88" spans="2:14" ht="15.75" hidden="1">
      <c r="B88" t="s">
        <v>1142</v>
      </c>
      <c r="C88"/>
      <c r="D88"/>
      <c r="E88"/>
      <c r="F88"/>
      <c r="G88" s="60">
        <v>7.6388888888889034E-3</v>
      </c>
      <c r="I88" s="151"/>
      <c r="J88" s="96"/>
      <c r="K88" s="77"/>
      <c r="L88" s="77"/>
      <c r="M88" s="77"/>
      <c r="N88" s="77"/>
    </row>
    <row r="89" spans="2:14" ht="15.75" hidden="1">
      <c r="B89" s="125" t="s">
        <v>1236</v>
      </c>
      <c r="C89" s="48"/>
      <c r="D89" s="48"/>
      <c r="E89" s="48"/>
      <c r="F89" s="48"/>
      <c r="G89" s="48"/>
      <c r="I89" s="151"/>
      <c r="J89" s="96"/>
      <c r="K89" s="77"/>
      <c r="L89" s="77"/>
      <c r="M89" s="77"/>
      <c r="N89" s="77"/>
    </row>
    <row r="90" spans="2:14" ht="15.75" hidden="1">
      <c r="B90" t="s">
        <v>1238</v>
      </c>
      <c r="C90" s="60">
        <v>5.5555555555555636E-3</v>
      </c>
      <c r="D90"/>
      <c r="E90" s="60">
        <v>1.388888888888884E-3</v>
      </c>
      <c r="F90"/>
      <c r="G90" s="60">
        <v>2.7777777777777887E-3</v>
      </c>
      <c r="I90" s="151"/>
      <c r="J90" s="96"/>
      <c r="K90" s="77"/>
      <c r="L90" s="77"/>
      <c r="M90" s="77"/>
      <c r="N90" s="77"/>
    </row>
    <row r="91" spans="2:14" ht="15.75" hidden="1">
      <c r="B91" t="s">
        <v>1234</v>
      </c>
      <c r="C91"/>
      <c r="D91"/>
      <c r="E91" s="60">
        <v>4.1666666666667074E-3</v>
      </c>
      <c r="F91"/>
      <c r="G91" s="60">
        <v>6.2499999999999917E-3</v>
      </c>
      <c r="I91" s="151"/>
      <c r="J91" s="77"/>
      <c r="K91" s="77"/>
      <c r="L91" s="77"/>
      <c r="M91" s="77"/>
      <c r="N91" s="77"/>
    </row>
    <row r="92" spans="2:14" ht="15.75" hidden="1">
      <c r="B92" t="s">
        <v>299</v>
      </c>
      <c r="C92" s="60">
        <v>2.0833333333333259E-3</v>
      </c>
      <c r="D92"/>
      <c r="E92" s="60"/>
      <c r="F92"/>
      <c r="G92" s="60">
        <v>2.7777777777777779E-3</v>
      </c>
      <c r="I92" s="151"/>
      <c r="J92" s="96"/>
      <c r="K92" s="77"/>
      <c r="L92" s="77"/>
      <c r="M92" s="77"/>
      <c r="N92" s="77"/>
    </row>
    <row r="93" spans="2:14" ht="15.75" hidden="1">
      <c r="B93" t="s">
        <v>1237</v>
      </c>
      <c r="C93" s="96">
        <v>6.9444444444444337E-3</v>
      </c>
      <c r="D93"/>
      <c r="E93" s="60"/>
      <c r="F93"/>
      <c r="G93" s="60">
        <v>6.9444444444444441E-3</v>
      </c>
      <c r="I93" s="151"/>
      <c r="J93" s="77"/>
      <c r="K93" s="77"/>
      <c r="L93" s="77"/>
      <c r="M93" s="77"/>
      <c r="N93" s="77"/>
    </row>
    <row r="94" spans="2:14" ht="16.5" hidden="1" thickBot="1">
      <c r="B94" s="126" t="s">
        <v>450</v>
      </c>
      <c r="C94" s="127">
        <v>2.0833333333333398E-3</v>
      </c>
      <c r="D94" s="126"/>
      <c r="E94" s="128" t="s">
        <v>1241</v>
      </c>
      <c r="F94" s="126"/>
      <c r="G94" s="127">
        <v>2.0833333333333333E-3</v>
      </c>
      <c r="I94" s="151"/>
      <c r="J94" s="96"/>
      <c r="K94" s="77"/>
      <c r="L94" s="77"/>
      <c r="M94" s="77"/>
      <c r="N94" s="77"/>
    </row>
    <row r="95" spans="2:14" ht="15.75" hidden="1">
      <c r="B95" s="77" t="s">
        <v>203</v>
      </c>
      <c r="C95" s="96">
        <v>1.388888888888884E-3</v>
      </c>
      <c r="D95" s="96">
        <v>2.0833333333333259E-3</v>
      </c>
      <c r="E95" s="77"/>
      <c r="F95" s="77"/>
      <c r="G95" s="77"/>
      <c r="I95" s="151"/>
      <c r="J95" s="96"/>
      <c r="K95" s="77"/>
      <c r="L95" s="77"/>
      <c r="M95" s="77"/>
      <c r="N95" s="77"/>
    </row>
    <row r="96" spans="2:14" ht="15.75" hidden="1">
      <c r="B96" s="77" t="s">
        <v>1108</v>
      </c>
      <c r="C96" s="77"/>
      <c r="D96" s="96">
        <v>3.4722222222222376E-3</v>
      </c>
      <c r="E96" s="77"/>
      <c r="F96" s="96">
        <v>2.0833333333333814E-3</v>
      </c>
      <c r="G96" s="96">
        <v>5.5555555555555775E-3</v>
      </c>
      <c r="I96" s="151"/>
      <c r="J96" s="77"/>
      <c r="K96" s="77"/>
      <c r="L96" s="77"/>
      <c r="M96" s="77"/>
      <c r="N96" s="77"/>
    </row>
    <row r="97" spans="2:14" ht="15.75" hidden="1">
      <c r="B97" s="78" t="s">
        <v>51</v>
      </c>
      <c r="C97" s="92">
        <v>4.791666666666667E-2</v>
      </c>
      <c r="D97" s="92">
        <v>3.6805555555555564E-2</v>
      </c>
      <c r="E97" s="92">
        <v>3.541666666666668E-2</v>
      </c>
      <c r="F97" s="92">
        <f>SUM(F79:F87)</f>
        <v>2.9166666666666605E-2</v>
      </c>
      <c r="G97" s="92">
        <f>SUM(G79:G87)</f>
        <v>3.750000000000004E-2</v>
      </c>
      <c r="I97" s="151"/>
      <c r="J97" s="77"/>
      <c r="K97" s="77"/>
      <c r="L97" s="77"/>
      <c r="M97" s="77"/>
      <c r="N97" s="77"/>
    </row>
    <row r="98" spans="2:14" ht="15.75" hidden="1">
      <c r="B98" t="s">
        <v>1239</v>
      </c>
      <c r="C98"/>
      <c r="D98"/>
      <c r="E98" s="77"/>
      <c r="F98"/>
      <c r="G98"/>
      <c r="I98" s="151"/>
      <c r="J98" s="77"/>
      <c r="K98" s="77"/>
      <c r="L98" s="77"/>
      <c r="M98" s="77"/>
      <c r="N98" s="77"/>
    </row>
    <row r="99" spans="2:14" ht="15.75" hidden="1">
      <c r="C99"/>
      <c r="D99"/>
      <c r="E99" s="77"/>
      <c r="F99"/>
      <c r="G99"/>
      <c r="I99" s="151"/>
      <c r="J99" s="77"/>
      <c r="K99" s="77"/>
      <c r="L99" s="77"/>
      <c r="M99" s="77"/>
      <c r="N99" s="77"/>
    </row>
    <row r="100" spans="2:14">
      <c r="B100" s="54" t="s">
        <v>76</v>
      </c>
      <c r="I100" s="151"/>
      <c r="J100" s="77"/>
      <c r="K100" s="77"/>
      <c r="L100" s="77"/>
      <c r="M100" s="77"/>
      <c r="N100" s="77"/>
    </row>
    <row r="101" spans="2:14">
      <c r="B101" t="s">
        <v>34</v>
      </c>
      <c r="C101" s="54" t="s">
        <v>1199</v>
      </c>
      <c r="D101" s="54" t="s">
        <v>1200</v>
      </c>
      <c r="E101" s="54" t="s">
        <v>1203</v>
      </c>
      <c r="F101" s="54" t="s">
        <v>1204</v>
      </c>
      <c r="G101" s="54" t="s">
        <v>1208</v>
      </c>
      <c r="I101" s="151"/>
      <c r="J101" s="77"/>
      <c r="K101" s="77"/>
      <c r="L101" s="77"/>
      <c r="M101" s="77"/>
      <c r="N101" s="77"/>
    </row>
    <row r="102" spans="2:14">
      <c r="B102" t="s">
        <v>79</v>
      </c>
      <c r="C102" s="60">
        <v>9.0277777777777873E-3</v>
      </c>
      <c r="D102" s="60">
        <v>1.3888888888889117E-3</v>
      </c>
      <c r="E102" s="60">
        <v>1.3888888888888889E-3</v>
      </c>
      <c r="F102" s="60"/>
      <c r="G102"/>
      <c r="I102" s="151"/>
      <c r="J102" s="77"/>
      <c r="K102" s="77"/>
      <c r="L102" s="77"/>
      <c r="M102" s="77"/>
      <c r="N102" s="77"/>
    </row>
    <row r="103" spans="2:14">
      <c r="B103" t="s">
        <v>78</v>
      </c>
      <c r="C103" s="60">
        <v>2.0833333333333398E-3</v>
      </c>
      <c r="D103" s="60">
        <v>7.6388888888888756E-3</v>
      </c>
      <c r="E103" s="60">
        <v>5.5555555555555584E-3</v>
      </c>
      <c r="F103" s="60">
        <v>3.4722222222222654E-3</v>
      </c>
      <c r="G103" s="60">
        <v>8.3333333333334147E-3</v>
      </c>
      <c r="I103" s="151"/>
      <c r="J103" s="77"/>
      <c r="K103" s="77"/>
      <c r="L103" s="77"/>
      <c r="M103" s="77"/>
      <c r="N103" s="77"/>
    </row>
    <row r="104" spans="2:14">
      <c r="B104" t="s">
        <v>1240</v>
      </c>
      <c r="C104"/>
      <c r="D104"/>
      <c r="E104" s="60">
        <v>2.0833333333333259E-3</v>
      </c>
      <c r="F104" s="60">
        <v>4.1666666666666519E-3</v>
      </c>
      <c r="G104" s="60">
        <v>2.0833333333333259E-3</v>
      </c>
      <c r="I104" s="151"/>
      <c r="J104" s="77"/>
      <c r="K104" s="77"/>
      <c r="L104" s="77"/>
      <c r="M104" s="77"/>
      <c r="N104" s="77"/>
    </row>
    <row r="105" spans="2:14">
      <c r="B105" s="125" t="s">
        <v>1235</v>
      </c>
      <c r="C105" s="48"/>
      <c r="D105" s="48"/>
      <c r="E105" s="48"/>
      <c r="F105" s="48"/>
      <c r="G105" s="48"/>
      <c r="I105" s="151"/>
      <c r="J105" s="77"/>
      <c r="K105" s="77"/>
      <c r="L105" s="77"/>
      <c r="M105" s="77"/>
      <c r="N105" s="77"/>
    </row>
    <row r="106" spans="2:14">
      <c r="B106" t="s">
        <v>299</v>
      </c>
      <c r="C106" s="60">
        <v>2.7777777777777818E-3</v>
      </c>
      <c r="D106" s="60">
        <v>2.0833333333333259E-3</v>
      </c>
      <c r="E106" s="60">
        <v>2.0833333333333537E-3</v>
      </c>
      <c r="F106" s="60">
        <v>1.3888888888888889E-3</v>
      </c>
      <c r="G106" s="60">
        <v>6.2499999999999995E-3</v>
      </c>
      <c r="I106" s="151"/>
      <c r="J106" s="77"/>
      <c r="K106" s="77"/>
      <c r="L106" s="77"/>
      <c r="M106" s="77"/>
      <c r="N106" s="77"/>
    </row>
    <row r="107" spans="2:14">
      <c r="B107" t="s">
        <v>1237</v>
      </c>
      <c r="C107" s="60">
        <v>7.6388888888888756E-3</v>
      </c>
      <c r="D107" s="60">
        <v>7.6388888888888895E-3</v>
      </c>
      <c r="E107" s="60">
        <v>6.9444444444444198E-3</v>
      </c>
      <c r="F107" s="60">
        <v>6.9444444444444441E-3</v>
      </c>
      <c r="G107" s="60">
        <v>2.7777777777777779E-3</v>
      </c>
      <c r="I107" s="151"/>
      <c r="J107" s="77"/>
      <c r="K107" s="77"/>
      <c r="L107" s="77"/>
      <c r="M107" s="77"/>
      <c r="N107" s="77"/>
    </row>
    <row r="108" spans="2:14">
      <c r="B108" t="s">
        <v>450</v>
      </c>
      <c r="C108" s="60">
        <v>1.3888888888888978E-3</v>
      </c>
      <c r="D108" s="60">
        <v>2.7777777777777679E-3</v>
      </c>
      <c r="E108" s="60">
        <v>2.0833333333333259E-3</v>
      </c>
      <c r="F108" s="60">
        <v>4.1666666666666666E-3</v>
      </c>
      <c r="G108" s="60">
        <v>6.9444444444444447E-4</v>
      </c>
      <c r="I108" s="151"/>
      <c r="J108" s="77"/>
      <c r="K108" s="77"/>
      <c r="L108" s="77"/>
      <c r="M108" s="77"/>
      <c r="N108" s="77"/>
    </row>
    <row r="109" spans="2:14">
      <c r="B109" t="s">
        <v>1142</v>
      </c>
      <c r="C109"/>
      <c r="D109"/>
      <c r="E109"/>
      <c r="F109"/>
      <c r="G109" s="60">
        <v>7.6388888888889034E-3</v>
      </c>
      <c r="I109" s="151"/>
      <c r="J109" s="77"/>
      <c r="K109" s="77"/>
      <c r="L109" s="77"/>
      <c r="M109" s="77"/>
      <c r="N109" s="77"/>
    </row>
    <row r="110" spans="2:14">
      <c r="B110" s="125" t="s">
        <v>1236</v>
      </c>
      <c r="C110" s="48"/>
      <c r="D110" s="48"/>
      <c r="E110" s="48"/>
      <c r="F110" s="48"/>
      <c r="G110" s="48"/>
      <c r="I110" s="151"/>
      <c r="J110" s="77"/>
      <c r="K110" s="77"/>
      <c r="L110" s="77"/>
      <c r="M110" s="77"/>
      <c r="N110" s="77"/>
    </row>
    <row r="111" spans="2:14">
      <c r="B111" t="s">
        <v>299</v>
      </c>
      <c r="C111" s="60">
        <v>2.0833333333333259E-3</v>
      </c>
      <c r="D111"/>
      <c r="E111" s="60"/>
      <c r="F111"/>
      <c r="G111" s="60">
        <v>2.7777777777777779E-3</v>
      </c>
      <c r="I111" s="151"/>
      <c r="J111" s="77"/>
      <c r="K111" s="77"/>
      <c r="L111" s="77"/>
      <c r="M111" s="77"/>
      <c r="N111" s="77"/>
    </row>
    <row r="112" spans="2:14">
      <c r="B112" t="s">
        <v>1237</v>
      </c>
      <c r="C112" s="96">
        <v>6.9444444444444337E-3</v>
      </c>
      <c r="D112"/>
      <c r="E112" s="60"/>
      <c r="F112"/>
      <c r="G112" s="60">
        <v>6.9444444444444441E-3</v>
      </c>
      <c r="I112" s="151"/>
      <c r="J112" s="77"/>
      <c r="K112" s="77"/>
      <c r="L112" s="77"/>
      <c r="M112" s="77"/>
      <c r="N112" s="77"/>
    </row>
    <row r="113" spans="2:14" ht="16.5" thickBot="1">
      <c r="B113" s="126" t="s">
        <v>450</v>
      </c>
      <c r="C113" s="127">
        <v>2.0833333333333398E-3</v>
      </c>
      <c r="D113" s="126"/>
      <c r="E113" s="128" t="s">
        <v>1241</v>
      </c>
      <c r="F113" s="126"/>
      <c r="G113" s="127">
        <v>2.0833333333333333E-3</v>
      </c>
      <c r="I113" s="151"/>
      <c r="J113" s="77"/>
      <c r="K113" s="77"/>
      <c r="L113" s="77"/>
      <c r="M113" s="77"/>
      <c r="N113" s="77"/>
    </row>
    <row r="114" spans="2:14">
      <c r="B114" s="77" t="s">
        <v>203</v>
      </c>
      <c r="C114" s="96">
        <v>1.388888888888884E-3</v>
      </c>
      <c r="D114" s="96">
        <v>2.0833333333333259E-3</v>
      </c>
      <c r="E114" s="77"/>
      <c r="F114" s="77"/>
      <c r="G114" s="77"/>
      <c r="I114" s="151"/>
      <c r="J114" s="77"/>
      <c r="K114" s="77"/>
      <c r="L114" s="77"/>
      <c r="M114" s="77"/>
      <c r="N114" s="77"/>
    </row>
    <row r="115" spans="2:14">
      <c r="B115" s="77" t="s">
        <v>1108</v>
      </c>
      <c r="C115" s="77"/>
      <c r="D115" s="96">
        <v>3.4722222222222376E-3</v>
      </c>
      <c r="E115" s="77"/>
      <c r="F115" s="96">
        <v>2.0833333333333814E-3</v>
      </c>
      <c r="G115" s="96">
        <v>5.5555555555555775E-3</v>
      </c>
      <c r="I115" s="151"/>
      <c r="J115" s="77"/>
      <c r="K115" s="77"/>
      <c r="L115" s="77"/>
      <c r="M115" s="77"/>
      <c r="N115" s="77"/>
    </row>
    <row r="116" spans="2:14">
      <c r="B116" s="78" t="s">
        <v>51</v>
      </c>
      <c r="C116" s="92">
        <f>SUM(C102:C115)</f>
        <v>3.5416666666666666E-2</v>
      </c>
      <c r="D116" s="92">
        <f>SUM(D102:D115)</f>
        <v>2.7083333333333334E-2</v>
      </c>
      <c r="E116" s="92">
        <f>SUM(E102:E115)</f>
        <v>2.0138888888888873E-2</v>
      </c>
      <c r="F116" s="92">
        <f>SUM(F102:F115)</f>
        <v>2.2222222222222296E-2</v>
      </c>
      <c r="G116" s="92">
        <f>SUM(G102:G115)</f>
        <v>4.5138888888888999E-2</v>
      </c>
      <c r="I116" s="151"/>
      <c r="J116" s="77"/>
      <c r="K116" s="77"/>
      <c r="L116" s="77"/>
      <c r="M116" s="77"/>
      <c r="N116" s="77"/>
    </row>
    <row r="117" spans="2:14">
      <c r="B117" s="54" t="s">
        <v>1263</v>
      </c>
      <c r="C117" s="63">
        <f>SUM(C102:C104)/2 +SUM(C106:C109)+SUM(C114:C115)/2</f>
        <v>1.8055555555555561E-2</v>
      </c>
      <c r="D117" s="63">
        <f>D116</f>
        <v>2.7083333333333334E-2</v>
      </c>
      <c r="E117" s="63">
        <f>E116</f>
        <v>2.0138888888888873E-2</v>
      </c>
      <c r="F117" s="63">
        <f>F116</f>
        <v>2.2222222222222296E-2</v>
      </c>
      <c r="G117" s="63">
        <f>SUM(G102:G104)/2 +SUM(G106:G109)+SUM(G114:G115)/2</f>
        <v>2.5347222222222285E-2</v>
      </c>
      <c r="I117" s="151"/>
      <c r="J117" s="77"/>
      <c r="K117" s="77"/>
      <c r="L117" s="77"/>
      <c r="M117" s="77"/>
      <c r="N117" s="77"/>
    </row>
    <row r="118" spans="2:14">
      <c r="B118" s="54" t="s">
        <v>1264</v>
      </c>
      <c r="C118" s="63">
        <f>SUM(C102:C104)/2 +SUM(C111:C113)+SUM(C114:C115)/2</f>
        <v>1.7361111111111105E-2</v>
      </c>
      <c r="D118" s="63"/>
      <c r="E118" s="63"/>
      <c r="F118" s="63"/>
      <c r="G118" s="63">
        <f>SUM(G102:G104)/2 +SUM(G111:G113)+SUM(G114:G115)/2</f>
        <v>1.9791666666666714E-2</v>
      </c>
      <c r="I118" s="151"/>
      <c r="J118" s="77"/>
      <c r="K118" s="77"/>
      <c r="L118" s="77"/>
      <c r="M118" s="77"/>
      <c r="N118" s="77"/>
    </row>
    <row r="119" spans="2:14">
      <c r="C119"/>
      <c r="D119"/>
      <c r="E119" s="77"/>
      <c r="F119"/>
      <c r="G119"/>
      <c r="I119" s="151"/>
      <c r="J119" s="77"/>
      <c r="K119" s="77"/>
      <c r="L119" s="77"/>
      <c r="M119" s="77"/>
      <c r="N119" s="77"/>
    </row>
    <row r="120" spans="2:14">
      <c r="C120"/>
      <c r="D120"/>
      <c r="E120" s="77"/>
      <c r="F120"/>
      <c r="G120"/>
      <c r="I120" s="151"/>
      <c r="J120" s="77"/>
      <c r="K120" s="77"/>
      <c r="L120" s="77"/>
      <c r="M120" s="77"/>
      <c r="N120" s="77"/>
    </row>
    <row r="121" spans="2:14">
      <c r="C121"/>
      <c r="D121"/>
      <c r="E121" s="77"/>
      <c r="F121"/>
      <c r="G121"/>
      <c r="I121" s="151"/>
      <c r="J121" s="77"/>
      <c r="K121" s="77"/>
      <c r="L121" s="77"/>
      <c r="M121" s="77"/>
      <c r="N121" s="77"/>
    </row>
    <row r="122" spans="2:14">
      <c r="C122"/>
      <c r="D122"/>
      <c r="E122" s="77"/>
      <c r="F122"/>
      <c r="G122"/>
      <c r="I122" s="151"/>
      <c r="J122" s="77"/>
      <c r="K122" s="77"/>
      <c r="L122" s="77"/>
      <c r="M122" s="77"/>
      <c r="N122" s="77"/>
    </row>
    <row r="123" spans="2:14">
      <c r="C123"/>
      <c r="D123"/>
      <c r="E123" s="77"/>
      <c r="F123"/>
      <c r="G123"/>
      <c r="I123" s="151"/>
      <c r="J123" s="77"/>
      <c r="K123" s="77"/>
      <c r="L123" s="77"/>
      <c r="M123" s="77"/>
      <c r="N123" s="77"/>
    </row>
    <row r="124" spans="2:14">
      <c r="C124"/>
      <c r="D124"/>
      <c r="E124" s="77"/>
      <c r="F124"/>
      <c r="G124"/>
      <c r="I124" s="151"/>
      <c r="J124" s="77"/>
      <c r="K124" s="77"/>
      <c r="L124" s="77"/>
      <c r="M124" s="77"/>
      <c r="N124" s="77"/>
    </row>
    <row r="125" spans="2:14">
      <c r="I125" s="151"/>
      <c r="J125" s="77"/>
      <c r="K125" s="77"/>
      <c r="L125" s="77"/>
      <c r="M125" s="77"/>
      <c r="N125" s="77"/>
    </row>
    <row r="126" spans="2:14">
      <c r="B126" s="54" t="s">
        <v>1248</v>
      </c>
      <c r="I126" s="151"/>
      <c r="J126" s="77"/>
      <c r="K126" s="77"/>
      <c r="L126" s="77"/>
      <c r="M126" s="77"/>
      <c r="N126" s="77"/>
    </row>
    <row r="127" spans="2:14">
      <c r="B127" s="36" t="s">
        <v>34</v>
      </c>
      <c r="C127" s="138" t="s">
        <v>1199</v>
      </c>
      <c r="D127" s="138" t="s">
        <v>1200</v>
      </c>
      <c r="E127" s="138" t="s">
        <v>1203</v>
      </c>
      <c r="F127" s="138" t="s">
        <v>1204</v>
      </c>
      <c r="G127" s="138" t="s">
        <v>1208</v>
      </c>
      <c r="I127" s="151"/>
      <c r="J127" s="77"/>
      <c r="K127" s="105"/>
      <c r="L127" s="77"/>
      <c r="M127" s="77"/>
      <c r="N127" s="77"/>
    </row>
    <row r="128" spans="2:14">
      <c r="B128" s="78" t="s">
        <v>349</v>
      </c>
      <c r="C128" s="152">
        <v>1.1805555555555541E-2</v>
      </c>
      <c r="D128" s="153">
        <v>3.4722222222222376E-3</v>
      </c>
      <c r="E128" s="152">
        <v>4.1666666666666519E-3</v>
      </c>
      <c r="F128" s="152">
        <v>1.1111111111111183E-2</v>
      </c>
      <c r="G128" s="152">
        <v>1.1805555555555569E-2</v>
      </c>
      <c r="I128" s="151"/>
      <c r="J128" s="77"/>
      <c r="K128" s="106"/>
      <c r="L128" s="77"/>
      <c r="M128" s="77"/>
      <c r="N128" s="77"/>
    </row>
    <row r="129" spans="2:14">
      <c r="B129" s="78"/>
      <c r="I129" s="151"/>
      <c r="J129" s="77"/>
      <c r="K129" s="105"/>
      <c r="L129" s="77"/>
      <c r="M129" s="77"/>
      <c r="N129" s="77"/>
    </row>
    <row r="130" spans="2:14">
      <c r="B130" s="78"/>
      <c r="C130" s="55" t="s">
        <v>34</v>
      </c>
      <c r="I130" s="151"/>
      <c r="J130" s="77"/>
      <c r="K130" s="106"/>
      <c r="L130" s="77"/>
      <c r="M130" s="77"/>
      <c r="N130" s="77"/>
    </row>
    <row r="131" spans="2:14">
      <c r="B131" s="77"/>
      <c r="I131" s="151"/>
      <c r="J131" s="77"/>
      <c r="K131" s="77"/>
      <c r="L131" s="96"/>
      <c r="M131" s="77"/>
      <c r="N131" s="77"/>
    </row>
    <row r="132" spans="2:14">
      <c r="B132" s="77"/>
      <c r="I132" s="151"/>
      <c r="J132" s="77"/>
      <c r="K132" s="96"/>
      <c r="L132" s="96"/>
      <c r="M132" s="77"/>
      <c r="N132" s="77"/>
    </row>
    <row r="133" spans="2:14">
      <c r="B133" s="77"/>
      <c r="I133" s="151"/>
      <c r="J133" s="77"/>
      <c r="K133" s="77"/>
      <c r="L133" s="77"/>
      <c r="M133" s="77"/>
      <c r="N133" s="77"/>
    </row>
    <row r="134" spans="2:14">
      <c r="B134" s="54" t="s">
        <v>1249</v>
      </c>
      <c r="I134" s="151"/>
      <c r="J134" s="77"/>
      <c r="K134" s="106"/>
      <c r="L134" s="77"/>
      <c r="M134" s="77"/>
      <c r="N134" s="77"/>
    </row>
    <row r="135" spans="2:14">
      <c r="B135" t="s">
        <v>34</v>
      </c>
      <c r="C135" s="113" t="s">
        <v>1199</v>
      </c>
      <c r="I135" s="151"/>
      <c r="J135" s="77"/>
      <c r="K135" s="106"/>
      <c r="L135" s="77"/>
      <c r="M135" s="77"/>
      <c r="N135" s="77"/>
    </row>
    <row r="136" spans="2:14">
      <c r="B136" t="s">
        <v>78</v>
      </c>
      <c r="C136" s="113">
        <v>5.5555555555555913E-3</v>
      </c>
      <c r="I136" s="151"/>
      <c r="J136" s="77"/>
      <c r="K136" s="106"/>
      <c r="L136" s="77"/>
      <c r="M136" s="77"/>
      <c r="N136" s="77"/>
    </row>
    <row r="137" spans="2:14">
      <c r="B137" t="s">
        <v>1250</v>
      </c>
      <c r="C137" s="113">
        <v>4.1666666666666796E-3</v>
      </c>
      <c r="I137" s="151"/>
      <c r="J137" s="77"/>
      <c r="K137" s="106"/>
      <c r="L137" s="77"/>
      <c r="M137" s="77"/>
      <c r="N137" s="77"/>
    </row>
    <row r="138" spans="2:14">
      <c r="B138" t="s">
        <v>1251</v>
      </c>
      <c r="C138" s="113">
        <v>1.388888888888884E-3</v>
      </c>
      <c r="I138" s="151"/>
      <c r="J138" s="77"/>
      <c r="K138" s="69"/>
      <c r="L138" s="77"/>
      <c r="M138" s="96"/>
      <c r="N138" s="77"/>
    </row>
    <row r="139" spans="2:14">
      <c r="B139" s="78" t="s">
        <v>51</v>
      </c>
      <c r="C139" s="114">
        <f>SUM(C136:C138)</f>
        <v>1.1111111111111155E-2</v>
      </c>
      <c r="I139" s="151"/>
      <c r="J139" s="77" t="s">
        <v>1827</v>
      </c>
      <c r="K139" s="77"/>
      <c r="L139" s="77"/>
      <c r="M139" s="77"/>
      <c r="N139" s="77"/>
    </row>
    <row r="140" spans="2:14">
      <c r="J140" t="s">
        <v>1828</v>
      </c>
    </row>
    <row r="142" spans="2:14">
      <c r="B142" s="54" t="s">
        <v>1253</v>
      </c>
    </row>
    <row r="143" spans="2:14">
      <c r="B143" t="s">
        <v>34</v>
      </c>
      <c r="C143" s="142" t="s">
        <v>109</v>
      </c>
    </row>
    <row r="144" spans="2:14">
      <c r="B144" t="s">
        <v>1254</v>
      </c>
      <c r="C144" s="113">
        <v>2.0833333333333332E-2</v>
      </c>
    </row>
    <row r="145" spans="2:7">
      <c r="B145" t="s">
        <v>1255</v>
      </c>
      <c r="C145" s="113">
        <v>1.2499999999999999E-2</v>
      </c>
    </row>
    <row r="152" spans="2:7">
      <c r="B152" s="54" t="s">
        <v>1259</v>
      </c>
      <c r="G152" s="55" t="s">
        <v>34</v>
      </c>
    </row>
    <row r="154" spans="2:7">
      <c r="B154" t="s">
        <v>34</v>
      </c>
      <c r="C154" s="225" t="s">
        <v>1463</v>
      </c>
      <c r="D154" s="225" t="s">
        <v>1464</v>
      </c>
    </row>
    <row r="155" spans="2:7">
      <c r="B155" t="s">
        <v>392</v>
      </c>
      <c r="C155" s="60">
        <v>3.4722222222222654E-3</v>
      </c>
      <c r="D155" s="60">
        <v>2.0833333333333814E-3</v>
      </c>
    </row>
    <row r="156" spans="2:7" ht="31.5">
      <c r="B156" s="70" t="s">
        <v>1258</v>
      </c>
      <c r="C156" s="60">
        <v>4.5138888888888895E-2</v>
      </c>
      <c r="D156" s="60">
        <v>3.0555555555555558E-2</v>
      </c>
      <c r="G156" s="55" t="s">
        <v>34</v>
      </c>
    </row>
    <row r="157" spans="2:7">
      <c r="B157" t="s">
        <v>1257</v>
      </c>
      <c r="C157" s="113"/>
      <c r="D157" s="113"/>
    </row>
    <row r="165" spans="2:6">
      <c r="B165" s="54" t="s">
        <v>1268</v>
      </c>
    </row>
    <row r="166" spans="2:6">
      <c r="B166" s="144" t="s">
        <v>1260</v>
      </c>
      <c r="C166" s="145">
        <v>3.0555555555555555E-2</v>
      </c>
      <c r="D166" s="146">
        <v>2.916666666666673E-2</v>
      </c>
      <c r="E166" s="138"/>
    </row>
    <row r="167" spans="2:6">
      <c r="B167" s="147" t="s">
        <v>1261</v>
      </c>
      <c r="C167" s="148">
        <v>7.6388888888888895E-3</v>
      </c>
      <c r="D167" s="149">
        <v>7.6388888888888886E-3</v>
      </c>
      <c r="E167" s="138"/>
    </row>
    <row r="170" spans="2:6">
      <c r="B170" t="s">
        <v>34</v>
      </c>
      <c r="C170"/>
      <c r="D170" t="s">
        <v>34</v>
      </c>
    </row>
    <row r="171" spans="2:6">
      <c r="B171" t="s">
        <v>34</v>
      </c>
      <c r="C171" s="55" t="s">
        <v>1228</v>
      </c>
      <c r="D171" s="55" t="s">
        <v>1225</v>
      </c>
      <c r="E171" s="55" t="s">
        <v>1226</v>
      </c>
      <c r="F171" s="55" t="s">
        <v>1227</v>
      </c>
    </row>
    <row r="172" spans="2:6">
      <c r="B172" t="s">
        <v>1221</v>
      </c>
      <c r="C172" s="113">
        <v>1.6666666666666718E-2</v>
      </c>
      <c r="D172" s="113">
        <v>2.4305555555555525E-2</v>
      </c>
      <c r="E172" s="113">
        <v>2.0833333333333287E-2</v>
      </c>
    </row>
    <row r="173" spans="2:6">
      <c r="B173" t="s">
        <v>1223</v>
      </c>
      <c r="C173" s="113">
        <v>3.4722222222222182E-2</v>
      </c>
      <c r="E173" s="113">
        <v>3.472222222222221E-2</v>
      </c>
      <c r="F173" s="55" t="s">
        <v>34</v>
      </c>
    </row>
    <row r="174" spans="2:6">
      <c r="B174" s="118" t="s">
        <v>1224</v>
      </c>
      <c r="F174" s="113">
        <v>1.4583333333333365E-2</v>
      </c>
    </row>
    <row r="177" spans="1:6">
      <c r="B177" t="s">
        <v>1829</v>
      </c>
      <c r="C177" s="55" t="s">
        <v>1198</v>
      </c>
      <c r="D177" s="55" t="s">
        <v>1737</v>
      </c>
      <c r="E177" s="55" t="s">
        <v>1226</v>
      </c>
      <c r="F177" s="55" t="s">
        <v>1227</v>
      </c>
    </row>
    <row r="178" spans="1:6">
      <c r="A178" t="s">
        <v>1833</v>
      </c>
      <c r="B178" t="s">
        <v>1830</v>
      </c>
      <c r="C178" s="728">
        <v>9.7222222222222224E-3</v>
      </c>
      <c r="D178" s="113">
        <v>9.7222222222222224E-3</v>
      </c>
    </row>
    <row r="179" spans="1:6">
      <c r="B179" t="s">
        <v>1831</v>
      </c>
      <c r="C179" s="113">
        <v>1.1111111111111112E-2</v>
      </c>
      <c r="D179" s="113">
        <v>3.2638888888888891E-2</v>
      </c>
      <c r="E179" s="113"/>
      <c r="F179" s="55" t="s">
        <v>34</v>
      </c>
    </row>
    <row r="180" spans="1:6">
      <c r="A180" t="s">
        <v>1832</v>
      </c>
      <c r="B180" s="724" t="s">
        <v>1831</v>
      </c>
      <c r="C180" s="725">
        <v>1.0416666666666666E-2</v>
      </c>
      <c r="D180" s="729">
        <v>2.7777777777777776E-2</v>
      </c>
      <c r="F180" s="113"/>
    </row>
    <row r="198" spans="2:4">
      <c r="B198" t="s">
        <v>1832</v>
      </c>
    </row>
    <row r="199" spans="2:4">
      <c r="B199" s="722" t="s">
        <v>1829</v>
      </c>
      <c r="C199" s="723" t="s">
        <v>1228</v>
      </c>
    </row>
    <row r="200" spans="2:4">
      <c r="B200" s="724" t="s">
        <v>1221</v>
      </c>
      <c r="C200" s="725">
        <v>1.6666666666666718E-2</v>
      </c>
    </row>
    <row r="201" spans="2:4">
      <c r="B201" s="724" t="s">
        <v>1223</v>
      </c>
      <c r="C201" s="725">
        <v>3.4722222222222182E-2</v>
      </c>
    </row>
    <row r="202" spans="2:4">
      <c r="B202" s="726" t="s">
        <v>1224</v>
      </c>
      <c r="C202" s="727"/>
    </row>
    <row r="205" spans="2:4">
      <c r="B205" t="s">
        <v>1829</v>
      </c>
      <c r="C205" s="55" t="s">
        <v>1198</v>
      </c>
      <c r="D205" s="55" t="s">
        <v>1737</v>
      </c>
    </row>
    <row r="206" spans="2:4">
      <c r="B206" t="s">
        <v>1830</v>
      </c>
      <c r="C206" s="728">
        <v>9.7222222222222224E-3</v>
      </c>
      <c r="D206" s="113">
        <v>9.7222222222222224E-3</v>
      </c>
    </row>
    <row r="207" spans="2:4">
      <c r="B207" t="s">
        <v>1831</v>
      </c>
      <c r="C207" s="113">
        <v>1.1111111111111112E-2</v>
      </c>
      <c r="D207" s="113">
        <v>30</v>
      </c>
    </row>
  </sheetData>
  <pageMargins left="0.7" right="0.7" top="0.75" bottom="0.75" header="0.3" footer="0.3"/>
  <pageSetup orientation="portrait"/>
  <ignoredErrors>
    <ignoredError sqref="H72:J72" calculatedColumn="1"/>
  </ignoredErrors>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499984740745262"/>
  </sheetPr>
  <dimension ref="A1:T340"/>
  <sheetViews>
    <sheetView workbookViewId="0">
      <selection activeCell="F74" sqref="F74"/>
    </sheetView>
  </sheetViews>
  <sheetFormatPr baseColWidth="10" defaultColWidth="11" defaultRowHeight="15" x14ac:dyDescent="0"/>
  <cols>
    <col min="2" max="2" width="45.6640625" bestFit="1" customWidth="1"/>
    <col min="7" max="7" width="12.1640625" customWidth="1"/>
    <col min="9" max="9" width="4.1640625" customWidth="1"/>
    <col min="10" max="10" width="11" customWidth="1"/>
    <col min="13" max="13" width="24.5" customWidth="1"/>
  </cols>
  <sheetData>
    <row r="1" spans="1:12">
      <c r="A1" s="85">
        <v>41596</v>
      </c>
      <c r="B1" t="s">
        <v>1078</v>
      </c>
      <c r="G1" s="87" t="s">
        <v>1067</v>
      </c>
      <c r="H1" s="87"/>
      <c r="I1" s="87"/>
      <c r="L1" s="54" t="s">
        <v>229</v>
      </c>
    </row>
    <row r="2" spans="1:12">
      <c r="A2" s="54" t="s">
        <v>174</v>
      </c>
      <c r="B2" s="54" t="s">
        <v>176</v>
      </c>
      <c r="D2" t="s">
        <v>1079</v>
      </c>
      <c r="L2" t="s">
        <v>230</v>
      </c>
    </row>
    <row r="3" spans="1:12">
      <c r="A3" s="60">
        <v>0.14166666666666666</v>
      </c>
      <c r="B3" t="s">
        <v>1080</v>
      </c>
      <c r="H3" s="60">
        <f>A4-A3</f>
        <v>2.7777777777777957E-3</v>
      </c>
      <c r="I3" t="s">
        <v>1142</v>
      </c>
      <c r="L3" t="s">
        <v>296</v>
      </c>
    </row>
    <row r="4" spans="1:12">
      <c r="A4" s="60">
        <v>0.14444444444444446</v>
      </c>
      <c r="B4" t="s">
        <v>917</v>
      </c>
      <c r="F4" t="s">
        <v>224</v>
      </c>
      <c r="H4" s="60">
        <f>A6-A5</f>
        <v>4.8611111111110938E-3</v>
      </c>
      <c r="I4" t="s">
        <v>992</v>
      </c>
      <c r="L4" t="s">
        <v>419</v>
      </c>
    </row>
    <row r="5" spans="1:12">
      <c r="A5" s="60">
        <v>0.14444444444444446</v>
      </c>
      <c r="B5" t="s">
        <v>1081</v>
      </c>
      <c r="F5" s="60">
        <f>A8-A3</f>
        <v>8.3333333333333315E-3</v>
      </c>
      <c r="G5" t="s">
        <v>34</v>
      </c>
      <c r="H5" s="60">
        <f>A8-A7</f>
        <v>6.9444444444444198E-4</v>
      </c>
      <c r="I5" t="s">
        <v>1153</v>
      </c>
      <c r="L5" t="s">
        <v>420</v>
      </c>
    </row>
    <row r="6" spans="1:12">
      <c r="A6" s="60">
        <v>0.14930555555555555</v>
      </c>
      <c r="B6" t="s">
        <v>1082</v>
      </c>
      <c r="G6" t="s">
        <v>34</v>
      </c>
      <c r="L6" t="s">
        <v>421</v>
      </c>
    </row>
    <row r="7" spans="1:12">
      <c r="A7" s="60">
        <v>0.14930555555555555</v>
      </c>
      <c r="B7" t="s">
        <v>1083</v>
      </c>
    </row>
    <row r="8" spans="1:12">
      <c r="A8" s="60">
        <v>0.15</v>
      </c>
      <c r="B8" t="s">
        <v>385</v>
      </c>
    </row>
    <row r="17" spans="1:14">
      <c r="A17" s="85">
        <v>41596</v>
      </c>
      <c r="C17" t="s">
        <v>76</v>
      </c>
      <c r="E17" t="s">
        <v>208</v>
      </c>
      <c r="G17" t="s">
        <v>1199</v>
      </c>
      <c r="M17" t="s">
        <v>1197</v>
      </c>
    </row>
    <row r="18" spans="1:14">
      <c r="A18" s="54" t="s">
        <v>174</v>
      </c>
      <c r="B18" s="54"/>
      <c r="C18" s="54"/>
      <c r="D18" s="54"/>
      <c r="E18" s="54"/>
      <c r="F18" s="54"/>
      <c r="G18" s="67" t="s">
        <v>311</v>
      </c>
    </row>
    <row r="19" spans="1:14">
      <c r="A19" s="60">
        <v>0.15208333333333332</v>
      </c>
      <c r="B19" t="s">
        <v>209</v>
      </c>
    </row>
    <row r="20" spans="1:14">
      <c r="A20" s="60">
        <v>0.15416666666666667</v>
      </c>
      <c r="B20" t="s">
        <v>210</v>
      </c>
      <c r="M20" t="s">
        <v>1198</v>
      </c>
    </row>
    <row r="21" spans="1:14">
      <c r="A21" s="60">
        <v>0.15763888888888888</v>
      </c>
      <c r="B21" t="s">
        <v>211</v>
      </c>
      <c r="G21" t="s">
        <v>224</v>
      </c>
      <c r="M21" t="s">
        <v>1029</v>
      </c>
      <c r="N21" s="60">
        <f>H22</f>
        <v>2.0833333333333537E-3</v>
      </c>
    </row>
    <row r="22" spans="1:14">
      <c r="A22" s="60">
        <v>0.15763888888888888</v>
      </c>
      <c r="B22" t="s">
        <v>212</v>
      </c>
      <c r="G22" s="60">
        <f>A32-A19</f>
        <v>1.8749999999999989E-2</v>
      </c>
      <c r="H22" s="60">
        <f>A20-A19</f>
        <v>2.0833333333333537E-3</v>
      </c>
      <c r="I22" t="s">
        <v>1029</v>
      </c>
      <c r="M22" t="s">
        <v>300</v>
      </c>
      <c r="N22" s="60">
        <f t="shared" ref="N22:N27" si="0">H23</f>
        <v>3.4722222222222099E-3</v>
      </c>
    </row>
    <row r="23" spans="1:14">
      <c r="A23" s="60">
        <v>0.15972222222222224</v>
      </c>
      <c r="B23" t="s">
        <v>213</v>
      </c>
      <c r="E23" t="s">
        <v>1212</v>
      </c>
      <c r="H23" s="60">
        <f>A21-A20</f>
        <v>3.4722222222222099E-3</v>
      </c>
      <c r="I23" t="s">
        <v>300</v>
      </c>
      <c r="M23" t="s">
        <v>372</v>
      </c>
      <c r="N23" s="60">
        <f t="shared" si="0"/>
        <v>2.0833333333333537E-3</v>
      </c>
    </row>
    <row r="24" spans="1:14">
      <c r="A24" s="60">
        <v>0.16041666666666668</v>
      </c>
      <c r="B24" t="s">
        <v>215</v>
      </c>
      <c r="E24" s="60">
        <f>A28-A27</f>
        <v>1.388888888888884E-3</v>
      </c>
      <c r="F24" t="s">
        <v>1155</v>
      </c>
      <c r="H24" s="60">
        <f>A23-A22</f>
        <v>2.0833333333333537E-3</v>
      </c>
      <c r="I24" t="s">
        <v>372</v>
      </c>
      <c r="M24" t="s">
        <v>1093</v>
      </c>
      <c r="N24" s="60">
        <f t="shared" si="0"/>
        <v>1.388888888888884E-3</v>
      </c>
    </row>
    <row r="25" spans="1:14">
      <c r="A25" s="60">
        <v>0.16111111111111112</v>
      </c>
      <c r="B25" t="s">
        <v>217</v>
      </c>
      <c r="F25" t="s">
        <v>1156</v>
      </c>
      <c r="H25" s="60">
        <f>A25-A23</f>
        <v>1.388888888888884E-3</v>
      </c>
      <c r="I25" t="s">
        <v>1093</v>
      </c>
      <c r="L25" t="s">
        <v>1158</v>
      </c>
      <c r="M25" t="s">
        <v>1154</v>
      </c>
      <c r="N25" s="60">
        <f t="shared" si="0"/>
        <v>6.9444444444444198E-3</v>
      </c>
    </row>
    <row r="26" spans="1:14">
      <c r="A26" s="60">
        <v>0.16319444444444445</v>
      </c>
      <c r="B26" t="s">
        <v>218</v>
      </c>
      <c r="H26" s="60">
        <f>A30-A25</f>
        <v>6.9444444444444198E-3</v>
      </c>
      <c r="I26" t="s">
        <v>1154</v>
      </c>
      <c r="M26" t="s">
        <v>288</v>
      </c>
      <c r="N26" s="60">
        <f t="shared" si="0"/>
        <v>2.0833333333333259E-3</v>
      </c>
    </row>
    <row r="27" spans="1:14">
      <c r="A27" s="60">
        <v>0.16527777777777777</v>
      </c>
      <c r="B27" t="s">
        <v>219</v>
      </c>
      <c r="H27" s="60">
        <f>A31-A30</f>
        <v>2.0833333333333259E-3</v>
      </c>
      <c r="I27" t="s">
        <v>288</v>
      </c>
      <c r="M27" t="s">
        <v>1157</v>
      </c>
      <c r="N27" s="60">
        <f t="shared" si="0"/>
        <v>6.9444444444444198E-4</v>
      </c>
    </row>
    <row r="28" spans="1:14">
      <c r="A28" s="60">
        <v>0.16666666666666666</v>
      </c>
      <c r="B28" t="s">
        <v>79</v>
      </c>
      <c r="H28" s="60">
        <f>A32-A31</f>
        <v>6.9444444444444198E-4</v>
      </c>
      <c r="I28" t="s">
        <v>1157</v>
      </c>
      <c r="M28" t="s">
        <v>51</v>
      </c>
      <c r="N28" s="60">
        <f>SUM(N21:N27)</f>
        <v>1.8749999999999989E-2</v>
      </c>
    </row>
    <row r="29" spans="1:14">
      <c r="A29" s="60">
        <v>0.16805555555555554</v>
      </c>
      <c r="B29" t="s">
        <v>220</v>
      </c>
    </row>
    <row r="30" spans="1:14">
      <c r="A30" s="60">
        <v>0.16805555555555554</v>
      </c>
      <c r="B30" t="s">
        <v>221</v>
      </c>
    </row>
    <row r="31" spans="1:14">
      <c r="A31" s="60">
        <v>0.17013888888888887</v>
      </c>
      <c r="B31" t="s">
        <v>222</v>
      </c>
    </row>
    <row r="32" spans="1:14">
      <c r="A32" s="60">
        <v>0.17083333333333331</v>
      </c>
      <c r="B32" t="s">
        <v>223</v>
      </c>
    </row>
    <row r="33" spans="1:15">
      <c r="M33" s="107"/>
      <c r="N33" s="107"/>
      <c r="O33" s="107"/>
    </row>
    <row r="34" spans="1:15">
      <c r="G34" t="s">
        <v>1199</v>
      </c>
      <c r="M34" s="107"/>
      <c r="N34" s="107"/>
      <c r="O34" s="107"/>
    </row>
    <row r="35" spans="1:15">
      <c r="E35" t="s">
        <v>225</v>
      </c>
      <c r="G35" s="65" t="s">
        <v>238</v>
      </c>
      <c r="H35" s="66"/>
      <c r="I35" s="66"/>
      <c r="M35" s="109" t="s">
        <v>1216</v>
      </c>
      <c r="N35" s="107" t="s">
        <v>1199</v>
      </c>
      <c r="O35" s="107"/>
    </row>
    <row r="36" spans="1:15">
      <c r="A36" s="60">
        <v>0.21319444444444444</v>
      </c>
      <c r="B36" t="s">
        <v>283</v>
      </c>
      <c r="L36" t="s">
        <v>34</v>
      </c>
      <c r="M36" s="107" t="s">
        <v>1029</v>
      </c>
      <c r="N36" s="110">
        <f>H37</f>
        <v>1.3888888888888978E-3</v>
      </c>
      <c r="O36" s="107"/>
    </row>
    <row r="37" spans="1:15">
      <c r="A37" s="60">
        <v>0.21597222222222223</v>
      </c>
      <c r="B37" t="s">
        <v>284</v>
      </c>
      <c r="E37" s="60">
        <f>A37-A36</f>
        <v>2.7777777777777957E-3</v>
      </c>
      <c r="H37" s="60">
        <f>E37/2</f>
        <v>1.3888888888888978E-3</v>
      </c>
      <c r="I37" t="s">
        <v>1029</v>
      </c>
      <c r="M37" s="107" t="s">
        <v>300</v>
      </c>
      <c r="N37" s="110">
        <f>H38</f>
        <v>1.3888888888888978E-3</v>
      </c>
      <c r="O37" s="107"/>
    </row>
    <row r="38" spans="1:15">
      <c r="A38" s="60">
        <v>0.21875</v>
      </c>
      <c r="B38" t="s">
        <v>285</v>
      </c>
      <c r="G38" t="s">
        <v>224</v>
      </c>
      <c r="H38" s="60">
        <f>E37/2</f>
        <v>1.3888888888888978E-3</v>
      </c>
      <c r="I38" t="s">
        <v>300</v>
      </c>
      <c r="M38" s="107" t="s">
        <v>1159</v>
      </c>
      <c r="N38" s="110">
        <f>H39</f>
        <v>2.7777777777777679E-3</v>
      </c>
      <c r="O38" s="107"/>
    </row>
    <row r="39" spans="1:15">
      <c r="A39" s="60">
        <v>0.22083333333333333</v>
      </c>
      <c r="B39" t="s">
        <v>216</v>
      </c>
      <c r="G39" s="60">
        <f>A49-A36</f>
        <v>2.9166666666666674E-2</v>
      </c>
      <c r="H39" s="60">
        <f>A38-A37</f>
        <v>2.7777777777777679E-3</v>
      </c>
      <c r="I39" t="s">
        <v>1159</v>
      </c>
      <c r="M39" s="107" t="s">
        <v>372</v>
      </c>
      <c r="N39" s="110">
        <f>H40</f>
        <v>2.0833333333333259E-3</v>
      </c>
      <c r="O39" s="107"/>
    </row>
    <row r="40" spans="1:15">
      <c r="A40" s="60">
        <v>0.22222222222222221</v>
      </c>
      <c r="B40" t="s">
        <v>286</v>
      </c>
      <c r="H40" s="60">
        <f>A39-A38</f>
        <v>2.0833333333333259E-3</v>
      </c>
      <c r="I40" t="s">
        <v>372</v>
      </c>
      <c r="M40" s="107" t="s">
        <v>1154</v>
      </c>
      <c r="N40" s="110">
        <f>H41</f>
        <v>4.1666666666666796E-3</v>
      </c>
      <c r="O40" s="107"/>
    </row>
    <row r="41" spans="1:15">
      <c r="A41" s="60">
        <v>0.22500000000000001</v>
      </c>
      <c r="B41" t="s">
        <v>287</v>
      </c>
      <c r="H41" s="60">
        <f>A41-A39</f>
        <v>4.1666666666666796E-3</v>
      </c>
      <c r="I41" t="s">
        <v>1154</v>
      </c>
      <c r="M41" s="107" t="s">
        <v>288</v>
      </c>
      <c r="N41" s="110">
        <f>H42+H43</f>
        <v>4.1666666666666519E-3</v>
      </c>
      <c r="O41" s="107"/>
    </row>
    <row r="42" spans="1:15">
      <c r="A42" s="60">
        <v>0.22500000000000001</v>
      </c>
      <c r="B42" t="s">
        <v>288</v>
      </c>
      <c r="H42" s="60">
        <f>A43-A42</f>
        <v>2.0833333333333259E-3</v>
      </c>
      <c r="I42" t="s">
        <v>288</v>
      </c>
      <c r="M42" s="107" t="s">
        <v>1160</v>
      </c>
      <c r="N42" s="110">
        <f>H44</f>
        <v>2.0833333333333259E-3</v>
      </c>
      <c r="O42" s="107"/>
    </row>
    <row r="43" spans="1:15">
      <c r="A43" s="60">
        <v>0.22708333333333333</v>
      </c>
      <c r="B43" t="s">
        <v>289</v>
      </c>
      <c r="H43" s="60">
        <f>A44-A43</f>
        <v>2.0833333333333259E-3</v>
      </c>
      <c r="I43" t="s">
        <v>507</v>
      </c>
      <c r="M43" s="107" t="s">
        <v>1161</v>
      </c>
      <c r="N43" s="110">
        <f>H45</f>
        <v>4.8611111111111494E-3</v>
      </c>
      <c r="O43" s="107"/>
    </row>
    <row r="44" spans="1:15">
      <c r="A44" s="60">
        <v>0.22916666666666666</v>
      </c>
      <c r="B44" t="s">
        <v>290</v>
      </c>
      <c r="H44" s="60">
        <f>A45-A44</f>
        <v>2.0833333333333259E-3</v>
      </c>
      <c r="I44" t="s">
        <v>1160</v>
      </c>
      <c r="M44" s="107" t="s">
        <v>1215</v>
      </c>
      <c r="N44" s="110">
        <f>H47</f>
        <v>5.5555555555555358E-3</v>
      </c>
      <c r="O44" s="107"/>
    </row>
    <row r="45" spans="1:15">
      <c r="A45" s="60">
        <v>0.23124999999999998</v>
      </c>
      <c r="B45" t="s">
        <v>291</v>
      </c>
      <c r="H45" s="60">
        <f>A46-A45</f>
        <v>4.8611111111111494E-3</v>
      </c>
      <c r="I45" t="s">
        <v>1161</v>
      </c>
      <c r="M45" s="107"/>
      <c r="N45" s="107"/>
      <c r="O45" s="107"/>
    </row>
    <row r="46" spans="1:15">
      <c r="A46" s="60">
        <v>0.23611111111111113</v>
      </c>
      <c r="B46" t="s">
        <v>292</v>
      </c>
      <c r="H46" s="60">
        <f>A47-A46</f>
        <v>6.9444444444444198E-4</v>
      </c>
      <c r="I46" t="s">
        <v>1153</v>
      </c>
      <c r="M46" s="107"/>
      <c r="N46" s="107"/>
      <c r="O46" s="107"/>
    </row>
    <row r="47" spans="1:15">
      <c r="A47" s="60">
        <v>0.23680555555555557</v>
      </c>
      <c r="B47" t="s">
        <v>293</v>
      </c>
      <c r="E47" t="s">
        <v>34</v>
      </c>
      <c r="H47" s="60">
        <f>A49-A48</f>
        <v>5.5555555555555358E-3</v>
      </c>
      <c r="I47" t="s">
        <v>1215</v>
      </c>
    </row>
    <row r="48" spans="1:15">
      <c r="A48" s="60">
        <v>0.23680555555555557</v>
      </c>
      <c r="B48" t="s">
        <v>294</v>
      </c>
    </row>
    <row r="49" spans="1:15">
      <c r="A49" s="60">
        <v>0.24236111111111111</v>
      </c>
      <c r="B49" t="s">
        <v>295</v>
      </c>
    </row>
    <row r="50" spans="1:15">
      <c r="G50" t="s">
        <v>1200</v>
      </c>
    </row>
    <row r="51" spans="1:15">
      <c r="E51" t="s">
        <v>225</v>
      </c>
      <c r="G51" s="65" t="s">
        <v>238</v>
      </c>
      <c r="H51" s="66"/>
      <c r="I51" s="66"/>
      <c r="M51" s="54" t="s">
        <v>1216</v>
      </c>
      <c r="N51" t="s">
        <v>1199</v>
      </c>
      <c r="O51" t="s">
        <v>1200</v>
      </c>
    </row>
    <row r="52" spans="1:15">
      <c r="A52" s="60">
        <v>0.24513888888888888</v>
      </c>
      <c r="B52" t="s">
        <v>297</v>
      </c>
      <c r="M52" t="s">
        <v>1029</v>
      </c>
      <c r="N52" s="60">
        <v>1.3888888888888978E-3</v>
      </c>
      <c r="O52" s="60">
        <f>H54</f>
        <v>6.9444444444444198E-4</v>
      </c>
    </row>
    <row r="53" spans="1:15">
      <c r="A53" s="60">
        <v>0.24791666666666667</v>
      </c>
      <c r="B53" t="s">
        <v>298</v>
      </c>
      <c r="H53" s="60">
        <f>A53-A52</f>
        <v>2.7777777777777957E-3</v>
      </c>
      <c r="I53" t="s">
        <v>1162</v>
      </c>
      <c r="M53" t="s">
        <v>300</v>
      </c>
      <c r="N53" s="60">
        <v>1.3888888888888978E-3</v>
      </c>
      <c r="O53" s="60">
        <f>H56</f>
        <v>1.388888888888884E-3</v>
      </c>
    </row>
    <row r="54" spans="1:15">
      <c r="A54" s="60">
        <v>0.24861111111111112</v>
      </c>
      <c r="B54" t="s">
        <v>299</v>
      </c>
      <c r="H54" s="60">
        <f>A54-A53</f>
        <v>6.9444444444444198E-4</v>
      </c>
      <c r="I54" t="s">
        <v>1029</v>
      </c>
      <c r="M54" t="s">
        <v>1159</v>
      </c>
      <c r="N54" s="60">
        <v>2.7777777777777679E-3</v>
      </c>
      <c r="O54" s="60">
        <f>H57+H53</f>
        <v>4.8611111111111216E-3</v>
      </c>
    </row>
    <row r="55" spans="1:15">
      <c r="A55" s="60">
        <v>0.25</v>
      </c>
      <c r="B55" t="s">
        <v>300</v>
      </c>
      <c r="H55" s="60">
        <f>A55-A54</f>
        <v>1.388888888888884E-3</v>
      </c>
      <c r="I55" t="s">
        <v>372</v>
      </c>
      <c r="M55" t="s">
        <v>372</v>
      </c>
      <c r="N55" s="60">
        <v>2.0833333333333259E-3</v>
      </c>
      <c r="O55" s="60">
        <f>H55</f>
        <v>1.388888888888884E-3</v>
      </c>
    </row>
    <row r="56" spans="1:15">
      <c r="A56" s="60">
        <v>0.25138888888888888</v>
      </c>
      <c r="B56" t="s">
        <v>301</v>
      </c>
      <c r="H56" s="60">
        <f>A56-A55</f>
        <v>1.388888888888884E-3</v>
      </c>
      <c r="I56" t="s">
        <v>300</v>
      </c>
      <c r="M56" t="s">
        <v>1154</v>
      </c>
      <c r="N56" s="60">
        <v>4.1666666666666796E-3</v>
      </c>
      <c r="O56" s="60">
        <f>H58</f>
        <v>7.6388888888889173E-3</v>
      </c>
    </row>
    <row r="57" spans="1:15">
      <c r="A57" s="60">
        <v>0.25347222222222221</v>
      </c>
      <c r="B57" t="s">
        <v>302</v>
      </c>
      <c r="G57" t="s">
        <v>224</v>
      </c>
      <c r="H57" s="60">
        <f>A57-A56</f>
        <v>2.0833333333333259E-3</v>
      </c>
      <c r="I57" t="s">
        <v>1159</v>
      </c>
      <c r="M57" t="s">
        <v>288</v>
      </c>
      <c r="N57" s="60">
        <v>4.1666666666666519E-3</v>
      </c>
      <c r="O57" s="60">
        <f>H61</f>
        <v>2.7777777777777679E-3</v>
      </c>
    </row>
    <row r="58" spans="1:15">
      <c r="A58" s="60">
        <v>0.25555555555555559</v>
      </c>
      <c r="B58" t="s">
        <v>303</v>
      </c>
      <c r="G58" s="60">
        <f>A65-A52</f>
        <v>2.5694444444444436E-2</v>
      </c>
      <c r="H58" s="60">
        <f>A60-A57</f>
        <v>7.6388888888889173E-3</v>
      </c>
      <c r="I58" t="s">
        <v>1154</v>
      </c>
      <c r="M58" t="s">
        <v>1160</v>
      </c>
      <c r="N58" s="60">
        <v>2.0833333333333259E-3</v>
      </c>
      <c r="O58" s="60">
        <f>H59</f>
        <v>6.2499999999999778E-3</v>
      </c>
    </row>
    <row r="59" spans="1:15">
      <c r="A59" s="60">
        <v>0.26041666666666669</v>
      </c>
      <c r="B59" t="s">
        <v>304</v>
      </c>
      <c r="H59" s="60">
        <f>A62-A61</f>
        <v>6.2499999999999778E-3</v>
      </c>
      <c r="I59" t="s">
        <v>1163</v>
      </c>
      <c r="M59" t="s">
        <v>1161</v>
      </c>
      <c r="N59" s="60">
        <v>4.8611111111111494E-3</v>
      </c>
    </row>
    <row r="60" spans="1:15">
      <c r="A60" s="60">
        <v>0.26111111111111113</v>
      </c>
      <c r="B60" t="s">
        <v>305</v>
      </c>
      <c r="H60" s="60">
        <v>6.9444444444444447E-4</v>
      </c>
      <c r="I60" t="s">
        <v>1153</v>
      </c>
      <c r="M60" t="s">
        <v>1215</v>
      </c>
      <c r="N60" s="60">
        <v>5.5555555555555358E-3</v>
      </c>
    </row>
    <row r="61" spans="1:15">
      <c r="A61" s="60">
        <v>0.26111111111111113</v>
      </c>
      <c r="B61" t="s">
        <v>306</v>
      </c>
      <c r="H61" s="60">
        <f>A65-A64</f>
        <v>2.7777777777777679E-3</v>
      </c>
      <c r="I61" t="s">
        <v>288</v>
      </c>
    </row>
    <row r="62" spans="1:15">
      <c r="A62" s="60">
        <v>0.2673611111111111</v>
      </c>
      <c r="B62" t="s">
        <v>307</v>
      </c>
    </row>
    <row r="63" spans="1:15">
      <c r="A63" s="60">
        <v>0.2673611111111111</v>
      </c>
      <c r="B63" t="s">
        <v>1153</v>
      </c>
    </row>
    <row r="64" spans="1:15">
      <c r="A64" s="60">
        <v>0.26805555555555555</v>
      </c>
      <c r="B64" t="s">
        <v>308</v>
      </c>
    </row>
    <row r="65" spans="1:19">
      <c r="A65" s="60">
        <v>0.27083333333333331</v>
      </c>
      <c r="B65" t="s">
        <v>309</v>
      </c>
    </row>
    <row r="66" spans="1:19">
      <c r="A66" s="60">
        <v>0.27083333333333331</v>
      </c>
      <c r="B66" t="s">
        <v>310</v>
      </c>
      <c r="G66" s="54" t="s">
        <v>388</v>
      </c>
      <c r="M66" s="109" t="s">
        <v>1202</v>
      </c>
      <c r="N66" s="107"/>
      <c r="O66" s="107"/>
      <c r="P66" s="107"/>
      <c r="Q66" s="107"/>
    </row>
    <row r="67" spans="1:19">
      <c r="A67" s="60">
        <v>0.27430555555555552</v>
      </c>
      <c r="B67" t="s">
        <v>203</v>
      </c>
      <c r="G67" s="63">
        <f>A68-A66</f>
        <v>1.6666666666666718E-2</v>
      </c>
      <c r="M67" s="107"/>
      <c r="N67" s="107"/>
      <c r="O67" s="107"/>
      <c r="P67" s="107"/>
      <c r="Q67" s="107"/>
    </row>
    <row r="68" spans="1:19">
      <c r="A68" s="60">
        <v>0.28750000000000003</v>
      </c>
      <c r="B68" t="s">
        <v>206</v>
      </c>
      <c r="K68" t="s">
        <v>34</v>
      </c>
      <c r="M68" s="109" t="s">
        <v>1198</v>
      </c>
      <c r="N68" s="107" t="s">
        <v>1199</v>
      </c>
      <c r="O68" s="107" t="s">
        <v>1200</v>
      </c>
      <c r="P68" s="107"/>
      <c r="Q68" s="107"/>
    </row>
    <row r="69" spans="1:19">
      <c r="A69" s="64">
        <v>41962</v>
      </c>
      <c r="G69" t="s">
        <v>1200</v>
      </c>
      <c r="M69" s="107" t="s">
        <v>1029</v>
      </c>
      <c r="N69" s="110">
        <v>2.0833333333333537E-3</v>
      </c>
      <c r="O69" s="110">
        <f>H71</f>
        <v>2.0833333333333537E-3</v>
      </c>
      <c r="P69" s="107"/>
      <c r="Q69" s="107"/>
    </row>
    <row r="70" spans="1:19">
      <c r="E70" t="s">
        <v>370</v>
      </c>
      <c r="G70" s="67" t="s">
        <v>311</v>
      </c>
      <c r="M70" s="107" t="s">
        <v>300</v>
      </c>
      <c r="N70" s="110">
        <v>3.4722222222222099E-3</v>
      </c>
      <c r="O70" s="110">
        <f>H74</f>
        <v>2.0833333333333259E-3</v>
      </c>
      <c r="P70" s="107"/>
      <c r="Q70" s="107"/>
    </row>
    <row r="71" spans="1:19">
      <c r="A71" s="60">
        <v>0.22222222222222221</v>
      </c>
      <c r="B71" t="s">
        <v>371</v>
      </c>
      <c r="H71" s="60">
        <f>A72-A71</f>
        <v>2.0833333333333537E-3</v>
      </c>
      <c r="I71" t="s">
        <v>1029</v>
      </c>
      <c r="M71" s="107" t="s">
        <v>372</v>
      </c>
      <c r="N71" s="110">
        <v>2.0833333333333537E-3</v>
      </c>
      <c r="O71" s="110">
        <f>H72</f>
        <v>4.1666666666666519E-3</v>
      </c>
      <c r="P71" s="107"/>
      <c r="Q71" s="107"/>
    </row>
    <row r="72" spans="1:19">
      <c r="A72" s="60">
        <v>0.22430555555555556</v>
      </c>
      <c r="B72" t="s">
        <v>372</v>
      </c>
      <c r="H72" s="60">
        <f>A74-A72</f>
        <v>4.1666666666666519E-3</v>
      </c>
      <c r="I72" t="s">
        <v>372</v>
      </c>
      <c r="M72" s="107" t="s">
        <v>1201</v>
      </c>
      <c r="N72" s="110">
        <v>1.388888888888884E-3</v>
      </c>
      <c r="O72" s="110">
        <f>H73+H78</f>
        <v>4.8611111111110938E-3</v>
      </c>
      <c r="P72" s="107"/>
      <c r="Q72" s="107"/>
    </row>
    <row r="73" spans="1:19">
      <c r="A73" s="60">
        <v>0.22638888888888889</v>
      </c>
      <c r="B73" t="s">
        <v>373</v>
      </c>
      <c r="H73" s="60">
        <f>A76-A75</f>
        <v>2.0833333333333259E-3</v>
      </c>
      <c r="I73" t="s">
        <v>1164</v>
      </c>
      <c r="M73" s="107" t="s">
        <v>1154</v>
      </c>
      <c r="N73" s="110">
        <v>6.9444444444444198E-3</v>
      </c>
      <c r="O73" s="110">
        <f>H76</f>
        <v>5.5555555555555913E-3</v>
      </c>
      <c r="P73" s="107"/>
      <c r="Q73" s="107"/>
    </row>
    <row r="74" spans="1:19">
      <c r="A74" s="60">
        <v>0.22847222222222222</v>
      </c>
      <c r="B74" t="s">
        <v>374</v>
      </c>
      <c r="G74" t="s">
        <v>224</v>
      </c>
      <c r="H74" s="60">
        <f>A77-A76</f>
        <v>2.0833333333333259E-3</v>
      </c>
      <c r="I74" t="s">
        <v>300</v>
      </c>
      <c r="M74" s="107" t="s">
        <v>288</v>
      </c>
      <c r="N74" s="110">
        <v>2.0833333333333333E-3</v>
      </c>
      <c r="O74" s="110">
        <f>H77</f>
        <v>2.0833333333333259E-3</v>
      </c>
      <c r="P74" s="107"/>
      <c r="Q74" s="107"/>
    </row>
    <row r="75" spans="1:19">
      <c r="A75" s="60">
        <v>0.22847222222222222</v>
      </c>
      <c r="B75" t="s">
        <v>375</v>
      </c>
      <c r="E75" s="60">
        <f>A76-A75</f>
        <v>2.0833333333333259E-3</v>
      </c>
      <c r="G75" s="60">
        <f>A86-A71</f>
        <v>2.1527777777777785E-2</v>
      </c>
      <c r="H75" s="60">
        <f>A79-A78</f>
        <v>6.9444444444444198E-4</v>
      </c>
      <c r="I75" t="s">
        <v>1093</v>
      </c>
      <c r="M75" s="107" t="s">
        <v>1157</v>
      </c>
      <c r="N75" s="110">
        <v>6.9444444444444198E-4</v>
      </c>
      <c r="O75" s="107"/>
      <c r="P75" s="107"/>
      <c r="Q75" s="107"/>
    </row>
    <row r="76" spans="1:19">
      <c r="A76" s="60">
        <v>0.23055555555555554</v>
      </c>
      <c r="B76" t="s">
        <v>376</v>
      </c>
      <c r="H76" s="60">
        <f>A81-A79</f>
        <v>5.5555555555555913E-3</v>
      </c>
      <c r="I76" t="s">
        <v>1091</v>
      </c>
      <c r="M76" s="107" t="s">
        <v>51</v>
      </c>
      <c r="N76" s="110">
        <v>1.8749999999999989E-2</v>
      </c>
      <c r="O76" s="110">
        <f>SUM(O69:O74)</f>
        <v>2.0833333333333343E-2</v>
      </c>
      <c r="P76" s="107"/>
      <c r="Q76" s="107"/>
    </row>
    <row r="77" spans="1:19">
      <c r="A77" s="60">
        <v>0.23263888888888887</v>
      </c>
      <c r="B77" t="s">
        <v>377</v>
      </c>
      <c r="H77" s="60">
        <f>A83-A81</f>
        <v>2.0833333333333259E-3</v>
      </c>
      <c r="I77" t="s">
        <v>288</v>
      </c>
      <c r="M77" s="107"/>
      <c r="N77" s="107"/>
      <c r="O77" s="107"/>
      <c r="P77" s="107"/>
      <c r="Q77" s="107"/>
    </row>
    <row r="78" spans="1:19">
      <c r="A78" s="60">
        <v>0.23263888888888887</v>
      </c>
      <c r="B78" t="s">
        <v>378</v>
      </c>
      <c r="H78" s="60">
        <f>A86-A84</f>
        <v>2.7777777777777679E-3</v>
      </c>
      <c r="I78" t="s">
        <v>1165</v>
      </c>
      <c r="M78" s="107"/>
      <c r="N78" s="107"/>
      <c r="O78" s="107"/>
      <c r="P78" s="107"/>
      <c r="Q78" s="107"/>
    </row>
    <row r="79" spans="1:19">
      <c r="A79" s="60">
        <v>0.23333333333333331</v>
      </c>
      <c r="B79" t="s">
        <v>379</v>
      </c>
      <c r="M79" s="107"/>
      <c r="N79" s="107"/>
      <c r="O79" s="107"/>
      <c r="P79" s="107"/>
      <c r="Q79" s="107"/>
    </row>
    <row r="80" spans="1:19">
      <c r="A80" s="60">
        <v>0.23611111111111113</v>
      </c>
      <c r="B80" t="s">
        <v>380</v>
      </c>
      <c r="M80" s="107"/>
      <c r="N80" s="107"/>
      <c r="O80" s="107"/>
      <c r="P80" s="107"/>
      <c r="Q80" s="107"/>
      <c r="R80" s="107"/>
      <c r="S80" s="107"/>
    </row>
    <row r="81" spans="1:19">
      <c r="A81" s="60">
        <v>0.2388888888888889</v>
      </c>
      <c r="B81" t="s">
        <v>381</v>
      </c>
      <c r="M81" s="107"/>
      <c r="N81" s="107"/>
      <c r="O81" s="107"/>
      <c r="P81" s="107"/>
      <c r="Q81" s="107"/>
      <c r="R81" s="107"/>
      <c r="S81" s="107"/>
    </row>
    <row r="82" spans="1:19">
      <c r="A82" s="60">
        <v>0.23958333333333334</v>
      </c>
      <c r="B82" t="s">
        <v>382</v>
      </c>
      <c r="M82" s="107"/>
      <c r="N82" s="107"/>
      <c r="O82" s="107"/>
      <c r="P82" s="107"/>
      <c r="Q82" s="107"/>
      <c r="R82" s="107"/>
      <c r="S82" s="107"/>
    </row>
    <row r="83" spans="1:19">
      <c r="A83" s="60">
        <v>0.24097222222222223</v>
      </c>
      <c r="B83" t="s">
        <v>383</v>
      </c>
      <c r="M83" s="107"/>
      <c r="N83" s="107"/>
      <c r="O83" s="107"/>
      <c r="P83" s="107"/>
      <c r="Q83" s="107"/>
      <c r="R83" s="107"/>
      <c r="S83" s="107"/>
    </row>
    <row r="84" spans="1:19">
      <c r="A84" s="60">
        <v>0.24097222222222223</v>
      </c>
      <c r="B84" t="s">
        <v>384</v>
      </c>
      <c r="M84" s="107"/>
      <c r="N84" s="107"/>
      <c r="O84" s="107"/>
      <c r="P84" s="107"/>
      <c r="Q84" s="107"/>
      <c r="R84" s="107"/>
      <c r="S84" s="107"/>
    </row>
    <row r="85" spans="1:19">
      <c r="A85" s="60">
        <v>0.24166666666666667</v>
      </c>
      <c r="B85" t="s">
        <v>385</v>
      </c>
      <c r="M85" s="107"/>
      <c r="N85" s="107"/>
      <c r="O85" s="107"/>
      <c r="P85" s="107"/>
      <c r="Q85" s="107"/>
      <c r="R85" s="107"/>
      <c r="S85" s="107"/>
    </row>
    <row r="86" spans="1:19" s="34" customFormat="1">
      <c r="A86" s="68">
        <v>0.24374999999999999</v>
      </c>
      <c r="B86" s="34" t="s">
        <v>386</v>
      </c>
      <c r="M86" s="108"/>
      <c r="N86" s="108"/>
      <c r="O86" s="108"/>
      <c r="P86" s="108"/>
      <c r="Q86" s="108"/>
      <c r="R86" s="108"/>
      <c r="S86" s="108"/>
    </row>
    <row r="87" spans="1:19">
      <c r="M87" s="107"/>
      <c r="N87" s="107"/>
      <c r="O87" s="107"/>
      <c r="P87" s="107"/>
      <c r="Q87" s="107"/>
      <c r="R87" s="107"/>
      <c r="S87" s="107"/>
    </row>
    <row r="88" spans="1:19">
      <c r="A88" s="60">
        <v>0.24444444444444446</v>
      </c>
      <c r="B88" t="s">
        <v>203</v>
      </c>
      <c r="M88" s="107"/>
      <c r="N88" s="107"/>
      <c r="O88" s="107"/>
      <c r="P88" s="107"/>
      <c r="Q88" s="107"/>
      <c r="R88" s="107"/>
      <c r="S88" s="107"/>
    </row>
    <row r="89" spans="1:19">
      <c r="A89" s="60">
        <v>0.26874999999999999</v>
      </c>
      <c r="B89" t="s">
        <v>389</v>
      </c>
      <c r="G89" t="s">
        <v>388</v>
      </c>
      <c r="M89" s="107"/>
      <c r="N89" s="107"/>
      <c r="O89" s="107"/>
      <c r="P89" s="107"/>
      <c r="Q89" s="107"/>
      <c r="R89" s="107"/>
      <c r="S89" s="107"/>
    </row>
    <row r="90" spans="1:19">
      <c r="A90" s="60">
        <v>0.2722222222222222</v>
      </c>
      <c r="B90" t="s">
        <v>390</v>
      </c>
      <c r="G90" s="60">
        <f>A89-A88</f>
        <v>2.4305555555555525E-2</v>
      </c>
      <c r="M90" s="107"/>
      <c r="N90" s="107"/>
      <c r="O90" s="107"/>
      <c r="P90" s="107"/>
      <c r="Q90" s="107"/>
      <c r="R90" s="107"/>
      <c r="S90" s="107"/>
    </row>
    <row r="91" spans="1:19">
      <c r="A91" s="60">
        <v>0.30694444444444441</v>
      </c>
      <c r="B91" t="s">
        <v>387</v>
      </c>
      <c r="M91" s="107"/>
      <c r="N91" s="107"/>
      <c r="O91" s="107"/>
      <c r="P91" s="107"/>
      <c r="Q91" s="107"/>
      <c r="R91" s="107"/>
      <c r="S91" s="107"/>
    </row>
    <row r="92" spans="1:19">
      <c r="G92" t="s">
        <v>391</v>
      </c>
      <c r="M92" s="107"/>
      <c r="N92" s="107"/>
      <c r="O92" s="107"/>
      <c r="P92" s="107"/>
      <c r="Q92" s="107"/>
      <c r="R92" s="107"/>
      <c r="S92" s="107"/>
    </row>
    <row r="93" spans="1:19">
      <c r="G93" s="60">
        <f>A91-A90</f>
        <v>3.472222222222221E-2</v>
      </c>
      <c r="M93" s="107"/>
      <c r="N93" s="107"/>
      <c r="O93" s="107"/>
      <c r="P93" s="107"/>
      <c r="Q93" s="107"/>
      <c r="R93" s="107"/>
      <c r="S93" s="107"/>
    </row>
    <row r="94" spans="1:19">
      <c r="M94" s="107"/>
      <c r="N94" s="107"/>
      <c r="O94" s="107"/>
      <c r="P94" s="107"/>
      <c r="Q94" s="107"/>
      <c r="R94" s="107"/>
      <c r="S94" s="107"/>
    </row>
    <row r="95" spans="1:19">
      <c r="M95" s="107"/>
      <c r="N95" s="107"/>
      <c r="O95" s="107"/>
      <c r="P95" s="107"/>
      <c r="Q95" s="107"/>
      <c r="R95" s="107"/>
      <c r="S95" s="107"/>
    </row>
    <row r="96" spans="1:19">
      <c r="A96" s="85">
        <v>41598</v>
      </c>
      <c r="M96" s="107"/>
      <c r="N96" s="107"/>
      <c r="O96" s="107"/>
      <c r="P96" s="107"/>
      <c r="Q96" s="107"/>
      <c r="R96" s="107"/>
      <c r="S96" s="107"/>
    </row>
    <row r="97" spans="1:19">
      <c r="H97" s="60">
        <f>L97-H98</f>
        <v>3.6111111111111149E-2</v>
      </c>
      <c r="I97" t="s">
        <v>1166</v>
      </c>
      <c r="L97" s="60">
        <f>A101-A98</f>
        <v>5.1388888888888984E-2</v>
      </c>
      <c r="M97" s="107"/>
      <c r="N97" s="107"/>
      <c r="O97" s="107"/>
      <c r="P97" s="107"/>
      <c r="Q97" s="107"/>
      <c r="R97" s="107"/>
      <c r="S97" s="107"/>
    </row>
    <row r="98" spans="1:19">
      <c r="A98" s="60">
        <v>0.49513888888888885</v>
      </c>
      <c r="B98" t="s">
        <v>409</v>
      </c>
      <c r="H98" s="60">
        <f>A100-A99</f>
        <v>1.5277777777777835E-2</v>
      </c>
      <c r="I98" t="s">
        <v>1167</v>
      </c>
      <c r="M98" s="107"/>
      <c r="N98" s="107"/>
      <c r="O98" s="107"/>
      <c r="P98" s="107"/>
      <c r="Q98" s="107"/>
      <c r="R98" s="107"/>
      <c r="S98" s="107"/>
    </row>
    <row r="99" spans="1:19">
      <c r="A99" s="60">
        <v>0.50624999999999998</v>
      </c>
      <c r="B99" t="s">
        <v>410</v>
      </c>
      <c r="H99" s="60">
        <v>1.0416666666666666E-2</v>
      </c>
      <c r="I99" t="s">
        <v>1168</v>
      </c>
      <c r="M99" s="107"/>
      <c r="N99" s="107"/>
      <c r="O99" s="107"/>
      <c r="P99" s="107"/>
      <c r="Q99" s="107"/>
      <c r="R99" s="107"/>
      <c r="S99" s="107"/>
    </row>
    <row r="100" spans="1:19">
      <c r="A100" s="60">
        <v>0.52152777777777781</v>
      </c>
      <c r="B100" t="s">
        <v>411</v>
      </c>
      <c r="K100" t="s">
        <v>34</v>
      </c>
      <c r="M100" s="107"/>
      <c r="N100" s="107"/>
      <c r="O100" s="107"/>
      <c r="P100" s="107"/>
      <c r="Q100" s="107"/>
      <c r="R100" s="107"/>
      <c r="S100" s="107"/>
    </row>
    <row r="101" spans="1:19">
      <c r="A101" s="60">
        <v>0.54652777777777783</v>
      </c>
      <c r="B101" t="s">
        <v>412</v>
      </c>
      <c r="H101" t="s">
        <v>1203</v>
      </c>
      <c r="M101" s="107"/>
      <c r="N101" s="107"/>
      <c r="O101" s="107"/>
      <c r="P101" s="107"/>
      <c r="Q101" s="107"/>
      <c r="R101" s="107"/>
      <c r="S101" s="107"/>
    </row>
    <row r="102" spans="1:19">
      <c r="A102" s="60">
        <v>0.55555555555555558</v>
      </c>
      <c r="B102" t="s">
        <v>413</v>
      </c>
      <c r="F102" t="s">
        <v>225</v>
      </c>
      <c r="H102" s="67" t="s">
        <v>311</v>
      </c>
      <c r="M102" s="107"/>
      <c r="N102" s="107"/>
      <c r="O102" s="107"/>
      <c r="P102" s="107"/>
      <c r="Q102" s="107"/>
      <c r="R102" s="107"/>
      <c r="S102" s="107"/>
    </row>
    <row r="103" spans="1:19">
      <c r="A103" s="60"/>
      <c r="F103" s="54"/>
      <c r="G103" s="54"/>
      <c r="M103" s="109"/>
      <c r="N103" s="107"/>
      <c r="O103" s="107"/>
      <c r="P103" s="107"/>
      <c r="Q103" s="107"/>
      <c r="R103" s="107"/>
      <c r="S103" s="107"/>
    </row>
    <row r="104" spans="1:19">
      <c r="A104" s="60">
        <v>7.2222222222222229E-2</v>
      </c>
      <c r="B104" t="s">
        <v>414</v>
      </c>
      <c r="H104" s="60">
        <f>A105-A104</f>
        <v>2.0833333333333259E-3</v>
      </c>
      <c r="I104" t="s">
        <v>1029</v>
      </c>
      <c r="M104" s="107"/>
      <c r="N104" s="107"/>
      <c r="O104" s="107"/>
      <c r="P104" s="107"/>
      <c r="Q104" s="107"/>
      <c r="R104" s="107"/>
      <c r="S104" s="107"/>
    </row>
    <row r="105" spans="1:19">
      <c r="A105" s="60">
        <v>7.4305555555555555E-2</v>
      </c>
      <c r="B105" t="s">
        <v>376</v>
      </c>
      <c r="H105" s="60">
        <f>A106-A105</f>
        <v>3.4722222222222238E-3</v>
      </c>
      <c r="I105" t="s">
        <v>300</v>
      </c>
      <c r="M105" s="109"/>
      <c r="N105" s="107"/>
      <c r="O105" s="107"/>
      <c r="P105" s="107"/>
      <c r="Q105" s="107"/>
      <c r="R105" s="107"/>
      <c r="S105" s="107"/>
    </row>
    <row r="106" spans="1:19">
      <c r="A106" s="60">
        <v>7.7777777777777779E-2</v>
      </c>
      <c r="B106" t="s">
        <v>415</v>
      </c>
      <c r="G106" t="s">
        <v>224</v>
      </c>
      <c r="H106" s="60">
        <f>A108-A107</f>
        <v>2.0833333333333259E-3</v>
      </c>
      <c r="I106" t="s">
        <v>1093</v>
      </c>
      <c r="M106" s="107"/>
      <c r="N106" s="110"/>
      <c r="O106" s="110"/>
      <c r="P106" s="110"/>
      <c r="Q106" s="107"/>
      <c r="R106" s="107"/>
      <c r="S106" s="107"/>
    </row>
    <row r="107" spans="1:19">
      <c r="A107" s="60">
        <v>7.7777777777777779E-2</v>
      </c>
      <c r="B107" t="s">
        <v>416</v>
      </c>
      <c r="G107" s="60">
        <f>A116-A104</f>
        <v>2.2916666666666655E-2</v>
      </c>
      <c r="H107" s="60">
        <f>A109-A108</f>
        <v>5.5555555555555497E-3</v>
      </c>
      <c r="I107" t="s">
        <v>372</v>
      </c>
      <c r="M107" s="107"/>
      <c r="N107" s="110"/>
      <c r="O107" s="110"/>
      <c r="P107" s="110"/>
      <c r="Q107" s="107"/>
      <c r="R107" s="107"/>
      <c r="S107" s="107"/>
    </row>
    <row r="108" spans="1:19">
      <c r="A108" s="60">
        <v>7.9861111111111105E-2</v>
      </c>
      <c r="B108" t="s">
        <v>299</v>
      </c>
      <c r="H108" s="60">
        <f>A114-A109</f>
        <v>6.9444444444444614E-3</v>
      </c>
      <c r="I108" t="s">
        <v>1091</v>
      </c>
      <c r="M108" s="107"/>
      <c r="N108" s="110"/>
      <c r="O108" s="110"/>
      <c r="P108" s="110"/>
      <c r="Q108" s="107"/>
      <c r="R108" s="107"/>
      <c r="S108" s="107"/>
    </row>
    <row r="109" spans="1:19">
      <c r="A109" s="60">
        <v>8.5416666666666655E-2</v>
      </c>
      <c r="B109" t="s">
        <v>417</v>
      </c>
      <c r="H109" s="60">
        <f>A116-A115</f>
        <v>2.7777777777777679E-3</v>
      </c>
      <c r="I109" t="s">
        <v>288</v>
      </c>
      <c r="M109" s="107"/>
      <c r="N109" s="110"/>
      <c r="O109" s="110"/>
      <c r="P109" s="110"/>
      <c r="Q109" s="107"/>
      <c r="R109" s="107"/>
      <c r="S109" s="107"/>
    </row>
    <row r="110" spans="1:19">
      <c r="A110" s="60">
        <v>8.6805555555555566E-2</v>
      </c>
      <c r="B110" t="s">
        <v>418</v>
      </c>
      <c r="I110" t="s">
        <v>34</v>
      </c>
      <c r="M110" s="107"/>
      <c r="N110" s="110"/>
      <c r="O110" s="110"/>
      <c r="P110" s="110"/>
      <c r="Q110" s="107"/>
      <c r="R110" s="107"/>
      <c r="S110" s="107"/>
    </row>
    <row r="111" spans="1:19">
      <c r="A111" s="60">
        <v>8.819444444444445E-2</v>
      </c>
      <c r="B111" t="s">
        <v>446</v>
      </c>
      <c r="E111" t="s">
        <v>1187</v>
      </c>
      <c r="M111" s="107"/>
      <c r="N111" s="110"/>
      <c r="O111" s="110"/>
      <c r="P111" s="110"/>
      <c r="Q111" s="107"/>
      <c r="R111" s="107"/>
      <c r="S111" s="107"/>
    </row>
    <row r="112" spans="1:19">
      <c r="A112" s="60">
        <v>8.9583333333333334E-2</v>
      </c>
      <c r="B112" t="s">
        <v>447</v>
      </c>
      <c r="E112" s="60">
        <f>A113-A112</f>
        <v>2.0833333333333398E-3</v>
      </c>
      <c r="I112" t="s">
        <v>34</v>
      </c>
      <c r="M112" s="107"/>
      <c r="N112" s="110"/>
      <c r="O112" s="107"/>
      <c r="P112" s="107"/>
      <c r="Q112" s="107"/>
      <c r="R112" s="107"/>
      <c r="S112" s="107"/>
    </row>
    <row r="113" spans="1:19">
      <c r="A113" s="60">
        <v>9.1666666666666674E-2</v>
      </c>
      <c r="B113" s="60" t="s">
        <v>448</v>
      </c>
      <c r="M113" s="107"/>
      <c r="N113" s="110"/>
      <c r="O113" s="110"/>
      <c r="P113" s="107"/>
      <c r="Q113" s="107"/>
      <c r="R113" s="107"/>
      <c r="S113" s="107"/>
    </row>
    <row r="114" spans="1:19">
      <c r="A114" s="60">
        <v>9.2361111111111116E-2</v>
      </c>
      <c r="B114" t="s">
        <v>449</v>
      </c>
      <c r="M114" s="107"/>
      <c r="N114" s="107"/>
      <c r="O114" s="107"/>
      <c r="P114" s="107"/>
      <c r="Q114" s="107"/>
      <c r="R114" s="107"/>
      <c r="S114" s="107"/>
    </row>
    <row r="115" spans="1:19">
      <c r="A115" s="60">
        <v>9.2361111111111116E-2</v>
      </c>
      <c r="B115" t="s">
        <v>450</v>
      </c>
      <c r="M115" s="107"/>
      <c r="N115" s="107"/>
      <c r="O115" s="107"/>
      <c r="P115" s="107"/>
      <c r="Q115" s="107"/>
      <c r="R115" s="107"/>
      <c r="S115" s="107"/>
    </row>
    <row r="116" spans="1:19">
      <c r="A116" s="60">
        <v>9.5138888888888884E-2</v>
      </c>
      <c r="B116" t="s">
        <v>451</v>
      </c>
      <c r="M116" s="107"/>
      <c r="N116" s="107"/>
      <c r="O116" s="107"/>
      <c r="P116" s="107"/>
      <c r="Q116" s="107"/>
      <c r="R116" s="107"/>
      <c r="S116" s="107"/>
    </row>
    <row r="117" spans="1:19">
      <c r="B117" t="s">
        <v>34</v>
      </c>
      <c r="M117" s="107"/>
      <c r="N117" s="107"/>
      <c r="O117" s="107"/>
      <c r="P117" s="107"/>
      <c r="Q117" s="107"/>
      <c r="R117" s="107"/>
      <c r="S117" s="107"/>
    </row>
    <row r="118" spans="1:19">
      <c r="M118" s="107"/>
      <c r="N118" s="107"/>
      <c r="O118" s="107"/>
      <c r="P118" s="107"/>
      <c r="Q118" s="107"/>
      <c r="R118" s="107"/>
      <c r="S118" s="107"/>
    </row>
    <row r="119" spans="1:19">
      <c r="A119" t="s">
        <v>452</v>
      </c>
      <c r="C119" t="s">
        <v>483</v>
      </c>
      <c r="M119" s="107"/>
      <c r="N119" s="107"/>
      <c r="O119" s="107"/>
      <c r="P119" s="107"/>
      <c r="Q119" s="107"/>
      <c r="R119" s="107"/>
      <c r="S119" s="107"/>
    </row>
    <row r="120" spans="1:19">
      <c r="A120" s="60">
        <v>1.0416666666666666E-2</v>
      </c>
      <c r="B120" t="s">
        <v>453</v>
      </c>
      <c r="C120" t="s">
        <v>484</v>
      </c>
      <c r="M120" s="107"/>
      <c r="N120" s="107"/>
      <c r="O120" s="107"/>
      <c r="P120" s="107"/>
      <c r="Q120" s="107"/>
      <c r="R120" s="107"/>
      <c r="S120" s="107"/>
    </row>
    <row r="121" spans="1:19">
      <c r="A121" t="s">
        <v>454</v>
      </c>
      <c r="B121" t="s">
        <v>455</v>
      </c>
      <c r="C121" t="s">
        <v>456</v>
      </c>
      <c r="H121" t="s">
        <v>1204</v>
      </c>
      <c r="M121" s="107" t="s">
        <v>34</v>
      </c>
      <c r="N121" s="107"/>
      <c r="O121" s="107"/>
      <c r="P121" s="107"/>
      <c r="Q121" s="107"/>
      <c r="R121" s="107"/>
      <c r="S121" s="107"/>
    </row>
    <row r="122" spans="1:19">
      <c r="F122" t="s">
        <v>457</v>
      </c>
      <c r="M122" s="109" t="s">
        <v>1202</v>
      </c>
      <c r="N122" s="107"/>
      <c r="O122" s="107"/>
      <c r="P122" s="107"/>
      <c r="Q122" s="107"/>
      <c r="R122" s="107"/>
      <c r="S122" s="107"/>
    </row>
    <row r="123" spans="1:19">
      <c r="H123" s="67" t="s">
        <v>311</v>
      </c>
      <c r="M123" s="107"/>
      <c r="N123" s="107"/>
      <c r="O123" s="107"/>
      <c r="P123" s="107"/>
      <c r="Q123" s="107"/>
      <c r="R123" s="107"/>
      <c r="S123" s="107"/>
    </row>
    <row r="124" spans="1:19">
      <c r="M124" s="109" t="s">
        <v>1198</v>
      </c>
      <c r="N124" s="107" t="s">
        <v>1199</v>
      </c>
      <c r="O124" s="107" t="s">
        <v>1200</v>
      </c>
      <c r="P124" s="107" t="s">
        <v>1203</v>
      </c>
      <c r="Q124" s="107" t="s">
        <v>1205</v>
      </c>
      <c r="R124" s="107"/>
      <c r="S124" s="107"/>
    </row>
    <row r="125" spans="1:19">
      <c r="A125" s="60">
        <v>9.9999999999999992E-2</v>
      </c>
      <c r="B125" t="s">
        <v>458</v>
      </c>
      <c r="E125" s="54" t="s">
        <v>460</v>
      </c>
      <c r="F125" s="54"/>
      <c r="G125" s="54"/>
      <c r="H125" s="54"/>
      <c r="I125" s="63">
        <f>A126-A125</f>
        <v>7.6388888888889034E-3</v>
      </c>
      <c r="M125" s="107" t="s">
        <v>1029</v>
      </c>
      <c r="N125" s="110">
        <v>2.0833333333333537E-3</v>
      </c>
      <c r="O125" s="110">
        <v>2.0833333333333537E-3</v>
      </c>
      <c r="P125" s="110">
        <v>2.0833333333333259E-3</v>
      </c>
      <c r="Q125" s="110">
        <f>H128</f>
        <v>1.388888888888884E-3</v>
      </c>
      <c r="R125" s="107"/>
      <c r="S125" s="107"/>
    </row>
    <row r="126" spans="1:19">
      <c r="A126" s="60">
        <v>0.1076388888888889</v>
      </c>
      <c r="B126" t="s">
        <v>459</v>
      </c>
      <c r="M126" s="107" t="s">
        <v>300</v>
      </c>
      <c r="N126" s="110">
        <v>3.4722222222222099E-3</v>
      </c>
      <c r="O126" s="110">
        <v>2.0833333333333259E-3</v>
      </c>
      <c r="P126" s="110">
        <v>3.4722222222222238E-3</v>
      </c>
      <c r="Q126" s="110">
        <f>H130</f>
        <v>2.0833333333333398E-3</v>
      </c>
      <c r="R126" s="107"/>
      <c r="S126" s="107"/>
    </row>
    <row r="127" spans="1:19">
      <c r="M127" s="107" t="s">
        <v>372</v>
      </c>
      <c r="N127" s="110">
        <v>2.0833333333333537E-3</v>
      </c>
      <c r="O127" s="110">
        <v>4.1666666666666519E-3</v>
      </c>
      <c r="P127" s="110">
        <v>5.5555555555555497E-3</v>
      </c>
      <c r="Q127" s="110">
        <v>2.0833333333333333E-3</v>
      </c>
      <c r="R127" s="107"/>
      <c r="S127" s="107"/>
    </row>
    <row r="128" spans="1:19">
      <c r="A128" s="60">
        <v>0.1076388888888889</v>
      </c>
      <c r="B128" t="s">
        <v>461</v>
      </c>
      <c r="H128" s="60">
        <f>A129-A128</f>
        <v>1.388888888888884E-3</v>
      </c>
      <c r="I128" t="s">
        <v>1029</v>
      </c>
      <c r="M128" s="107" t="s">
        <v>1201</v>
      </c>
      <c r="N128" s="110">
        <v>1.388888888888884E-3</v>
      </c>
      <c r="O128" s="110">
        <v>4.8611111111110938E-3</v>
      </c>
      <c r="P128" s="110">
        <v>2.0833333333333259E-3</v>
      </c>
      <c r="Q128" s="110">
        <v>1.3888888888888889E-3</v>
      </c>
      <c r="R128" s="107"/>
      <c r="S128" s="107"/>
    </row>
    <row r="129" spans="1:19">
      <c r="A129" s="60">
        <v>0.10902777777777778</v>
      </c>
      <c r="B129" t="s">
        <v>462</v>
      </c>
      <c r="H129" s="60">
        <f>A130-A129</f>
        <v>6.9444444444444198E-4</v>
      </c>
      <c r="I129" t="s">
        <v>1169</v>
      </c>
      <c r="M129" s="107" t="s">
        <v>1154</v>
      </c>
      <c r="N129" s="110">
        <v>6.9444444444444198E-3</v>
      </c>
      <c r="O129" s="110">
        <v>5.5555555555555913E-3</v>
      </c>
      <c r="P129" s="110">
        <v>6.9444444444444614E-3</v>
      </c>
      <c r="Q129" s="110">
        <f>H133</f>
        <v>8.3333333333333176E-3</v>
      </c>
      <c r="R129" s="107"/>
      <c r="S129" s="107"/>
    </row>
    <row r="130" spans="1:19">
      <c r="A130" s="60">
        <v>0.10972222222222222</v>
      </c>
      <c r="B130" t="s">
        <v>376</v>
      </c>
      <c r="F130" t="s">
        <v>1169</v>
      </c>
      <c r="H130" s="60">
        <f>A131-A130</f>
        <v>2.0833333333333398E-3</v>
      </c>
      <c r="I130" t="s">
        <v>300</v>
      </c>
      <c r="M130" s="107" t="s">
        <v>288</v>
      </c>
      <c r="N130" s="110">
        <v>2.0833333333333333E-3</v>
      </c>
      <c r="O130" s="110">
        <v>2.0833333333333259E-3</v>
      </c>
      <c r="P130" s="110">
        <v>2.7777777777777679E-3</v>
      </c>
      <c r="Q130" s="110">
        <f>H134</f>
        <v>4.1666666666666796E-3</v>
      </c>
      <c r="R130" s="107"/>
      <c r="S130" s="107"/>
    </row>
    <row r="131" spans="1:19">
      <c r="A131" s="60">
        <v>0.11180555555555556</v>
      </c>
      <c r="B131" t="s">
        <v>463</v>
      </c>
      <c r="F131" s="60">
        <f>A133-A132</f>
        <v>2.7777777777777679E-3</v>
      </c>
      <c r="H131" s="60">
        <f>A133-A132</f>
        <v>2.7777777777777679E-3</v>
      </c>
      <c r="I131" t="s">
        <v>1169</v>
      </c>
      <c r="M131" s="107" t="s">
        <v>1157</v>
      </c>
      <c r="N131" s="110">
        <v>6.9444444444444198E-4</v>
      </c>
      <c r="O131" s="107"/>
      <c r="P131" s="107"/>
      <c r="Q131" s="107"/>
      <c r="R131" s="107"/>
      <c r="S131" s="107"/>
    </row>
    <row r="132" spans="1:19">
      <c r="A132" s="60">
        <v>0.11180555555555556</v>
      </c>
      <c r="B132" t="s">
        <v>178</v>
      </c>
      <c r="F132" s="60">
        <v>1.3888888888888889E-3</v>
      </c>
      <c r="H132" s="60">
        <f>A134-A133</f>
        <v>3.4722222222222376E-3</v>
      </c>
      <c r="I132" t="s">
        <v>372</v>
      </c>
      <c r="M132" s="107" t="s">
        <v>51</v>
      </c>
      <c r="N132" s="110">
        <v>1.8749999999999989E-2</v>
      </c>
      <c r="O132" s="110">
        <v>2.0833333333333343E-2</v>
      </c>
      <c r="P132" s="107"/>
      <c r="Q132" s="107"/>
      <c r="R132" s="107"/>
      <c r="S132" s="107"/>
    </row>
    <row r="133" spans="1:19">
      <c r="A133" s="60">
        <v>0.11458333333333333</v>
      </c>
      <c r="B133" t="s">
        <v>464</v>
      </c>
      <c r="H133" s="60">
        <f>A138-A134</f>
        <v>8.3333333333333176E-3</v>
      </c>
      <c r="I133" t="s">
        <v>1091</v>
      </c>
      <c r="M133" s="107"/>
      <c r="N133" s="107"/>
      <c r="O133" s="107"/>
      <c r="P133" s="107"/>
      <c r="Q133" s="107"/>
      <c r="R133" s="107"/>
      <c r="S133" s="107"/>
    </row>
    <row r="134" spans="1:19">
      <c r="A134" s="60">
        <v>0.11805555555555557</v>
      </c>
      <c r="B134" t="s">
        <v>465</v>
      </c>
      <c r="F134" s="60">
        <f>A141-A128</f>
        <v>2.361111111111111E-2</v>
      </c>
      <c r="H134" s="60">
        <f>A140-A138</f>
        <v>4.1666666666666796E-3</v>
      </c>
      <c r="I134" t="s">
        <v>288</v>
      </c>
      <c r="M134" s="107" t="s">
        <v>1206</v>
      </c>
      <c r="N134" s="107"/>
      <c r="O134" s="107"/>
      <c r="P134" s="107"/>
      <c r="Q134" s="107"/>
      <c r="R134" s="107"/>
      <c r="S134" s="107"/>
    </row>
    <row r="135" spans="1:19">
      <c r="A135" s="60">
        <v>0.11944444444444445</v>
      </c>
      <c r="B135" t="s">
        <v>418</v>
      </c>
      <c r="H135" s="60">
        <f>A141-A140</f>
        <v>6.9444444444444198E-4</v>
      </c>
      <c r="I135" t="s">
        <v>1153</v>
      </c>
      <c r="M135" s="107" t="s">
        <v>1207</v>
      </c>
      <c r="N135" s="107"/>
      <c r="O135" s="107"/>
      <c r="P135" s="107"/>
      <c r="Q135" s="107"/>
      <c r="R135" s="107"/>
      <c r="S135" s="107"/>
    </row>
    <row r="136" spans="1:19">
      <c r="A136" s="60">
        <v>0.12013888888888889</v>
      </c>
      <c r="B136" t="s">
        <v>466</v>
      </c>
      <c r="M136" s="107"/>
      <c r="N136" s="107"/>
      <c r="O136" s="107"/>
      <c r="P136" s="107"/>
      <c r="Q136" s="107"/>
      <c r="R136" s="107"/>
      <c r="S136" s="107"/>
    </row>
    <row r="137" spans="1:19">
      <c r="A137" s="60">
        <v>0.12152777777777778</v>
      </c>
      <c r="B137" t="s">
        <v>467</v>
      </c>
      <c r="M137" s="107"/>
      <c r="N137" s="107"/>
      <c r="O137" s="107"/>
      <c r="P137" s="107"/>
      <c r="Q137" s="107"/>
      <c r="R137" s="107"/>
      <c r="S137" s="107"/>
    </row>
    <row r="138" spans="1:19">
      <c r="A138" s="60">
        <v>0.12638888888888888</v>
      </c>
      <c r="B138" t="s">
        <v>468</v>
      </c>
      <c r="M138" s="107"/>
      <c r="N138" s="107"/>
      <c r="O138" s="107"/>
      <c r="P138" s="107"/>
      <c r="Q138" s="107"/>
      <c r="R138" s="107"/>
      <c r="S138" s="107"/>
    </row>
    <row r="139" spans="1:19">
      <c r="A139" s="60">
        <v>0.12847222222222224</v>
      </c>
      <c r="B139" t="s">
        <v>469</v>
      </c>
      <c r="M139" s="107"/>
      <c r="N139" s="107"/>
      <c r="O139" s="107"/>
      <c r="P139" s="107"/>
      <c r="Q139" s="107"/>
      <c r="R139" s="107"/>
      <c r="S139" s="107"/>
    </row>
    <row r="140" spans="1:19">
      <c r="A140" s="60">
        <v>0.13055555555555556</v>
      </c>
      <c r="B140" t="s">
        <v>470</v>
      </c>
      <c r="M140" s="107"/>
      <c r="N140" s="107"/>
      <c r="O140" s="107"/>
      <c r="P140" s="107"/>
      <c r="Q140" s="107"/>
      <c r="R140" s="107"/>
      <c r="S140" s="107"/>
    </row>
    <row r="141" spans="1:19">
      <c r="A141" s="60">
        <v>0.13125000000000001</v>
      </c>
      <c r="B141" t="s">
        <v>385</v>
      </c>
      <c r="M141" s="107"/>
      <c r="N141" s="107"/>
      <c r="O141" s="107"/>
      <c r="P141" s="107"/>
      <c r="Q141" s="107"/>
      <c r="R141" s="107"/>
      <c r="S141" s="107"/>
    </row>
    <row r="142" spans="1:19">
      <c r="M142" s="107"/>
      <c r="N142" s="107"/>
      <c r="O142" s="107"/>
      <c r="P142" s="107"/>
      <c r="Q142" s="107"/>
      <c r="R142" s="107"/>
      <c r="S142" s="107"/>
    </row>
    <row r="143" spans="1:19">
      <c r="A143" t="s">
        <v>452</v>
      </c>
      <c r="M143" s="107" t="s">
        <v>34</v>
      </c>
      <c r="N143" s="107"/>
      <c r="O143" s="107"/>
      <c r="P143" s="107"/>
      <c r="Q143" s="107"/>
      <c r="R143" s="107"/>
      <c r="S143" s="107"/>
    </row>
    <row r="144" spans="1:19">
      <c r="A144" s="60">
        <v>1.0416666666666666E-2</v>
      </c>
      <c r="B144" t="s">
        <v>453</v>
      </c>
      <c r="M144" s="107"/>
      <c r="N144" s="107"/>
      <c r="O144" s="107"/>
      <c r="P144" s="107"/>
      <c r="Q144" s="107"/>
      <c r="R144" s="107"/>
      <c r="S144" s="107"/>
    </row>
    <row r="145" spans="1:19">
      <c r="A145" s="60">
        <v>4.1666666666666664E-2</v>
      </c>
      <c r="B145" t="s">
        <v>455</v>
      </c>
      <c r="C145" s="60"/>
      <c r="M145" s="107"/>
      <c r="N145" s="107"/>
      <c r="O145" s="107"/>
      <c r="P145" s="107"/>
      <c r="Q145" s="107"/>
      <c r="R145" s="107"/>
      <c r="S145" s="107"/>
    </row>
    <row r="146" spans="1:19">
      <c r="M146" s="107"/>
      <c r="N146" s="107"/>
      <c r="O146" s="107"/>
      <c r="P146" s="107"/>
      <c r="Q146" s="107"/>
      <c r="R146" s="107"/>
      <c r="S146" s="107"/>
    </row>
    <row r="147" spans="1:19">
      <c r="A147" s="60">
        <v>0.13333333333333333</v>
      </c>
      <c r="B147" t="s">
        <v>471</v>
      </c>
      <c r="F147" s="54"/>
      <c r="G147" s="54"/>
      <c r="M147" s="107"/>
      <c r="N147" s="107"/>
      <c r="O147" s="107"/>
      <c r="P147" s="107"/>
      <c r="Q147" s="107"/>
      <c r="R147" s="107"/>
      <c r="S147" s="107"/>
    </row>
    <row r="148" spans="1:19">
      <c r="A148" s="60">
        <v>0.13541666666666666</v>
      </c>
      <c r="B148" t="s">
        <v>472</v>
      </c>
      <c r="M148" s="107"/>
      <c r="N148" s="107"/>
      <c r="O148" s="107"/>
      <c r="P148" s="107"/>
      <c r="Q148" s="107"/>
      <c r="R148" s="107"/>
      <c r="S148" s="107"/>
    </row>
    <row r="149" spans="1:19">
      <c r="A149" s="60">
        <v>0.13680555555555554</v>
      </c>
      <c r="B149" t="s">
        <v>385</v>
      </c>
      <c r="M149" s="109" t="s">
        <v>1202</v>
      </c>
      <c r="N149" s="107"/>
      <c r="O149" s="107"/>
      <c r="P149" s="107"/>
      <c r="Q149" s="107"/>
      <c r="R149" s="107"/>
      <c r="S149" s="107"/>
    </row>
    <row r="150" spans="1:19">
      <c r="H150" t="s">
        <v>1208</v>
      </c>
      <c r="M150" s="107"/>
      <c r="N150" s="107"/>
      <c r="O150" s="107"/>
      <c r="P150" s="107"/>
      <c r="Q150" s="107"/>
      <c r="R150" s="107"/>
      <c r="S150" s="107"/>
    </row>
    <row r="151" spans="1:19">
      <c r="A151" s="60">
        <v>0.1388888888888889</v>
      </c>
      <c r="B151" t="s">
        <v>473</v>
      </c>
      <c r="F151" t="s">
        <v>208</v>
      </c>
      <c r="H151" s="67" t="s">
        <v>311</v>
      </c>
      <c r="M151" s="109" t="s">
        <v>1198</v>
      </c>
      <c r="N151" s="107" t="s">
        <v>1199</v>
      </c>
      <c r="O151" s="107" t="s">
        <v>1200</v>
      </c>
      <c r="P151" s="107" t="s">
        <v>1203</v>
      </c>
      <c r="Q151" s="107" t="s">
        <v>1205</v>
      </c>
      <c r="R151" s="107" t="s">
        <v>1208</v>
      </c>
      <c r="S151" s="107"/>
    </row>
    <row r="152" spans="1:19">
      <c r="A152" s="60">
        <v>0.14097222222222222</v>
      </c>
      <c r="B152" t="s">
        <v>376</v>
      </c>
      <c r="M152" s="107" t="s">
        <v>1029</v>
      </c>
      <c r="N152" s="110">
        <v>2.0833333333333537E-3</v>
      </c>
      <c r="O152" s="110">
        <v>2.0833333333333537E-3</v>
      </c>
      <c r="P152" s="110">
        <v>2.0833333333333259E-3</v>
      </c>
      <c r="Q152" s="110">
        <v>1.388888888888884E-3</v>
      </c>
      <c r="R152" s="110">
        <f>H154</f>
        <v>2.0833333333333259E-3</v>
      </c>
      <c r="S152" s="107"/>
    </row>
    <row r="153" spans="1:19">
      <c r="A153" s="60">
        <v>0.1423611111111111</v>
      </c>
      <c r="B153" t="s">
        <v>196</v>
      </c>
      <c r="M153" s="107" t="s">
        <v>300</v>
      </c>
      <c r="N153" s="110">
        <v>3.4722222222222099E-3</v>
      </c>
      <c r="O153" s="110">
        <v>2.0833333333333259E-3</v>
      </c>
      <c r="P153" s="110">
        <v>3.4722222222222238E-3</v>
      </c>
      <c r="Q153" s="110">
        <v>2.0833333333333398E-3</v>
      </c>
      <c r="R153" s="110">
        <f>H155</f>
        <v>1.388888888888884E-3</v>
      </c>
      <c r="S153" s="107"/>
    </row>
    <row r="154" spans="1:19">
      <c r="A154" s="60">
        <v>0.1423611111111111</v>
      </c>
      <c r="B154" t="s">
        <v>361</v>
      </c>
      <c r="E154" t="s">
        <v>1169</v>
      </c>
      <c r="H154" s="60">
        <f>A152-A151</f>
        <v>2.0833333333333259E-3</v>
      </c>
      <c r="I154" t="s">
        <v>1029</v>
      </c>
      <c r="M154" s="107" t="s">
        <v>372</v>
      </c>
      <c r="N154" s="110">
        <v>2.0833333333333537E-3</v>
      </c>
      <c r="O154" s="110">
        <v>4.1666666666666519E-3</v>
      </c>
      <c r="P154" s="110">
        <v>5.5555555555555497E-3</v>
      </c>
      <c r="Q154" s="110">
        <v>2.0833333333333333E-3</v>
      </c>
      <c r="R154" s="110">
        <f>H157</f>
        <v>3.4722222222222099E-3</v>
      </c>
      <c r="S154" s="107"/>
    </row>
    <row r="155" spans="1:19">
      <c r="A155" s="60">
        <v>0.14375000000000002</v>
      </c>
      <c r="B155" t="s">
        <v>299</v>
      </c>
      <c r="E155" s="60">
        <v>1.3888888888888889E-3</v>
      </c>
      <c r="H155" s="60">
        <f>A153-A152</f>
        <v>1.388888888888884E-3</v>
      </c>
      <c r="I155" t="s">
        <v>300</v>
      </c>
      <c r="M155" s="107" t="s">
        <v>1201</v>
      </c>
      <c r="N155" s="110">
        <v>1.388888888888884E-3</v>
      </c>
      <c r="O155" s="110">
        <v>4.8611111111110938E-3</v>
      </c>
      <c r="P155" s="110">
        <v>2.0833333333333259E-3</v>
      </c>
      <c r="Q155" s="110">
        <v>1.3888888888888889E-3</v>
      </c>
      <c r="R155" s="110">
        <f>H156+H160</f>
        <v>2.7777777777778234E-3</v>
      </c>
      <c r="S155" s="107"/>
    </row>
    <row r="156" spans="1:19">
      <c r="A156" s="60">
        <v>0.14722222222222223</v>
      </c>
      <c r="B156" t="s">
        <v>474</v>
      </c>
      <c r="H156" s="60">
        <f>A155-A154</f>
        <v>1.3888888888889117E-3</v>
      </c>
      <c r="I156" t="s">
        <v>1093</v>
      </c>
      <c r="M156" s="107" t="s">
        <v>1154</v>
      </c>
      <c r="N156" s="110">
        <v>6.9444444444444198E-3</v>
      </c>
      <c r="O156" s="110">
        <v>5.5555555555555913E-3</v>
      </c>
      <c r="P156" s="110">
        <v>6.9444444444444614E-3</v>
      </c>
      <c r="Q156" s="110">
        <v>8.3333333333333176E-3</v>
      </c>
      <c r="R156" s="110">
        <f>H158</f>
        <v>9.0277777777777735E-3</v>
      </c>
      <c r="S156" s="107"/>
    </row>
    <row r="157" spans="1:19">
      <c r="A157" s="60">
        <v>0.14861111111111111</v>
      </c>
      <c r="B157" t="s">
        <v>475</v>
      </c>
      <c r="H157" s="60">
        <f>A156-A155</f>
        <v>3.4722222222222099E-3</v>
      </c>
      <c r="I157" t="s">
        <v>372</v>
      </c>
      <c r="L157" t="s">
        <v>1169</v>
      </c>
      <c r="M157" s="107" t="s">
        <v>288</v>
      </c>
      <c r="N157" s="110">
        <v>2.0833333333333333E-3</v>
      </c>
      <c r="O157" s="110">
        <v>2.0833333333333259E-3</v>
      </c>
      <c r="P157" s="110">
        <v>2.7777777777777679E-3</v>
      </c>
      <c r="Q157" s="110">
        <v>4.1666666666666796E-3</v>
      </c>
      <c r="R157" s="110">
        <f>H159</f>
        <v>2.0833333333333259E-3</v>
      </c>
      <c r="S157" s="107"/>
    </row>
    <row r="158" spans="1:19">
      <c r="A158" s="60">
        <v>0.14930555555555555</v>
      </c>
      <c r="B158" t="s">
        <v>476</v>
      </c>
      <c r="F158" t="s">
        <v>224</v>
      </c>
      <c r="H158" s="60">
        <f>A163-A156</f>
        <v>9.0277777777777735E-3</v>
      </c>
      <c r="I158" t="s">
        <v>1091</v>
      </c>
      <c r="M158" s="107" t="s">
        <v>1157</v>
      </c>
      <c r="N158" s="110">
        <v>6.9444444444444198E-4</v>
      </c>
      <c r="O158" s="107"/>
      <c r="P158" s="107"/>
      <c r="Q158" s="107"/>
      <c r="R158" s="107"/>
      <c r="S158" s="107"/>
    </row>
    <row r="159" spans="1:19">
      <c r="A159" s="60">
        <v>0.15</v>
      </c>
      <c r="B159" t="s">
        <v>477</v>
      </c>
      <c r="F159" s="60">
        <f>A167-A151</f>
        <v>2.0833333333333343E-2</v>
      </c>
      <c r="H159" s="60">
        <f>A165-A164</f>
        <v>2.0833333333333259E-3</v>
      </c>
      <c r="I159" t="s">
        <v>288</v>
      </c>
      <c r="M159" s="107" t="s">
        <v>51</v>
      </c>
      <c r="N159" s="110">
        <v>1.8749999999999989E-2</v>
      </c>
      <c r="O159" s="110">
        <v>2.0833333333333343E-2</v>
      </c>
      <c r="P159" s="107"/>
      <c r="Q159" s="107"/>
      <c r="R159" s="107"/>
      <c r="S159" s="107"/>
    </row>
    <row r="160" spans="1:19">
      <c r="A160" s="60">
        <v>0.15208333333333332</v>
      </c>
      <c r="B160" t="s">
        <v>478</v>
      </c>
      <c r="H160" s="60">
        <f>A167-A166</f>
        <v>1.3888888888889117E-3</v>
      </c>
      <c r="I160" t="s">
        <v>477</v>
      </c>
    </row>
    <row r="161" spans="1:19">
      <c r="A161" s="60">
        <v>0.15277777777777776</v>
      </c>
      <c r="B161" t="s">
        <v>479</v>
      </c>
    </row>
    <row r="162" spans="1:19">
      <c r="A162" s="60">
        <v>0.15555555555555556</v>
      </c>
      <c r="B162" t="s">
        <v>480</v>
      </c>
    </row>
    <row r="163" spans="1:19">
      <c r="A163" s="60">
        <v>0.15625</v>
      </c>
      <c r="B163" t="s">
        <v>481</v>
      </c>
      <c r="I163" t="s">
        <v>34</v>
      </c>
    </row>
    <row r="164" spans="1:19">
      <c r="A164" s="60">
        <v>0.15625</v>
      </c>
      <c r="B164" t="s">
        <v>288</v>
      </c>
    </row>
    <row r="165" spans="1:19">
      <c r="A165" s="60">
        <v>0.15833333333333333</v>
      </c>
      <c r="B165" t="s">
        <v>482</v>
      </c>
    </row>
    <row r="166" spans="1:19">
      <c r="A166" s="60">
        <v>0.15833333333333333</v>
      </c>
      <c r="B166" t="s">
        <v>386</v>
      </c>
      <c r="L166" s="107"/>
      <c r="M166" s="107"/>
      <c r="N166" s="107"/>
      <c r="O166" s="107"/>
      <c r="P166" s="107"/>
      <c r="Q166" s="107"/>
      <c r="R166" s="107"/>
      <c r="S166" s="107"/>
    </row>
    <row r="167" spans="1:19">
      <c r="A167" s="60">
        <v>0.15972222222222224</v>
      </c>
      <c r="B167" t="s">
        <v>451</v>
      </c>
      <c r="L167" s="107"/>
      <c r="M167" s="107"/>
      <c r="N167" s="107"/>
      <c r="O167" s="107"/>
      <c r="P167" s="107"/>
      <c r="Q167" s="107"/>
      <c r="R167" s="107"/>
      <c r="S167" s="107"/>
    </row>
    <row r="168" spans="1:19">
      <c r="L168" s="107"/>
      <c r="M168" s="107"/>
      <c r="N168" s="107"/>
      <c r="O168" s="107"/>
      <c r="P168" s="107"/>
      <c r="Q168" s="107"/>
      <c r="R168" s="107"/>
      <c r="S168" s="107"/>
    </row>
    <row r="169" spans="1:19">
      <c r="L169" s="107"/>
      <c r="M169" s="107"/>
      <c r="N169" s="107"/>
      <c r="O169" s="107"/>
      <c r="P169" s="107"/>
      <c r="Q169" s="107"/>
      <c r="R169" s="107"/>
      <c r="S169" s="107"/>
    </row>
    <row r="170" spans="1:19">
      <c r="A170" t="s">
        <v>452</v>
      </c>
      <c r="C170" t="s">
        <v>483</v>
      </c>
      <c r="M170" s="107"/>
      <c r="N170" s="107"/>
      <c r="O170" s="107"/>
      <c r="P170" s="107"/>
      <c r="Q170" s="107"/>
      <c r="R170" s="107"/>
      <c r="S170" s="107"/>
    </row>
    <row r="171" spans="1:19">
      <c r="A171" s="60">
        <v>1.0416666666666666E-2</v>
      </c>
      <c r="B171" t="s">
        <v>453</v>
      </c>
      <c r="C171" t="s">
        <v>484</v>
      </c>
      <c r="F171" s="60"/>
      <c r="M171" s="107"/>
      <c r="N171" s="107"/>
      <c r="O171" s="107"/>
      <c r="P171" s="107"/>
      <c r="Q171" s="107"/>
      <c r="R171" s="107"/>
      <c r="S171" s="107"/>
    </row>
    <row r="172" spans="1:19">
      <c r="A172" s="60">
        <v>4.1666666666666664E-2</v>
      </c>
      <c r="B172" t="s">
        <v>455</v>
      </c>
      <c r="F172" s="60"/>
      <c r="H172" s="60"/>
      <c r="M172" s="107"/>
      <c r="N172" s="107"/>
      <c r="O172" s="107"/>
      <c r="P172" s="107"/>
      <c r="Q172" s="107"/>
      <c r="R172" s="107"/>
      <c r="S172" s="107"/>
    </row>
    <row r="173" spans="1:19">
      <c r="M173" s="107"/>
      <c r="N173" s="107"/>
      <c r="O173" s="107"/>
      <c r="P173" s="107"/>
      <c r="Q173" s="107"/>
      <c r="R173" s="107"/>
      <c r="S173" s="107"/>
    </row>
    <row r="174" spans="1:19">
      <c r="H174" t="s">
        <v>1209</v>
      </c>
      <c r="L174" s="107"/>
      <c r="M174" s="109" t="s">
        <v>1202</v>
      </c>
      <c r="N174" s="107"/>
      <c r="O174" s="107"/>
      <c r="P174" s="107"/>
      <c r="Q174" s="107"/>
      <c r="R174" s="107"/>
      <c r="S174" s="107"/>
    </row>
    <row r="175" spans="1:19">
      <c r="A175" s="60">
        <v>0.16250000000000001</v>
      </c>
      <c r="B175" t="s">
        <v>485</v>
      </c>
      <c r="F175" t="s">
        <v>208</v>
      </c>
      <c r="H175" s="67" t="s">
        <v>311</v>
      </c>
      <c r="L175" s="107"/>
      <c r="M175" s="107"/>
      <c r="N175" s="107"/>
      <c r="O175" s="107"/>
      <c r="P175" s="107"/>
      <c r="Q175" s="107"/>
      <c r="R175" s="107"/>
      <c r="S175" s="107"/>
    </row>
    <row r="176" spans="1:19">
      <c r="A176" s="60">
        <v>0.16388888888888889</v>
      </c>
      <c r="B176" t="s">
        <v>210</v>
      </c>
      <c r="L176" s="107"/>
      <c r="M176" s="109" t="s">
        <v>1198</v>
      </c>
      <c r="N176" s="107" t="s">
        <v>1199</v>
      </c>
      <c r="O176" s="107" t="s">
        <v>1200</v>
      </c>
      <c r="P176" s="107" t="s">
        <v>1203</v>
      </c>
      <c r="Q176" s="107" t="s">
        <v>1205</v>
      </c>
      <c r="R176" s="107" t="s">
        <v>1208</v>
      </c>
      <c r="S176" s="107" t="s">
        <v>1209</v>
      </c>
    </row>
    <row r="177" spans="1:19">
      <c r="A177" s="60">
        <v>0.16874999999999998</v>
      </c>
      <c r="B177" t="s">
        <v>486</v>
      </c>
      <c r="L177" s="107"/>
      <c r="M177" s="107" t="s">
        <v>1029</v>
      </c>
      <c r="N177" s="110">
        <v>2.0833333333333537E-3</v>
      </c>
      <c r="O177" s="110">
        <v>2.0833333333333537E-3</v>
      </c>
      <c r="P177" s="110">
        <v>2.0833333333333259E-3</v>
      </c>
      <c r="Q177" s="110">
        <v>1.388888888888884E-3</v>
      </c>
      <c r="R177" s="110">
        <f>H179</f>
        <v>1.388888888888884E-3</v>
      </c>
      <c r="S177" s="110">
        <f>H179</f>
        <v>1.388888888888884E-3</v>
      </c>
    </row>
    <row r="178" spans="1:19">
      <c r="A178" s="60">
        <v>0.17152777777777775</v>
      </c>
      <c r="B178" t="s">
        <v>474</v>
      </c>
      <c r="L178" s="107"/>
      <c r="M178" s="107" t="s">
        <v>300</v>
      </c>
      <c r="N178" s="110">
        <v>3.4722222222222099E-3</v>
      </c>
      <c r="O178" s="110">
        <v>2.0833333333333259E-3</v>
      </c>
      <c r="P178" s="110">
        <v>3.4722222222222238E-3</v>
      </c>
      <c r="Q178" s="110">
        <v>2.0833333333333398E-3</v>
      </c>
      <c r="R178" s="110">
        <f>H180</f>
        <v>4.8611111111110938E-3</v>
      </c>
      <c r="S178" s="110">
        <f>H180</f>
        <v>4.8611111111110938E-3</v>
      </c>
    </row>
    <row r="179" spans="1:19">
      <c r="A179" s="60">
        <v>0.17291666666666669</v>
      </c>
      <c r="B179" t="s">
        <v>418</v>
      </c>
      <c r="F179" t="s">
        <v>224</v>
      </c>
      <c r="H179" s="60">
        <f>A176-A175</f>
        <v>1.388888888888884E-3</v>
      </c>
      <c r="I179" t="s">
        <v>1029</v>
      </c>
      <c r="L179" s="107"/>
      <c r="M179" s="107" t="s">
        <v>372</v>
      </c>
      <c r="N179" s="110">
        <v>2.0833333333333537E-3</v>
      </c>
      <c r="O179" s="110">
        <v>4.1666666666666519E-3</v>
      </c>
      <c r="P179" s="110">
        <v>5.5555555555555497E-3</v>
      </c>
      <c r="Q179" s="110">
        <v>2.0833333333333333E-3</v>
      </c>
      <c r="R179" s="110">
        <f>H182</f>
        <v>9.7222222222222432E-3</v>
      </c>
      <c r="S179" s="110">
        <f>H181</f>
        <v>2.7777777777777679E-3</v>
      </c>
    </row>
    <row r="180" spans="1:19">
      <c r="A180" s="60">
        <v>0.17361111111111113</v>
      </c>
      <c r="B180" t="s">
        <v>487</v>
      </c>
      <c r="F180" s="60">
        <f>A188-A175</f>
        <v>2.6388888888888878E-2</v>
      </c>
      <c r="H180" s="60">
        <f>A177-A176</f>
        <v>4.8611111111110938E-3</v>
      </c>
      <c r="I180" t="s">
        <v>300</v>
      </c>
      <c r="L180" s="107"/>
      <c r="M180" s="107" t="s">
        <v>1201</v>
      </c>
      <c r="N180" s="110">
        <v>1.388888888888884E-3</v>
      </c>
      <c r="O180" s="110">
        <v>4.8611111111110938E-3</v>
      </c>
      <c r="P180" s="110">
        <v>2.0833333333333259E-3</v>
      </c>
      <c r="Q180" s="110">
        <v>1.3888888888888889E-3</v>
      </c>
      <c r="R180" s="110">
        <f>H181+H185</f>
        <v>4.1666666666666519E-3</v>
      </c>
      <c r="S180" s="110">
        <f>H184+H186</f>
        <v>1.388888888888884E-3</v>
      </c>
    </row>
    <row r="181" spans="1:19">
      <c r="A181" s="60">
        <v>0.17708333333333334</v>
      </c>
      <c r="B181" t="s">
        <v>488</v>
      </c>
      <c r="H181" s="60">
        <f>A178-A177</f>
        <v>2.7777777777777679E-3</v>
      </c>
      <c r="I181" t="s">
        <v>372</v>
      </c>
      <c r="L181" s="107"/>
      <c r="M181" s="107" t="s">
        <v>1154</v>
      </c>
      <c r="N181" s="110">
        <v>6.9444444444444198E-3</v>
      </c>
      <c r="O181" s="110">
        <v>5.5555555555555913E-3</v>
      </c>
      <c r="P181" s="110">
        <v>6.9444444444444614E-3</v>
      </c>
      <c r="Q181" s="110">
        <v>8.3333333333333176E-3</v>
      </c>
      <c r="R181" s="110">
        <f>H183</f>
        <v>4.1666666666666796E-3</v>
      </c>
      <c r="S181" s="110">
        <f>H182</f>
        <v>9.7222222222222432E-3</v>
      </c>
    </row>
    <row r="182" spans="1:19">
      <c r="A182" s="60">
        <v>0.17777777777777778</v>
      </c>
      <c r="B182" t="s">
        <v>489</v>
      </c>
      <c r="F182" t="s">
        <v>1169</v>
      </c>
      <c r="H182" s="60">
        <f>A183-A178</f>
        <v>9.7222222222222432E-3</v>
      </c>
      <c r="I182" t="s">
        <v>1091</v>
      </c>
      <c r="L182" s="107"/>
      <c r="M182" s="107" t="s">
        <v>288</v>
      </c>
      <c r="N182" s="110">
        <v>2.0833333333333333E-3</v>
      </c>
      <c r="O182" s="110">
        <v>2.0833333333333259E-3</v>
      </c>
      <c r="P182" s="110">
        <v>2.7777777777777679E-3</v>
      </c>
      <c r="Q182" s="110">
        <v>4.1666666666666796E-3</v>
      </c>
      <c r="R182" s="110">
        <f>H184</f>
        <v>6.9444444444444198E-4</v>
      </c>
      <c r="S182" s="110">
        <f>H183</f>
        <v>4.1666666666666796E-3</v>
      </c>
    </row>
    <row r="183" spans="1:19">
      <c r="A183" s="60">
        <v>0.18124999999999999</v>
      </c>
      <c r="B183" t="s">
        <v>490</v>
      </c>
      <c r="F183" s="60">
        <f>A182-A181</f>
        <v>6.9444444444444198E-4</v>
      </c>
      <c r="H183" s="60">
        <f>A184-A183</f>
        <v>4.1666666666666796E-3</v>
      </c>
      <c r="I183" t="s">
        <v>288</v>
      </c>
      <c r="L183" s="107"/>
      <c r="M183" s="107" t="s">
        <v>1157</v>
      </c>
      <c r="N183" s="110">
        <v>6.9444444444444198E-4</v>
      </c>
      <c r="O183" s="107"/>
      <c r="P183" s="107"/>
      <c r="Q183" s="107"/>
      <c r="R183" s="107"/>
      <c r="S183" s="110">
        <f>H185</f>
        <v>1.388888888888884E-3</v>
      </c>
    </row>
    <row r="184" spans="1:19">
      <c r="A184" s="60">
        <v>0.18541666666666667</v>
      </c>
      <c r="B184" t="s">
        <v>491</v>
      </c>
      <c r="H184" s="60">
        <f>A185-A184</f>
        <v>6.9444444444444198E-4</v>
      </c>
      <c r="I184" t="s">
        <v>1093</v>
      </c>
      <c r="L184" s="107"/>
      <c r="M184" s="107" t="s">
        <v>51</v>
      </c>
      <c r="N184" s="110">
        <v>1.8749999999999989E-2</v>
      </c>
      <c r="O184" s="110">
        <v>2.0833333333333343E-2</v>
      </c>
      <c r="P184" s="107"/>
      <c r="Q184" s="107"/>
      <c r="R184" s="107"/>
      <c r="S184" s="107"/>
    </row>
    <row r="185" spans="1:19">
      <c r="A185" s="60">
        <v>0.18611111111111112</v>
      </c>
      <c r="B185" t="s">
        <v>492</v>
      </c>
      <c r="H185" s="60">
        <f>A186-A185</f>
        <v>1.388888888888884E-3</v>
      </c>
      <c r="I185" t="s">
        <v>1170</v>
      </c>
      <c r="L185" s="107"/>
      <c r="M185" s="107"/>
      <c r="N185" s="107"/>
      <c r="O185" s="107"/>
      <c r="P185" s="107"/>
      <c r="Q185" s="107"/>
      <c r="R185" s="107"/>
      <c r="S185" s="107"/>
    </row>
    <row r="186" spans="1:19">
      <c r="A186" s="60">
        <v>0.1875</v>
      </c>
      <c r="B186" t="s">
        <v>477</v>
      </c>
      <c r="H186" s="60">
        <f>A187-A186</f>
        <v>6.9444444444444198E-4</v>
      </c>
      <c r="I186" t="s">
        <v>477</v>
      </c>
      <c r="L186" s="107"/>
      <c r="M186" s="107" t="s">
        <v>1206</v>
      </c>
      <c r="N186" s="107"/>
      <c r="O186" s="107"/>
      <c r="P186" s="107"/>
      <c r="Q186" s="107"/>
      <c r="R186" s="107"/>
      <c r="S186" s="107"/>
    </row>
    <row r="187" spans="1:19">
      <c r="A187" s="60">
        <v>0.18819444444444444</v>
      </c>
      <c r="B187" t="s">
        <v>493</v>
      </c>
      <c r="H187" s="60">
        <f>A188-A187</f>
        <v>6.9444444444444198E-4</v>
      </c>
      <c r="I187" t="s">
        <v>1153</v>
      </c>
      <c r="L187" s="107"/>
      <c r="M187" s="107" t="s">
        <v>1207</v>
      </c>
      <c r="N187" s="107"/>
      <c r="O187" s="107"/>
      <c r="P187" s="107"/>
      <c r="Q187" s="107"/>
      <c r="R187" s="107"/>
      <c r="S187" s="107"/>
    </row>
    <row r="188" spans="1:19">
      <c r="A188" s="60">
        <v>0.18888888888888888</v>
      </c>
      <c r="B188" t="s">
        <v>385</v>
      </c>
      <c r="L188" s="107"/>
      <c r="M188" s="107"/>
      <c r="N188" s="107"/>
      <c r="O188" s="107"/>
      <c r="P188" s="107"/>
      <c r="Q188" s="107"/>
      <c r="R188" s="107"/>
      <c r="S188" s="107"/>
    </row>
    <row r="189" spans="1:19">
      <c r="A189" s="60"/>
      <c r="L189" s="107"/>
      <c r="M189" s="107"/>
      <c r="N189" s="107"/>
      <c r="O189" s="107"/>
      <c r="P189" s="107"/>
      <c r="Q189" s="107"/>
      <c r="R189" s="107"/>
      <c r="S189" s="107"/>
    </row>
    <row r="190" spans="1:19">
      <c r="A190" s="60"/>
      <c r="L190" s="107"/>
      <c r="M190" s="107"/>
      <c r="N190" s="107"/>
      <c r="O190" s="107"/>
      <c r="P190" s="107"/>
      <c r="Q190" s="107"/>
      <c r="R190" s="107"/>
      <c r="S190" s="107"/>
    </row>
    <row r="191" spans="1:19">
      <c r="A191" t="s">
        <v>452</v>
      </c>
      <c r="C191" t="s">
        <v>483</v>
      </c>
      <c r="R191" s="107"/>
      <c r="S191" s="107"/>
    </row>
    <row r="192" spans="1:19">
      <c r="A192" s="60" t="s">
        <v>494</v>
      </c>
      <c r="B192" t="s">
        <v>453</v>
      </c>
      <c r="C192" t="s">
        <v>484</v>
      </c>
      <c r="F192" s="60"/>
      <c r="K192" s="60"/>
      <c r="R192" s="107"/>
      <c r="S192" s="107"/>
    </row>
    <row r="193" spans="1:19">
      <c r="A193" s="60">
        <v>4.1666666666666664E-2</v>
      </c>
      <c r="B193" t="s">
        <v>455</v>
      </c>
      <c r="F193" s="60"/>
      <c r="K193" s="60"/>
      <c r="M193" s="60"/>
      <c r="R193" s="107"/>
      <c r="S193" s="107"/>
    </row>
    <row r="194" spans="1:19">
      <c r="R194" s="107"/>
      <c r="S194" s="107"/>
    </row>
    <row r="195" spans="1:19">
      <c r="F195" t="s">
        <v>208</v>
      </c>
      <c r="H195" s="65" t="s">
        <v>238</v>
      </c>
      <c r="I195" s="66"/>
      <c r="J195" s="66"/>
      <c r="L195" s="107"/>
      <c r="M195" s="54" t="s">
        <v>1216</v>
      </c>
      <c r="N195" t="s">
        <v>1199</v>
      </c>
      <c r="O195" t="s">
        <v>1200</v>
      </c>
      <c r="P195" s="111" t="s">
        <v>1203</v>
      </c>
      <c r="Q195" s="107"/>
      <c r="R195" s="107"/>
      <c r="S195" s="107"/>
    </row>
    <row r="196" spans="1:19">
      <c r="L196" s="107"/>
      <c r="M196" t="s">
        <v>1029</v>
      </c>
      <c r="N196" s="60">
        <v>1.3888888888888978E-3</v>
      </c>
      <c r="O196" s="60">
        <v>6.9444444444444198E-4</v>
      </c>
      <c r="P196" s="112">
        <f>H198</f>
        <v>6.9444444444444198E-4</v>
      </c>
      <c r="Q196" s="107"/>
      <c r="R196" s="107"/>
      <c r="S196" s="107"/>
    </row>
    <row r="197" spans="1:19">
      <c r="A197" s="60">
        <v>0.19236111111111112</v>
      </c>
      <c r="B197" t="s">
        <v>495</v>
      </c>
      <c r="L197" s="107"/>
      <c r="M197" t="s">
        <v>300</v>
      </c>
      <c r="N197" s="60">
        <v>1.3888888888888978E-3</v>
      </c>
      <c r="O197" s="60">
        <v>1.388888888888884E-3</v>
      </c>
      <c r="P197" s="112">
        <f>H199</f>
        <v>1.388888888888884E-3</v>
      </c>
      <c r="Q197" s="107"/>
      <c r="R197" s="107"/>
      <c r="S197" s="107"/>
    </row>
    <row r="198" spans="1:19">
      <c r="A198" s="60">
        <v>0.19305555555555554</v>
      </c>
      <c r="B198" t="s">
        <v>496</v>
      </c>
      <c r="G198" s="60">
        <f>A199-A197</f>
        <v>2.0833333333333259E-3</v>
      </c>
      <c r="H198" s="60">
        <f>G198/3</f>
        <v>6.9444444444444198E-4</v>
      </c>
      <c r="I198" t="s">
        <v>1029</v>
      </c>
      <c r="L198" s="107"/>
      <c r="M198" t="s">
        <v>1159</v>
      </c>
      <c r="N198" s="60">
        <v>2.7777777777777679E-3</v>
      </c>
      <c r="O198" s="60">
        <v>4.8611111111111216E-3</v>
      </c>
      <c r="P198" s="112">
        <f>H203</f>
        <v>1.388888888888884E-3</v>
      </c>
      <c r="Q198" s="107"/>
      <c r="R198" s="107"/>
      <c r="S198" s="107"/>
    </row>
    <row r="199" spans="1:19">
      <c r="A199" s="60">
        <v>0.19444444444444445</v>
      </c>
      <c r="B199" t="s">
        <v>486</v>
      </c>
      <c r="F199" t="s">
        <v>1169</v>
      </c>
      <c r="H199" s="60">
        <f>G198-H198</f>
        <v>1.388888888888884E-3</v>
      </c>
      <c r="I199" t="s">
        <v>300</v>
      </c>
      <c r="L199" s="107"/>
      <c r="M199" t="s">
        <v>372</v>
      </c>
      <c r="N199" s="60">
        <v>2.0833333333333259E-3</v>
      </c>
      <c r="O199" s="60">
        <v>1.388888888888884E-3</v>
      </c>
      <c r="P199" s="112">
        <f>H200</f>
        <v>8.3333333333333592E-3</v>
      </c>
      <c r="Q199" s="107"/>
      <c r="R199" s="107"/>
      <c r="S199" s="107"/>
    </row>
    <row r="200" spans="1:19">
      <c r="A200" s="60">
        <v>0.20277777777777781</v>
      </c>
      <c r="B200" t="s">
        <v>497</v>
      </c>
      <c r="F200" s="60">
        <f>A207-A205</f>
        <v>3.4722222222222099E-3</v>
      </c>
      <c r="H200" s="60">
        <f>A200-A199</f>
        <v>8.3333333333333592E-3</v>
      </c>
      <c r="I200" t="s">
        <v>372</v>
      </c>
      <c r="L200" s="107"/>
      <c r="M200" t="s">
        <v>1154</v>
      </c>
      <c r="N200" s="60">
        <v>4.1666666666666796E-3</v>
      </c>
      <c r="O200" s="60">
        <v>7.6388888888889173E-3</v>
      </c>
      <c r="P200" s="112">
        <f>H201</f>
        <v>1.041666666666663E-2</v>
      </c>
      <c r="Q200" s="107"/>
      <c r="R200" s="107"/>
      <c r="S200" s="107"/>
    </row>
    <row r="201" spans="1:19">
      <c r="A201" s="60">
        <v>0.20486111111111113</v>
      </c>
      <c r="B201" t="s">
        <v>475</v>
      </c>
      <c r="H201" s="60">
        <f>A207-A200</f>
        <v>1.041666666666663E-2</v>
      </c>
      <c r="I201" t="s">
        <v>1091</v>
      </c>
      <c r="L201" s="107"/>
      <c r="M201" t="s">
        <v>288</v>
      </c>
      <c r="N201" s="60">
        <v>4.1666666666666519E-3</v>
      </c>
      <c r="O201" s="60">
        <v>2.7777777777777679E-3</v>
      </c>
      <c r="P201" s="112">
        <f>H202+H206</f>
        <v>3.4722222222222376E-3</v>
      </c>
      <c r="Q201" s="107"/>
      <c r="R201" s="107"/>
      <c r="S201" s="107"/>
    </row>
    <row r="202" spans="1:19">
      <c r="A202" s="60">
        <v>0.20555555555555557</v>
      </c>
      <c r="B202" t="s">
        <v>498</v>
      </c>
      <c r="H202" s="60">
        <f>A208-A207</f>
        <v>2.0833333333333537E-3</v>
      </c>
      <c r="I202" t="s">
        <v>288</v>
      </c>
      <c r="L202" s="107"/>
      <c r="M202" t="s">
        <v>1160</v>
      </c>
      <c r="N202" s="60">
        <v>2.0833333333333259E-3</v>
      </c>
      <c r="O202" s="60">
        <v>6.2499999999999778E-3</v>
      </c>
      <c r="P202" s="112">
        <f>H204</f>
        <v>2.7777777777777679E-3</v>
      </c>
      <c r="Q202" s="107"/>
      <c r="R202" s="107"/>
      <c r="S202" s="107"/>
    </row>
    <row r="203" spans="1:19">
      <c r="A203" s="60">
        <v>0.20694444444444446</v>
      </c>
      <c r="B203" t="s">
        <v>491</v>
      </c>
      <c r="H203" s="60">
        <f>A209-A208</f>
        <v>1.388888888888884E-3</v>
      </c>
      <c r="I203" t="s">
        <v>1093</v>
      </c>
      <c r="L203" s="107"/>
      <c r="M203" t="s">
        <v>1161</v>
      </c>
      <c r="N203" s="60">
        <v>4.8611111111111494E-3</v>
      </c>
      <c r="P203" s="112">
        <f>H205</f>
        <v>2.0833333333333259E-3</v>
      </c>
      <c r="Q203" s="107"/>
      <c r="R203" s="107"/>
      <c r="S203" s="107"/>
    </row>
    <row r="204" spans="1:19">
      <c r="A204" s="60">
        <v>0.2076388888888889</v>
      </c>
      <c r="B204" s="60" t="s">
        <v>499</v>
      </c>
      <c r="F204" t="s">
        <v>224</v>
      </c>
      <c r="H204" s="60">
        <f>A212-A209</f>
        <v>2.7777777777777679E-3</v>
      </c>
      <c r="I204" t="s">
        <v>1160</v>
      </c>
      <c r="L204" s="107"/>
      <c r="M204" t="s">
        <v>1215</v>
      </c>
      <c r="N204" s="60">
        <v>5.5555555555555358E-3</v>
      </c>
      <c r="P204" s="111"/>
      <c r="Q204" s="107"/>
      <c r="R204" s="107"/>
      <c r="S204" s="107"/>
    </row>
    <row r="205" spans="1:19">
      <c r="A205" s="60">
        <v>0.20972222222222223</v>
      </c>
      <c r="B205" t="s">
        <v>488</v>
      </c>
      <c r="F205" s="60">
        <f>A216-A197</f>
        <v>3.1249999999999972E-2</v>
      </c>
      <c r="H205" s="60">
        <f>A213-A212</f>
        <v>2.0833333333333259E-3</v>
      </c>
      <c r="I205" t="s">
        <v>1161</v>
      </c>
      <c r="L205" s="107"/>
      <c r="P205" s="111"/>
      <c r="Q205" s="107"/>
      <c r="R205" s="107"/>
      <c r="S205" s="107"/>
    </row>
    <row r="206" spans="1:19">
      <c r="A206" s="60">
        <v>0.21111111111111111</v>
      </c>
      <c r="B206" t="s">
        <v>500</v>
      </c>
      <c r="H206" s="60">
        <f>A215-A213</f>
        <v>1.388888888888884E-3</v>
      </c>
      <c r="I206" t="s">
        <v>507</v>
      </c>
      <c r="L206" s="107"/>
      <c r="M206" s="107"/>
      <c r="N206" s="107"/>
      <c r="O206" s="107"/>
      <c r="P206" s="107"/>
      <c r="Q206" s="107"/>
      <c r="R206" s="107"/>
      <c r="S206" s="107"/>
    </row>
    <row r="207" spans="1:19">
      <c r="A207" s="60">
        <v>0.21319444444444444</v>
      </c>
      <c r="B207" t="s">
        <v>490</v>
      </c>
      <c r="H207" s="60">
        <f>A216-A215</f>
        <v>6.9444444444444198E-4</v>
      </c>
      <c r="I207" t="s">
        <v>1153</v>
      </c>
      <c r="L207" s="107"/>
      <c r="M207" s="107"/>
      <c r="N207" s="107"/>
      <c r="O207" s="107"/>
      <c r="P207" s="107"/>
      <c r="Q207" s="107"/>
      <c r="R207" s="107"/>
      <c r="S207" s="107"/>
    </row>
    <row r="208" spans="1:19">
      <c r="A208" s="60">
        <v>0.21527777777777779</v>
      </c>
      <c r="B208" t="s">
        <v>501</v>
      </c>
    </row>
    <row r="209" spans="1:8">
      <c r="A209" s="60">
        <v>0.21666666666666667</v>
      </c>
      <c r="B209" t="s">
        <v>502</v>
      </c>
    </row>
    <row r="210" spans="1:8">
      <c r="A210" s="60">
        <v>0.21736111111111112</v>
      </c>
      <c r="B210" t="s">
        <v>503</v>
      </c>
    </row>
    <row r="211" spans="1:8">
      <c r="A211" s="60">
        <v>0.21805555555555556</v>
      </c>
      <c r="B211" t="s">
        <v>504</v>
      </c>
    </row>
    <row r="212" spans="1:8">
      <c r="A212" s="60">
        <v>0.21944444444444444</v>
      </c>
      <c r="B212" t="s">
        <v>505</v>
      </c>
    </row>
    <row r="213" spans="1:8">
      <c r="A213" s="60">
        <v>0.22152777777777777</v>
      </c>
      <c r="B213" t="s">
        <v>506</v>
      </c>
    </row>
    <row r="214" spans="1:8">
      <c r="A214" s="60">
        <v>0.22222222222222221</v>
      </c>
      <c r="B214" t="s">
        <v>507</v>
      </c>
    </row>
    <row r="215" spans="1:8">
      <c r="A215" s="60">
        <v>0.22291666666666665</v>
      </c>
      <c r="B215" t="s">
        <v>508</v>
      </c>
    </row>
    <row r="216" spans="1:8">
      <c r="A216" s="60">
        <v>0.22361111111111109</v>
      </c>
      <c r="B216" t="s">
        <v>509</v>
      </c>
    </row>
    <row r="218" spans="1:8">
      <c r="A218" t="s">
        <v>452</v>
      </c>
      <c r="C218" t="s">
        <v>483</v>
      </c>
    </row>
    <row r="219" spans="1:8">
      <c r="A219" s="60" t="s">
        <v>682</v>
      </c>
      <c r="B219" t="s">
        <v>453</v>
      </c>
      <c r="C219" t="s">
        <v>484</v>
      </c>
      <c r="F219" t="s">
        <v>34</v>
      </c>
    </row>
    <row r="220" spans="1:8">
      <c r="A220" s="60">
        <v>8.3333333333333329E-2</v>
      </c>
      <c r="B220" t="s">
        <v>455</v>
      </c>
    </row>
    <row r="221" spans="1:8">
      <c r="G221" t="s">
        <v>388</v>
      </c>
    </row>
    <row r="222" spans="1:8">
      <c r="A222" s="60">
        <v>0.2298611111111111</v>
      </c>
      <c r="B222" t="s">
        <v>203</v>
      </c>
      <c r="G222" s="60">
        <f>A223-A222</f>
        <v>7.6388888888889173E-3</v>
      </c>
      <c r="H222" t="s">
        <v>685</v>
      </c>
    </row>
    <row r="223" spans="1:8">
      <c r="A223" s="60">
        <v>0.23750000000000002</v>
      </c>
      <c r="B223" t="s">
        <v>684</v>
      </c>
    </row>
    <row r="224" spans="1:8">
      <c r="A224" s="60">
        <v>0.2722222222222222</v>
      </c>
      <c r="B224" t="s">
        <v>683</v>
      </c>
      <c r="G224" t="s">
        <v>391</v>
      </c>
    </row>
    <row r="225" spans="1:20">
      <c r="G225" s="60">
        <f>A224-A223</f>
        <v>3.4722222222222182E-2</v>
      </c>
    </row>
    <row r="226" spans="1:20">
      <c r="A226" t="s">
        <v>875</v>
      </c>
    </row>
    <row r="228" spans="1:20">
      <c r="A228" s="85">
        <v>41964</v>
      </c>
    </row>
    <row r="229" spans="1:20">
      <c r="A229" t="s">
        <v>452</v>
      </c>
      <c r="C229" t="s">
        <v>483</v>
      </c>
    </row>
    <row r="230" spans="1:20">
      <c r="A230" s="60">
        <v>4.1666666666666664E-2</v>
      </c>
      <c r="B230" t="s">
        <v>453</v>
      </c>
      <c r="C230" t="s">
        <v>484</v>
      </c>
      <c r="F230" s="60"/>
    </row>
    <row r="231" spans="1:20">
      <c r="A231" s="60">
        <v>1.0416666666666666E-2</v>
      </c>
      <c r="B231" t="s">
        <v>895</v>
      </c>
      <c r="F231" s="60"/>
    </row>
    <row r="232" spans="1:20">
      <c r="A232" s="60"/>
    </row>
    <row r="233" spans="1:20">
      <c r="A233" s="60">
        <v>0.11458333333333333</v>
      </c>
      <c r="B233" t="s">
        <v>884</v>
      </c>
    </row>
    <row r="234" spans="1:20">
      <c r="A234" s="60">
        <v>0.11666666666666665</v>
      </c>
      <c r="B234" t="s">
        <v>886</v>
      </c>
    </row>
    <row r="235" spans="1:20">
      <c r="A235" s="60">
        <v>0.1173611111111111</v>
      </c>
      <c r="B235" t="s">
        <v>887</v>
      </c>
      <c r="H235" t="s">
        <v>1210</v>
      </c>
    </row>
    <row r="236" spans="1:20">
      <c r="A236" s="60">
        <v>0.11805555555555557</v>
      </c>
      <c r="B236" t="s">
        <v>888</v>
      </c>
      <c r="F236" t="s">
        <v>882</v>
      </c>
      <c r="H236" s="67" t="s">
        <v>311</v>
      </c>
    </row>
    <row r="237" spans="1:20">
      <c r="A237" s="60">
        <v>0.11875000000000001</v>
      </c>
      <c r="B237" t="s">
        <v>889</v>
      </c>
      <c r="E237" s="60">
        <f>A235-A233</f>
        <v>2.7777777777777679E-3</v>
      </c>
      <c r="F237" t="s">
        <v>883</v>
      </c>
      <c r="H237" s="60">
        <f>E237/2</f>
        <v>1.388888888888884E-3</v>
      </c>
      <c r="I237" t="s">
        <v>1029</v>
      </c>
    </row>
    <row r="238" spans="1:20">
      <c r="A238" s="60">
        <v>0.12222222222222223</v>
      </c>
      <c r="B238" t="s">
        <v>890</v>
      </c>
      <c r="H238" s="60">
        <f>E237/2</f>
        <v>1.388888888888884E-3</v>
      </c>
      <c r="I238" t="s">
        <v>300</v>
      </c>
      <c r="M238" s="54" t="s">
        <v>1202</v>
      </c>
    </row>
    <row r="239" spans="1:20">
      <c r="A239" s="60">
        <v>0.12361111111111112</v>
      </c>
      <c r="B239" t="s">
        <v>891</v>
      </c>
      <c r="H239" s="60">
        <f>A236-A235</f>
        <v>6.9444444444446973E-4</v>
      </c>
      <c r="I239" t="s">
        <v>372</v>
      </c>
    </row>
    <row r="240" spans="1:20">
      <c r="A240" s="60">
        <v>0.125</v>
      </c>
      <c r="B240" t="s">
        <v>478</v>
      </c>
      <c r="F240" t="s">
        <v>224</v>
      </c>
      <c r="H240" s="60">
        <f>A237-A236</f>
        <v>6.9444444444444198E-4</v>
      </c>
      <c r="I240" t="s">
        <v>477</v>
      </c>
      <c r="M240" s="54" t="s">
        <v>1198</v>
      </c>
      <c r="N240" t="s">
        <v>1199</v>
      </c>
      <c r="O240" t="s">
        <v>1200</v>
      </c>
      <c r="P240" t="s">
        <v>1203</v>
      </c>
      <c r="Q240" t="s">
        <v>1205</v>
      </c>
      <c r="R240" t="s">
        <v>1208</v>
      </c>
      <c r="S240" t="s">
        <v>1209</v>
      </c>
      <c r="T240" t="s">
        <v>1210</v>
      </c>
    </row>
    <row r="241" spans="1:20">
      <c r="A241" s="60">
        <v>0.12847222222222224</v>
      </c>
      <c r="B241" t="s">
        <v>892</v>
      </c>
      <c r="F241" s="60">
        <f>A246-A233</f>
        <v>2.2916666666666655E-2</v>
      </c>
      <c r="H241" s="60">
        <f>A242-A237</f>
        <v>1.0416666666666671E-2</v>
      </c>
      <c r="I241" t="s">
        <v>1091</v>
      </c>
      <c r="M241" t="s">
        <v>1029</v>
      </c>
      <c r="N241" s="60">
        <v>2.0833333333333537E-3</v>
      </c>
      <c r="O241" s="60">
        <v>2.0833333333333537E-3</v>
      </c>
      <c r="P241" s="60">
        <v>2.0833333333333259E-3</v>
      </c>
      <c r="Q241" s="60">
        <v>1.388888888888884E-3</v>
      </c>
      <c r="R241" s="60">
        <v>1.388888888888884E-3</v>
      </c>
      <c r="S241" s="60">
        <v>1.388888888888884E-3</v>
      </c>
      <c r="T241" s="60">
        <f>H237</f>
        <v>1.388888888888884E-3</v>
      </c>
    </row>
    <row r="242" spans="1:20">
      <c r="A242" s="60">
        <v>0.12916666666666668</v>
      </c>
      <c r="B242" t="s">
        <v>893</v>
      </c>
      <c r="H242" s="60">
        <f>A243-A242</f>
        <v>2.0833333333333259E-3</v>
      </c>
      <c r="I242" t="s">
        <v>288</v>
      </c>
      <c r="M242" t="s">
        <v>300</v>
      </c>
      <c r="N242" s="60">
        <v>3.4722222222222099E-3</v>
      </c>
      <c r="O242" s="60">
        <v>2.0833333333333259E-3</v>
      </c>
      <c r="P242" s="60">
        <v>3.4722222222222238E-3</v>
      </c>
      <c r="Q242" s="60">
        <v>2.0833333333333398E-3</v>
      </c>
      <c r="R242" s="60">
        <v>4.8611111111110938E-3</v>
      </c>
      <c r="S242" s="60">
        <v>4.8611111111110938E-3</v>
      </c>
      <c r="T242" s="60">
        <f>H238</f>
        <v>1.388888888888884E-3</v>
      </c>
    </row>
    <row r="243" spans="1:20">
      <c r="A243" s="60">
        <v>0.13125000000000001</v>
      </c>
      <c r="B243" t="s">
        <v>894</v>
      </c>
      <c r="F243" t="s">
        <v>1169</v>
      </c>
      <c r="H243" s="60">
        <f>A244-A243</f>
        <v>6.9444444444444198E-4</v>
      </c>
      <c r="I243" t="s">
        <v>1170</v>
      </c>
      <c r="M243" t="s">
        <v>372</v>
      </c>
      <c r="N243" s="60">
        <v>2.0833333333333537E-3</v>
      </c>
      <c r="O243" s="60">
        <v>4.1666666666666519E-3</v>
      </c>
      <c r="P243" s="60">
        <v>5.5555555555555497E-3</v>
      </c>
      <c r="Q243" s="60">
        <v>2.0833333333333333E-3</v>
      </c>
      <c r="R243" s="60">
        <v>9.7222222222222432E-3</v>
      </c>
      <c r="S243" s="60">
        <v>2.7777777777777679E-3</v>
      </c>
      <c r="T243" s="60">
        <f>H239</f>
        <v>6.9444444444446973E-4</v>
      </c>
    </row>
    <row r="244" spans="1:20">
      <c r="A244" s="60">
        <v>0.13194444444444445</v>
      </c>
      <c r="B244" t="s">
        <v>896</v>
      </c>
      <c r="F244" s="60">
        <f>A241-A240</f>
        <v>3.4722222222222376E-3</v>
      </c>
      <c r="H244" s="60">
        <f>A246-A245</f>
        <v>1.388888888888884E-3</v>
      </c>
      <c r="I244" t="s">
        <v>477</v>
      </c>
      <c r="M244" t="s">
        <v>1201</v>
      </c>
      <c r="N244" s="60">
        <v>1.388888888888884E-3</v>
      </c>
      <c r="O244" s="60">
        <v>4.8611111111110938E-3</v>
      </c>
      <c r="P244" s="60">
        <v>2.0833333333333259E-3</v>
      </c>
      <c r="Q244" s="60">
        <v>1.3888888888888889E-3</v>
      </c>
      <c r="R244" s="60">
        <v>4.1666666666666519E-3</v>
      </c>
      <c r="S244" s="60">
        <v>1.388888888888884E-3</v>
      </c>
      <c r="T244" s="60">
        <f>H240+H244</f>
        <v>2.0833333333333259E-3</v>
      </c>
    </row>
    <row r="245" spans="1:20">
      <c r="A245" s="60">
        <v>0.1361111111111111</v>
      </c>
      <c r="B245" t="s">
        <v>897</v>
      </c>
      <c r="F245" s="60">
        <v>6.9444444444444447E-4</v>
      </c>
      <c r="H245" s="60">
        <f>A245-A244</f>
        <v>4.1666666666666519E-3</v>
      </c>
      <c r="I245" t="s">
        <v>1153</v>
      </c>
      <c r="M245" t="s">
        <v>1154</v>
      </c>
      <c r="N245" s="60">
        <v>6.9444444444444198E-3</v>
      </c>
      <c r="O245" s="60">
        <v>5.5555555555555913E-3</v>
      </c>
      <c r="P245" s="60">
        <v>6.9444444444444614E-3</v>
      </c>
      <c r="Q245" s="60">
        <v>8.3333333333333176E-3</v>
      </c>
      <c r="R245" s="60">
        <v>4.1666666666666796E-3</v>
      </c>
      <c r="S245" s="60">
        <v>9.7222222222222432E-3</v>
      </c>
      <c r="T245" s="60">
        <f>H241</f>
        <v>1.0416666666666671E-2</v>
      </c>
    </row>
    <row r="246" spans="1:20">
      <c r="A246" s="60">
        <v>0.13749999999999998</v>
      </c>
      <c r="B246" t="s">
        <v>385</v>
      </c>
      <c r="C246" t="s">
        <v>34</v>
      </c>
      <c r="H246" t="s">
        <v>34</v>
      </c>
      <c r="M246" t="s">
        <v>288</v>
      </c>
      <c r="N246" s="60">
        <v>2.7777777777777779E-3</v>
      </c>
      <c r="O246" s="60">
        <v>2.0833333333333259E-3</v>
      </c>
      <c r="P246" s="60">
        <v>2.7777777777777679E-3</v>
      </c>
      <c r="Q246" s="60">
        <v>4.1666666666666796E-3</v>
      </c>
      <c r="R246" s="60">
        <v>6.9444444444444198E-4</v>
      </c>
      <c r="S246" s="60">
        <v>5.5555555555555558E-3</v>
      </c>
      <c r="T246" s="60">
        <f>H242+H243</f>
        <v>2.7777777777777679E-3</v>
      </c>
    </row>
    <row r="247" spans="1:20">
      <c r="M247" s="54" t="s">
        <v>51</v>
      </c>
      <c r="N247" s="63">
        <v>1.8749999999999999E-2</v>
      </c>
      <c r="O247" s="63">
        <v>2.0833333333333332E-2</v>
      </c>
      <c r="P247" s="63">
        <f>SUM(P241:P246)</f>
        <v>2.2916666666666655E-2</v>
      </c>
      <c r="Q247" s="63">
        <f>SUM(Q241:Q246)</f>
        <v>1.9444444444444445E-2</v>
      </c>
      <c r="R247" s="63">
        <f>SUM(R241:R246)</f>
        <v>2.4999999999999994E-2</v>
      </c>
      <c r="S247" s="63">
        <f>SUM(S241:S246)</f>
        <v>2.5694444444444429E-2</v>
      </c>
      <c r="T247" s="63">
        <f>SUM(T241:T246)</f>
        <v>1.8750000000000003E-2</v>
      </c>
    </row>
    <row r="248" spans="1:20">
      <c r="M248" t="s">
        <v>1211</v>
      </c>
      <c r="N248" s="60">
        <f>O247-N253</f>
        <v>1.9444444444444445E-2</v>
      </c>
      <c r="O248" s="60">
        <f>O247-O253</f>
        <v>1.9444444444444445E-2</v>
      </c>
      <c r="P248" s="60">
        <f>P247-P253</f>
        <v>1.8749999999999989E-2</v>
      </c>
      <c r="Q248" s="60">
        <f>Q247-Q253</f>
        <v>1.5277777777777779E-2</v>
      </c>
      <c r="R248" s="60">
        <f>R247-R253</f>
        <v>2.3611111111111107E-2</v>
      </c>
      <c r="S248" s="60">
        <f>S247-S253</f>
        <v>2.4999999999999984E-2</v>
      </c>
      <c r="T248" s="60">
        <f>T247-F244</f>
        <v>1.5277777777777765E-2</v>
      </c>
    </row>
    <row r="249" spans="1:20">
      <c r="A249" s="60">
        <v>0.13958333333333334</v>
      </c>
      <c r="B249" t="s">
        <v>898</v>
      </c>
      <c r="D249" t="s">
        <v>34</v>
      </c>
      <c r="H249" s="86" t="s">
        <v>900</v>
      </c>
      <c r="I249" s="86"/>
      <c r="J249" s="86"/>
    </row>
    <row r="250" spans="1:20">
      <c r="A250" s="60">
        <v>0.14097222222222222</v>
      </c>
      <c r="B250" t="s">
        <v>899</v>
      </c>
      <c r="M250" t="s">
        <v>1206</v>
      </c>
    </row>
    <row r="251" spans="1:20">
      <c r="A251" s="60">
        <v>0.1423611111111111</v>
      </c>
      <c r="B251" t="s">
        <v>300</v>
      </c>
      <c r="M251" t="s">
        <v>1207</v>
      </c>
    </row>
    <row r="252" spans="1:20">
      <c r="A252" s="60">
        <v>0.14375000000000002</v>
      </c>
      <c r="B252" t="s">
        <v>372</v>
      </c>
      <c r="S252" t="s">
        <v>34</v>
      </c>
    </row>
    <row r="253" spans="1:20">
      <c r="A253" s="60">
        <v>0.14583333333333334</v>
      </c>
      <c r="B253" t="s">
        <v>901</v>
      </c>
      <c r="M253" t="s">
        <v>1213</v>
      </c>
      <c r="N253" s="60">
        <v>1.3888888888888889E-3</v>
      </c>
      <c r="O253" s="60">
        <v>1.3888888888888889E-3</v>
      </c>
      <c r="P253" s="60">
        <v>4.1666666666666666E-3</v>
      </c>
      <c r="Q253" s="60">
        <v>4.1666666666666666E-3</v>
      </c>
      <c r="R253" s="60">
        <v>1.3888888888888889E-3</v>
      </c>
      <c r="S253" s="60">
        <v>6.9444444444444447E-4</v>
      </c>
      <c r="T253" s="60">
        <v>3.472222222222222E-3</v>
      </c>
    </row>
    <row r="254" spans="1:20">
      <c r="A254" s="60">
        <v>0.14722222222222223</v>
      </c>
      <c r="B254" t="s">
        <v>902</v>
      </c>
      <c r="H254" s="60">
        <f>A250-A249</f>
        <v>1.388888888888884E-3</v>
      </c>
      <c r="I254" t="s">
        <v>1029</v>
      </c>
    </row>
    <row r="255" spans="1:20">
      <c r="A255" s="60">
        <v>0.14930555555555555</v>
      </c>
      <c r="B255" t="s">
        <v>885</v>
      </c>
      <c r="F255" t="s">
        <v>224</v>
      </c>
      <c r="H255" s="60">
        <f>A251-A250</f>
        <v>1.388888888888884E-3</v>
      </c>
      <c r="I255" t="s">
        <v>477</v>
      </c>
    </row>
    <row r="256" spans="1:20">
      <c r="A256" s="60">
        <v>0.15</v>
      </c>
      <c r="B256" t="s">
        <v>903</v>
      </c>
      <c r="F256" s="60">
        <f>A281-A249</f>
        <v>5.9722222222222204E-2</v>
      </c>
      <c r="H256" s="60">
        <f>A252-A251</f>
        <v>1.3888888888889117E-3</v>
      </c>
      <c r="I256" t="s">
        <v>1173</v>
      </c>
    </row>
    <row r="257" spans="1:14">
      <c r="A257" s="60">
        <v>0.15069444444444444</v>
      </c>
      <c r="B257" t="s">
        <v>904</v>
      </c>
      <c r="H257" s="60">
        <f>A253-A252</f>
        <v>2.0833333333333259E-3</v>
      </c>
      <c r="I257" t="s">
        <v>372</v>
      </c>
      <c r="M257" s="117" t="s">
        <v>1217</v>
      </c>
      <c r="N257" t="s">
        <v>1199</v>
      </c>
    </row>
    <row r="258" spans="1:14">
      <c r="A258" s="60">
        <v>0.15208333333333332</v>
      </c>
      <c r="B258" t="s">
        <v>377</v>
      </c>
      <c r="E258" t="s">
        <v>1188</v>
      </c>
      <c r="H258" s="60">
        <f>A254-A253</f>
        <v>1.388888888888884E-3</v>
      </c>
      <c r="I258" t="s">
        <v>1171</v>
      </c>
      <c r="M258" t="s">
        <v>1029</v>
      </c>
      <c r="N258" s="60">
        <f>H254</f>
        <v>1.388888888888884E-3</v>
      </c>
    </row>
    <row r="259" spans="1:14">
      <c r="A259" s="60">
        <v>0.15277777777777776</v>
      </c>
      <c r="H259" s="60">
        <f>A256-A254</f>
        <v>2.7777777777777679E-3</v>
      </c>
      <c r="I259" t="s">
        <v>1174</v>
      </c>
      <c r="M259" t="s">
        <v>1201</v>
      </c>
      <c r="N259" s="60">
        <f>H255+H258+H270+H262</f>
        <v>6.2500000000000056E-3</v>
      </c>
    </row>
    <row r="260" spans="1:14">
      <c r="A260" s="60">
        <v>0.15277777777777776</v>
      </c>
      <c r="B260" t="s">
        <v>905</v>
      </c>
      <c r="E260" t="s">
        <v>1189</v>
      </c>
      <c r="H260" s="60">
        <f>A258-A256</f>
        <v>2.0833333333333259E-3</v>
      </c>
      <c r="I260" t="s">
        <v>1172</v>
      </c>
      <c r="M260" t="s">
        <v>1173</v>
      </c>
      <c r="N260" s="60">
        <f>H256</f>
        <v>1.3888888888889117E-3</v>
      </c>
    </row>
    <row r="261" spans="1:14">
      <c r="A261" s="60">
        <v>0.15416666666666667</v>
      </c>
      <c r="B261" t="s">
        <v>372</v>
      </c>
      <c r="E261" t="s">
        <v>1190</v>
      </c>
      <c r="H261" s="60">
        <f>A259-A258</f>
        <v>6.9444444444444198E-4</v>
      </c>
      <c r="I261" t="s">
        <v>377</v>
      </c>
      <c r="M261" t="s">
        <v>372</v>
      </c>
      <c r="N261" s="60">
        <f>H257+H263</f>
        <v>6.9444444444444198E-3</v>
      </c>
    </row>
    <row r="262" spans="1:14">
      <c r="A262" s="60">
        <v>0.15555555555555556</v>
      </c>
      <c r="B262" t="s">
        <v>906</v>
      </c>
      <c r="H262" s="60">
        <f>A261-A260</f>
        <v>1.3888888888889117E-3</v>
      </c>
      <c r="I262" t="s">
        <v>1093</v>
      </c>
      <c r="M262" t="s">
        <v>1174</v>
      </c>
      <c r="N262" s="60">
        <f>H259+H261</f>
        <v>3.4722222222222099E-3</v>
      </c>
    </row>
    <row r="263" spans="1:14">
      <c r="A263" s="60">
        <v>0.15902777777777777</v>
      </c>
      <c r="B263" t="s">
        <v>907</v>
      </c>
      <c r="E263" t="s">
        <v>1180</v>
      </c>
      <c r="H263" s="60">
        <f>A263-A261</f>
        <v>4.8611111111110938E-3</v>
      </c>
      <c r="I263" t="s">
        <v>372</v>
      </c>
      <c r="M263" t="s">
        <v>1172</v>
      </c>
      <c r="N263" s="60">
        <f>H260</f>
        <v>2.0833333333333259E-3</v>
      </c>
    </row>
    <row r="264" spans="1:14">
      <c r="A264" s="60">
        <v>0.1673611111111111</v>
      </c>
      <c r="B264" t="s">
        <v>908</v>
      </c>
      <c r="D264" s="60">
        <f>A270-A269</f>
        <v>3.4722222222222376E-3</v>
      </c>
      <c r="E264" t="s">
        <v>1181</v>
      </c>
      <c r="H264" s="60">
        <f>A265-A263</f>
        <v>1.4583333333333365E-2</v>
      </c>
      <c r="I264" t="s">
        <v>1175</v>
      </c>
      <c r="M264" t="s">
        <v>1175</v>
      </c>
      <c r="N264" s="60">
        <f t="shared" ref="N264:N269" si="1">H264</f>
        <v>1.4583333333333365E-2</v>
      </c>
    </row>
    <row r="265" spans="1:14">
      <c r="A265" s="60">
        <v>0.17361111111111113</v>
      </c>
      <c r="B265" t="s">
        <v>909</v>
      </c>
      <c r="D265" s="60">
        <f>A272-A271</f>
        <v>1.388888888888884E-3</v>
      </c>
      <c r="E265" t="s">
        <v>1182</v>
      </c>
      <c r="H265" s="60">
        <f>A266-A265</f>
        <v>1.388888888888884E-3</v>
      </c>
      <c r="I265" t="s">
        <v>992</v>
      </c>
      <c r="M265" t="s">
        <v>992</v>
      </c>
      <c r="N265" s="60">
        <f t="shared" si="1"/>
        <v>1.388888888888884E-3</v>
      </c>
    </row>
    <row r="266" spans="1:14">
      <c r="A266" s="60">
        <v>0.17500000000000002</v>
      </c>
      <c r="B266" t="s">
        <v>910</v>
      </c>
      <c r="D266" s="60">
        <f>A279-A270</f>
        <v>1.2499999999999983E-2</v>
      </c>
      <c r="E266" t="s">
        <v>1184</v>
      </c>
      <c r="H266" s="60">
        <f>A267-A266</f>
        <v>1.388888888888884E-3</v>
      </c>
      <c r="I266" t="s">
        <v>1176</v>
      </c>
      <c r="M266" t="s">
        <v>1176</v>
      </c>
      <c r="N266" s="60">
        <f t="shared" si="1"/>
        <v>1.388888888888884E-3</v>
      </c>
    </row>
    <row r="267" spans="1:14">
      <c r="A267" s="60">
        <v>0.1763888888888889</v>
      </c>
      <c r="B267" t="s">
        <v>911</v>
      </c>
      <c r="D267" s="60">
        <f>A281-A280</f>
        <v>2.0833333333333259E-3</v>
      </c>
      <c r="E267" t="s">
        <v>1183</v>
      </c>
      <c r="H267" s="60">
        <f>A268-A267</f>
        <v>6.9444444444444198E-4</v>
      </c>
      <c r="I267" t="s">
        <v>1177</v>
      </c>
      <c r="M267" t="s">
        <v>1177</v>
      </c>
      <c r="N267" s="60">
        <f t="shared" si="1"/>
        <v>6.9444444444444198E-4</v>
      </c>
    </row>
    <row r="268" spans="1:14">
      <c r="A268" s="60">
        <v>0.17708333333333334</v>
      </c>
      <c r="B268" t="s">
        <v>912</v>
      </c>
      <c r="D268" s="60" t="s">
        <v>34</v>
      </c>
      <c r="H268" s="60">
        <f>A269-A268</f>
        <v>2.0833333333333259E-3</v>
      </c>
      <c r="I268" t="s">
        <v>1179</v>
      </c>
      <c r="M268" t="s">
        <v>1179</v>
      </c>
      <c r="N268" s="60">
        <f t="shared" si="1"/>
        <v>2.0833333333333259E-3</v>
      </c>
    </row>
    <row r="269" spans="1:14">
      <c r="A269" s="60">
        <v>0.17916666666666667</v>
      </c>
      <c r="B269" t="s">
        <v>913</v>
      </c>
      <c r="D269" s="60">
        <f>SUM(D264:D267)</f>
        <v>1.9444444444444431E-2</v>
      </c>
      <c r="E269" t="s">
        <v>51</v>
      </c>
      <c r="H269" s="60">
        <f>A279-A269</f>
        <v>1.5972222222222221E-2</v>
      </c>
      <c r="I269" t="s">
        <v>1186</v>
      </c>
      <c r="M269" t="s">
        <v>1186</v>
      </c>
      <c r="N269" s="60">
        <f t="shared" si="1"/>
        <v>1.5972222222222221E-2</v>
      </c>
    </row>
    <row r="270" spans="1:14">
      <c r="A270" s="60">
        <v>0.18263888888888891</v>
      </c>
      <c r="B270" t="s">
        <v>914</v>
      </c>
      <c r="D270" s="60" t="s">
        <v>34</v>
      </c>
      <c r="H270" s="60">
        <f>A280-A279</f>
        <v>2.0833333333333259E-3</v>
      </c>
      <c r="I270" t="s">
        <v>1093</v>
      </c>
      <c r="M270" t="s">
        <v>1191</v>
      </c>
      <c r="N270" s="60">
        <f>H271</f>
        <v>2.0833333333333259E-3</v>
      </c>
    </row>
    <row r="271" spans="1:14">
      <c r="A271" s="60">
        <v>0.18402777777777779</v>
      </c>
      <c r="B271" t="s">
        <v>915</v>
      </c>
      <c r="E271" t="s">
        <v>1185</v>
      </c>
      <c r="H271" s="60">
        <f>A281-A280</f>
        <v>2.0833333333333259E-3</v>
      </c>
      <c r="I271" t="s">
        <v>1191</v>
      </c>
    </row>
    <row r="272" spans="1:14">
      <c r="A272" s="60">
        <v>0.18541666666666667</v>
      </c>
      <c r="B272" t="s">
        <v>916</v>
      </c>
      <c r="D272" s="60">
        <f>A267-A266</f>
        <v>1.388888888888884E-3</v>
      </c>
      <c r="E272" t="s">
        <v>1176</v>
      </c>
    </row>
    <row r="273" spans="1:13">
      <c r="A273" s="60">
        <v>0.1875</v>
      </c>
      <c r="B273" t="s">
        <v>917</v>
      </c>
      <c r="D273" s="60">
        <f>A269-A268</f>
        <v>2.0833333333333259E-3</v>
      </c>
      <c r="E273" t="s">
        <v>1178</v>
      </c>
    </row>
    <row r="274" spans="1:13">
      <c r="A274" s="60">
        <v>0.18819444444444444</v>
      </c>
      <c r="B274" t="s">
        <v>918</v>
      </c>
      <c r="D274" s="60">
        <f>A273-A272</f>
        <v>2.0833333333333259E-3</v>
      </c>
      <c r="E274" t="s">
        <v>1142</v>
      </c>
      <c r="M274" t="s">
        <v>34</v>
      </c>
    </row>
    <row r="275" spans="1:13">
      <c r="A275" s="60">
        <v>0.19097222222222221</v>
      </c>
      <c r="B275" t="s">
        <v>919</v>
      </c>
      <c r="D275" s="60">
        <f>A275-A274</f>
        <v>2.7777777777777679E-3</v>
      </c>
      <c r="E275" t="s">
        <v>477</v>
      </c>
    </row>
    <row r="276" spans="1:13">
      <c r="A276" s="60">
        <v>0.19305555555555554</v>
      </c>
      <c r="B276" t="s">
        <v>920</v>
      </c>
      <c r="D276" s="60">
        <f>SUM(D272:D275)</f>
        <v>8.3333333333333037E-3</v>
      </c>
      <c r="E276" t="s">
        <v>51</v>
      </c>
    </row>
    <row r="277" spans="1:13">
      <c r="A277" s="60">
        <v>0.19444444444444445</v>
      </c>
      <c r="B277" t="s">
        <v>921</v>
      </c>
      <c r="K277" t="s">
        <v>34</v>
      </c>
    </row>
    <row r="278" spans="1:13">
      <c r="A278" s="60">
        <v>0.19513888888888889</v>
      </c>
      <c r="B278" t="s">
        <v>922</v>
      </c>
    </row>
    <row r="279" spans="1:13">
      <c r="A279" s="60">
        <v>0.19513888888888889</v>
      </c>
      <c r="B279" t="s">
        <v>923</v>
      </c>
      <c r="E279" t="s">
        <v>1187</v>
      </c>
    </row>
    <row r="280" spans="1:13">
      <c r="A280" s="60">
        <v>0.19722222222222222</v>
      </c>
      <c r="B280" t="s">
        <v>924</v>
      </c>
      <c r="E280" s="60">
        <f>A276-A275</f>
        <v>2.0833333333333259E-3</v>
      </c>
    </row>
    <row r="281" spans="1:13">
      <c r="A281" s="60">
        <v>0.19930555555555554</v>
      </c>
      <c r="B281" t="s">
        <v>925</v>
      </c>
      <c r="E281" s="60">
        <v>6.9444444444444447E-4</v>
      </c>
    </row>
    <row r="284" spans="1:13">
      <c r="A284" t="s">
        <v>937</v>
      </c>
    </row>
    <row r="286" spans="1:13">
      <c r="A286" s="60">
        <v>0.22916666666666666</v>
      </c>
      <c r="B286" t="s">
        <v>936</v>
      </c>
      <c r="E286" s="60">
        <f>A287-A286</f>
        <v>1.8750000000000017E-2</v>
      </c>
    </row>
    <row r="287" spans="1:13">
      <c r="A287" s="60">
        <v>0.24791666666666667</v>
      </c>
      <c r="B287" t="s">
        <v>684</v>
      </c>
    </row>
    <row r="288" spans="1:13">
      <c r="A288" s="60"/>
    </row>
    <row r="289" spans="1:14">
      <c r="A289" t="s">
        <v>452</v>
      </c>
      <c r="C289" t="s">
        <v>483</v>
      </c>
    </row>
    <row r="290" spans="1:14">
      <c r="A290" s="60">
        <v>6.9444444444444441E-3</v>
      </c>
      <c r="B290" t="s">
        <v>453</v>
      </c>
      <c r="C290" t="s">
        <v>484</v>
      </c>
    </row>
    <row r="291" spans="1:14">
      <c r="A291" s="60">
        <v>0</v>
      </c>
      <c r="B291" t="s">
        <v>1074</v>
      </c>
    </row>
    <row r="292" spans="1:14">
      <c r="B292" t="s">
        <v>34</v>
      </c>
    </row>
    <row r="293" spans="1:14">
      <c r="A293" s="85">
        <v>41970</v>
      </c>
      <c r="F293" t="s">
        <v>1043</v>
      </c>
    </row>
    <row r="294" spans="1:14">
      <c r="A294" s="60">
        <v>9.9999999999999992E-2</v>
      </c>
      <c r="B294" t="s">
        <v>1029</v>
      </c>
      <c r="F294" t="s">
        <v>1044</v>
      </c>
    </row>
    <row r="295" spans="1:14">
      <c r="A295" s="60">
        <v>0.1013888888888889</v>
      </c>
      <c r="B295" t="s">
        <v>372</v>
      </c>
      <c r="G295" s="87" t="s">
        <v>1219</v>
      </c>
      <c r="H295" s="87"/>
    </row>
    <row r="296" spans="1:14">
      <c r="A296" s="60">
        <v>0.10416666666666667</v>
      </c>
      <c r="B296" t="s">
        <v>1045</v>
      </c>
    </row>
    <row r="297" spans="1:14">
      <c r="A297" s="60">
        <v>0.10833333333333334</v>
      </c>
      <c r="B297" t="s">
        <v>965</v>
      </c>
      <c r="M297" s="117" t="s">
        <v>1218</v>
      </c>
      <c r="N297" t="s">
        <v>1199</v>
      </c>
    </row>
    <row r="298" spans="1:14">
      <c r="A298" s="60">
        <v>0.10902777777777778</v>
      </c>
      <c r="B298" t="s">
        <v>1046</v>
      </c>
      <c r="F298" t="s">
        <v>224</v>
      </c>
      <c r="G298" t="s">
        <v>34</v>
      </c>
      <c r="M298" t="s">
        <v>1029</v>
      </c>
      <c r="N298" s="60">
        <f>H300</f>
        <v>1.3888888888889117E-3</v>
      </c>
    </row>
    <row r="299" spans="1:14">
      <c r="A299" s="60">
        <v>0.11041666666666666</v>
      </c>
      <c r="B299" t="s">
        <v>1047</v>
      </c>
      <c r="F299" s="60">
        <f>A327-A294</f>
        <v>4.0277777777777787E-2</v>
      </c>
      <c r="M299" t="s">
        <v>372</v>
      </c>
      <c r="N299" s="60">
        <f>H301+H309</f>
        <v>7.6388888888888756E-3</v>
      </c>
    </row>
    <row r="300" spans="1:14">
      <c r="A300" s="60">
        <v>0.11180555555555556</v>
      </c>
      <c r="B300" t="s">
        <v>1048</v>
      </c>
      <c r="H300" s="60">
        <f>A295-A294</f>
        <v>1.3888888888889117E-3</v>
      </c>
      <c r="I300" t="s">
        <v>1029</v>
      </c>
      <c r="K300" s="60"/>
      <c r="M300" t="s">
        <v>304</v>
      </c>
      <c r="N300" s="60">
        <f>H302+H303+H305+H317+H312+H307</f>
        <v>5.5555555555555636E-3</v>
      </c>
    </row>
    <row r="301" spans="1:14">
      <c r="A301" s="60">
        <v>0.1125</v>
      </c>
      <c r="B301" t="s">
        <v>1049</v>
      </c>
      <c r="H301" s="60">
        <f>A297-A295</f>
        <v>6.9444444444444337E-3</v>
      </c>
      <c r="I301" t="s">
        <v>372</v>
      </c>
      <c r="K301" s="60"/>
      <c r="M301" t="s">
        <v>1169</v>
      </c>
      <c r="N301" s="60">
        <f>H304</f>
        <v>2.0833333333333398E-3</v>
      </c>
    </row>
    <row r="302" spans="1:14">
      <c r="A302" s="60">
        <v>0.11319444444444444</v>
      </c>
      <c r="B302" t="s">
        <v>1050</v>
      </c>
      <c r="H302" s="60">
        <f>A298-A297</f>
        <v>6.9444444444444198E-4</v>
      </c>
      <c r="I302" t="s">
        <v>965</v>
      </c>
      <c r="K302" s="60"/>
      <c r="M302" t="s">
        <v>1173</v>
      </c>
      <c r="N302" s="60">
        <f>H306+H308</f>
        <v>2.0833333333333259E-3</v>
      </c>
    </row>
    <row r="303" spans="1:14">
      <c r="A303" s="60">
        <v>0.11458333333333333</v>
      </c>
      <c r="B303" t="s">
        <v>1051</v>
      </c>
      <c r="H303" s="60">
        <f>A299-A298</f>
        <v>1.388888888888884E-3</v>
      </c>
      <c r="I303" t="s">
        <v>304</v>
      </c>
      <c r="K303" s="60"/>
      <c r="M303" t="s">
        <v>1091</v>
      </c>
      <c r="N303" s="60">
        <f>H310</f>
        <v>4.8611111111111216E-3</v>
      </c>
    </row>
    <row r="304" spans="1:14">
      <c r="A304" s="60">
        <v>0.11458333333333333</v>
      </c>
      <c r="B304" t="s">
        <v>491</v>
      </c>
      <c r="H304" s="60">
        <f>A301-A299</f>
        <v>2.0833333333333398E-3</v>
      </c>
      <c r="I304" t="s">
        <v>1169</v>
      </c>
      <c r="K304" s="60"/>
      <c r="M304" t="s">
        <v>1193</v>
      </c>
      <c r="N304" s="60">
        <f>H311+H313</f>
        <v>2.0833333333333398E-3</v>
      </c>
    </row>
    <row r="305" spans="1:14">
      <c r="A305" s="60">
        <v>0.11527777777777777</v>
      </c>
      <c r="B305" t="s">
        <v>1052</v>
      </c>
      <c r="C305" t="s">
        <v>1053</v>
      </c>
      <c r="H305" s="60">
        <f>A302-A301</f>
        <v>6.9444444444444198E-4</v>
      </c>
      <c r="I305" t="s">
        <v>477</v>
      </c>
      <c r="K305" s="60"/>
      <c r="M305" t="s">
        <v>1194</v>
      </c>
      <c r="N305" s="60">
        <f>H314</f>
        <v>1.388888888888884E-3</v>
      </c>
    </row>
    <row r="306" spans="1:14">
      <c r="A306" s="60">
        <v>0.11597222222222221</v>
      </c>
      <c r="B306" t="s">
        <v>1054</v>
      </c>
      <c r="H306" s="60">
        <f>A303-A302</f>
        <v>1.388888888888884E-3</v>
      </c>
      <c r="I306" t="s">
        <v>300</v>
      </c>
      <c r="K306" s="60"/>
      <c r="M306" t="s">
        <v>1195</v>
      </c>
      <c r="N306" s="60">
        <f>H315</f>
        <v>1.0416666666666657E-2</v>
      </c>
    </row>
    <row r="307" spans="1:14">
      <c r="A307" s="60">
        <v>0.11666666666666665</v>
      </c>
      <c r="B307" t="s">
        <v>1055</v>
      </c>
      <c r="H307" s="60">
        <f>A305-A304</f>
        <v>6.9444444444444198E-4</v>
      </c>
      <c r="I307" t="s">
        <v>1093</v>
      </c>
      <c r="K307" s="60"/>
      <c r="M307" t="s">
        <v>1196</v>
      </c>
      <c r="N307" s="60">
        <f>H316</f>
        <v>2.0833333333333259E-3</v>
      </c>
    </row>
    <row r="308" spans="1:14">
      <c r="A308" s="60">
        <v>0.11805555555555557</v>
      </c>
      <c r="B308" t="s">
        <v>1056</v>
      </c>
      <c r="E308" t="s">
        <v>1185</v>
      </c>
      <c r="H308" s="60">
        <f>A306-A305</f>
        <v>6.9444444444444198E-4</v>
      </c>
      <c r="I308" t="s">
        <v>1192</v>
      </c>
      <c r="K308" s="60"/>
      <c r="M308" t="s">
        <v>34</v>
      </c>
    </row>
    <row r="309" spans="1:14">
      <c r="A309" s="60">
        <v>0.12152777777777778</v>
      </c>
      <c r="B309" t="s">
        <v>1059</v>
      </c>
      <c r="E309" s="60">
        <f>A316-A315</f>
        <v>4.1666666666666519E-3</v>
      </c>
      <c r="H309" s="60">
        <f>A307-A306</f>
        <v>6.9444444444444198E-4</v>
      </c>
      <c r="I309" t="s">
        <v>372</v>
      </c>
      <c r="K309" s="60"/>
      <c r="M309" t="s">
        <v>34</v>
      </c>
    </row>
    <row r="310" spans="1:14">
      <c r="A310" s="60">
        <v>0.12222222222222223</v>
      </c>
      <c r="B310" t="s">
        <v>1061</v>
      </c>
      <c r="H310" s="60">
        <f>A309-A307</f>
        <v>4.8611111111111216E-3</v>
      </c>
      <c r="I310" t="s">
        <v>1091</v>
      </c>
      <c r="K310" s="60"/>
    </row>
    <row r="311" spans="1:14">
      <c r="A311" s="60">
        <v>0.12291666666666667</v>
      </c>
      <c r="B311" t="s">
        <v>1057</v>
      </c>
      <c r="H311" s="60">
        <f>A311-A309</f>
        <v>1.3888888888888978E-3</v>
      </c>
      <c r="I311" t="s">
        <v>1193</v>
      </c>
      <c r="K311" s="60"/>
    </row>
    <row r="312" spans="1:14">
      <c r="A312" s="60">
        <v>0.12361111111111112</v>
      </c>
      <c r="B312" t="s">
        <v>1058</v>
      </c>
      <c r="H312" s="60">
        <f>A312-A311</f>
        <v>6.9444444444444198E-4</v>
      </c>
      <c r="I312" t="s">
        <v>1093</v>
      </c>
      <c r="K312" s="60"/>
    </row>
    <row r="313" spans="1:14">
      <c r="A313" s="60">
        <v>0.12430555555555556</v>
      </c>
      <c r="B313" t="s">
        <v>1060</v>
      </c>
      <c r="H313" s="60">
        <f>A313-A312</f>
        <v>6.9444444444444198E-4</v>
      </c>
      <c r="I313" t="s">
        <v>1193</v>
      </c>
      <c r="K313" s="60"/>
    </row>
    <row r="314" spans="1:14">
      <c r="A314" s="60">
        <v>0.12569444444444444</v>
      </c>
      <c r="B314" t="s">
        <v>1062</v>
      </c>
      <c r="H314" s="60">
        <f>A314-A313</f>
        <v>1.388888888888884E-3</v>
      </c>
      <c r="I314" t="s">
        <v>1194</v>
      </c>
      <c r="K314" s="60"/>
    </row>
    <row r="315" spans="1:14">
      <c r="A315" s="60">
        <v>0.1277777777777778</v>
      </c>
      <c r="B315" t="s">
        <v>1063</v>
      </c>
      <c r="D315" t="s">
        <v>1069</v>
      </c>
      <c r="H315" s="60">
        <f>A321-A314</f>
        <v>1.0416666666666657E-2</v>
      </c>
      <c r="I315" t="s">
        <v>1195</v>
      </c>
      <c r="K315" s="60"/>
    </row>
    <row r="316" spans="1:14">
      <c r="A316" s="60">
        <v>0.13194444444444445</v>
      </c>
      <c r="B316" t="s">
        <v>917</v>
      </c>
      <c r="D316" t="s">
        <v>1070</v>
      </c>
      <c r="H316" s="60">
        <f>A324-A321</f>
        <v>2.0833333333333259E-3</v>
      </c>
      <c r="I316" t="s">
        <v>1196</v>
      </c>
      <c r="K316" s="60"/>
    </row>
    <row r="317" spans="1:14">
      <c r="A317" s="60">
        <v>0.13194444444444445</v>
      </c>
      <c r="B317" t="s">
        <v>1064</v>
      </c>
      <c r="H317" s="60">
        <f>A325-A324</f>
        <v>1.3888888888889117E-3</v>
      </c>
      <c r="I317" t="s">
        <v>477</v>
      </c>
      <c r="K317" s="60"/>
    </row>
    <row r="318" spans="1:14">
      <c r="A318" s="60">
        <v>0.13263888888888889</v>
      </c>
      <c r="C318" t="s">
        <v>34</v>
      </c>
      <c r="D318" t="s">
        <v>1071</v>
      </c>
      <c r="H318" s="60">
        <f>A327-A326</f>
        <v>6.9444444444444198E-4</v>
      </c>
      <c r="I318" t="s">
        <v>1153</v>
      </c>
      <c r="K318" s="60"/>
    </row>
    <row r="319" spans="1:14">
      <c r="A319" s="60">
        <v>0.13402777777777777</v>
      </c>
      <c r="B319" t="s">
        <v>1065</v>
      </c>
    </row>
    <row r="320" spans="1:14">
      <c r="A320" s="60">
        <v>0.13541666666666666</v>
      </c>
      <c r="B320" t="s">
        <v>477</v>
      </c>
    </row>
    <row r="321" spans="1:9">
      <c r="A321" s="60">
        <v>0.1361111111111111</v>
      </c>
      <c r="B321" t="s">
        <v>1066</v>
      </c>
    </row>
    <row r="322" spans="1:9">
      <c r="A322" s="60">
        <v>0.13680555555555554</v>
      </c>
      <c r="B322" t="s">
        <v>1068</v>
      </c>
      <c r="H322" s="60">
        <f>A317-A316</f>
        <v>0</v>
      </c>
      <c r="I322" t="s">
        <v>1029</v>
      </c>
    </row>
    <row r="323" spans="1:9">
      <c r="A323" s="60">
        <v>0.13749999999999998</v>
      </c>
      <c r="B323" t="s">
        <v>992</v>
      </c>
      <c r="H323" s="60">
        <f>A319-A317</f>
        <v>2.0833333333333259E-3</v>
      </c>
      <c r="I323" t="s">
        <v>372</v>
      </c>
    </row>
    <row r="324" spans="1:9">
      <c r="A324" s="60">
        <v>0.13819444444444443</v>
      </c>
      <c r="B324" t="s">
        <v>385</v>
      </c>
      <c r="H324" s="60">
        <f>A320-A319</f>
        <v>1.388888888888884E-3</v>
      </c>
      <c r="I324" t="s">
        <v>965</v>
      </c>
    </row>
    <row r="325" spans="1:9">
      <c r="A325" s="60">
        <v>0.13958333333333334</v>
      </c>
      <c r="B325" t="s">
        <v>477</v>
      </c>
      <c r="H325" s="60">
        <f>A321-A320</f>
        <v>6.9444444444444198E-4</v>
      </c>
      <c r="I325" t="s">
        <v>304</v>
      </c>
    </row>
    <row r="326" spans="1:9">
      <c r="A326" s="60">
        <v>0.13958333333333334</v>
      </c>
      <c r="B326" t="s">
        <v>1072</v>
      </c>
      <c r="H326" s="60">
        <f>A323-A321</f>
        <v>1.388888888888884E-3</v>
      </c>
      <c r="I326" t="s">
        <v>1169</v>
      </c>
    </row>
    <row r="327" spans="1:9">
      <c r="A327" s="60">
        <v>0.14027777777777778</v>
      </c>
      <c r="B327" t="s">
        <v>1073</v>
      </c>
      <c r="D327" t="s">
        <v>1075</v>
      </c>
      <c r="H327" s="60">
        <f>A324-A323</f>
        <v>6.9444444444444198E-4</v>
      </c>
      <c r="I327" t="s">
        <v>477</v>
      </c>
    </row>
    <row r="328" spans="1:9">
      <c r="H328" s="60">
        <f>A325-A324</f>
        <v>1.3888888888889117E-3</v>
      </c>
      <c r="I328" t="s">
        <v>300</v>
      </c>
    </row>
    <row r="329" spans="1:9">
      <c r="H329" s="60">
        <f>A327-A326</f>
        <v>6.9444444444444198E-4</v>
      </c>
      <c r="I329" t="s">
        <v>1093</v>
      </c>
    </row>
    <row r="330" spans="1:9">
      <c r="A330" s="60">
        <v>0.20277777777777781</v>
      </c>
      <c r="B330" t="s">
        <v>203</v>
      </c>
      <c r="H330" s="60">
        <f>A328-A327</f>
        <v>-0.14027777777777778</v>
      </c>
      <c r="I330" t="s">
        <v>1192</v>
      </c>
    </row>
    <row r="331" spans="1:9">
      <c r="A331" s="60">
        <v>0.22361111111111109</v>
      </c>
      <c r="B331" t="s">
        <v>684</v>
      </c>
      <c r="G331" t="s">
        <v>388</v>
      </c>
      <c r="H331" s="60">
        <f>A329-A328</f>
        <v>0</v>
      </c>
      <c r="I331" t="s">
        <v>372</v>
      </c>
    </row>
    <row r="332" spans="1:9">
      <c r="A332" s="60">
        <v>0.23819444444444446</v>
      </c>
      <c r="B332" t="s">
        <v>1076</v>
      </c>
      <c r="G332" s="60">
        <f>A331-A330</f>
        <v>2.0833333333333287E-2</v>
      </c>
      <c r="H332" s="60">
        <f>A331-A329</f>
        <v>0.22361111111111109</v>
      </c>
      <c r="I332" t="s">
        <v>1091</v>
      </c>
    </row>
    <row r="333" spans="1:9">
      <c r="A333" s="60">
        <v>0.24513888888888888</v>
      </c>
      <c r="B333" t="s">
        <v>684</v>
      </c>
      <c r="H333" s="60">
        <f>A333-A331</f>
        <v>2.1527777777777785E-2</v>
      </c>
      <c r="I333" t="s">
        <v>1193</v>
      </c>
    </row>
    <row r="334" spans="1:9">
      <c r="G334" t="s">
        <v>1077</v>
      </c>
      <c r="H334" s="60">
        <f>A334-A333</f>
        <v>-0.24513888888888888</v>
      </c>
      <c r="I334" t="s">
        <v>1093</v>
      </c>
    </row>
    <row r="335" spans="1:9">
      <c r="G335" s="60">
        <f>A332-A331</f>
        <v>1.4583333333333365E-2</v>
      </c>
      <c r="H335" s="60">
        <f>A335-A334</f>
        <v>0</v>
      </c>
      <c r="I335" t="s">
        <v>1193</v>
      </c>
    </row>
    <row r="336" spans="1:9">
      <c r="H336" s="60">
        <f>A336-A335</f>
        <v>0</v>
      </c>
      <c r="I336" t="s">
        <v>1194</v>
      </c>
    </row>
    <row r="337" spans="8:9">
      <c r="H337" s="60">
        <f>A343-A336</f>
        <v>0</v>
      </c>
      <c r="I337" t="s">
        <v>1195</v>
      </c>
    </row>
    <row r="338" spans="8:9">
      <c r="H338" s="60">
        <f>A346-A343</f>
        <v>0</v>
      </c>
      <c r="I338" t="s">
        <v>1196</v>
      </c>
    </row>
    <row r="339" spans="8:9">
      <c r="H339" s="60">
        <f>A347-A346</f>
        <v>0</v>
      </c>
      <c r="I339" t="s">
        <v>477</v>
      </c>
    </row>
    <row r="340" spans="8:9">
      <c r="H340" s="60">
        <f>A349-A348</f>
        <v>0</v>
      </c>
      <c r="I340" t="s">
        <v>1153</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499984740745262"/>
  </sheetPr>
  <dimension ref="A2:I23"/>
  <sheetViews>
    <sheetView workbookViewId="0">
      <selection activeCell="G22" sqref="G22"/>
    </sheetView>
  </sheetViews>
  <sheetFormatPr baseColWidth="10" defaultColWidth="11" defaultRowHeight="15" x14ac:dyDescent="0"/>
  <cols>
    <col min="2" max="2" width="29" bestFit="1" customWidth="1"/>
  </cols>
  <sheetData>
    <row r="2" spans="1:9">
      <c r="A2" s="64">
        <v>41596</v>
      </c>
      <c r="C2" t="s">
        <v>76</v>
      </c>
      <c r="D2" t="s">
        <v>175</v>
      </c>
      <c r="E2" t="s">
        <v>227</v>
      </c>
    </row>
    <row r="3" spans="1:9">
      <c r="A3" s="54" t="s">
        <v>174</v>
      </c>
      <c r="B3" s="54" t="s">
        <v>176</v>
      </c>
      <c r="C3" s="54"/>
      <c r="D3" s="54"/>
      <c r="E3" s="54"/>
      <c r="F3" s="54"/>
      <c r="I3" t="s">
        <v>237</v>
      </c>
    </row>
    <row r="4" spans="1:9">
      <c r="A4" s="60">
        <v>0.17500000000000002</v>
      </c>
      <c r="B4" t="s">
        <v>226</v>
      </c>
      <c r="I4" t="s">
        <v>234</v>
      </c>
    </row>
    <row r="5" spans="1:9">
      <c r="A5" s="60">
        <v>0.18194444444444444</v>
      </c>
      <c r="B5" t="s">
        <v>231</v>
      </c>
      <c r="I5" t="s">
        <v>235</v>
      </c>
    </row>
    <row r="6" spans="1:9">
      <c r="A6" s="60">
        <v>0.19027777777777777</v>
      </c>
      <c r="B6" t="s">
        <v>232</v>
      </c>
      <c r="G6" t="s">
        <v>224</v>
      </c>
      <c r="I6" t="s">
        <v>236</v>
      </c>
    </row>
    <row r="7" spans="1:9">
      <c r="A7" s="60">
        <v>0.19583333333333333</v>
      </c>
      <c r="B7" t="s">
        <v>233</v>
      </c>
      <c r="G7" s="60">
        <f>A7-A4</f>
        <v>2.0833333333333315E-2</v>
      </c>
      <c r="I7" t="s">
        <v>365</v>
      </c>
    </row>
    <row r="8" spans="1:9">
      <c r="I8" t="s">
        <v>366</v>
      </c>
    </row>
    <row r="9" spans="1:9">
      <c r="A9" s="64">
        <v>41964</v>
      </c>
      <c r="I9" t="s">
        <v>367</v>
      </c>
    </row>
    <row r="10" spans="1:9">
      <c r="B10" t="s">
        <v>926</v>
      </c>
    </row>
    <row r="11" spans="1:9">
      <c r="A11" s="60">
        <v>0.20208333333333331</v>
      </c>
      <c r="B11" t="s">
        <v>927</v>
      </c>
      <c r="I11" t="s">
        <v>422</v>
      </c>
    </row>
    <row r="12" spans="1:9">
      <c r="A12" s="60">
        <v>0.20555555555555557</v>
      </c>
      <c r="B12" t="s">
        <v>928</v>
      </c>
      <c r="I12" t="s">
        <v>423</v>
      </c>
    </row>
    <row r="13" spans="1:9">
      <c r="A13" s="60">
        <v>0.2076388888888889</v>
      </c>
      <c r="B13" t="s">
        <v>929</v>
      </c>
      <c r="G13" s="60">
        <f>A19-A11</f>
        <v>1.4583333333333365E-2</v>
      </c>
    </row>
    <row r="14" spans="1:9">
      <c r="A14" s="60">
        <v>0.20972222222222223</v>
      </c>
      <c r="B14" t="s">
        <v>491</v>
      </c>
      <c r="I14" t="s">
        <v>1249</v>
      </c>
    </row>
    <row r="15" spans="1:9">
      <c r="A15" s="60">
        <v>0.21388888888888891</v>
      </c>
      <c r="B15" t="s">
        <v>930</v>
      </c>
      <c r="H15" t="s">
        <v>78</v>
      </c>
      <c r="I15" s="60">
        <f>A13-A11</f>
        <v>5.5555555555555913E-3</v>
      </c>
    </row>
    <row r="16" spans="1:9">
      <c r="A16" s="60">
        <v>0.21388888888888891</v>
      </c>
      <c r="B16" t="s">
        <v>931</v>
      </c>
      <c r="H16" t="s">
        <v>1252</v>
      </c>
      <c r="I16" s="60">
        <f>A14-A13</f>
        <v>2.0833333333333259E-3</v>
      </c>
    </row>
    <row r="17" spans="1:9">
      <c r="A17" s="60">
        <v>0.21527777777777779</v>
      </c>
      <c r="B17" t="s">
        <v>932</v>
      </c>
      <c r="H17" t="s">
        <v>1250</v>
      </c>
      <c r="I17" s="60">
        <f>A15-A14</f>
        <v>4.1666666666666796E-3</v>
      </c>
    </row>
    <row r="18" spans="1:9">
      <c r="A18" s="60">
        <v>0.21666666666666667</v>
      </c>
      <c r="B18" t="s">
        <v>385</v>
      </c>
      <c r="H18" t="s">
        <v>1251</v>
      </c>
      <c r="I18" s="60">
        <f>A17-A16</f>
        <v>1.388888888888884E-3</v>
      </c>
    </row>
    <row r="19" spans="1:9">
      <c r="A19" s="60">
        <v>0.21666666666666667</v>
      </c>
      <c r="B19" t="s">
        <v>933</v>
      </c>
    </row>
    <row r="20" spans="1:9">
      <c r="A20" s="60">
        <v>0.22083333333333333</v>
      </c>
      <c r="B20" t="s">
        <v>934</v>
      </c>
    </row>
    <row r="21" spans="1:9">
      <c r="A21" s="60">
        <v>0.22847222222222222</v>
      </c>
      <c r="B21" t="s">
        <v>935</v>
      </c>
      <c r="G21" s="60">
        <f>A22-A19</f>
        <v>1.2499999999999983E-2</v>
      </c>
    </row>
    <row r="22" spans="1:9">
      <c r="A22" s="60">
        <v>0.22916666666666666</v>
      </c>
      <c r="B22" t="s">
        <v>936</v>
      </c>
    </row>
    <row r="23" spans="1:9">
      <c r="A23" s="60">
        <v>0.24791666666666667</v>
      </c>
      <c r="B23" t="s">
        <v>684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499984740745262"/>
  </sheetPr>
  <dimension ref="A2:K26"/>
  <sheetViews>
    <sheetView workbookViewId="0">
      <selection activeCell="E25" sqref="E25:G26"/>
    </sheetView>
  </sheetViews>
  <sheetFormatPr baseColWidth="10" defaultColWidth="11" defaultRowHeight="15" x14ac:dyDescent="0"/>
  <sheetData>
    <row r="2" spans="1:11">
      <c r="A2" s="64">
        <v>41597</v>
      </c>
      <c r="C2" t="s">
        <v>393</v>
      </c>
    </row>
    <row r="3" spans="1:11">
      <c r="K3" t="s">
        <v>395</v>
      </c>
    </row>
    <row r="4" spans="1:11">
      <c r="A4" s="60">
        <v>0.30694444444444441</v>
      </c>
      <c r="B4" t="s">
        <v>392</v>
      </c>
      <c r="K4" t="s">
        <v>396</v>
      </c>
    </row>
    <row r="5" spans="1:11">
      <c r="A5" s="60">
        <v>0.30902777777777779</v>
      </c>
      <c r="B5" t="s">
        <v>394</v>
      </c>
      <c r="K5" t="s">
        <v>397</v>
      </c>
    </row>
    <row r="6" spans="1:11">
      <c r="A6" s="60">
        <v>0.33749999999999997</v>
      </c>
      <c r="B6" t="s">
        <v>404</v>
      </c>
      <c r="F6" t="s">
        <v>406</v>
      </c>
      <c r="K6" t="s">
        <v>398</v>
      </c>
    </row>
    <row r="7" spans="1:11">
      <c r="A7" s="60">
        <v>0.33958333333333335</v>
      </c>
      <c r="B7" t="s">
        <v>405</v>
      </c>
      <c r="F7" s="60">
        <f>A6-A5</f>
        <v>2.8472222222222177E-2</v>
      </c>
      <c r="K7" t="s">
        <v>399</v>
      </c>
    </row>
    <row r="9" spans="1:11">
      <c r="F9" t="s">
        <v>407</v>
      </c>
      <c r="K9" t="s">
        <v>400</v>
      </c>
    </row>
    <row r="10" spans="1:11">
      <c r="F10" t="s">
        <v>408</v>
      </c>
      <c r="K10" t="s">
        <v>402</v>
      </c>
    </row>
    <row r="11" spans="1:11">
      <c r="K11" t="s">
        <v>401</v>
      </c>
    </row>
    <row r="13" spans="1:11">
      <c r="K13" t="s">
        <v>439</v>
      </c>
    </row>
    <row r="14" spans="1:11">
      <c r="K14" t="s">
        <v>403</v>
      </c>
    </row>
    <row r="17" spans="1:11">
      <c r="K17" t="s">
        <v>876</v>
      </c>
    </row>
    <row r="18" spans="1:11">
      <c r="A18" s="64">
        <v>41598</v>
      </c>
      <c r="K18" t="s">
        <v>877</v>
      </c>
    </row>
    <row r="19" spans="1:11">
      <c r="K19" t="s">
        <v>878</v>
      </c>
    </row>
    <row r="20" spans="1:11">
      <c r="A20" s="60">
        <v>0.27430555555555552</v>
      </c>
      <c r="B20" t="s">
        <v>686</v>
      </c>
      <c r="K20" t="s">
        <v>879</v>
      </c>
    </row>
    <row r="21" spans="1:11">
      <c r="A21" s="60">
        <v>0.27777777777777779</v>
      </c>
      <c r="B21" t="s">
        <v>687</v>
      </c>
    </row>
    <row r="22" spans="1:11">
      <c r="A22" s="60">
        <v>0.28055555555555556</v>
      </c>
      <c r="B22" t="s">
        <v>688</v>
      </c>
    </row>
    <row r="23" spans="1:11">
      <c r="A23" s="60">
        <v>0.30624999999999997</v>
      </c>
      <c r="B23" t="s">
        <v>880</v>
      </c>
    </row>
    <row r="24" spans="1:11">
      <c r="A24" s="60">
        <v>0.32291666666666669</v>
      </c>
      <c r="B24" t="s">
        <v>881</v>
      </c>
    </row>
    <row r="25" spans="1:11">
      <c r="E25" s="60">
        <f>A21-A20</f>
        <v>3.4722222222222654E-3</v>
      </c>
      <c r="F25" s="60">
        <f>A5-A4</f>
        <v>2.0833333333333814E-3</v>
      </c>
      <c r="G25" t="s">
        <v>392</v>
      </c>
    </row>
    <row r="26" spans="1:11">
      <c r="E26" s="60">
        <f>A24-A21</f>
        <v>4.5138888888888895E-2</v>
      </c>
      <c r="F26" s="60">
        <f>A7-A5</f>
        <v>3.0555555555555558E-2</v>
      </c>
      <c r="G26" t="s">
        <v>1256</v>
      </c>
    </row>
  </sheetData>
  <pageMargins left="0.75" right="0.75" top="1" bottom="1" header="0.5" footer="0.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499984740745262"/>
  </sheetPr>
  <dimension ref="A1:F42"/>
  <sheetViews>
    <sheetView workbookViewId="0">
      <selection activeCell="M41" sqref="M41"/>
    </sheetView>
  </sheetViews>
  <sheetFormatPr baseColWidth="10" defaultColWidth="11" defaultRowHeight="15" x14ac:dyDescent="0"/>
  <sheetData>
    <row r="1" spans="1:3">
      <c r="A1" t="s">
        <v>1010</v>
      </c>
    </row>
    <row r="2" spans="1:3">
      <c r="A2" t="s">
        <v>1011</v>
      </c>
    </row>
    <row r="3" spans="1:3">
      <c r="A3" t="s">
        <v>1012</v>
      </c>
    </row>
    <row r="4" spans="1:3">
      <c r="A4" t="s">
        <v>1035</v>
      </c>
    </row>
    <row r="5" spans="1:3">
      <c r="A5" t="s">
        <v>1036</v>
      </c>
    </row>
    <row r="6" spans="1:3">
      <c r="A6" t="s">
        <v>1037</v>
      </c>
    </row>
    <row r="8" spans="1:3">
      <c r="A8" t="s">
        <v>1013</v>
      </c>
    </row>
    <row r="9" spans="1:3">
      <c r="A9" t="s">
        <v>1014</v>
      </c>
      <c r="C9" t="s">
        <v>1015</v>
      </c>
    </row>
    <row r="11" spans="1:3">
      <c r="A11" t="s">
        <v>1016</v>
      </c>
    </row>
    <row r="12" spans="1:3">
      <c r="A12" t="s">
        <v>1017</v>
      </c>
    </row>
    <row r="13" spans="1:3">
      <c r="A13" s="85">
        <v>41970</v>
      </c>
    </row>
    <row r="14" spans="1:3">
      <c r="A14" s="60">
        <v>0.52222222222222225</v>
      </c>
      <c r="B14" t="s">
        <v>1018</v>
      </c>
    </row>
    <row r="15" spans="1:3">
      <c r="A15" s="60">
        <v>0.52916666666666667</v>
      </c>
      <c r="B15" t="s">
        <v>1019</v>
      </c>
    </row>
    <row r="16" spans="1:3">
      <c r="A16" s="60">
        <v>0.53055555555555556</v>
      </c>
      <c r="B16" t="s">
        <v>976</v>
      </c>
    </row>
    <row r="17" spans="1:6">
      <c r="A17" s="60">
        <v>0.53194444444444444</v>
      </c>
      <c r="B17" t="s">
        <v>1020</v>
      </c>
    </row>
    <row r="18" spans="1:6">
      <c r="A18" s="60">
        <v>0.53402777777777777</v>
      </c>
      <c r="B18" t="s">
        <v>684</v>
      </c>
    </row>
    <row r="19" spans="1:6">
      <c r="A19" s="60">
        <v>0.53472222222222221</v>
      </c>
      <c r="B19" s="60" t="s">
        <v>1022</v>
      </c>
    </row>
    <row r="20" spans="1:6">
      <c r="A20" s="60">
        <v>0.53680555555555554</v>
      </c>
      <c r="B20" t="s">
        <v>1023</v>
      </c>
    </row>
    <row r="21" spans="1:6">
      <c r="A21" t="s">
        <v>1021</v>
      </c>
    </row>
    <row r="22" spans="1:6">
      <c r="A22" s="60">
        <v>0.53819444444444442</v>
      </c>
      <c r="B22" t="s">
        <v>1024</v>
      </c>
    </row>
    <row r="23" spans="1:6">
      <c r="A23" s="60">
        <v>0.5395833333333333</v>
      </c>
      <c r="B23" t="s">
        <v>684</v>
      </c>
    </row>
    <row r="24" spans="1:6">
      <c r="A24" s="60">
        <v>0.54097222222222219</v>
      </c>
      <c r="B24" t="s">
        <v>1025</v>
      </c>
    </row>
    <row r="25" spans="1:6">
      <c r="A25" s="60">
        <v>4.2361111111111106E-2</v>
      </c>
      <c r="B25" t="s">
        <v>1026</v>
      </c>
    </row>
    <row r="26" spans="1:6">
      <c r="A26" s="60">
        <v>4.3750000000000004E-2</v>
      </c>
      <c r="B26" t="s">
        <v>1027</v>
      </c>
      <c r="F26" t="s">
        <v>1028</v>
      </c>
    </row>
    <row r="27" spans="1:6">
      <c r="A27" s="60">
        <v>4.7916666666666663E-2</v>
      </c>
      <c r="B27" t="s">
        <v>344</v>
      </c>
    </row>
    <row r="28" spans="1:6">
      <c r="A28" s="60">
        <v>4.8611111111111112E-2</v>
      </c>
      <c r="B28" t="s">
        <v>1030</v>
      </c>
    </row>
    <row r="29" spans="1:6">
      <c r="A29" s="60">
        <v>5.2083333333333336E-2</v>
      </c>
      <c r="B29" t="s">
        <v>1031</v>
      </c>
    </row>
    <row r="30" spans="1:6">
      <c r="A30" s="60">
        <v>5.2777777777777778E-2</v>
      </c>
      <c r="B30" t="s">
        <v>976</v>
      </c>
    </row>
    <row r="31" spans="1:6">
      <c r="A31" s="60">
        <v>5.6944444444444443E-2</v>
      </c>
      <c r="B31" t="s">
        <v>944</v>
      </c>
    </row>
    <row r="32" spans="1:6">
      <c r="A32" s="60">
        <v>5.8333333333333327E-2</v>
      </c>
      <c r="B32" t="s">
        <v>1032</v>
      </c>
    </row>
    <row r="33" spans="1:2">
      <c r="A33" s="60">
        <v>6.0416666666666667E-2</v>
      </c>
      <c r="B33" t="s">
        <v>1033</v>
      </c>
    </row>
    <row r="34" spans="1:2">
      <c r="A34" s="60">
        <v>6.5972222222222224E-2</v>
      </c>
      <c r="B34" t="s">
        <v>1034</v>
      </c>
    </row>
    <row r="36" spans="1:2">
      <c r="A36" s="60">
        <v>8.7500000000000008E-2</v>
      </c>
      <c r="B36" t="s">
        <v>1038</v>
      </c>
    </row>
    <row r="37" spans="1:2">
      <c r="A37" s="60">
        <v>8.8888888888888892E-2</v>
      </c>
      <c r="B37" t="s">
        <v>1039</v>
      </c>
    </row>
    <row r="38" spans="1:2">
      <c r="A38" s="60">
        <v>8.9583333333333334E-2</v>
      </c>
      <c r="B38" t="s">
        <v>1040</v>
      </c>
    </row>
    <row r="39" spans="1:2">
      <c r="A39" s="60">
        <v>9.0972222222222218E-2</v>
      </c>
      <c r="B39" t="s">
        <v>1041</v>
      </c>
    </row>
    <row r="40" spans="1:2">
      <c r="A40" s="60">
        <v>9.3055555555555558E-2</v>
      </c>
      <c r="B40" t="s">
        <v>684</v>
      </c>
    </row>
    <row r="42" spans="1:2">
      <c r="A42" t="s">
        <v>1042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opLeftCell="A10" workbookViewId="0">
      <selection activeCell="A75" sqref="A75:A85"/>
    </sheetView>
  </sheetViews>
  <sheetFormatPr baseColWidth="10" defaultColWidth="11" defaultRowHeight="15" x14ac:dyDescent="0"/>
  <cols>
    <col min="3" max="3" width="18" customWidth="1"/>
  </cols>
  <sheetData>
    <row r="1" spans="1:8">
      <c r="A1" t="s">
        <v>424</v>
      </c>
    </row>
    <row r="3" spans="1:8">
      <c r="A3" t="s">
        <v>425</v>
      </c>
    </row>
    <row r="5" spans="1:8" ht="78.75">
      <c r="A5" s="70" t="s">
        <v>426</v>
      </c>
      <c r="B5" s="70" t="s">
        <v>428</v>
      </c>
      <c r="C5" s="70" t="s">
        <v>427</v>
      </c>
    </row>
    <row r="6" spans="1:8">
      <c r="A6">
        <v>101</v>
      </c>
      <c r="B6">
        <v>3</v>
      </c>
      <c r="C6">
        <v>3</v>
      </c>
    </row>
    <row r="7" spans="1:8">
      <c r="A7">
        <v>101</v>
      </c>
      <c r="B7">
        <v>2</v>
      </c>
      <c r="C7">
        <v>5</v>
      </c>
    </row>
    <row r="8" spans="1:8">
      <c r="A8">
        <v>101</v>
      </c>
      <c r="B8">
        <v>1</v>
      </c>
      <c r="C8">
        <v>1</v>
      </c>
    </row>
    <row r="9" spans="1:8">
      <c r="A9">
        <v>101</v>
      </c>
      <c r="B9">
        <v>2</v>
      </c>
      <c r="C9">
        <v>2</v>
      </c>
    </row>
    <row r="10" spans="1:8">
      <c r="A10">
        <v>101</v>
      </c>
      <c r="B10">
        <v>1</v>
      </c>
      <c r="C10">
        <v>2</v>
      </c>
      <c r="H10" t="s">
        <v>34</v>
      </c>
    </row>
    <row r="11" spans="1:8">
      <c r="A11">
        <v>101</v>
      </c>
      <c r="B11">
        <v>1</v>
      </c>
      <c r="C11">
        <v>1</v>
      </c>
      <c r="E11" s="71">
        <f>AVERAGE(B6:B11)</f>
        <v>1.6666666666666667</v>
      </c>
      <c r="F11" s="71">
        <f>AVERAGE(C6:C11)</f>
        <v>2.3333333333333335</v>
      </c>
    </row>
    <row r="13" spans="1:8">
      <c r="C13" t="s">
        <v>34</v>
      </c>
    </row>
    <row r="15" spans="1:8">
      <c r="A15">
        <v>109</v>
      </c>
      <c r="B15">
        <v>3</v>
      </c>
      <c r="C15">
        <v>4</v>
      </c>
    </row>
    <row r="16" spans="1:8">
      <c r="A16">
        <v>109</v>
      </c>
      <c r="B16">
        <v>2</v>
      </c>
      <c r="C16">
        <v>4</v>
      </c>
    </row>
    <row r="17" spans="1:6">
      <c r="A17">
        <v>109</v>
      </c>
      <c r="B17">
        <v>1</v>
      </c>
      <c r="C17">
        <v>2</v>
      </c>
      <c r="E17" t="s">
        <v>435</v>
      </c>
    </row>
    <row r="18" spans="1:6">
      <c r="A18">
        <v>109</v>
      </c>
      <c r="B18">
        <v>5</v>
      </c>
      <c r="C18">
        <v>0</v>
      </c>
      <c r="E18" t="s">
        <v>436</v>
      </c>
    </row>
    <row r="19" spans="1:6">
      <c r="A19">
        <v>109</v>
      </c>
      <c r="B19">
        <v>1</v>
      </c>
      <c r="C19">
        <v>3</v>
      </c>
    </row>
    <row r="20" spans="1:6">
      <c r="A20">
        <v>109</v>
      </c>
      <c r="B20">
        <v>2</v>
      </c>
      <c r="C20">
        <v>3</v>
      </c>
    </row>
    <row r="21" spans="1:6">
      <c r="A21">
        <v>109</v>
      </c>
      <c r="B21">
        <v>3</v>
      </c>
      <c r="C21">
        <v>3</v>
      </c>
    </row>
    <row r="22" spans="1:6">
      <c r="A22">
        <v>109</v>
      </c>
      <c r="B22">
        <v>1</v>
      </c>
      <c r="C22">
        <v>3</v>
      </c>
    </row>
    <row r="23" spans="1:6">
      <c r="A23">
        <v>109</v>
      </c>
      <c r="B23">
        <v>2</v>
      </c>
      <c r="C23">
        <v>3</v>
      </c>
    </row>
    <row r="24" spans="1:6">
      <c r="A24">
        <v>109</v>
      </c>
      <c r="B24">
        <v>1</v>
      </c>
      <c r="C24">
        <v>0</v>
      </c>
    </row>
    <row r="25" spans="1:6">
      <c r="A25">
        <v>109</v>
      </c>
      <c r="B25">
        <v>1</v>
      </c>
      <c r="C25">
        <v>1</v>
      </c>
    </row>
    <row r="26" spans="1:6">
      <c r="A26">
        <v>109</v>
      </c>
      <c r="B26">
        <v>2</v>
      </c>
      <c r="C26">
        <v>4</v>
      </c>
    </row>
    <row r="27" spans="1:6">
      <c r="A27">
        <v>109</v>
      </c>
      <c r="B27">
        <v>2</v>
      </c>
      <c r="C27">
        <v>7</v>
      </c>
    </row>
    <row r="28" spans="1:6">
      <c r="A28">
        <v>109</v>
      </c>
      <c r="B28">
        <v>1</v>
      </c>
      <c r="C28">
        <v>2</v>
      </c>
      <c r="E28" s="71">
        <f>AVERAGE(B15:B28)</f>
        <v>1.9285714285714286</v>
      </c>
      <c r="F28" s="71">
        <f>AVERAGE(C15:C28)</f>
        <v>2.7857142857142856</v>
      </c>
    </row>
    <row r="30" spans="1:6">
      <c r="A30">
        <v>106</v>
      </c>
      <c r="B30">
        <v>2</v>
      </c>
      <c r="C30">
        <v>6</v>
      </c>
    </row>
    <row r="31" spans="1:6">
      <c r="A31">
        <v>106</v>
      </c>
      <c r="B31">
        <v>4</v>
      </c>
      <c r="C31">
        <v>4</v>
      </c>
    </row>
    <row r="32" spans="1:6">
      <c r="A32">
        <v>106</v>
      </c>
      <c r="B32">
        <v>4</v>
      </c>
      <c r="C32">
        <v>5</v>
      </c>
    </row>
    <row r="33" spans="1:6">
      <c r="A33">
        <v>106</v>
      </c>
      <c r="B33">
        <v>5</v>
      </c>
      <c r="C33">
        <v>0</v>
      </c>
    </row>
    <row r="34" spans="1:6">
      <c r="A34">
        <v>106</v>
      </c>
      <c r="B34">
        <v>2</v>
      </c>
      <c r="C34">
        <v>5</v>
      </c>
    </row>
    <row r="35" spans="1:6">
      <c r="A35">
        <v>106</v>
      </c>
      <c r="B35">
        <v>2</v>
      </c>
      <c r="C35">
        <v>2</v>
      </c>
      <c r="E35" s="71">
        <f>AVERAGE(B30:B35)</f>
        <v>3.1666666666666665</v>
      </c>
      <c r="F35" s="71">
        <f>AVERAGE(C30:C35)</f>
        <v>3.6666666666666665</v>
      </c>
    </row>
    <row r="37" spans="1:6">
      <c r="A37">
        <v>103</v>
      </c>
      <c r="B37">
        <v>7</v>
      </c>
      <c r="C37">
        <v>2</v>
      </c>
    </row>
    <row r="38" spans="1:6">
      <c r="A38">
        <v>103</v>
      </c>
      <c r="B38">
        <v>2</v>
      </c>
      <c r="C38">
        <v>1</v>
      </c>
    </row>
    <row r="39" spans="1:6">
      <c r="A39">
        <v>103</v>
      </c>
      <c r="B39">
        <v>2</v>
      </c>
      <c r="C39">
        <v>0</v>
      </c>
      <c r="D39" t="s">
        <v>437</v>
      </c>
    </row>
    <row r="40" spans="1:6">
      <c r="A40">
        <v>103</v>
      </c>
      <c r="B40">
        <v>3</v>
      </c>
      <c r="C40">
        <v>2</v>
      </c>
    </row>
    <row r="41" spans="1:6">
      <c r="A41">
        <v>103</v>
      </c>
      <c r="B41">
        <v>2</v>
      </c>
      <c r="C41">
        <v>2</v>
      </c>
    </row>
    <row r="42" spans="1:6">
      <c r="A42">
        <v>103</v>
      </c>
      <c r="B42">
        <v>4</v>
      </c>
      <c r="C42">
        <v>3</v>
      </c>
    </row>
    <row r="43" spans="1:6">
      <c r="A43">
        <v>103</v>
      </c>
      <c r="B43">
        <v>1</v>
      </c>
      <c r="C43">
        <v>2</v>
      </c>
    </row>
    <row r="44" spans="1:6">
      <c r="A44">
        <v>103</v>
      </c>
      <c r="B44">
        <v>2</v>
      </c>
      <c r="C44">
        <v>3</v>
      </c>
    </row>
    <row r="45" spans="1:6">
      <c r="A45">
        <v>103</v>
      </c>
      <c r="B45">
        <v>1</v>
      </c>
      <c r="C45">
        <v>2</v>
      </c>
    </row>
    <row r="46" spans="1:6">
      <c r="A46">
        <v>103</v>
      </c>
      <c r="B46">
        <v>1</v>
      </c>
      <c r="C46">
        <v>5</v>
      </c>
      <c r="E46">
        <f>AVERAGE(B37:B46)</f>
        <v>2.5</v>
      </c>
      <c r="F46">
        <f>AVERAGE(C37:C46)</f>
        <v>2.2000000000000002</v>
      </c>
    </row>
    <row r="48" spans="1:6">
      <c r="A48">
        <v>105</v>
      </c>
      <c r="B48">
        <v>3</v>
      </c>
      <c r="C48">
        <v>2</v>
      </c>
    </row>
    <row r="49" spans="1:6">
      <c r="A49">
        <v>105</v>
      </c>
      <c r="B49">
        <v>2</v>
      </c>
      <c r="C49">
        <v>2</v>
      </c>
    </row>
    <row r="50" spans="1:6">
      <c r="A50">
        <v>105</v>
      </c>
      <c r="B50">
        <v>3</v>
      </c>
      <c r="C50">
        <v>2</v>
      </c>
    </row>
    <row r="51" spans="1:6">
      <c r="A51">
        <v>105</v>
      </c>
      <c r="B51">
        <v>3</v>
      </c>
      <c r="C51">
        <v>1</v>
      </c>
    </row>
    <row r="52" spans="1:6">
      <c r="A52">
        <v>105</v>
      </c>
      <c r="B52">
        <v>1</v>
      </c>
      <c r="C52">
        <v>3</v>
      </c>
      <c r="E52">
        <f>AVERAGE(B48:B52)</f>
        <v>2.4</v>
      </c>
      <c r="F52">
        <f>AVERAGE(C48:C52)</f>
        <v>2</v>
      </c>
    </row>
    <row r="55" spans="1:6">
      <c r="A55" s="54" t="s">
        <v>441</v>
      </c>
      <c r="B55" s="72">
        <f>AVERAGE(B6:B52)</f>
        <v>2.2682926829268291</v>
      </c>
      <c r="C55" s="72">
        <f>AVERAGE(C6:C52)</f>
        <v>2.6097560975609757</v>
      </c>
      <c r="D55" t="s">
        <v>440</v>
      </c>
    </row>
    <row r="58" spans="1:6">
      <c r="B58" t="s">
        <v>442</v>
      </c>
    </row>
    <row r="59" spans="1:6">
      <c r="A59">
        <v>107</v>
      </c>
      <c r="B59">
        <v>2</v>
      </c>
      <c r="C59">
        <v>0</v>
      </c>
    </row>
    <row r="60" spans="1:6">
      <c r="A60">
        <v>107</v>
      </c>
      <c r="B60">
        <v>1</v>
      </c>
      <c r="C60">
        <v>3</v>
      </c>
    </row>
    <row r="61" spans="1:6">
      <c r="A61">
        <v>107</v>
      </c>
      <c r="B61">
        <v>1</v>
      </c>
      <c r="C61">
        <v>2</v>
      </c>
    </row>
    <row r="62" spans="1:6">
      <c r="A62">
        <v>107</v>
      </c>
      <c r="B62">
        <v>2</v>
      </c>
      <c r="C62">
        <v>0</v>
      </c>
    </row>
    <row r="63" spans="1:6">
      <c r="A63">
        <v>107</v>
      </c>
      <c r="B63">
        <v>1</v>
      </c>
      <c r="C63">
        <v>1</v>
      </c>
    </row>
    <row r="64" spans="1:6">
      <c r="A64">
        <v>107</v>
      </c>
      <c r="B64">
        <v>1</v>
      </c>
      <c r="C64">
        <v>1</v>
      </c>
    </row>
    <row r="65" spans="1:9">
      <c r="A65">
        <v>107</v>
      </c>
      <c r="B65">
        <v>1</v>
      </c>
      <c r="C65">
        <v>1</v>
      </c>
    </row>
    <row r="66" spans="1:9">
      <c r="A66">
        <v>107</v>
      </c>
      <c r="B66">
        <v>1</v>
      </c>
      <c r="C66">
        <v>5</v>
      </c>
      <c r="F66" t="s">
        <v>445</v>
      </c>
    </row>
    <row r="67" spans="1:9">
      <c r="A67">
        <v>107</v>
      </c>
      <c r="B67">
        <v>1</v>
      </c>
      <c r="C67">
        <v>3</v>
      </c>
    </row>
    <row r="68" spans="1:9">
      <c r="A68">
        <v>107</v>
      </c>
      <c r="B68">
        <v>3</v>
      </c>
      <c r="C68">
        <v>0</v>
      </c>
    </row>
    <row r="69" spans="1:9">
      <c r="A69">
        <v>107</v>
      </c>
      <c r="B69">
        <v>2</v>
      </c>
      <c r="C69">
        <v>1</v>
      </c>
    </row>
    <row r="70" spans="1:9">
      <c r="A70">
        <v>107</v>
      </c>
      <c r="B70">
        <v>2</v>
      </c>
      <c r="C70">
        <v>8</v>
      </c>
    </row>
    <row r="71" spans="1:9">
      <c r="A71">
        <v>107</v>
      </c>
      <c r="B71">
        <v>1</v>
      </c>
      <c r="C71">
        <v>3</v>
      </c>
    </row>
    <row r="72" spans="1:9">
      <c r="F72" t="s">
        <v>443</v>
      </c>
    </row>
    <row r="73" spans="1:9">
      <c r="B73" s="72">
        <f>AVERAGE(B59:B71)</f>
        <v>1.4615384615384615</v>
      </c>
      <c r="C73" s="72">
        <f>AVERAGE(C59:C71)</f>
        <v>2.1538461538461537</v>
      </c>
      <c r="D73" s="72"/>
      <c r="E73" s="72">
        <f>C73/B73</f>
        <v>1.4736842105263157</v>
      </c>
    </row>
    <row r="75" spans="1:9">
      <c r="A75" t="s">
        <v>433</v>
      </c>
      <c r="I75" t="s">
        <v>512</v>
      </c>
    </row>
    <row r="76" spans="1:9">
      <c r="A76" t="s">
        <v>438</v>
      </c>
    </row>
    <row r="78" spans="1:9">
      <c r="A78" t="s">
        <v>434</v>
      </c>
    </row>
    <row r="79" spans="1:9">
      <c r="A79" t="s">
        <v>429</v>
      </c>
    </row>
    <row r="80" spans="1:9">
      <c r="A80" t="s">
        <v>430</v>
      </c>
    </row>
    <row r="81" spans="1:1">
      <c r="A81" t="s">
        <v>431</v>
      </c>
    </row>
    <row r="82" spans="1:1">
      <c r="A82" t="s">
        <v>432</v>
      </c>
    </row>
    <row r="84" spans="1:1">
      <c r="A84" t="s">
        <v>435</v>
      </c>
    </row>
    <row r="85" spans="1:1">
      <c r="A85" t="s">
        <v>436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O30" sqref="O30"/>
    </sheetView>
  </sheetViews>
  <sheetFormatPr baseColWidth="10" defaultColWidth="11" defaultRowHeight="15" x14ac:dyDescent="0"/>
  <cols>
    <col min="1" max="1" width="20.1640625" customWidth="1"/>
    <col min="2" max="2" width="15.6640625" customWidth="1"/>
    <col min="5" max="5" width="13.1640625" customWidth="1"/>
  </cols>
  <sheetData>
    <row r="1" spans="1:8" ht="16.5" thickBot="1">
      <c r="A1" s="39"/>
    </row>
    <row r="2" spans="1:8" s="41" customFormat="1" ht="31.5">
      <c r="A2" s="40" t="s">
        <v>138</v>
      </c>
      <c r="B2" s="50" t="s">
        <v>140</v>
      </c>
      <c r="C2" s="40" t="s">
        <v>63</v>
      </c>
      <c r="D2" s="40" t="s">
        <v>141</v>
      </c>
      <c r="E2" s="58" t="s">
        <v>142</v>
      </c>
      <c r="F2" s="58" t="s">
        <v>64</v>
      </c>
    </row>
    <row r="3" spans="1:8" s="41" customFormat="1">
      <c r="A3" s="42" t="s">
        <v>65</v>
      </c>
      <c r="B3" s="42" t="s">
        <v>66</v>
      </c>
      <c r="E3" s="57"/>
    </row>
    <row r="4" spans="1:8" s="41" customFormat="1">
      <c r="A4" s="43"/>
      <c r="B4" s="44"/>
      <c r="E4" s="57"/>
    </row>
    <row r="5" spans="1:8" s="41" customFormat="1">
      <c r="A5" s="43"/>
      <c r="B5" s="44"/>
      <c r="E5" s="57"/>
    </row>
    <row r="6" spans="1:8" s="41" customFormat="1">
      <c r="A6" s="43"/>
      <c r="B6" s="44"/>
      <c r="E6" s="57"/>
    </row>
    <row r="7" spans="1:8" s="41" customFormat="1">
      <c r="A7" s="43"/>
      <c r="B7" s="44"/>
      <c r="E7" s="57"/>
    </row>
    <row r="8" spans="1:8" s="41" customFormat="1">
      <c r="A8" s="43"/>
      <c r="B8" s="44"/>
      <c r="E8" s="57"/>
    </row>
    <row r="9" spans="1:8" s="41" customFormat="1">
      <c r="A9" s="43"/>
      <c r="B9" s="44"/>
      <c r="E9" s="57"/>
    </row>
    <row r="10" spans="1:8" s="41" customFormat="1">
      <c r="A10" s="43"/>
      <c r="B10" s="44"/>
      <c r="E10" s="57"/>
    </row>
    <row r="11" spans="1:8" s="41" customFormat="1">
      <c r="A11" s="43"/>
      <c r="B11" s="44"/>
      <c r="E11" s="57"/>
    </row>
    <row r="12" spans="1:8" s="41" customFormat="1">
      <c r="A12" s="43"/>
      <c r="B12" s="44"/>
      <c r="C12" s="42"/>
      <c r="D12" s="42"/>
      <c r="E12" s="42"/>
      <c r="F12" s="44"/>
      <c r="G12" s="45"/>
      <c r="H12" s="44"/>
    </row>
    <row r="13" spans="1:8" s="41" customFormat="1">
      <c r="A13" s="43"/>
      <c r="B13" s="44"/>
      <c r="C13" s="42"/>
      <c r="D13" s="42"/>
      <c r="E13" s="42"/>
      <c r="F13" s="44"/>
      <c r="G13" s="45"/>
      <c r="H13" s="44"/>
    </row>
    <row r="14" spans="1:8" s="41" customFormat="1" ht="63">
      <c r="A14" s="43" t="s">
        <v>143</v>
      </c>
      <c r="B14" s="44"/>
      <c r="C14" s="42"/>
      <c r="D14" s="42"/>
      <c r="E14" s="42"/>
      <c r="F14" s="44"/>
      <c r="G14" s="45"/>
      <c r="H14" s="44"/>
    </row>
    <row r="15" spans="1:8" s="41" customFormat="1">
      <c r="A15" s="43"/>
      <c r="B15" s="44"/>
      <c r="C15" s="42"/>
      <c r="D15" s="42"/>
      <c r="E15" s="42"/>
      <c r="F15" s="44"/>
      <c r="G15" s="45"/>
      <c r="H15" s="44"/>
    </row>
    <row r="16" spans="1:8" s="41" customFormat="1">
      <c r="A16" s="43"/>
      <c r="B16" s="44"/>
      <c r="C16" s="42"/>
      <c r="D16" s="42"/>
      <c r="E16" s="42"/>
      <c r="F16" s="44"/>
      <c r="G16" s="45"/>
      <c r="H16" s="44"/>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sheetPr>
  <dimension ref="A1:R161"/>
  <sheetViews>
    <sheetView tabSelected="1" workbookViewId="0">
      <selection activeCell="E24" sqref="E24"/>
    </sheetView>
  </sheetViews>
  <sheetFormatPr baseColWidth="10" defaultColWidth="8.83203125" defaultRowHeight="14" x14ac:dyDescent="0"/>
  <cols>
    <col min="1" max="1" width="8" style="493" customWidth="1"/>
    <col min="2" max="2" width="24.33203125" style="493" customWidth="1"/>
    <col min="3" max="3" width="9.83203125" style="493" customWidth="1"/>
    <col min="4" max="4" width="8.6640625" style="493" customWidth="1"/>
    <col min="5" max="5" width="24" style="493" customWidth="1"/>
    <col min="6" max="6" width="11.6640625" style="493" customWidth="1"/>
    <col min="7" max="7" width="3" style="655" customWidth="1"/>
    <col min="8" max="8" width="11.1640625" style="493" customWidth="1"/>
    <col min="9" max="9" width="11.6640625" style="493" customWidth="1"/>
    <col min="10" max="10" width="10.1640625" style="493" customWidth="1"/>
    <col min="11" max="11" width="9.33203125" style="493" customWidth="1"/>
    <col min="12" max="12" width="8" style="493" customWidth="1"/>
    <col min="13" max="13" width="8.83203125" style="493"/>
    <col min="14" max="14" width="22.1640625" style="493" customWidth="1"/>
    <col min="15" max="15" width="9.6640625" style="493" bestFit="1" customWidth="1"/>
    <col min="16" max="16384" width="8.83203125" style="493"/>
  </cols>
  <sheetData>
    <row r="1" spans="1:18">
      <c r="A1" s="493" t="s">
        <v>1679</v>
      </c>
      <c r="N1" s="670"/>
      <c r="O1" s="670"/>
      <c r="P1" s="670"/>
      <c r="Q1" s="670"/>
    </row>
    <row r="2" spans="1:18">
      <c r="A2" s="493" t="s">
        <v>1712</v>
      </c>
      <c r="N2" s="670" t="s">
        <v>38</v>
      </c>
      <c r="O2" s="670"/>
      <c r="P2" s="670"/>
      <c r="Q2" s="670"/>
    </row>
    <row r="3" spans="1:18">
      <c r="A3" s="493" t="s">
        <v>1730</v>
      </c>
      <c r="H3" s="553" t="s">
        <v>1692</v>
      </c>
      <c r="I3" s="573">
        <f>'Data capture'!R17</f>
        <v>1886.4203469899119</v>
      </c>
      <c r="N3" s="670"/>
      <c r="O3" s="670"/>
      <c r="P3" s="670"/>
      <c r="Q3" s="670" t="s">
        <v>34</v>
      </c>
    </row>
    <row r="4" spans="1:18" ht="15.75" thickBot="1">
      <c r="A4" s="575">
        <v>41598</v>
      </c>
      <c r="B4" s="638" t="s">
        <v>1693</v>
      </c>
      <c r="H4" s="570" t="s">
        <v>1501</v>
      </c>
      <c r="I4" s="573">
        <f>'Data capture'!L36</f>
        <v>4011.834319526627</v>
      </c>
      <c r="L4" s="648" t="s">
        <v>1741</v>
      </c>
      <c r="N4" s="670" t="s">
        <v>1348</v>
      </c>
      <c r="O4" s="670" t="s">
        <v>1665</v>
      </c>
      <c r="P4" s="670" t="s">
        <v>1725</v>
      </c>
      <c r="Q4" s="670"/>
    </row>
    <row r="5" spans="1:18">
      <c r="B5" s="497" t="s">
        <v>1198</v>
      </c>
      <c r="C5" s="499"/>
      <c r="E5" s="497" t="s">
        <v>1736</v>
      </c>
      <c r="F5" s="499"/>
      <c r="G5" s="658"/>
      <c r="H5" s="493" t="s">
        <v>51</v>
      </c>
      <c r="I5" s="574">
        <f>SUM(I3:I4)</f>
        <v>5898.2546665165391</v>
      </c>
      <c r="M5" s="638">
        <f>Supplies!J54</f>
        <v>8.9566210147354681</v>
      </c>
      <c r="N5" s="670" t="s">
        <v>1667</v>
      </c>
      <c r="O5" s="671">
        <v>71166.173570019731</v>
      </c>
      <c r="P5" s="672">
        <f t="shared" ref="P5:P12" si="0">O5/$O$14</f>
        <v>0.48437581971340588</v>
      </c>
      <c r="Q5" s="670" t="s">
        <v>55</v>
      </c>
    </row>
    <row r="6" spans="1:18">
      <c r="B6" s="752" t="s">
        <v>34</v>
      </c>
      <c r="C6" s="502"/>
      <c r="E6" s="752" t="s">
        <v>34</v>
      </c>
      <c r="F6" s="502"/>
      <c r="G6" s="658"/>
      <c r="H6" s="648" t="s">
        <v>1198</v>
      </c>
      <c r="K6" s="493" t="s">
        <v>1723</v>
      </c>
      <c r="N6" s="670" t="s">
        <v>1668</v>
      </c>
      <c r="O6" s="671">
        <f>C9</f>
        <v>30014.68674919202</v>
      </c>
      <c r="P6" s="672">
        <f t="shared" si="0"/>
        <v>0.20428790488892595</v>
      </c>
      <c r="Q6" s="670" t="s">
        <v>34</v>
      </c>
    </row>
    <row r="7" spans="1:18">
      <c r="B7" s="651"/>
      <c r="C7" s="502" t="s">
        <v>1623</v>
      </c>
      <c r="E7" s="651"/>
      <c r="F7" s="502" t="s">
        <v>1623</v>
      </c>
      <c r="G7" s="658"/>
      <c r="H7" s="553" t="s">
        <v>1738</v>
      </c>
      <c r="I7" s="570"/>
      <c r="J7" s="573">
        <f>Supplies!I75+Supplies!F80</f>
        <v>2627.0927021696252</v>
      </c>
      <c r="K7" s="573">
        <f>J7</f>
        <v>2627.0927021696252</v>
      </c>
      <c r="N7" s="670" t="s">
        <v>1414</v>
      </c>
      <c r="O7" s="671">
        <v>6415.3417209560184</v>
      </c>
      <c r="P7" s="672">
        <f t="shared" si="0"/>
        <v>4.3664514318341223E-2</v>
      </c>
      <c r="Q7" s="670"/>
    </row>
    <row r="8" spans="1:18">
      <c r="B8" s="652" t="s">
        <v>1667</v>
      </c>
      <c r="C8" s="653">
        <f>Personnel!O17</f>
        <v>192364.1354003945</v>
      </c>
      <c r="E8" s="652" t="s">
        <v>1667</v>
      </c>
      <c r="F8" s="653">
        <f>C8</f>
        <v>192364.1354003945</v>
      </c>
      <c r="G8" s="659"/>
      <c r="H8" s="569" t="s">
        <v>1680</v>
      </c>
      <c r="I8" s="570"/>
      <c r="J8" s="573">
        <f>Supplies!J18</f>
        <v>0.92868043288142399</v>
      </c>
      <c r="K8" s="570">
        <f>J8*H41</f>
        <v>31147.941718842962</v>
      </c>
      <c r="N8" s="670" t="s">
        <v>1722</v>
      </c>
      <c r="O8" s="671">
        <v>18592.039164646856</v>
      </c>
      <c r="P8" s="672">
        <f t="shared" si="0"/>
        <v>0.12654234109775631</v>
      </c>
      <c r="Q8" s="670"/>
    </row>
    <row r="9" spans="1:18">
      <c r="B9" s="652" t="s">
        <v>1668</v>
      </c>
      <c r="C9" s="653">
        <f>Vehicles!S13+Vehicles!M27</f>
        <v>30014.68674919202</v>
      </c>
      <c r="E9" s="652" t="s">
        <v>1668</v>
      </c>
      <c r="F9" s="653">
        <f t="shared" ref="F9:F15" si="1">C9</f>
        <v>30014.68674919202</v>
      </c>
      <c r="G9" s="659"/>
      <c r="J9" s="493" t="s">
        <v>51</v>
      </c>
      <c r="K9" s="574">
        <f>SUM(K7:K8)</f>
        <v>33775.034421012584</v>
      </c>
      <c r="N9" s="670" t="s">
        <v>1681</v>
      </c>
      <c r="O9" s="671">
        <v>9355.7396449704138</v>
      </c>
      <c r="P9" s="672">
        <f t="shared" si="0"/>
        <v>6.3677641107106331E-2</v>
      </c>
      <c r="Q9" s="670"/>
    </row>
    <row r="10" spans="1:18">
      <c r="B10" s="652" t="s">
        <v>1414</v>
      </c>
      <c r="C10" s="653">
        <f>Equipment!S21</f>
        <v>3579.7892567481358</v>
      </c>
      <c r="E10" s="652" t="s">
        <v>1414</v>
      </c>
      <c r="F10" s="653">
        <f>Equipment!S21</f>
        <v>3579.7892567481358</v>
      </c>
      <c r="G10" s="659"/>
      <c r="K10" s="574"/>
      <c r="N10" s="670" t="s">
        <v>1694</v>
      </c>
      <c r="O10" s="671">
        <v>2249.7251942448138</v>
      </c>
      <c r="P10" s="672">
        <f t="shared" si="0"/>
        <v>1.5312225323173728E-2</v>
      </c>
      <c r="Q10" s="670"/>
    </row>
    <row r="11" spans="1:18">
      <c r="B11" s="652" t="s">
        <v>1722</v>
      </c>
      <c r="C11" s="653">
        <f>K9</f>
        <v>33775.034421012584</v>
      </c>
      <c r="E11" s="652" t="s">
        <v>1722</v>
      </c>
      <c r="F11" s="653">
        <f>K15</f>
        <v>218302.52673699969</v>
      </c>
      <c r="G11" s="660"/>
      <c r="H11" s="495" t="s">
        <v>1737</v>
      </c>
      <c r="K11" s="493" t="s">
        <v>1723</v>
      </c>
      <c r="M11" s="673" t="s">
        <v>55</v>
      </c>
      <c r="N11" s="670" t="s">
        <v>1705</v>
      </c>
      <c r="O11" s="670">
        <v>4636</v>
      </c>
      <c r="P11" s="672">
        <f t="shared" si="0"/>
        <v>3.1553843456005932E-2</v>
      </c>
      <c r="Q11" s="670"/>
      <c r="R11" s="493" t="s">
        <v>34</v>
      </c>
    </row>
    <row r="12" spans="1:18">
      <c r="B12" s="652" t="s">
        <v>1681</v>
      </c>
      <c r="C12" s="653">
        <f>'building &amp; overhead'!P10</f>
        <v>17585.207100591713</v>
      </c>
      <c r="E12" s="652" t="s">
        <v>1681</v>
      </c>
      <c r="F12" s="653">
        <f t="shared" si="1"/>
        <v>17585.207100591713</v>
      </c>
      <c r="G12" s="659"/>
      <c r="H12" s="553" t="s">
        <v>1739</v>
      </c>
      <c r="I12" s="570"/>
      <c r="J12" s="573">
        <f>J7</f>
        <v>2627.0927021696252</v>
      </c>
      <c r="K12" s="573">
        <f>J12</f>
        <v>2627.0927021696252</v>
      </c>
      <c r="N12" s="670" t="s">
        <v>1724</v>
      </c>
      <c r="O12" s="671">
        <v>4493.7584925093852</v>
      </c>
      <c r="P12" s="672">
        <f t="shared" si="0"/>
        <v>3.0585710095284373E-2</v>
      </c>
      <c r="Q12" s="670"/>
      <c r="R12" s="493" t="s">
        <v>34</v>
      </c>
    </row>
    <row r="13" spans="1:18">
      <c r="B13" s="652" t="s">
        <v>1694</v>
      </c>
      <c r="C13" s="653">
        <f>SUM(J17:J22)</f>
        <v>3586.9413721301048</v>
      </c>
      <c r="E13" s="652" t="s">
        <v>1694</v>
      </c>
      <c r="F13" s="653">
        <f t="shared" si="1"/>
        <v>3586.9413721301048</v>
      </c>
      <c r="G13" s="659"/>
      <c r="H13" s="569" t="s">
        <v>1680</v>
      </c>
      <c r="I13" s="570"/>
      <c r="J13" s="573">
        <f>J8</f>
        <v>0.92868043288142399</v>
      </c>
      <c r="K13" s="570">
        <f>J13*H47</f>
        <v>22362.624823784688</v>
      </c>
      <c r="N13" s="670"/>
      <c r="O13" s="670"/>
      <c r="P13" s="670"/>
      <c r="Q13" s="670"/>
    </row>
    <row r="14" spans="1:18">
      <c r="B14" s="652" t="s">
        <v>1705</v>
      </c>
      <c r="C14" s="653">
        <f>'Start up costs'!O72</f>
        <v>3996</v>
      </c>
      <c r="E14" s="652" t="s">
        <v>1705</v>
      </c>
      <c r="F14" s="653">
        <f t="shared" si="1"/>
        <v>3996</v>
      </c>
      <c r="G14" s="659"/>
      <c r="H14" s="665" t="s">
        <v>1740</v>
      </c>
      <c r="I14" s="570"/>
      <c r="J14" s="573">
        <f>M5-J8</f>
        <v>8.0279405818540432</v>
      </c>
      <c r="K14" s="570">
        <f>J14*H47</f>
        <v>193312.80921104536</v>
      </c>
      <c r="N14" s="674" t="s">
        <v>51</v>
      </c>
      <c r="O14" s="675">
        <f>SUM(O5:O12)</f>
        <v>146923.46453653928</v>
      </c>
      <c r="P14" s="670" t="s">
        <v>1729</v>
      </c>
      <c r="Q14" s="670"/>
    </row>
    <row r="15" spans="1:18">
      <c r="B15" s="652" t="s">
        <v>1724</v>
      </c>
      <c r="C15" s="653">
        <f>SUM(I3:I4)</f>
        <v>5898.2546665165391</v>
      </c>
      <c r="E15" s="652" t="s">
        <v>1724</v>
      </c>
      <c r="F15" s="653">
        <f t="shared" si="1"/>
        <v>5898.2546665165391</v>
      </c>
      <c r="G15" s="659"/>
      <c r="J15" s="493" t="s">
        <v>51</v>
      </c>
      <c r="K15" s="574">
        <f>SUM(K12:K14)</f>
        <v>218302.52673699969</v>
      </c>
      <c r="N15" s="674" t="s">
        <v>1726</v>
      </c>
      <c r="O15" s="675">
        <f>O14/H41</f>
        <v>4.3805445598252621</v>
      </c>
      <c r="P15" s="670" t="s">
        <v>1729</v>
      </c>
      <c r="Q15" s="670"/>
    </row>
    <row r="16" spans="1:18">
      <c r="B16" s="651"/>
      <c r="C16" s="502"/>
      <c r="E16" s="651"/>
      <c r="F16" s="502"/>
      <c r="G16" s="658"/>
      <c r="H16" s="495" t="s">
        <v>1695</v>
      </c>
      <c r="J16" s="495"/>
    </row>
    <row r="17" spans="2:11">
      <c r="B17" s="651" t="s">
        <v>51</v>
      </c>
      <c r="C17" s="654">
        <f>SUM(C8:C16)</f>
        <v>290800.04896658566</v>
      </c>
      <c r="E17" s="651" t="s">
        <v>51</v>
      </c>
      <c r="F17" s="654">
        <f>SUM(F8:F16)</f>
        <v>475327.54128257273</v>
      </c>
      <c r="G17" s="658"/>
      <c r="H17" s="582" t="s">
        <v>1666</v>
      </c>
      <c r="I17" s="570"/>
      <c r="J17" s="573">
        <f>'Start up costs'!W21</f>
        <v>165.82429683361732</v>
      </c>
      <c r="K17" s="666"/>
    </row>
    <row r="18" spans="2:11">
      <c r="B18" s="667" t="s">
        <v>1726</v>
      </c>
      <c r="C18" s="668">
        <f>C17/H41</f>
        <v>8.6702459441438773</v>
      </c>
      <c r="E18" s="667" t="s">
        <v>1726</v>
      </c>
      <c r="F18" s="668">
        <f>F17/H47</f>
        <v>19.739515833993885</v>
      </c>
      <c r="G18" s="659"/>
      <c r="H18" s="582" t="s">
        <v>1690</v>
      </c>
      <c r="I18" s="570"/>
      <c r="J18" s="573">
        <f>'Start up costs'!W25</f>
        <v>228.83304039688176</v>
      </c>
    </row>
    <row r="19" spans="2:11" ht="15.75" thickBot="1">
      <c r="B19" s="755"/>
      <c r="C19" s="507"/>
      <c r="E19" s="755"/>
      <c r="F19" s="507"/>
      <c r="G19" s="658"/>
      <c r="H19" s="582" t="s">
        <v>1566</v>
      </c>
      <c r="I19" s="570"/>
      <c r="J19" s="573">
        <f>'Start up costs'!W41</f>
        <v>373.05770390785074</v>
      </c>
      <c r="K19" s="648" t="s">
        <v>34</v>
      </c>
    </row>
    <row r="20" spans="2:11">
      <c r="B20" s="501"/>
      <c r="C20" s="501"/>
      <c r="D20" s="501"/>
      <c r="E20" s="501"/>
      <c r="F20" s="501"/>
      <c r="G20" s="658"/>
      <c r="H20" s="582" t="s">
        <v>1579</v>
      </c>
      <c r="I20" s="570"/>
      <c r="J20" s="573">
        <f>'Start up costs'!U49</f>
        <v>54.30328038348658</v>
      </c>
    </row>
    <row r="21" spans="2:11">
      <c r="B21" s="753"/>
      <c r="C21" s="753"/>
      <c r="D21" s="753"/>
      <c r="E21" s="753"/>
      <c r="F21" s="753"/>
      <c r="G21" s="658"/>
      <c r="H21" s="582" t="s">
        <v>1696</v>
      </c>
      <c r="I21" s="570"/>
      <c r="J21" s="627">
        <f>'Start up costs'!F18</f>
        <v>309.39088961350154</v>
      </c>
    </row>
    <row r="22" spans="2:11">
      <c r="B22" s="753"/>
      <c r="C22" s="753"/>
      <c r="D22" s="753"/>
      <c r="E22" s="753"/>
      <c r="F22" s="753"/>
      <c r="G22" s="658"/>
      <c r="H22" s="582" t="s">
        <v>1691</v>
      </c>
      <c r="I22" s="570"/>
      <c r="J22" s="573">
        <f>Training!Q26</f>
        <v>2455.5321609947669</v>
      </c>
    </row>
    <row r="23" spans="2:11">
      <c r="B23" s="753"/>
      <c r="C23" s="753"/>
      <c r="D23" s="753"/>
      <c r="E23" s="753"/>
      <c r="F23" s="753"/>
      <c r="G23" s="658"/>
      <c r="I23" s="648" t="s">
        <v>51</v>
      </c>
      <c r="J23" s="574">
        <f>SUM(J17:J22)</f>
        <v>3586.9413721301048</v>
      </c>
    </row>
    <row r="24" spans="2:11">
      <c r="B24" s="753"/>
      <c r="C24" s="753"/>
      <c r="D24" s="753"/>
      <c r="E24" s="753"/>
      <c r="F24" s="753"/>
      <c r="G24" s="659"/>
    </row>
    <row r="25" spans="2:11">
      <c r="B25" s="753"/>
      <c r="C25" s="753"/>
      <c r="D25" s="753"/>
      <c r="E25" s="753"/>
      <c r="F25" s="753"/>
      <c r="G25" s="659"/>
    </row>
    <row r="26" spans="2:11">
      <c r="B26" s="753"/>
      <c r="C26" s="753"/>
      <c r="D26" s="753"/>
      <c r="E26" s="753"/>
      <c r="F26" s="753"/>
      <c r="G26" s="659"/>
      <c r="H26" s="493" t="s">
        <v>1348</v>
      </c>
      <c r="I26" s="493" t="s">
        <v>1665</v>
      </c>
    </row>
    <row r="27" spans="2:11">
      <c r="B27" s="753"/>
      <c r="C27" s="753"/>
      <c r="D27" s="753"/>
      <c r="E27" s="753"/>
      <c r="F27" s="753"/>
      <c r="G27" s="660"/>
      <c r="H27" s="730" t="s">
        <v>1837</v>
      </c>
      <c r="I27" s="493">
        <v>88405.606366260021</v>
      </c>
      <c r="J27" s="574">
        <f>I27-C13</f>
        <v>84818.664994129911</v>
      </c>
    </row>
    <row r="28" spans="2:11">
      <c r="B28" s="753"/>
      <c r="C28" s="753"/>
      <c r="D28" s="753"/>
      <c r="E28" s="753"/>
      <c r="F28" s="753"/>
      <c r="G28" s="659"/>
      <c r="H28" s="493" t="s">
        <v>1838</v>
      </c>
      <c r="I28" s="493">
        <v>171494.65209985324</v>
      </c>
      <c r="J28" s="574">
        <f>I28-C8</f>
        <v>-20869.483300541266</v>
      </c>
    </row>
    <row r="29" spans="2:11">
      <c r="B29" s="753"/>
      <c r="C29" s="753"/>
      <c r="D29" s="753"/>
      <c r="E29" s="753"/>
      <c r="F29" s="753"/>
      <c r="G29" s="659"/>
      <c r="H29" s="493" t="s">
        <v>1839</v>
      </c>
      <c r="I29" s="493">
        <v>28876.964757709255</v>
      </c>
      <c r="J29" s="574">
        <f>I29-C9</f>
        <v>-1137.7219914827656</v>
      </c>
    </row>
    <row r="30" spans="2:11">
      <c r="B30" s="753"/>
      <c r="C30" s="753"/>
      <c r="D30" s="753"/>
      <c r="E30" s="753"/>
      <c r="F30" s="753"/>
      <c r="G30" s="659"/>
      <c r="H30" s="493" t="s">
        <v>1840</v>
      </c>
      <c r="I30" s="493">
        <v>19172.892071125818</v>
      </c>
      <c r="J30" s="574">
        <f>I30-C11</f>
        <v>-14602.142349886766</v>
      </c>
    </row>
    <row r="31" spans="2:11">
      <c r="B31" s="753"/>
      <c r="C31" s="753"/>
      <c r="D31" s="753"/>
      <c r="E31" s="753"/>
      <c r="F31" s="753"/>
      <c r="G31" s="658"/>
      <c r="H31" s="493" t="s">
        <v>1841</v>
      </c>
      <c r="I31" s="493">
        <v>4342.1926904878446</v>
      </c>
      <c r="J31" s="574">
        <f>I31-C15</f>
        <v>-1556.0619760286945</v>
      </c>
    </row>
    <row r="32" spans="2:11">
      <c r="B32" s="658"/>
      <c r="C32" s="754"/>
      <c r="D32" s="501"/>
      <c r="E32" s="658"/>
      <c r="F32" s="754"/>
      <c r="G32" s="658"/>
      <c r="H32" s="493" t="s">
        <v>1842</v>
      </c>
      <c r="I32" s="493">
        <v>56547.072</v>
      </c>
    </row>
    <row r="33" spans="2:12">
      <c r="G33" s="658"/>
      <c r="H33" s="493" t="s">
        <v>1843</v>
      </c>
      <c r="I33" s="493">
        <v>5109.3186490455209</v>
      </c>
      <c r="J33" s="574">
        <f>I33-(C27+C28)</f>
        <v>5109.3186490455209</v>
      </c>
    </row>
    <row r="34" spans="2:12">
      <c r="G34" s="659"/>
      <c r="H34" s="731" t="s">
        <v>34</v>
      </c>
    </row>
    <row r="35" spans="2:12">
      <c r="C35" s="679" t="s">
        <v>1748</v>
      </c>
      <c r="E35" s="731" t="s">
        <v>34</v>
      </c>
    </row>
    <row r="36" spans="2:12">
      <c r="B36" s="648"/>
      <c r="C36" s="495" t="s">
        <v>1198</v>
      </c>
    </row>
    <row r="37" spans="2:12">
      <c r="B37" s="635"/>
      <c r="C37" s="554" t="s">
        <v>1718</v>
      </c>
      <c r="D37" s="554"/>
      <c r="E37" s="570"/>
      <c r="F37" s="570"/>
      <c r="G37" s="570"/>
      <c r="H37" s="554"/>
      <c r="I37" s="655"/>
    </row>
    <row r="38" spans="2:12" ht="30">
      <c r="B38" s="743" t="s">
        <v>1727</v>
      </c>
      <c r="C38" s="744" t="s">
        <v>1720</v>
      </c>
      <c r="D38" s="745" t="s">
        <v>1710</v>
      </c>
      <c r="E38" s="746" t="s">
        <v>1747</v>
      </c>
      <c r="F38" s="637"/>
      <c r="G38" s="637"/>
      <c r="H38" s="637" t="s">
        <v>1721</v>
      </c>
      <c r="I38" s="655"/>
      <c r="L38" s="493">
        <f>365-220</f>
        <v>145</v>
      </c>
    </row>
    <row r="39" spans="2:12">
      <c r="B39" s="748" t="s">
        <v>1858</v>
      </c>
      <c r="C39" s="676">
        <v>7</v>
      </c>
      <c r="D39" s="676">
        <v>20</v>
      </c>
      <c r="E39" s="676">
        <v>215</v>
      </c>
      <c r="F39" s="570"/>
      <c r="G39" s="570"/>
      <c r="H39" s="676">
        <f>E39*C39*D39</f>
        <v>30100</v>
      </c>
      <c r="I39" s="655"/>
      <c r="L39" s="493">
        <f>L38-52</f>
        <v>93</v>
      </c>
    </row>
    <row r="40" spans="2:12" ht="15.75" thickBot="1">
      <c r="B40" s="635" t="s">
        <v>1719</v>
      </c>
      <c r="C40" s="676">
        <v>4</v>
      </c>
      <c r="D40" s="676">
        <v>4</v>
      </c>
      <c r="E40" s="676">
        <v>215</v>
      </c>
      <c r="F40" s="570"/>
      <c r="G40" s="570"/>
      <c r="H40" s="676">
        <f>E40*C40*D40</f>
        <v>3440</v>
      </c>
      <c r="I40" s="655"/>
      <c r="L40" s="493">
        <f>L39-52</f>
        <v>41</v>
      </c>
    </row>
    <row r="41" spans="2:12" ht="15.75" thickBot="1">
      <c r="E41" s="732" t="s">
        <v>51</v>
      </c>
      <c r="H41" s="677">
        <f>SUM(H39:H40)</f>
        <v>33540</v>
      </c>
      <c r="I41" s="658"/>
      <c r="J41" s="493">
        <v>9</v>
      </c>
    </row>
    <row r="42" spans="2:12">
      <c r="B42" s="679" t="s">
        <v>1749</v>
      </c>
      <c r="C42" s="495" t="s">
        <v>1737</v>
      </c>
      <c r="D42" s="495"/>
      <c r="E42" s="732"/>
      <c r="I42" s="655"/>
      <c r="J42" s="493">
        <v>6</v>
      </c>
    </row>
    <row r="43" spans="2:12">
      <c r="B43" s="635"/>
      <c r="C43" s="554" t="s">
        <v>1718</v>
      </c>
      <c r="D43" s="554"/>
      <c r="E43" s="676"/>
      <c r="F43" s="570"/>
      <c r="G43" s="570"/>
      <c r="H43" s="570"/>
      <c r="I43" s="655"/>
    </row>
    <row r="44" spans="2:12" ht="30">
      <c r="B44" s="743" t="s">
        <v>1727</v>
      </c>
      <c r="C44" s="744" t="s">
        <v>1720</v>
      </c>
      <c r="D44" s="745" t="s">
        <v>1710</v>
      </c>
      <c r="E44" s="747" t="s">
        <v>1747</v>
      </c>
      <c r="F44" s="637"/>
      <c r="G44" s="637"/>
      <c r="H44" s="637" t="s">
        <v>1721</v>
      </c>
      <c r="I44" s="655"/>
    </row>
    <row r="45" spans="2:12">
      <c r="B45" s="748" t="s">
        <v>1858</v>
      </c>
      <c r="C45" s="676">
        <v>5</v>
      </c>
      <c r="D45" s="676">
        <v>20</v>
      </c>
      <c r="E45" s="676">
        <v>215</v>
      </c>
      <c r="F45" s="570"/>
      <c r="G45" s="570"/>
      <c r="H45" s="676">
        <f>E45*C45*D45</f>
        <v>21500</v>
      </c>
      <c r="I45" s="655"/>
    </row>
    <row r="46" spans="2:12" ht="15.75" thickBot="1">
      <c r="B46" s="749" t="s">
        <v>1625</v>
      </c>
      <c r="C46" s="676">
        <v>3</v>
      </c>
      <c r="D46" s="676">
        <v>4</v>
      </c>
      <c r="E46" s="676">
        <v>215</v>
      </c>
      <c r="F46" s="570"/>
      <c r="G46" s="570"/>
      <c r="H46" s="676">
        <f>E46*C46*D46</f>
        <v>2580</v>
      </c>
      <c r="I46" s="655"/>
      <c r="J46" s="679" t="s">
        <v>34</v>
      </c>
    </row>
    <row r="47" spans="2:12" ht="15.75" thickBot="1">
      <c r="E47" s="493" t="s">
        <v>51</v>
      </c>
      <c r="H47" s="677">
        <f>SUM(H45:H46)</f>
        <v>24080</v>
      </c>
      <c r="I47" s="655"/>
    </row>
    <row r="49" spans="2:11" ht="90">
      <c r="B49" s="637" t="s">
        <v>1728</v>
      </c>
      <c r="C49" s="637" t="s">
        <v>1697</v>
      </c>
      <c r="D49" s="637"/>
      <c r="E49" s="570" t="s">
        <v>1698</v>
      </c>
    </row>
    <row r="50" spans="2:11">
      <c r="B50" s="570"/>
      <c r="C50" s="570"/>
      <c r="D50" s="570"/>
      <c r="E50" s="570"/>
    </row>
    <row r="51" spans="2:11">
      <c r="B51" s="756">
        <v>8</v>
      </c>
      <c r="C51" s="756">
        <v>215</v>
      </c>
      <c r="D51" s="757"/>
      <c r="E51" s="756">
        <f>C51*B51</f>
        <v>1720</v>
      </c>
    </row>
    <row r="57" spans="2:11">
      <c r="I57" s="495"/>
    </row>
    <row r="58" spans="2:11">
      <c r="I58" s="496"/>
    </row>
    <row r="59" spans="2:11">
      <c r="I59" s="496"/>
    </row>
    <row r="61" spans="2:11">
      <c r="K61" s="636"/>
    </row>
    <row r="66" spans="1:9">
      <c r="B66" s="494"/>
    </row>
    <row r="69" spans="1:9">
      <c r="A69" s="655"/>
      <c r="B69" s="655"/>
      <c r="C69" s="655"/>
      <c r="D69" s="655"/>
      <c r="E69" s="655"/>
    </row>
    <row r="70" spans="1:9">
      <c r="A70" s="655"/>
      <c r="B70" s="656"/>
      <c r="C70" s="657"/>
      <c r="D70" s="655"/>
      <c r="E70" s="655"/>
    </row>
    <row r="71" spans="1:9">
      <c r="A71" s="655"/>
      <c r="B71" s="656"/>
      <c r="C71" s="657"/>
      <c r="D71" s="655"/>
      <c r="E71" s="655"/>
    </row>
    <row r="72" spans="1:9">
      <c r="A72" s="655"/>
      <c r="B72" s="656"/>
      <c r="C72" s="657"/>
      <c r="D72" s="655"/>
      <c r="E72" s="655"/>
      <c r="I72" s="495"/>
    </row>
    <row r="73" spans="1:9">
      <c r="A73" s="655"/>
      <c r="B73" s="656"/>
      <c r="C73" s="657"/>
      <c r="D73" s="655"/>
      <c r="E73" s="655"/>
    </row>
    <row r="74" spans="1:9">
      <c r="A74" s="655"/>
      <c r="B74" s="656"/>
      <c r="C74" s="657"/>
      <c r="D74" s="655"/>
      <c r="E74" s="655"/>
    </row>
    <row r="75" spans="1:9">
      <c r="A75" s="655"/>
      <c r="B75" s="656"/>
      <c r="C75" s="657"/>
      <c r="D75" s="655"/>
      <c r="E75" s="655"/>
    </row>
    <row r="76" spans="1:9">
      <c r="A76" s="655"/>
      <c r="B76" s="656"/>
      <c r="C76" s="657"/>
      <c r="D76" s="655"/>
      <c r="E76" s="655"/>
    </row>
    <row r="77" spans="1:9">
      <c r="A77" s="655"/>
      <c r="B77" s="656"/>
      <c r="C77" s="657"/>
      <c r="D77" s="655"/>
      <c r="E77" s="655"/>
    </row>
    <row r="78" spans="1:9">
      <c r="A78" s="655"/>
      <c r="B78" s="655"/>
      <c r="C78" s="655"/>
      <c r="D78" s="655"/>
      <c r="E78" s="655"/>
      <c r="I78" s="495"/>
    </row>
    <row r="79" spans="1:9">
      <c r="A79" s="655"/>
      <c r="B79" s="655"/>
      <c r="C79" s="655"/>
      <c r="D79" s="655"/>
      <c r="E79" s="655"/>
      <c r="I79" s="495"/>
    </row>
    <row r="80" spans="1:9">
      <c r="A80" s="655"/>
      <c r="B80" s="655"/>
      <c r="C80" s="657"/>
      <c r="D80" s="655"/>
      <c r="E80" s="655"/>
    </row>
    <row r="81" spans="1:9">
      <c r="A81" s="655"/>
      <c r="B81" s="656"/>
      <c r="C81" s="655"/>
      <c r="D81" s="655"/>
      <c r="E81" s="655"/>
    </row>
    <row r="84" spans="1:9">
      <c r="I84" s="495"/>
    </row>
    <row r="86" spans="1:9">
      <c r="B86" s="494"/>
    </row>
    <row r="87" spans="1:9">
      <c r="B87" s="496"/>
    </row>
    <row r="88" spans="1:9">
      <c r="B88" s="496"/>
    </row>
    <row r="89" spans="1:9">
      <c r="B89" s="496"/>
    </row>
    <row r="90" spans="1:9">
      <c r="B90" s="496"/>
    </row>
    <row r="91" spans="1:9">
      <c r="I91" s="495"/>
    </row>
    <row r="95" spans="1:9">
      <c r="I95" s="495"/>
    </row>
    <row r="97" spans="2:9">
      <c r="I97" s="495"/>
    </row>
    <row r="98" spans="2:9">
      <c r="I98" s="495"/>
    </row>
    <row r="100" spans="2:9">
      <c r="B100" s="494"/>
    </row>
    <row r="103" spans="2:9">
      <c r="I103" s="495"/>
    </row>
    <row r="106" spans="2:9">
      <c r="I106" s="495"/>
    </row>
    <row r="110" spans="2:9">
      <c r="I110" s="495"/>
    </row>
    <row r="111" spans="2:9">
      <c r="I111" s="495"/>
    </row>
    <row r="113" spans="2:9">
      <c r="B113" s="494"/>
    </row>
    <row r="118" spans="2:9">
      <c r="I118" s="495"/>
    </row>
    <row r="121" spans="2:9">
      <c r="I121" s="495"/>
    </row>
    <row r="124" spans="2:9">
      <c r="I124" s="495"/>
    </row>
    <row r="125" spans="2:9">
      <c r="I125" s="495"/>
    </row>
    <row r="127" spans="2:9">
      <c r="B127" s="494"/>
    </row>
    <row r="129" spans="2:10">
      <c r="I129" s="495"/>
    </row>
    <row r="133" spans="2:10">
      <c r="I133" s="495"/>
    </row>
    <row r="137" spans="2:10">
      <c r="I137" s="495"/>
    </row>
    <row r="138" spans="2:10">
      <c r="I138" s="495"/>
    </row>
    <row r="139" spans="2:10">
      <c r="I139" s="495"/>
    </row>
    <row r="140" spans="2:10" ht="15.75" thickBot="1"/>
    <row r="141" spans="2:10">
      <c r="B141" s="497"/>
      <c r="C141" s="498"/>
      <c r="D141" s="498"/>
      <c r="E141" s="498"/>
      <c r="F141" s="498"/>
      <c r="G141" s="661"/>
      <c r="H141" s="498"/>
      <c r="I141" s="498"/>
      <c r="J141" s="499"/>
    </row>
    <row r="142" spans="2:10" ht="15.75" thickBot="1">
      <c r="B142" s="500"/>
      <c r="C142" s="501"/>
      <c r="D142" s="501"/>
      <c r="E142" s="501"/>
      <c r="F142" s="501"/>
      <c r="G142" s="658"/>
      <c r="H142" s="501"/>
      <c r="I142" s="501"/>
      <c r="J142" s="502"/>
    </row>
    <row r="143" spans="2:10">
      <c r="B143" s="503"/>
      <c r="C143" s="498"/>
      <c r="D143" s="498"/>
      <c r="E143" s="498"/>
      <c r="F143" s="498"/>
      <c r="G143" s="661"/>
      <c r="H143" s="498"/>
      <c r="I143" s="498"/>
      <c r="J143" s="499"/>
    </row>
    <row r="144" spans="2:10">
      <c r="B144" s="504"/>
      <c r="C144" s="501"/>
      <c r="D144" s="501"/>
      <c r="E144" s="501"/>
      <c r="F144" s="501"/>
      <c r="G144" s="658"/>
      <c r="H144" s="501"/>
      <c r="I144" s="501"/>
      <c r="J144" s="502"/>
    </row>
    <row r="145" spans="2:10">
      <c r="B145" s="504"/>
      <c r="C145" s="501"/>
      <c r="D145" s="501"/>
      <c r="E145" s="501"/>
      <c r="F145" s="501"/>
      <c r="G145" s="658"/>
      <c r="H145" s="501"/>
      <c r="I145" s="501"/>
      <c r="J145" s="502"/>
    </row>
    <row r="146" spans="2:10" ht="15.75" thickBot="1">
      <c r="B146" s="505"/>
      <c r="C146" s="506"/>
      <c r="D146" s="506"/>
      <c r="E146" s="506"/>
      <c r="F146" s="506"/>
      <c r="G146" s="662"/>
      <c r="H146" s="506"/>
      <c r="I146" s="506"/>
      <c r="J146" s="507"/>
    </row>
    <row r="147" spans="2:10">
      <c r="B147" s="503"/>
      <c r="C147" s="508"/>
      <c r="D147" s="508"/>
      <c r="E147" s="508"/>
      <c r="F147" s="508"/>
      <c r="G147" s="663"/>
      <c r="H147" s="508"/>
      <c r="I147" s="508"/>
      <c r="J147" s="509"/>
    </row>
    <row r="148" spans="2:10">
      <c r="B148" s="504"/>
      <c r="C148" s="510"/>
      <c r="D148" s="510"/>
      <c r="E148" s="510"/>
      <c r="F148" s="510"/>
      <c r="G148" s="516"/>
      <c r="H148" s="510"/>
      <c r="I148" s="510"/>
      <c r="J148" s="511"/>
    </row>
    <row r="149" spans="2:10">
      <c r="B149" s="504"/>
      <c r="C149" s="510"/>
      <c r="D149" s="510"/>
      <c r="E149" s="510"/>
      <c r="F149" s="510"/>
      <c r="G149" s="516"/>
      <c r="H149" s="510"/>
      <c r="I149" s="510"/>
      <c r="J149" s="511"/>
    </row>
    <row r="150" spans="2:10" ht="15.75" thickBot="1">
      <c r="B150" s="505"/>
      <c r="C150" s="512"/>
      <c r="D150" s="512"/>
      <c r="E150" s="512"/>
      <c r="F150" s="512"/>
      <c r="G150" s="664"/>
      <c r="H150" s="512"/>
      <c r="I150" s="512"/>
      <c r="J150" s="513"/>
    </row>
    <row r="151" spans="2:10">
      <c r="B151" s="503"/>
      <c r="C151" s="498"/>
      <c r="D151" s="498"/>
      <c r="E151" s="498"/>
      <c r="F151" s="498"/>
      <c r="G151" s="661"/>
      <c r="H151" s="498"/>
      <c r="I151" s="498"/>
      <c r="J151" s="499"/>
    </row>
    <row r="152" spans="2:10">
      <c r="B152" s="504"/>
      <c r="C152" s="501"/>
      <c r="D152" s="501"/>
      <c r="E152" s="501"/>
      <c r="F152" s="501"/>
      <c r="G152" s="658"/>
      <c r="H152" s="501"/>
      <c r="I152" s="501"/>
      <c r="J152" s="502"/>
    </row>
    <row r="153" spans="2:10">
      <c r="B153" s="504"/>
      <c r="C153" s="501"/>
      <c r="D153" s="501"/>
      <c r="E153" s="501"/>
      <c r="F153" s="501"/>
      <c r="G153" s="658"/>
      <c r="H153" s="501"/>
      <c r="I153" s="501"/>
      <c r="J153" s="502"/>
    </row>
    <row r="154" spans="2:10" ht="15.75" thickBot="1">
      <c r="B154" s="505"/>
      <c r="C154" s="506"/>
      <c r="D154" s="506"/>
      <c r="E154" s="506"/>
      <c r="F154" s="506"/>
      <c r="G154" s="662"/>
      <c r="H154" s="506"/>
      <c r="I154" s="506"/>
      <c r="J154" s="507"/>
    </row>
    <row r="155" spans="2:10">
      <c r="B155" s="514"/>
      <c r="C155" s="498"/>
      <c r="D155" s="498"/>
      <c r="E155" s="498"/>
      <c r="F155" s="498"/>
      <c r="G155" s="661"/>
      <c r="H155" s="498"/>
      <c r="I155" s="498"/>
      <c r="J155" s="499"/>
    </row>
    <row r="156" spans="2:10" ht="15.75" thickBot="1">
      <c r="B156" s="515"/>
      <c r="C156" s="506"/>
      <c r="D156" s="506"/>
      <c r="E156" s="506"/>
      <c r="F156" s="506"/>
      <c r="G156" s="662"/>
      <c r="H156" s="506"/>
      <c r="I156" s="506"/>
      <c r="J156" s="507"/>
    </row>
    <row r="160" spans="2:10">
      <c r="B160" s="494"/>
    </row>
    <row r="161" spans="2:2">
      <c r="B161" s="516"/>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125" zoomScaleNormal="125" zoomScalePageLayoutView="125" workbookViewId="0">
      <selection activeCell="A5" sqref="A5"/>
    </sheetView>
  </sheetViews>
  <sheetFormatPr baseColWidth="10" defaultColWidth="11" defaultRowHeight="15" x14ac:dyDescent="0"/>
  <cols>
    <col min="1" max="1" width="14.83203125" customWidth="1"/>
  </cols>
  <sheetData>
    <row r="1" spans="1:12">
      <c r="A1" s="22" t="s">
        <v>73</v>
      </c>
      <c r="B1" s="23"/>
      <c r="C1" s="23"/>
      <c r="D1" s="24"/>
      <c r="E1" s="24"/>
      <c r="F1" s="24"/>
      <c r="G1" s="24"/>
      <c r="H1" s="24"/>
      <c r="I1" s="49"/>
      <c r="J1" s="48"/>
      <c r="K1" s="48"/>
      <c r="L1" s="48"/>
    </row>
    <row r="2" spans="1:12" ht="23.25">
      <c r="A2" s="25" t="s">
        <v>37</v>
      </c>
      <c r="B2" s="25" t="s">
        <v>38</v>
      </c>
      <c r="C2" s="25" t="s">
        <v>39</v>
      </c>
      <c r="D2" s="25" t="s">
        <v>40</v>
      </c>
      <c r="E2" s="25" t="s">
        <v>41</v>
      </c>
      <c r="F2" s="25" t="s">
        <v>42</v>
      </c>
      <c r="G2" s="25" t="s">
        <v>43</v>
      </c>
      <c r="H2" s="25" t="s">
        <v>74</v>
      </c>
      <c r="I2" s="25" t="s">
        <v>75</v>
      </c>
      <c r="J2" s="35" t="s">
        <v>62</v>
      </c>
    </row>
    <row r="3" spans="1:12">
      <c r="A3" s="26" t="s">
        <v>67</v>
      </c>
      <c r="B3" s="26"/>
      <c r="C3" s="26"/>
      <c r="D3" s="26"/>
      <c r="E3" s="26"/>
      <c r="F3" s="26"/>
      <c r="G3" s="26"/>
      <c r="H3" s="26"/>
      <c r="I3" s="27"/>
      <c r="J3" s="27"/>
    </row>
    <row r="4" spans="1:12">
      <c r="A4" s="26" t="s">
        <v>72</v>
      </c>
      <c r="B4" s="26"/>
      <c r="C4" s="26"/>
      <c r="D4" s="26"/>
      <c r="E4" s="26"/>
      <c r="F4" s="26"/>
      <c r="G4" s="26"/>
      <c r="H4" s="26"/>
      <c r="I4" s="27"/>
      <c r="J4" s="27"/>
    </row>
    <row r="5" spans="1:12">
      <c r="A5" s="26"/>
      <c r="B5" s="26"/>
      <c r="C5" s="26"/>
      <c r="D5" s="26"/>
      <c r="E5" s="26"/>
      <c r="F5" s="26"/>
      <c r="G5" s="26"/>
      <c r="H5" s="26"/>
      <c r="I5" s="27"/>
      <c r="J5" s="27"/>
    </row>
    <row r="6" spans="1:12">
      <c r="A6" s="26"/>
      <c r="B6" s="26"/>
      <c r="C6" s="26"/>
      <c r="D6" s="26"/>
      <c r="E6" s="26"/>
      <c r="F6" s="26"/>
      <c r="G6" s="26"/>
      <c r="H6" s="26"/>
      <c r="I6" s="27"/>
      <c r="J6" s="27"/>
    </row>
    <row r="7" spans="1:12">
      <c r="A7" s="26"/>
      <c r="B7" s="26"/>
      <c r="C7" s="26"/>
      <c r="D7" s="26"/>
      <c r="E7" s="26"/>
      <c r="F7" s="26"/>
      <c r="G7" s="26"/>
      <c r="H7" s="26"/>
      <c r="I7" s="27"/>
      <c r="J7" s="27"/>
    </row>
    <row r="8" spans="1:12">
      <c r="A8" s="26"/>
      <c r="B8" s="26"/>
      <c r="C8" s="26"/>
      <c r="D8" s="26"/>
      <c r="E8" s="26"/>
      <c r="F8" s="26"/>
      <c r="G8" s="26"/>
      <c r="H8" s="26"/>
      <c r="I8" s="27"/>
      <c r="J8" s="27"/>
    </row>
    <row r="9" spans="1:12">
      <c r="A9" s="26"/>
      <c r="B9" s="26"/>
      <c r="C9" s="26"/>
      <c r="D9" s="26"/>
      <c r="E9" s="26"/>
      <c r="F9" s="26"/>
      <c r="G9" s="26"/>
      <c r="H9" s="28"/>
      <c r="I9" s="27"/>
      <c r="J9" s="27"/>
    </row>
    <row r="10" spans="1:12">
      <c r="A10" s="24"/>
      <c r="B10" s="24"/>
      <c r="C10" s="24"/>
      <c r="D10" s="24"/>
      <c r="E10" s="24"/>
      <c r="F10" s="24"/>
      <c r="G10" s="24"/>
      <c r="H10" s="24"/>
      <c r="I10" s="24"/>
      <c r="J10" s="24"/>
    </row>
    <row r="11" spans="1:12">
      <c r="A11" s="24"/>
      <c r="B11" s="24"/>
      <c r="C11" s="24"/>
      <c r="D11" s="24"/>
      <c r="E11" s="24"/>
      <c r="F11" s="24"/>
      <c r="G11" s="24"/>
      <c r="H11" s="24"/>
      <c r="I11" s="24"/>
    </row>
    <row r="12" spans="1:12">
      <c r="A12" s="24"/>
      <c r="B12" s="24"/>
      <c r="C12" s="24"/>
      <c r="D12" s="24"/>
      <c r="E12" s="24"/>
      <c r="F12" s="24"/>
      <c r="G12" s="24"/>
      <c r="H12" s="24"/>
      <c r="I12" s="24" t="s">
        <v>34</v>
      </c>
    </row>
    <row r="13" spans="1:12">
      <c r="A13" s="24"/>
      <c r="B13" s="24"/>
      <c r="C13" s="24"/>
      <c r="D13" s="24"/>
      <c r="E13" s="24"/>
      <c r="F13" s="24"/>
      <c r="G13" s="24"/>
      <c r="H13" s="24"/>
      <c r="I13" s="24"/>
    </row>
    <row r="14" spans="1:12">
      <c r="A14" s="24"/>
      <c r="B14" s="24"/>
      <c r="C14" s="24"/>
      <c r="D14" s="24"/>
      <c r="E14" s="24"/>
      <c r="F14" s="24"/>
      <c r="G14" s="24"/>
      <c r="H14" s="24"/>
      <c r="I14" s="24"/>
    </row>
    <row r="15" spans="1:12">
      <c r="A15" s="24"/>
      <c r="B15" s="24"/>
      <c r="C15" s="24"/>
      <c r="D15" s="24"/>
      <c r="E15" s="24"/>
      <c r="F15" s="24"/>
      <c r="G15" s="24"/>
      <c r="H15" s="24"/>
      <c r="I15" s="24"/>
    </row>
    <row r="16" spans="1:12">
      <c r="A16" s="24"/>
      <c r="B16" s="24"/>
      <c r="C16" s="24"/>
      <c r="D16" s="24"/>
      <c r="E16" s="24"/>
      <c r="F16" s="24"/>
      <c r="G16" s="24"/>
      <c r="H16" s="24"/>
      <c r="I16" s="24"/>
    </row>
    <row r="17" spans="1:9">
      <c r="A17" s="24"/>
      <c r="B17" s="24" t="s">
        <v>44</v>
      </c>
      <c r="C17" s="24"/>
      <c r="D17" s="24"/>
      <c r="E17" s="24"/>
      <c r="F17" s="24"/>
      <c r="G17" s="24"/>
      <c r="H17" s="24"/>
      <c r="I17" s="24"/>
    </row>
    <row r="18" spans="1:9" ht="23.25">
      <c r="A18" s="24" t="s">
        <v>45</v>
      </c>
      <c r="B18" s="29" t="s">
        <v>46</v>
      </c>
      <c r="C18" s="24" t="s">
        <v>47</v>
      </c>
      <c r="D18" s="24"/>
      <c r="E18" s="24"/>
      <c r="F18" s="24"/>
      <c r="G18" s="24"/>
      <c r="H18" s="24"/>
      <c r="I18" s="24"/>
    </row>
    <row r="19" spans="1:9">
      <c r="A19" s="30" t="s">
        <v>68</v>
      </c>
      <c r="B19" s="31">
        <v>6927</v>
      </c>
      <c r="C19" s="26">
        <f>B19/2000</f>
        <v>3.4634999999999998</v>
      </c>
      <c r="D19" s="24" t="s">
        <v>69</v>
      </c>
      <c r="E19" s="24"/>
      <c r="F19" s="24"/>
      <c r="G19" s="24"/>
      <c r="H19" s="24"/>
      <c r="I19" s="24"/>
    </row>
    <row r="20" spans="1:9">
      <c r="A20" s="30" t="s">
        <v>113</v>
      </c>
      <c r="B20" s="31">
        <v>1199</v>
      </c>
      <c r="C20" s="26">
        <f>B20/2000</f>
        <v>0.59950000000000003</v>
      </c>
      <c r="D20" s="24"/>
      <c r="E20" s="24"/>
      <c r="F20" s="24"/>
      <c r="G20" s="24"/>
      <c r="H20" s="24"/>
      <c r="I20" s="24"/>
    </row>
    <row r="21" spans="1:9">
      <c r="D21" s="24"/>
      <c r="E21" s="24"/>
      <c r="F21" s="24"/>
      <c r="G21" s="24"/>
      <c r="H21" s="24"/>
      <c r="I21" s="24"/>
    </row>
    <row r="22" spans="1:9">
      <c r="A22" s="32" t="s">
        <v>48</v>
      </c>
      <c r="B22" s="24"/>
      <c r="C22" s="24"/>
      <c r="D22" s="24"/>
      <c r="E22" s="24"/>
      <c r="F22" s="24"/>
      <c r="G22" s="24"/>
      <c r="H22" s="24"/>
      <c r="I22" s="24"/>
    </row>
    <row r="23" spans="1:9">
      <c r="A23" s="32" t="s">
        <v>49</v>
      </c>
      <c r="B23" s="24"/>
      <c r="C23" s="24"/>
      <c r="D23" s="24"/>
      <c r="E23" s="24"/>
      <c r="F23" s="24"/>
      <c r="G23" s="24"/>
      <c r="H23" s="24"/>
      <c r="I23" s="24"/>
    </row>
    <row r="24" spans="1:9">
      <c r="A24" s="32" t="s">
        <v>50</v>
      </c>
      <c r="B24" s="24"/>
      <c r="C24" s="24"/>
      <c r="D24" s="24"/>
      <c r="E24" s="24"/>
      <c r="F24" s="24"/>
      <c r="G24" s="24"/>
      <c r="H24" s="24"/>
      <c r="I24" s="24"/>
    </row>
    <row r="25" spans="1:9">
      <c r="A25" s="24"/>
      <c r="B25" s="24"/>
      <c r="C25" s="24"/>
      <c r="D25" s="24"/>
      <c r="E25" s="24"/>
      <c r="F25" s="24"/>
      <c r="G25" s="24"/>
      <c r="H25" s="24"/>
      <c r="I25" s="24"/>
    </row>
    <row r="26" spans="1:9">
      <c r="A26" s="24" t="s">
        <v>135</v>
      </c>
      <c r="B26" s="24"/>
      <c r="C26" s="24"/>
      <c r="D26" s="24"/>
      <c r="E26" s="24"/>
      <c r="F26" s="24"/>
      <c r="G26" s="24"/>
      <c r="H26" s="24"/>
      <c r="I26" s="24"/>
    </row>
  </sheetData>
  <pageMargins left="0.75" right="0.75" top="1" bottom="1" header="0.5" footer="0.5"/>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D26" sqref="D26"/>
    </sheetView>
  </sheetViews>
  <sheetFormatPr baseColWidth="10" defaultColWidth="11" defaultRowHeight="15" x14ac:dyDescent="0"/>
  <cols>
    <col min="1" max="1" width="39.33203125" bestFit="1" customWidth="1"/>
    <col min="11" max="11" width="15.6640625" bestFit="1" customWidth="1"/>
  </cols>
  <sheetData>
    <row r="1" spans="1:11">
      <c r="B1" s="54" t="s">
        <v>91</v>
      </c>
    </row>
    <row r="2" spans="1:11">
      <c r="A2" t="s">
        <v>76</v>
      </c>
      <c r="B2" s="55" t="s">
        <v>108</v>
      </c>
      <c r="C2" s="55" t="s">
        <v>109</v>
      </c>
      <c r="D2" s="55" t="s">
        <v>110</v>
      </c>
      <c r="E2" s="55" t="s">
        <v>111</v>
      </c>
      <c r="F2" s="55" t="s">
        <v>112</v>
      </c>
      <c r="G2" t="s">
        <v>93</v>
      </c>
      <c r="H2" t="s">
        <v>94</v>
      </c>
      <c r="I2" t="s">
        <v>95</v>
      </c>
    </row>
    <row r="3" spans="1:11">
      <c r="A3" t="s">
        <v>79</v>
      </c>
    </row>
    <row r="4" spans="1:11">
      <c r="A4" t="s">
        <v>78</v>
      </c>
    </row>
    <row r="5" spans="1:11">
      <c r="A5" t="s">
        <v>88</v>
      </c>
    </row>
    <row r="6" spans="1:11">
      <c r="A6" t="s">
        <v>89</v>
      </c>
    </row>
    <row r="7" spans="1:11">
      <c r="A7" s="54" t="s">
        <v>102</v>
      </c>
    </row>
    <row r="8" spans="1:11">
      <c r="A8" t="s">
        <v>90</v>
      </c>
    </row>
    <row r="9" spans="1:11">
      <c r="A9" s="54" t="s">
        <v>100</v>
      </c>
    </row>
    <row r="10" spans="1:11">
      <c r="A10" s="52" t="s">
        <v>118</v>
      </c>
    </row>
    <row r="11" spans="1:11">
      <c r="A11" s="51" t="s">
        <v>106</v>
      </c>
    </row>
    <row r="12" spans="1:11">
      <c r="A12" t="s">
        <v>83</v>
      </c>
    </row>
    <row r="13" spans="1:11">
      <c r="A13" t="s">
        <v>98</v>
      </c>
    </row>
    <row r="14" spans="1:11">
      <c r="A14" t="s">
        <v>99</v>
      </c>
    </row>
    <row r="15" spans="1:11">
      <c r="A15" s="52" t="s">
        <v>81</v>
      </c>
    </row>
    <row r="16" spans="1:11">
      <c r="A16" s="51" t="s">
        <v>82</v>
      </c>
      <c r="J16" s="37"/>
      <c r="K16" s="56" t="s">
        <v>116</v>
      </c>
    </row>
    <row r="17" spans="1:12">
      <c r="A17" s="53" t="s">
        <v>107</v>
      </c>
    </row>
    <row r="18" spans="1:12">
      <c r="A18" t="s">
        <v>97</v>
      </c>
    </row>
    <row r="19" spans="1:12">
      <c r="A19" s="54" t="s">
        <v>101</v>
      </c>
    </row>
    <row r="20" spans="1:12">
      <c r="A20" t="s">
        <v>103</v>
      </c>
      <c r="K20" s="59">
        <f>1000000000/4</f>
        <v>250000000</v>
      </c>
    </row>
    <row r="21" spans="1:12">
      <c r="A21" s="52" t="s">
        <v>80</v>
      </c>
    </row>
    <row r="22" spans="1:12">
      <c r="A22" s="51" t="s">
        <v>104</v>
      </c>
    </row>
    <row r="23" spans="1:12">
      <c r="A23" t="s">
        <v>105</v>
      </c>
    </row>
    <row r="24" spans="1:12">
      <c r="A24" t="s">
        <v>83</v>
      </c>
    </row>
    <row r="25" spans="1:12">
      <c r="A25" t="s">
        <v>98</v>
      </c>
      <c r="L25" t="s">
        <v>34</v>
      </c>
    </row>
    <row r="26" spans="1:12">
      <c r="A26" t="s">
        <v>99</v>
      </c>
      <c r="D26" t="s">
        <v>34</v>
      </c>
    </row>
    <row r="27" spans="1:12">
      <c r="A27" t="s">
        <v>97</v>
      </c>
    </row>
    <row r="28" spans="1:12">
      <c r="A28" s="54" t="s">
        <v>84</v>
      </c>
    </row>
    <row r="29" spans="1:12">
      <c r="A29" s="52" t="s">
        <v>119</v>
      </c>
      <c r="D29" t="s">
        <v>34</v>
      </c>
    </row>
    <row r="30" spans="1:12">
      <c r="A30" s="51" t="s">
        <v>120</v>
      </c>
    </row>
    <row r="31" spans="1:12">
      <c r="A31" s="48" t="s">
        <v>85</v>
      </c>
      <c r="D31" t="s">
        <v>34</v>
      </c>
    </row>
    <row r="32" spans="1:12">
      <c r="A32" t="s">
        <v>86</v>
      </c>
    </row>
    <row r="33" spans="1:3">
      <c r="A33" t="s">
        <v>87</v>
      </c>
    </row>
    <row r="34" spans="1:3">
      <c r="A34" t="s">
        <v>92</v>
      </c>
    </row>
    <row r="38" spans="1:3">
      <c r="A38" t="s">
        <v>77</v>
      </c>
      <c r="C38" t="s">
        <v>34</v>
      </c>
    </row>
    <row r="40" spans="1:3">
      <c r="A40" t="s">
        <v>114</v>
      </c>
    </row>
    <row r="41" spans="1:3">
      <c r="A41" t="s">
        <v>115</v>
      </c>
    </row>
    <row r="42" spans="1:3">
      <c r="A42" t="s">
        <v>117</v>
      </c>
    </row>
    <row r="44" spans="1:3">
      <c r="A44" t="s">
        <v>134</v>
      </c>
    </row>
  </sheetData>
  <pageMargins left="0.75" right="0.75" top="1" bottom="1" header="0.5" footer="0.5"/>
  <pageSetup orientation="portrait"/>
  <drawing r:id="rId1"/>
  <tableParts count="1">
    <tablePart r:id="rId2"/>
  </tableParts>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T179"/>
  <sheetViews>
    <sheetView topLeftCell="A2" workbookViewId="0">
      <selection activeCell="D42" sqref="A1:R68"/>
    </sheetView>
  </sheetViews>
  <sheetFormatPr baseColWidth="10" defaultColWidth="10.83203125" defaultRowHeight="15" x14ac:dyDescent="0"/>
  <cols>
    <col min="1" max="1" width="17.6640625" style="5" customWidth="1"/>
    <col min="2" max="2" width="3.6640625" style="197" customWidth="1"/>
    <col min="3" max="3" width="21.5" style="5" customWidth="1"/>
    <col min="4" max="4" width="19.1640625" style="5" customWidth="1"/>
    <col min="5" max="5" width="19.6640625" style="5" customWidth="1"/>
    <col min="6" max="6" width="9.6640625" style="5" customWidth="1"/>
    <col min="7" max="7" width="11.33203125" style="5" customWidth="1"/>
    <col min="8" max="8" width="9" style="5" customWidth="1"/>
    <col min="9" max="9" width="13" style="5" customWidth="1"/>
    <col min="10" max="10" width="9.6640625" style="5" customWidth="1"/>
    <col min="11" max="11" width="12" style="5" customWidth="1"/>
    <col min="12" max="12" width="10.1640625" style="5" customWidth="1"/>
    <col min="13" max="16384" width="10.83203125" style="5"/>
  </cols>
  <sheetData>
    <row r="1" spans="1:17" s="162" customFormat="1" ht="25.5" customHeight="1">
      <c r="A1" s="234" t="s">
        <v>1392</v>
      </c>
      <c r="B1" s="235"/>
      <c r="C1" s="236"/>
      <c r="D1" s="236"/>
      <c r="E1" s="236"/>
      <c r="F1" s="236"/>
      <c r="G1" s="236"/>
      <c r="H1" s="236"/>
      <c r="I1" s="236"/>
      <c r="J1" s="236"/>
      <c r="K1" s="236"/>
      <c r="L1" s="236"/>
      <c r="M1" s="236"/>
      <c r="N1" s="236"/>
      <c r="O1" s="236"/>
    </row>
    <row r="2" spans="1:17" customFormat="1" ht="16.5" thickBot="1">
      <c r="A2" s="237" t="s">
        <v>1393</v>
      </c>
      <c r="B2" s="238"/>
      <c r="C2" s="175" t="s">
        <v>76</v>
      </c>
      <c r="D2" s="176"/>
      <c r="E2" s="176" t="s">
        <v>1630</v>
      </c>
      <c r="F2" s="176"/>
      <c r="G2" s="176"/>
      <c r="H2" s="176"/>
      <c r="I2" s="176"/>
      <c r="J2" s="176"/>
      <c r="K2" s="176"/>
      <c r="L2" s="176"/>
      <c r="M2" s="176"/>
      <c r="N2" s="176"/>
      <c r="O2" s="176"/>
    </row>
    <row r="3" spans="1:17" s="169" customFormat="1" ht="37.5" customHeight="1" thickBot="1">
      <c r="A3" s="239"/>
      <c r="B3" s="196"/>
      <c r="C3" s="166" t="s">
        <v>1394</v>
      </c>
      <c r="D3" s="185" t="s">
        <v>1329</v>
      </c>
      <c r="E3" s="155" t="s">
        <v>1395</v>
      </c>
      <c r="F3" s="158" t="s">
        <v>1440</v>
      </c>
      <c r="G3" s="185" t="s">
        <v>1441</v>
      </c>
      <c r="H3" s="166" t="s">
        <v>1396</v>
      </c>
      <c r="I3" s="165" t="s">
        <v>1330</v>
      </c>
      <c r="J3" s="166" t="s">
        <v>1370</v>
      </c>
      <c r="K3" s="166" t="s">
        <v>1371</v>
      </c>
      <c r="L3" s="188" t="s">
        <v>1338</v>
      </c>
      <c r="M3" s="158" t="s">
        <v>1339</v>
      </c>
      <c r="N3" s="188" t="s">
        <v>1340</v>
      </c>
      <c r="O3" s="155" t="s">
        <v>1670</v>
      </c>
      <c r="P3"/>
      <c r="Q3" s="169" t="s">
        <v>1401</v>
      </c>
    </row>
    <row r="4" spans="1:17" s="119" customFormat="1" ht="16.5" thickBot="1">
      <c r="A4" s="282" t="s">
        <v>1506</v>
      </c>
      <c r="B4" s="283"/>
      <c r="C4" s="284" t="s">
        <v>1442</v>
      </c>
      <c r="D4" s="285" t="s">
        <v>34</v>
      </c>
      <c r="E4" s="286">
        <v>170800</v>
      </c>
      <c r="F4" s="287"/>
      <c r="G4" s="286"/>
      <c r="H4" s="288" t="s">
        <v>34</v>
      </c>
      <c r="I4" s="289" t="s">
        <v>34</v>
      </c>
      <c r="J4" s="289" t="s">
        <v>34</v>
      </c>
      <c r="K4" s="289" t="s">
        <v>34</v>
      </c>
      <c r="L4" s="290" t="s">
        <v>34</v>
      </c>
      <c r="M4" s="291"/>
      <c r="N4" s="290"/>
      <c r="O4" s="193" t="str">
        <f>J4</f>
        <v xml:space="preserve"> </v>
      </c>
      <c r="Q4" s="119" t="s">
        <v>1399</v>
      </c>
    </row>
    <row r="5" spans="1:17" customFormat="1">
      <c r="A5" s="176" t="s">
        <v>34</v>
      </c>
      <c r="B5" s="240"/>
      <c r="C5" s="178" t="s">
        <v>1443</v>
      </c>
      <c r="D5" s="189">
        <v>1</v>
      </c>
      <c r="E5" s="208">
        <v>84800</v>
      </c>
      <c r="F5" s="221"/>
      <c r="G5" s="220"/>
      <c r="H5" s="450">
        <f>E5+F5</f>
        <v>84800</v>
      </c>
      <c r="I5" s="193">
        <f>D5*H5</f>
        <v>84800</v>
      </c>
      <c r="J5" s="222">
        <f>I5/$Q$17</f>
        <v>8362.9191321499002</v>
      </c>
      <c r="K5" s="222"/>
      <c r="L5" s="223" t="s">
        <v>34</v>
      </c>
      <c r="M5" s="224"/>
      <c r="N5" s="223"/>
      <c r="O5" s="194">
        <f>J5</f>
        <v>8362.9191321499002</v>
      </c>
    </row>
    <row r="6" spans="1:17" customFormat="1">
      <c r="A6" s="176" t="s">
        <v>1506</v>
      </c>
      <c r="B6" s="240"/>
      <c r="C6" s="300" t="s">
        <v>1479</v>
      </c>
      <c r="D6" s="301" t="s">
        <v>34</v>
      </c>
      <c r="E6" s="302">
        <v>376815</v>
      </c>
      <c r="F6" s="303"/>
      <c r="G6" s="302"/>
      <c r="H6" s="296" t="s">
        <v>34</v>
      </c>
      <c r="I6" s="304"/>
      <c r="J6" s="222"/>
      <c r="K6" s="304"/>
      <c r="L6" s="305"/>
      <c r="M6" s="306"/>
      <c r="N6" s="305"/>
      <c r="O6" s="194">
        <f t="shared" ref="O6:O16" si="0">J6</f>
        <v>0</v>
      </c>
    </row>
    <row r="7" spans="1:17" customFormat="1" ht="14" customHeight="1">
      <c r="A7" s="176" t="s">
        <v>1505</v>
      </c>
      <c r="B7" s="240"/>
      <c r="C7" s="177" t="s">
        <v>1397</v>
      </c>
      <c r="D7" s="189">
        <v>1</v>
      </c>
      <c r="E7" s="208">
        <v>206100</v>
      </c>
      <c r="F7" s="209"/>
      <c r="G7" s="208"/>
      <c r="H7" s="210">
        <f>E7+F7</f>
        <v>206100</v>
      </c>
      <c r="I7" s="194">
        <f>D7*H7</f>
        <v>206100</v>
      </c>
      <c r="J7" s="222">
        <f>I7/$Q$17</f>
        <v>20325.443786982247</v>
      </c>
      <c r="K7" s="194" t="s">
        <v>34</v>
      </c>
      <c r="L7" s="211"/>
      <c r="M7" s="212"/>
      <c r="N7" s="211"/>
      <c r="O7" s="194">
        <f t="shared" si="0"/>
        <v>20325.443786982247</v>
      </c>
      <c r="Q7" t="s">
        <v>1400</v>
      </c>
    </row>
    <row r="8" spans="1:17" customFormat="1" ht="14" customHeight="1">
      <c r="A8" s="176" t="s">
        <v>1505</v>
      </c>
      <c r="B8" s="240"/>
      <c r="C8" s="178" t="s">
        <v>573</v>
      </c>
      <c r="D8" s="189">
        <v>4</v>
      </c>
      <c r="E8" s="208">
        <v>109700</v>
      </c>
      <c r="F8" s="209"/>
      <c r="G8" s="208"/>
      <c r="H8" s="210">
        <f>E8+F8</f>
        <v>109700</v>
      </c>
      <c r="I8" s="194">
        <f>D8*H8</f>
        <v>438800</v>
      </c>
      <c r="J8" s="222">
        <f>I8/$Q$17</f>
        <v>43274.161735700196</v>
      </c>
      <c r="K8" s="194" t="s">
        <v>34</v>
      </c>
      <c r="L8" s="211"/>
      <c r="M8" s="212"/>
      <c r="N8" s="211"/>
      <c r="O8" s="194">
        <f>J8</f>
        <v>43274.161735700196</v>
      </c>
      <c r="Q8" t="s">
        <v>1402</v>
      </c>
    </row>
    <row r="9" spans="1:17" customFormat="1" ht="14" customHeight="1">
      <c r="A9" s="176" t="s">
        <v>1505</v>
      </c>
      <c r="B9" s="240"/>
      <c r="C9" s="292" t="s">
        <v>574</v>
      </c>
      <c r="D9" s="293" t="s">
        <v>34</v>
      </c>
      <c r="E9" s="294">
        <v>96600</v>
      </c>
      <c r="F9" s="295"/>
      <c r="G9" s="294"/>
      <c r="H9" s="296" t="s">
        <v>34</v>
      </c>
      <c r="I9" s="297" t="s">
        <v>34</v>
      </c>
      <c r="J9" s="222"/>
      <c r="K9" s="297" t="s">
        <v>34</v>
      </c>
      <c r="L9" s="298"/>
      <c r="M9" s="299"/>
      <c r="N9" s="298"/>
      <c r="O9" s="194">
        <f t="shared" si="0"/>
        <v>0</v>
      </c>
      <c r="Q9" t="s">
        <v>1405</v>
      </c>
    </row>
    <row r="10" spans="1:17" customFormat="1" ht="14" customHeight="1">
      <c r="A10" s="176" t="s">
        <v>1505</v>
      </c>
      <c r="B10" s="240"/>
      <c r="C10" s="178" t="s">
        <v>1859</v>
      </c>
      <c r="D10" s="189">
        <v>20</v>
      </c>
      <c r="E10" s="208">
        <f>G10*Q17</f>
        <v>28604.940000000002</v>
      </c>
      <c r="F10" s="209">
        <v>0</v>
      </c>
      <c r="G10" s="208">
        <v>2821</v>
      </c>
      <c r="H10" s="210">
        <f>E10+F10</f>
        <v>28604.940000000002</v>
      </c>
      <c r="I10" s="194">
        <f t="shared" ref="I10" si="1">D10*H10</f>
        <v>572098.80000000005</v>
      </c>
      <c r="J10" s="222">
        <f t="shared" ref="J10" si="2">I10/$Q$17</f>
        <v>56420</v>
      </c>
      <c r="K10" s="194">
        <f>(E10*D59)/Q17</f>
        <v>3495.7832000000003</v>
      </c>
      <c r="L10" s="211"/>
      <c r="M10" s="212"/>
      <c r="N10" s="211"/>
      <c r="O10" s="194">
        <f>K10*D10</f>
        <v>69915.664000000004</v>
      </c>
      <c r="Q10" t="s">
        <v>1406</v>
      </c>
    </row>
    <row r="11" spans="1:17" customFormat="1" ht="14" customHeight="1">
      <c r="A11" s="176" t="s">
        <v>1505</v>
      </c>
      <c r="B11" s="240"/>
      <c r="C11" s="292" t="s">
        <v>702</v>
      </c>
      <c r="D11" s="293" t="s">
        <v>34</v>
      </c>
      <c r="E11" s="294">
        <v>84800</v>
      </c>
      <c r="F11" s="295"/>
      <c r="G11" s="294"/>
      <c r="H11" s="296"/>
      <c r="I11" s="297"/>
      <c r="J11" s="222">
        <f t="shared" ref="J11:J16" si="3">I11/$Q$17</f>
        <v>0</v>
      </c>
      <c r="K11" s="297" t="s">
        <v>34</v>
      </c>
      <c r="L11" s="298"/>
      <c r="M11" s="299"/>
      <c r="N11" s="298"/>
      <c r="O11" s="194">
        <f t="shared" si="0"/>
        <v>0</v>
      </c>
    </row>
    <row r="12" spans="1:17" customFormat="1" ht="14" customHeight="1">
      <c r="A12" s="176" t="s">
        <v>1505</v>
      </c>
      <c r="B12" s="240"/>
      <c r="C12" s="178" t="s">
        <v>511</v>
      </c>
      <c r="D12" s="189">
        <v>4</v>
      </c>
      <c r="E12" s="208">
        <f>G12*$Q$17</f>
        <v>20280</v>
      </c>
      <c r="F12" s="208"/>
      <c r="G12" s="208">
        <v>2000</v>
      </c>
      <c r="H12" s="210">
        <f>E12+F12</f>
        <v>20280</v>
      </c>
      <c r="I12" s="194">
        <f>D12*H12</f>
        <v>81120</v>
      </c>
      <c r="J12" s="222">
        <f t="shared" si="3"/>
        <v>8000</v>
      </c>
      <c r="K12" s="194"/>
      <c r="L12" s="211"/>
      <c r="M12" s="212"/>
      <c r="N12" s="211"/>
      <c r="O12" s="194">
        <f t="shared" si="0"/>
        <v>8000</v>
      </c>
      <c r="Q12" s="73" t="s">
        <v>585</v>
      </c>
    </row>
    <row r="13" spans="1:17" customFormat="1" ht="28.5" customHeight="1">
      <c r="A13" s="176" t="s">
        <v>1505</v>
      </c>
      <c r="B13" s="240"/>
      <c r="C13" s="178" t="s">
        <v>1404</v>
      </c>
      <c r="D13" s="189">
        <v>1</v>
      </c>
      <c r="E13" s="208">
        <v>84800</v>
      </c>
      <c r="F13" s="208"/>
      <c r="G13" s="208"/>
      <c r="H13" s="210">
        <f>E13+F13</f>
        <v>84800</v>
      </c>
      <c r="I13" s="194">
        <f>D13*H13</f>
        <v>84800</v>
      </c>
      <c r="J13" s="222">
        <f t="shared" si="3"/>
        <v>8362.9191321499002</v>
      </c>
      <c r="K13" s="194"/>
      <c r="L13" s="211"/>
      <c r="M13" s="212"/>
      <c r="N13" s="211"/>
      <c r="O13" s="194">
        <f t="shared" si="0"/>
        <v>8362.9191321499002</v>
      </c>
      <c r="Q13" s="5" t="s">
        <v>592</v>
      </c>
    </row>
    <row r="14" spans="1:17" customFormat="1" ht="17.25" customHeight="1">
      <c r="A14" s="176" t="s">
        <v>1505</v>
      </c>
      <c r="B14" s="240"/>
      <c r="C14" s="178" t="s">
        <v>14</v>
      </c>
      <c r="D14" s="189">
        <v>0.5</v>
      </c>
      <c r="E14" s="208">
        <v>84800</v>
      </c>
      <c r="F14" s="208"/>
      <c r="G14" s="208"/>
      <c r="H14" s="210">
        <f>E14+F14</f>
        <v>84800</v>
      </c>
      <c r="I14" s="194">
        <f>D14*H14</f>
        <v>42400</v>
      </c>
      <c r="J14" s="222">
        <f t="shared" si="3"/>
        <v>4181.4595660749501</v>
      </c>
      <c r="K14" s="194"/>
      <c r="L14" s="211"/>
      <c r="M14" s="212"/>
      <c r="N14" s="211"/>
      <c r="O14" s="194">
        <f t="shared" si="0"/>
        <v>4181.4595660749501</v>
      </c>
    </row>
    <row r="15" spans="1:17" s="69" customFormat="1" ht="15.75" customHeight="1">
      <c r="A15" s="176" t="s">
        <v>1506</v>
      </c>
      <c r="B15" s="240"/>
      <c r="C15" s="178" t="s">
        <v>1398</v>
      </c>
      <c r="D15" s="189">
        <v>4</v>
      </c>
      <c r="E15" s="208">
        <v>68010</v>
      </c>
      <c r="F15" s="208"/>
      <c r="G15" s="208">
        <f>E15/$Q$17</f>
        <v>6707.1005917159764</v>
      </c>
      <c r="H15" s="210">
        <f>E15+F15</f>
        <v>68010</v>
      </c>
      <c r="I15" s="194">
        <f>D15*H15</f>
        <v>272040</v>
      </c>
      <c r="J15" s="222">
        <f>I15/$Q$17</f>
        <v>26828.402366863906</v>
      </c>
      <c r="K15" s="194" t="s">
        <v>34</v>
      </c>
      <c r="L15" s="211"/>
      <c r="M15" s="212"/>
      <c r="N15" s="211"/>
      <c r="O15" s="194">
        <f t="shared" si="0"/>
        <v>26828.402366863906</v>
      </c>
    </row>
    <row r="16" spans="1:17" s="69" customFormat="1" ht="15.75" customHeight="1" thickBot="1">
      <c r="A16" s="176" t="s">
        <v>1506</v>
      </c>
      <c r="B16" s="240"/>
      <c r="C16" s="180" t="s">
        <v>1403</v>
      </c>
      <c r="D16" s="186">
        <v>0.5</v>
      </c>
      <c r="E16" s="213">
        <v>63135</v>
      </c>
      <c r="F16" s="214"/>
      <c r="G16" s="213">
        <f>E16/$Q$17</f>
        <v>6226.331360946745</v>
      </c>
      <c r="H16" s="215">
        <f>E16+F16</f>
        <v>63135</v>
      </c>
      <c r="I16" s="195">
        <f>D16*H16</f>
        <v>31567.5</v>
      </c>
      <c r="J16" s="222">
        <f t="shared" si="3"/>
        <v>3113.1656804733725</v>
      </c>
      <c r="K16" s="195" t="s">
        <v>34</v>
      </c>
      <c r="L16" s="216"/>
      <c r="M16" s="217"/>
      <c r="N16" s="216"/>
      <c r="O16" s="195">
        <f t="shared" si="0"/>
        <v>3113.1656804733725</v>
      </c>
      <c r="Q16" s="69" t="s">
        <v>1439</v>
      </c>
    </row>
    <row r="17" spans="1:18" s="69" customFormat="1" ht="19.5" customHeight="1" thickBot="1">
      <c r="A17" s="241"/>
      <c r="B17" s="240"/>
      <c r="C17" s="173" t="s">
        <v>51</v>
      </c>
      <c r="D17" s="174">
        <f>SUM(D4:D16)</f>
        <v>36</v>
      </c>
      <c r="E17" s="242"/>
      <c r="F17" s="242"/>
      <c r="G17" s="242"/>
      <c r="H17" s="242"/>
      <c r="I17" s="242"/>
      <c r="J17" s="242"/>
      <c r="K17" s="242"/>
      <c r="L17" s="243"/>
      <c r="M17" s="243"/>
      <c r="N17" s="243" t="s">
        <v>51</v>
      </c>
      <c r="O17" s="195">
        <f>SUM(O4:O16)</f>
        <v>192364.1354003945</v>
      </c>
      <c r="Q17" s="218">
        <v>10.14</v>
      </c>
    </row>
    <row r="18" spans="1:18" customFormat="1" ht="14" hidden="1" customHeight="1" thickBot="1">
      <c r="A18" s="176" t="s">
        <v>34</v>
      </c>
      <c r="B18" s="244"/>
      <c r="C18" s="175" t="s">
        <v>77</v>
      </c>
      <c r="D18" s="176"/>
      <c r="E18" s="176"/>
      <c r="F18" s="176"/>
      <c r="G18" s="176"/>
      <c r="H18" s="176"/>
      <c r="I18" s="176"/>
      <c r="J18" s="176"/>
      <c r="K18" s="176"/>
      <c r="L18" s="176"/>
      <c r="M18" s="176"/>
      <c r="N18" s="176"/>
      <c r="O18" s="176"/>
    </row>
    <row r="19" spans="1:18" customFormat="1" ht="33" hidden="1" customHeight="1" thickBot="1">
      <c r="A19" s="176" t="s">
        <v>1512</v>
      </c>
      <c r="B19" s="196"/>
      <c r="C19" s="155" t="s">
        <v>1394</v>
      </c>
      <c r="D19" s="155" t="s">
        <v>1329</v>
      </c>
      <c r="E19" s="165" t="s">
        <v>1395</v>
      </c>
      <c r="F19" s="158" t="s">
        <v>1440</v>
      </c>
      <c r="G19" s="165" t="s">
        <v>1369</v>
      </c>
      <c r="H19" s="155" t="s">
        <v>1396</v>
      </c>
      <c r="I19" s="155" t="s">
        <v>1330</v>
      </c>
      <c r="J19" s="155" t="s">
        <v>1370</v>
      </c>
      <c r="K19" s="155" t="s">
        <v>1371</v>
      </c>
      <c r="L19" s="158" t="s">
        <v>1338</v>
      </c>
      <c r="M19" s="188" t="s">
        <v>1339</v>
      </c>
      <c r="N19" s="158" t="s">
        <v>1340</v>
      </c>
      <c r="O19" s="187" t="s">
        <v>1341</v>
      </c>
      <c r="R19" t="s">
        <v>34</v>
      </c>
    </row>
    <row r="20" spans="1:18" customFormat="1" ht="15.75" hidden="1">
      <c r="A20" s="176" t="s">
        <v>1513</v>
      </c>
      <c r="B20" s="240"/>
      <c r="C20" s="275" t="s">
        <v>1479</v>
      </c>
      <c r="D20" s="181">
        <v>0.5</v>
      </c>
      <c r="E20" s="206"/>
      <c r="F20" s="206"/>
      <c r="G20" s="206"/>
      <c r="H20" s="193">
        <f>E20+F20</f>
        <v>0</v>
      </c>
      <c r="I20" s="193">
        <f>D20*H20</f>
        <v>0</v>
      </c>
      <c r="J20" s="193" t="s">
        <v>1516</v>
      </c>
      <c r="K20" s="193">
        <v>0</v>
      </c>
      <c r="L20" s="207"/>
      <c r="M20" s="207"/>
      <c r="N20" s="207"/>
      <c r="O20" s="193">
        <f>K20*L20 +K20*M20*$M$40</f>
        <v>0</v>
      </c>
    </row>
    <row r="21" spans="1:18" customFormat="1" ht="15.75" hidden="1">
      <c r="A21" s="176" t="s">
        <v>1514</v>
      </c>
      <c r="B21" s="240"/>
      <c r="C21" s="178" t="s">
        <v>1442</v>
      </c>
      <c r="D21" s="182">
        <v>1</v>
      </c>
      <c r="E21" s="208"/>
      <c r="F21" s="208"/>
      <c r="G21" s="208"/>
      <c r="H21" s="194">
        <f>E21+F21</f>
        <v>0</v>
      </c>
      <c r="I21" s="194">
        <f>D21*H21</f>
        <v>0</v>
      </c>
      <c r="J21" s="194" t="s">
        <v>1516</v>
      </c>
      <c r="K21" s="194">
        <v>0</v>
      </c>
      <c r="L21" s="212">
        <v>0.05</v>
      </c>
      <c r="M21" s="212"/>
      <c r="N21" s="212"/>
      <c r="O21" s="194">
        <f>K21*L21 +K21*M21*$M$40</f>
        <v>0</v>
      </c>
      <c r="Q21" t="s">
        <v>1399</v>
      </c>
    </row>
    <row r="22" spans="1:18" customFormat="1" ht="15.75" hidden="1">
      <c r="A22" s="176"/>
      <c r="B22" s="240"/>
      <c r="C22" s="178" t="s">
        <v>1443</v>
      </c>
      <c r="D22" s="182">
        <v>1</v>
      </c>
      <c r="E22" s="220"/>
      <c r="F22" s="220"/>
      <c r="G22" s="220"/>
      <c r="H22" s="222"/>
      <c r="I22" s="222"/>
      <c r="J22" s="222"/>
      <c r="K22" s="222"/>
      <c r="L22" s="224">
        <v>0.5</v>
      </c>
      <c r="M22" s="224"/>
      <c r="N22" s="224"/>
      <c r="O22" s="222"/>
      <c r="R22" t="s">
        <v>34</v>
      </c>
    </row>
    <row r="23" spans="1:18" customFormat="1" ht="14" hidden="1" customHeight="1">
      <c r="A23" s="176"/>
      <c r="B23" s="240"/>
      <c r="C23" s="177" t="s">
        <v>1397</v>
      </c>
      <c r="D23" s="182">
        <v>0.5</v>
      </c>
      <c r="E23" s="208"/>
      <c r="F23" s="208"/>
      <c r="G23" s="208"/>
      <c r="H23" s="194">
        <f t="shared" ref="H23:H30" si="4">E23+F23</f>
        <v>0</v>
      </c>
      <c r="I23" s="194">
        <f t="shared" ref="I23:I30" si="5">D23*H23</f>
        <v>0</v>
      </c>
      <c r="J23" s="194" t="s">
        <v>1516</v>
      </c>
      <c r="K23" s="194">
        <v>0</v>
      </c>
      <c r="L23" s="212"/>
      <c r="M23" s="212"/>
      <c r="N23" s="212"/>
      <c r="O23" s="194">
        <f t="shared" ref="O23:O30" si="6">K23*L23 +K23*M23*$M$40</f>
        <v>0</v>
      </c>
    </row>
    <row r="24" spans="1:18" customFormat="1" ht="14" hidden="1" customHeight="1">
      <c r="A24" s="176"/>
      <c r="B24" s="240"/>
      <c r="C24" s="178" t="s">
        <v>573</v>
      </c>
      <c r="D24" s="182">
        <v>1</v>
      </c>
      <c r="E24" s="208"/>
      <c r="F24" s="208"/>
      <c r="G24" s="208"/>
      <c r="H24" s="194">
        <f t="shared" si="4"/>
        <v>0</v>
      </c>
      <c r="I24" s="194">
        <f t="shared" si="5"/>
        <v>0</v>
      </c>
      <c r="J24" s="194" t="s">
        <v>1516</v>
      </c>
      <c r="K24" s="194">
        <v>0</v>
      </c>
      <c r="L24" s="212"/>
      <c r="M24" s="212"/>
      <c r="N24" s="212"/>
      <c r="O24" s="194">
        <f t="shared" si="6"/>
        <v>0</v>
      </c>
      <c r="Q24" t="s">
        <v>1584</v>
      </c>
    </row>
    <row r="25" spans="1:18" customFormat="1" ht="14" hidden="1" customHeight="1">
      <c r="A25" s="176"/>
      <c r="B25" s="240"/>
      <c r="C25" s="178" t="s">
        <v>574</v>
      </c>
      <c r="D25" s="182">
        <v>2</v>
      </c>
      <c r="E25" s="208"/>
      <c r="F25" s="208"/>
      <c r="G25" s="208"/>
      <c r="H25" s="194">
        <f t="shared" si="4"/>
        <v>0</v>
      </c>
      <c r="I25" s="194">
        <f t="shared" si="5"/>
        <v>0</v>
      </c>
      <c r="J25" s="194" t="s">
        <v>1516</v>
      </c>
      <c r="K25" s="194">
        <v>0</v>
      </c>
      <c r="L25" s="212"/>
      <c r="M25" s="212"/>
      <c r="N25" s="212"/>
      <c r="O25" s="194">
        <f t="shared" si="6"/>
        <v>0</v>
      </c>
    </row>
    <row r="26" spans="1:18" customFormat="1" ht="14" hidden="1" customHeight="1">
      <c r="A26" s="176"/>
      <c r="B26" s="240"/>
      <c r="C26" s="178" t="s">
        <v>701</v>
      </c>
      <c r="D26" s="182">
        <v>0</v>
      </c>
      <c r="E26" s="208"/>
      <c r="F26" s="208"/>
      <c r="G26" s="208"/>
      <c r="H26" s="194">
        <f t="shared" si="4"/>
        <v>0</v>
      </c>
      <c r="I26" s="194">
        <f t="shared" si="5"/>
        <v>0</v>
      </c>
      <c r="J26" s="194" t="s">
        <v>1516</v>
      </c>
      <c r="K26" s="194">
        <v>0</v>
      </c>
      <c r="L26" s="212"/>
      <c r="M26" s="212"/>
      <c r="N26" s="212"/>
      <c r="O26" s="194">
        <f t="shared" si="6"/>
        <v>0</v>
      </c>
    </row>
    <row r="27" spans="1:18" customFormat="1" ht="14" hidden="1" customHeight="1">
      <c r="A27" s="176" t="s">
        <v>34</v>
      </c>
      <c r="B27" s="240" t="s">
        <v>34</v>
      </c>
      <c r="C27" s="172" t="s">
        <v>511</v>
      </c>
      <c r="D27" s="182">
        <v>4</v>
      </c>
      <c r="E27" s="208"/>
      <c r="F27" s="208"/>
      <c r="G27" s="208"/>
      <c r="H27" s="194"/>
      <c r="I27" s="194"/>
      <c r="J27" s="194"/>
      <c r="K27" s="194"/>
      <c r="L27" s="212"/>
      <c r="M27" s="212"/>
      <c r="N27" s="212"/>
      <c r="O27" s="194"/>
    </row>
    <row r="28" spans="1:18" customFormat="1" ht="28.5" hidden="1" customHeight="1">
      <c r="A28" s="176"/>
      <c r="B28" s="240"/>
      <c r="C28" s="178" t="s">
        <v>1404</v>
      </c>
      <c r="D28" s="182">
        <v>1</v>
      </c>
      <c r="E28" s="208"/>
      <c r="F28" s="208"/>
      <c r="G28" s="208"/>
      <c r="H28" s="194"/>
      <c r="I28" s="194"/>
      <c r="J28" s="194"/>
      <c r="K28" s="194"/>
      <c r="L28" s="212"/>
      <c r="M28" s="212"/>
      <c r="N28" s="212"/>
      <c r="O28" s="194"/>
    </row>
    <row r="29" spans="1:18" customFormat="1" ht="18" hidden="1" customHeight="1">
      <c r="A29" s="176"/>
      <c r="B29" s="240"/>
      <c r="C29" s="178" t="s">
        <v>14</v>
      </c>
      <c r="D29" s="182">
        <v>1</v>
      </c>
      <c r="E29" s="208"/>
      <c r="F29" s="208"/>
      <c r="G29" s="208"/>
      <c r="H29" s="194"/>
      <c r="I29" s="194"/>
      <c r="J29" s="194"/>
      <c r="K29" s="194"/>
      <c r="L29" s="212"/>
      <c r="M29" s="212"/>
      <c r="N29" s="212"/>
      <c r="O29" s="194"/>
    </row>
    <row r="30" spans="1:18" customFormat="1" ht="14" hidden="1" customHeight="1">
      <c r="A30" s="176"/>
      <c r="B30" s="240"/>
      <c r="C30" s="178" t="s">
        <v>702</v>
      </c>
      <c r="D30" s="182">
        <v>3</v>
      </c>
      <c r="E30" s="208"/>
      <c r="F30" s="208"/>
      <c r="G30" s="208"/>
      <c r="H30" s="194">
        <f t="shared" si="4"/>
        <v>0</v>
      </c>
      <c r="I30" s="194">
        <f t="shared" si="5"/>
        <v>0</v>
      </c>
      <c r="J30" s="194" t="s">
        <v>1516</v>
      </c>
      <c r="K30" s="194">
        <v>0</v>
      </c>
      <c r="L30" s="212"/>
      <c r="M30" s="212"/>
      <c r="N30" s="212"/>
      <c r="O30" s="194">
        <f t="shared" si="6"/>
        <v>0</v>
      </c>
    </row>
    <row r="31" spans="1:18" customFormat="1" ht="14" hidden="1" customHeight="1">
      <c r="A31" s="176"/>
      <c r="B31" s="240"/>
      <c r="C31" s="172" t="s">
        <v>1398</v>
      </c>
      <c r="D31" s="183">
        <v>2</v>
      </c>
      <c r="E31" s="208">
        <v>68010</v>
      </c>
      <c r="F31" s="219"/>
      <c r="G31" s="219"/>
      <c r="H31" s="205">
        <f>E31+F31</f>
        <v>68010</v>
      </c>
      <c r="I31" s="205">
        <f>D31*H31</f>
        <v>136020</v>
      </c>
      <c r="J31" s="205" t="s">
        <v>1516</v>
      </c>
      <c r="K31" s="205">
        <v>0</v>
      </c>
      <c r="L31" s="245"/>
      <c r="M31" s="245"/>
      <c r="N31" s="245"/>
      <c r="O31" s="205">
        <f>K31*L31 +K31*M31*$M$40</f>
        <v>0</v>
      </c>
    </row>
    <row r="32" spans="1:18" customFormat="1" ht="14" hidden="1" customHeight="1" thickBot="1">
      <c r="A32" s="176"/>
      <c r="B32" s="240"/>
      <c r="C32" s="180" t="s">
        <v>1403</v>
      </c>
      <c r="D32" s="184">
        <v>0.5</v>
      </c>
      <c r="E32" s="213">
        <v>63135</v>
      </c>
      <c r="F32" s="213"/>
      <c r="G32" s="213"/>
      <c r="H32" s="195">
        <f>E32+F32</f>
        <v>63135</v>
      </c>
      <c r="I32" s="195">
        <f>D32*H32</f>
        <v>31567.5</v>
      </c>
      <c r="J32" s="195" t="s">
        <v>1516</v>
      </c>
      <c r="K32" s="195"/>
      <c r="L32" s="217"/>
      <c r="M32" s="217"/>
      <c r="N32" s="217"/>
      <c r="O32" s="195"/>
    </row>
    <row r="33" spans="1:20" s="102" customFormat="1" ht="17.25" hidden="1" customHeight="1">
      <c r="A33" s="246"/>
      <c r="B33" s="240"/>
      <c r="C33" s="247" t="s">
        <v>51</v>
      </c>
      <c r="D33" s="248">
        <f>SUM(D20:D32)</f>
        <v>17.5</v>
      </c>
      <c r="E33" s="242"/>
      <c r="F33" s="242"/>
      <c r="G33" s="242"/>
      <c r="H33" s="242"/>
      <c r="I33" s="242"/>
      <c r="J33" s="242"/>
      <c r="K33" s="242"/>
      <c r="L33" s="243"/>
      <c r="M33" s="243"/>
      <c r="N33" s="243"/>
      <c r="O33" s="242"/>
      <c r="R33" s="69"/>
      <c r="S33" s="69"/>
      <c r="T33" s="69"/>
    </row>
    <row r="34" spans="1:20">
      <c r="A34" s="249"/>
      <c r="B34" s="250"/>
      <c r="C34" s="251"/>
      <c r="D34" s="251"/>
      <c r="E34" s="170" t="s">
        <v>1381</v>
      </c>
      <c r="F34" s="171" t="s">
        <v>1272</v>
      </c>
      <c r="G34" s="171" t="s">
        <v>1269</v>
      </c>
      <c r="H34" s="171" t="s">
        <v>1270</v>
      </c>
      <c r="I34" s="171" t="s">
        <v>1271</v>
      </c>
      <c r="J34" s="252"/>
      <c r="K34" s="253" t="s">
        <v>76</v>
      </c>
      <c r="L34" s="253" t="s">
        <v>77</v>
      </c>
      <c r="M34" s="252"/>
      <c r="N34" s="253" t="s">
        <v>34</v>
      </c>
      <c r="O34" s="251"/>
      <c r="R34" s="6"/>
      <c r="S34" s="6"/>
      <c r="T34" s="6"/>
    </row>
    <row r="35" spans="1:20">
      <c r="A35" s="249"/>
      <c r="B35" s="250"/>
      <c r="C35" s="247" t="s">
        <v>34</v>
      </c>
      <c r="D35" s="254" t="s">
        <v>1390</v>
      </c>
      <c r="E35" s="255" t="s">
        <v>705</v>
      </c>
      <c r="F35" s="255">
        <v>1</v>
      </c>
      <c r="G35" s="255" t="s">
        <v>1308</v>
      </c>
      <c r="H35" s="255"/>
      <c r="I35" s="255"/>
      <c r="J35" s="252"/>
      <c r="K35" s="251"/>
      <c r="L35" s="251"/>
      <c r="M35" s="280"/>
      <c r="N35" s="279" t="s">
        <v>1507</v>
      </c>
      <c r="O35" s="276">
        <v>12</v>
      </c>
      <c r="P35" s="277">
        <v>0.2</v>
      </c>
      <c r="Q35" s="278">
        <v>10608</v>
      </c>
      <c r="R35" s="281">
        <f>Q35/P35</f>
        <v>53040</v>
      </c>
      <c r="S35" s="281"/>
      <c r="T35" s="6"/>
    </row>
    <row r="36" spans="1:20">
      <c r="A36" s="249" t="s">
        <v>14</v>
      </c>
      <c r="B36" s="250">
        <v>3</v>
      </c>
      <c r="C36" s="247" t="s">
        <v>34</v>
      </c>
      <c r="D36" s="254" t="s">
        <v>1391</v>
      </c>
      <c r="E36" s="168" t="s">
        <v>1273</v>
      </c>
      <c r="F36" s="167">
        <v>1</v>
      </c>
      <c r="G36" s="168">
        <v>203100</v>
      </c>
      <c r="H36" s="168" t="s">
        <v>1274</v>
      </c>
      <c r="I36" s="168" t="s">
        <v>1274</v>
      </c>
      <c r="J36" s="252"/>
      <c r="K36" s="253" t="s">
        <v>705</v>
      </c>
      <c r="L36" s="251"/>
      <c r="M36" s="280"/>
      <c r="N36" s="279" t="s">
        <v>1508</v>
      </c>
      <c r="O36" s="276">
        <v>12</v>
      </c>
      <c r="P36" s="277">
        <v>0.5</v>
      </c>
      <c r="Q36" s="278">
        <v>9967</v>
      </c>
      <c r="R36" s="281">
        <f>Q36/P36</f>
        <v>19934</v>
      </c>
      <c r="S36" s="281"/>
      <c r="T36" s="6"/>
    </row>
    <row r="37" spans="1:20">
      <c r="A37" s="249" t="s">
        <v>510</v>
      </c>
      <c r="B37" s="250">
        <v>3</v>
      </c>
      <c r="C37" s="249" t="s">
        <v>576</v>
      </c>
      <c r="D37" s="248"/>
      <c r="E37" s="168" t="s">
        <v>1275</v>
      </c>
      <c r="F37" s="167">
        <v>4</v>
      </c>
      <c r="G37" s="168" t="s">
        <v>1276</v>
      </c>
      <c r="H37" s="168" t="s">
        <v>1277</v>
      </c>
      <c r="I37" s="168" t="s">
        <v>1278</v>
      </c>
      <c r="J37" s="252"/>
      <c r="K37" s="253" t="s">
        <v>1303</v>
      </c>
      <c r="L37" s="251"/>
      <c r="M37" s="280"/>
      <c r="N37" s="279" t="s">
        <v>1509</v>
      </c>
      <c r="O37" s="276">
        <v>6</v>
      </c>
      <c r="P37" s="277">
        <v>1</v>
      </c>
      <c r="Q37" s="278">
        <v>8000</v>
      </c>
      <c r="R37" s="281"/>
      <c r="S37" s="281"/>
      <c r="T37" s="6"/>
    </row>
    <row r="38" spans="1:20">
      <c r="A38" s="249"/>
      <c r="B38" s="250"/>
      <c r="C38" s="249" t="s">
        <v>1834</v>
      </c>
      <c r="D38" s="248"/>
      <c r="E38" s="168" t="s">
        <v>1279</v>
      </c>
      <c r="F38" s="167">
        <v>6</v>
      </c>
      <c r="G38" s="168" t="s">
        <v>1280</v>
      </c>
      <c r="H38" s="168" t="s">
        <v>1281</v>
      </c>
      <c r="I38" s="168" t="s">
        <v>1282</v>
      </c>
      <c r="J38" s="252"/>
      <c r="K38" s="251" t="s">
        <v>1304</v>
      </c>
      <c r="L38" s="251"/>
      <c r="M38" s="280"/>
      <c r="N38" s="279" t="s">
        <v>1510</v>
      </c>
      <c r="O38" s="276">
        <v>6</v>
      </c>
      <c r="P38" s="277">
        <v>1</v>
      </c>
      <c r="Q38" s="278">
        <v>6333</v>
      </c>
      <c r="R38" s="281"/>
      <c r="S38" s="281"/>
      <c r="T38" s="6"/>
    </row>
    <row r="39" spans="1:20">
      <c r="A39" s="249"/>
      <c r="B39" s="250"/>
      <c r="C39" s="249"/>
      <c r="D39" s="248"/>
      <c r="E39" s="168" t="s">
        <v>1283</v>
      </c>
      <c r="F39" s="167">
        <v>1</v>
      </c>
      <c r="G39" s="168" t="s">
        <v>1284</v>
      </c>
      <c r="H39" s="168" t="s">
        <v>1285</v>
      </c>
      <c r="I39" s="168" t="s">
        <v>1285</v>
      </c>
      <c r="J39" s="252"/>
      <c r="K39" s="251" t="s">
        <v>1305</v>
      </c>
      <c r="L39" s="251"/>
      <c r="M39" s="280"/>
      <c r="N39" s="279" t="s">
        <v>1510</v>
      </c>
      <c r="O39" s="276">
        <v>6</v>
      </c>
      <c r="P39" s="277">
        <v>1</v>
      </c>
      <c r="Q39" s="278">
        <v>6333</v>
      </c>
      <c r="R39" s="281"/>
      <c r="S39" s="281"/>
      <c r="T39" s="6"/>
    </row>
    <row r="40" spans="1:20">
      <c r="A40" s="249" t="s">
        <v>511</v>
      </c>
      <c r="B40" s="250">
        <v>6</v>
      </c>
      <c r="C40" s="249">
        <v>1</v>
      </c>
      <c r="D40" s="248">
        <f>C40*4</f>
        <v>4</v>
      </c>
      <c r="E40" s="168" t="s">
        <v>1286</v>
      </c>
      <c r="F40" s="167">
        <v>4</v>
      </c>
      <c r="G40" s="168" t="s">
        <v>1287</v>
      </c>
      <c r="H40" s="168" t="s">
        <v>1285</v>
      </c>
      <c r="I40" s="168" t="s">
        <v>1285</v>
      </c>
      <c r="J40" s="252"/>
      <c r="K40" s="251" t="s">
        <v>1306</v>
      </c>
      <c r="L40" s="251"/>
      <c r="M40" s="280"/>
      <c r="N40" s="279" t="s">
        <v>1511</v>
      </c>
      <c r="O40" s="276">
        <v>12</v>
      </c>
      <c r="P40" s="277">
        <v>1</v>
      </c>
      <c r="Q40" s="278">
        <v>33600</v>
      </c>
      <c r="R40" s="281"/>
      <c r="S40" s="281"/>
      <c r="T40" s="6"/>
    </row>
    <row r="41" spans="1:20">
      <c r="A41" s="249"/>
      <c r="B41" s="250"/>
      <c r="C41" s="249">
        <v>5</v>
      </c>
      <c r="D41" s="248">
        <f>C41*4</f>
        <v>20</v>
      </c>
      <c r="E41" s="256" t="s">
        <v>1288</v>
      </c>
      <c r="F41" s="167">
        <v>5</v>
      </c>
      <c r="G41" s="168" t="s">
        <v>1289</v>
      </c>
      <c r="H41" s="168" t="s">
        <v>1290</v>
      </c>
      <c r="I41" s="168" t="s">
        <v>1291</v>
      </c>
      <c r="J41" s="252"/>
      <c r="K41" s="251" t="s">
        <v>1307</v>
      </c>
      <c r="L41" s="251"/>
      <c r="M41" s="252"/>
      <c r="N41" s="251"/>
      <c r="O41" s="251"/>
      <c r="R41" s="6"/>
      <c r="S41" s="6"/>
      <c r="T41" s="6"/>
    </row>
    <row r="42" spans="1:20">
      <c r="A42" s="249"/>
      <c r="B42" s="250"/>
      <c r="C42" s="247" t="s">
        <v>34</v>
      </c>
      <c r="D42" s="248"/>
      <c r="E42" s="256" t="s">
        <v>1300</v>
      </c>
      <c r="F42" s="167">
        <v>2</v>
      </c>
      <c r="G42" s="168" t="s">
        <v>1285</v>
      </c>
      <c r="H42" s="168" t="s">
        <v>1292</v>
      </c>
      <c r="I42" s="168" t="s">
        <v>1293</v>
      </c>
      <c r="J42" s="252"/>
      <c r="K42" s="253" t="s">
        <v>55</v>
      </c>
      <c r="L42" s="251"/>
      <c r="M42" s="252"/>
      <c r="N42" s="251"/>
      <c r="O42" s="251"/>
    </row>
    <row r="43" spans="1:20">
      <c r="A43" s="249" t="s">
        <v>518</v>
      </c>
      <c r="B43" s="250"/>
      <c r="C43" s="249"/>
      <c r="D43" s="248"/>
      <c r="E43" s="256" t="s">
        <v>1294</v>
      </c>
      <c r="F43" s="167">
        <v>3</v>
      </c>
      <c r="G43" s="168" t="s">
        <v>1295</v>
      </c>
      <c r="H43" s="168" t="s">
        <v>1296</v>
      </c>
      <c r="I43" s="168" t="s">
        <v>1297</v>
      </c>
      <c r="J43" s="252"/>
      <c r="K43" s="251"/>
      <c r="L43" s="251"/>
      <c r="M43" s="251"/>
      <c r="N43" s="251"/>
      <c r="O43" s="251"/>
      <c r="Q43" s="41" t="s">
        <v>703</v>
      </c>
    </row>
    <row r="44" spans="1:20" ht="31.5">
      <c r="A44" s="249" t="s">
        <v>573</v>
      </c>
      <c r="B44" s="250"/>
      <c r="C44" s="249">
        <v>1</v>
      </c>
      <c r="D44" s="248">
        <f>C44*2.5</f>
        <v>2.5</v>
      </c>
      <c r="E44" s="256" t="s">
        <v>1298</v>
      </c>
      <c r="F44" s="167">
        <v>3</v>
      </c>
      <c r="G44" s="168" t="s">
        <v>1287</v>
      </c>
      <c r="H44" s="168" t="s">
        <v>1290</v>
      </c>
      <c r="I44" s="168" t="s">
        <v>1299</v>
      </c>
      <c r="J44" s="252"/>
      <c r="K44" s="253" t="s">
        <v>34</v>
      </c>
      <c r="L44" s="251"/>
      <c r="M44" s="251"/>
      <c r="N44" s="251"/>
      <c r="O44" s="251"/>
      <c r="P44" s="154"/>
      <c r="Q44" s="154" t="s">
        <v>1324</v>
      </c>
    </row>
    <row r="45" spans="1:20">
      <c r="A45" s="249" t="s">
        <v>574</v>
      </c>
      <c r="B45" s="250"/>
      <c r="C45" s="249">
        <v>8</v>
      </c>
      <c r="D45" s="248"/>
      <c r="E45" s="255" t="s">
        <v>511</v>
      </c>
      <c r="F45" s="257">
        <v>6</v>
      </c>
      <c r="G45" s="255"/>
      <c r="H45" s="255"/>
      <c r="I45" s="255"/>
      <c r="J45" s="252"/>
      <c r="K45" s="251"/>
      <c r="L45" s="251"/>
      <c r="M45" s="251"/>
      <c r="N45" s="251"/>
      <c r="O45" s="251"/>
    </row>
    <row r="46" spans="1:20">
      <c r="A46" s="249" t="s">
        <v>576</v>
      </c>
      <c r="B46" s="250"/>
      <c r="C46" s="249"/>
      <c r="D46" s="248"/>
      <c r="E46" s="628"/>
      <c r="F46" s="629">
        <f>SUM(F36:F45)</f>
        <v>35</v>
      </c>
      <c r="G46" s="628"/>
      <c r="H46" s="628"/>
      <c r="I46" s="628"/>
      <c r="J46" s="252"/>
      <c r="K46" s="251" t="s">
        <v>1309</v>
      </c>
      <c r="L46" s="251"/>
      <c r="M46" s="251"/>
      <c r="N46" s="251"/>
      <c r="O46" s="251"/>
    </row>
    <row r="47" spans="1:20">
      <c r="A47" s="249"/>
      <c r="B47" s="250"/>
      <c r="C47" s="249"/>
      <c r="D47" s="249"/>
      <c r="E47" s="630" t="s">
        <v>1385</v>
      </c>
      <c r="F47" s="630"/>
      <c r="G47" s="630"/>
      <c r="H47" s="630"/>
      <c r="I47" s="630"/>
      <c r="J47" s="252"/>
      <c r="K47" s="253" t="s">
        <v>1310</v>
      </c>
      <c r="L47" s="251"/>
      <c r="M47" s="251"/>
      <c r="N47" s="251"/>
      <c r="O47" s="251"/>
    </row>
    <row r="48" spans="1:20">
      <c r="A48" s="249" t="s">
        <v>575</v>
      </c>
      <c r="B48" s="250"/>
      <c r="C48" s="251" t="s">
        <v>1807</v>
      </c>
      <c r="D48" s="251"/>
      <c r="E48" s="628" t="s">
        <v>1386</v>
      </c>
      <c r="F48" s="629"/>
      <c r="G48" s="628"/>
      <c r="H48" s="628"/>
      <c r="I48" s="628"/>
      <c r="J48" s="252"/>
      <c r="K48" s="251" t="s">
        <v>1311</v>
      </c>
      <c r="L48" s="251"/>
      <c r="M48" s="251"/>
      <c r="N48" s="251"/>
      <c r="O48" s="251"/>
    </row>
    <row r="49" spans="1:18">
      <c r="A49" s="247"/>
      <c r="B49" s="258"/>
      <c r="C49" s="258">
        <f>1.7*12</f>
        <v>20.399999999999999</v>
      </c>
      <c r="D49" s="248" t="s">
        <v>1742</v>
      </c>
      <c r="E49" s="246"/>
      <c r="F49" s="246"/>
      <c r="G49" s="246" t="s">
        <v>77</v>
      </c>
      <c r="H49" s="631" t="s">
        <v>76</v>
      </c>
      <c r="I49" s="246"/>
      <c r="J49" s="252"/>
      <c r="K49" s="251" t="s">
        <v>1312</v>
      </c>
      <c r="L49" s="251"/>
      <c r="M49" s="253"/>
      <c r="N49" s="253"/>
      <c r="O49" s="251"/>
      <c r="Q49" s="251" t="s">
        <v>1807</v>
      </c>
      <c r="R49" s="251"/>
    </row>
    <row r="50" spans="1:18">
      <c r="A50" s="247"/>
      <c r="B50" s="258"/>
      <c r="C50" s="258">
        <v>13</v>
      </c>
      <c r="D50" s="248" t="s">
        <v>1743</v>
      </c>
      <c r="E50" s="176" t="s">
        <v>573</v>
      </c>
      <c r="F50" s="176">
        <v>4</v>
      </c>
      <c r="G50" s="176">
        <v>1</v>
      </c>
      <c r="H50" s="259">
        <v>3</v>
      </c>
      <c r="I50" s="176"/>
      <c r="J50" s="251"/>
      <c r="K50" s="251" t="s">
        <v>1313</v>
      </c>
      <c r="L50" s="251"/>
      <c r="M50" s="253"/>
      <c r="N50" s="253"/>
      <c r="O50" s="251"/>
      <c r="Q50" s="258">
        <f>1.7*12</f>
        <v>20.399999999999999</v>
      </c>
      <c r="R50" s="248" t="s">
        <v>1742</v>
      </c>
    </row>
    <row r="51" spans="1:18">
      <c r="A51" s="247"/>
      <c r="B51" s="258"/>
      <c r="C51" s="258">
        <v>5</v>
      </c>
      <c r="D51" s="248" t="s">
        <v>1744</v>
      </c>
      <c r="E51" s="176" t="s">
        <v>574</v>
      </c>
      <c r="F51" s="176">
        <v>6</v>
      </c>
      <c r="G51" s="176">
        <v>2</v>
      </c>
      <c r="H51" s="259">
        <v>4</v>
      </c>
      <c r="I51" s="176"/>
      <c r="J51" s="251"/>
      <c r="K51" s="251" t="s">
        <v>1314</v>
      </c>
      <c r="L51" s="251"/>
      <c r="M51" s="253"/>
      <c r="N51" s="253"/>
      <c r="O51" s="251"/>
      <c r="Q51" s="258">
        <v>13</v>
      </c>
      <c r="R51" s="248" t="s">
        <v>1743</v>
      </c>
    </row>
    <row r="52" spans="1:18">
      <c r="A52" s="260"/>
      <c r="B52" s="261"/>
      <c r="C52" s="261">
        <v>5</v>
      </c>
      <c r="D52" s="678" t="s">
        <v>1746</v>
      </c>
      <c r="E52" s="176" t="s">
        <v>701</v>
      </c>
      <c r="F52" s="176">
        <v>1</v>
      </c>
      <c r="G52" s="176">
        <v>0</v>
      </c>
      <c r="H52" s="259">
        <v>1</v>
      </c>
      <c r="I52" s="176"/>
      <c r="J52" s="253" t="s">
        <v>1301</v>
      </c>
      <c r="K52" s="251"/>
      <c r="L52" s="251"/>
      <c r="M52" s="253"/>
      <c r="N52" s="253"/>
      <c r="O52" s="251"/>
      <c r="Q52" s="258">
        <v>5</v>
      </c>
      <c r="R52" s="248" t="s">
        <v>1744</v>
      </c>
    </row>
    <row r="53" spans="1:18">
      <c r="A53" s="260"/>
      <c r="B53" s="261"/>
      <c r="C53" s="264" t="s">
        <v>1552</v>
      </c>
      <c r="D53" s="264"/>
      <c r="E53" s="176" t="s">
        <v>702</v>
      </c>
      <c r="F53" s="176">
        <v>4</v>
      </c>
      <c r="G53" s="176">
        <v>3</v>
      </c>
      <c r="H53" s="259">
        <v>1</v>
      </c>
      <c r="I53" s="176"/>
      <c r="J53" s="253" t="s">
        <v>34</v>
      </c>
      <c r="K53" s="251"/>
      <c r="L53" s="251"/>
      <c r="M53" s="253"/>
      <c r="N53" s="253"/>
      <c r="O53" s="251"/>
      <c r="Q53" s="261">
        <v>5</v>
      </c>
      <c r="R53" s="678" t="s">
        <v>1746</v>
      </c>
    </row>
    <row r="54" spans="1:18">
      <c r="A54" s="262"/>
      <c r="B54" s="263"/>
      <c r="C54" s="264">
        <f>SUM(C49:C52)</f>
        <v>43.4</v>
      </c>
      <c r="D54" s="264"/>
      <c r="E54" s="176" t="s">
        <v>703</v>
      </c>
      <c r="F54" s="176">
        <v>5</v>
      </c>
      <c r="G54" s="176">
        <v>2</v>
      </c>
      <c r="H54" s="259">
        <v>3</v>
      </c>
      <c r="I54" s="176"/>
      <c r="J54" s="253" t="s">
        <v>1302</v>
      </c>
      <c r="K54" s="251"/>
      <c r="L54" s="251"/>
      <c r="M54" s="251"/>
      <c r="N54" s="251"/>
      <c r="O54" s="251"/>
      <c r="Q54" s="264" t="s">
        <v>1552</v>
      </c>
      <c r="R54" s="264"/>
    </row>
    <row r="55" spans="1:18">
      <c r="A55" s="264"/>
      <c r="B55" s="265"/>
      <c r="C55" s="264">
        <f>52*5</f>
        <v>260</v>
      </c>
      <c r="D55" s="264"/>
      <c r="E55" s="176" t="s">
        <v>704</v>
      </c>
      <c r="F55" s="176">
        <v>1</v>
      </c>
      <c r="G55" s="176">
        <v>0.5</v>
      </c>
      <c r="H55" s="259">
        <v>0.5</v>
      </c>
      <c r="I55" s="176"/>
      <c r="J55" s="251"/>
      <c r="K55" s="251"/>
      <c r="L55" s="251"/>
      <c r="M55" s="251"/>
      <c r="N55" s="251"/>
      <c r="O55" s="251"/>
      <c r="Q55" s="264">
        <f>SUM(Q50:Q53)</f>
        <v>43.4</v>
      </c>
      <c r="R55" s="264"/>
    </row>
    <row r="56" spans="1:18">
      <c r="A56" s="266"/>
      <c r="B56" s="267"/>
      <c r="C56" s="264">
        <f>C55-C54</f>
        <v>216.6</v>
      </c>
      <c r="D56" s="264"/>
      <c r="E56" s="176" t="s">
        <v>705</v>
      </c>
      <c r="F56" s="176">
        <v>1</v>
      </c>
      <c r="G56" s="176">
        <v>0.5</v>
      </c>
      <c r="H56" s="259">
        <v>0.5</v>
      </c>
      <c r="I56" s="176"/>
      <c r="J56" s="251"/>
      <c r="K56" s="251"/>
      <c r="L56" s="251"/>
      <c r="M56" s="251"/>
      <c r="N56" s="251"/>
      <c r="O56" s="251"/>
      <c r="Q56" s="264">
        <f>52*5</f>
        <v>260</v>
      </c>
      <c r="R56" s="264"/>
    </row>
    <row r="57" spans="1:18">
      <c r="A57" s="266"/>
      <c r="B57" s="267"/>
      <c r="C57" s="251" t="s">
        <v>1808</v>
      </c>
      <c r="D57" s="251"/>
      <c r="E57" s="259" t="s">
        <v>51</v>
      </c>
      <c r="F57" s="259">
        <f>SUM(F50:F56)</f>
        <v>22</v>
      </c>
      <c r="G57" s="259"/>
      <c r="H57" s="259"/>
      <c r="I57" s="176"/>
      <c r="J57" s="251"/>
      <c r="K57" s="251"/>
      <c r="L57" s="251" t="s">
        <v>1318</v>
      </c>
      <c r="M57" s="251"/>
      <c r="N57" s="251"/>
      <c r="O57" s="251"/>
      <c r="Q57" s="264">
        <f>Q56-Q55</f>
        <v>216.6</v>
      </c>
      <c r="R57" s="264"/>
    </row>
    <row r="58" spans="1:18">
      <c r="A58" s="266"/>
      <c r="B58" s="267"/>
      <c r="C58" s="258">
        <f>1.7*12</f>
        <v>20.399999999999999</v>
      </c>
      <c r="D58" s="248" t="s">
        <v>1742</v>
      </c>
      <c r="E58" s="176" t="s">
        <v>706</v>
      </c>
      <c r="F58" s="176"/>
      <c r="G58" s="176"/>
      <c r="H58" s="259"/>
      <c r="I58" s="176"/>
      <c r="J58" s="251"/>
      <c r="K58" s="251"/>
      <c r="L58" s="253" t="s">
        <v>1315</v>
      </c>
      <c r="M58" s="251"/>
      <c r="N58" s="251"/>
      <c r="O58" s="251"/>
      <c r="Q58" s="251" t="s">
        <v>1808</v>
      </c>
      <c r="R58" s="251"/>
    </row>
    <row r="59" spans="1:18">
      <c r="A59" s="266"/>
      <c r="B59" s="267"/>
      <c r="D59" s="718">
        <v>1.2392000000000001</v>
      </c>
      <c r="E59" s="259" t="s">
        <v>711</v>
      </c>
      <c r="F59" s="176"/>
      <c r="G59" s="176"/>
      <c r="H59" s="176"/>
      <c r="I59" s="176"/>
      <c r="J59" s="251"/>
      <c r="K59" s="251"/>
      <c r="L59" s="251" t="s">
        <v>1316</v>
      </c>
      <c r="M59" s="251"/>
      <c r="N59" s="251"/>
      <c r="O59" s="251"/>
      <c r="Q59" s="258">
        <f>1.7*12</f>
        <v>20.399999999999999</v>
      </c>
      <c r="R59" s="248" t="s">
        <v>1742</v>
      </c>
    </row>
    <row r="60" spans="1:18">
      <c r="A60" s="266"/>
      <c r="B60" s="267"/>
      <c r="C60" s="250" t="s">
        <v>55</v>
      </c>
      <c r="D60" s="248" t="s">
        <v>1744</v>
      </c>
      <c r="E60" s="176" t="s">
        <v>707</v>
      </c>
      <c r="F60" s="176"/>
      <c r="G60" s="176"/>
      <c r="H60" s="176"/>
      <c r="I60" s="176"/>
      <c r="J60" s="251"/>
      <c r="K60" s="251"/>
      <c r="L60" s="253" t="s">
        <v>1317</v>
      </c>
      <c r="M60" s="251"/>
      <c r="N60" s="251"/>
      <c r="O60" s="251"/>
      <c r="Q60" s="258">
        <v>13</v>
      </c>
      <c r="R60" s="248" t="s">
        <v>1743</v>
      </c>
    </row>
    <row r="61" spans="1:18">
      <c r="A61" s="266"/>
      <c r="B61" s="267"/>
      <c r="C61" s="261">
        <v>10</v>
      </c>
      <c r="D61" s="678" t="s">
        <v>1746</v>
      </c>
      <c r="E61" s="176" t="s">
        <v>708</v>
      </c>
      <c r="F61" s="176"/>
      <c r="G61" s="176"/>
      <c r="H61" s="176"/>
      <c r="I61" s="176"/>
      <c r="J61" s="252"/>
      <c r="K61" s="252"/>
      <c r="L61" s="251"/>
      <c r="M61" s="251"/>
      <c r="N61" s="251"/>
      <c r="O61" s="251"/>
      <c r="Q61" s="258">
        <v>0</v>
      </c>
      <c r="R61" s="248" t="s">
        <v>1744</v>
      </c>
    </row>
    <row r="62" spans="1:18">
      <c r="A62" s="266"/>
      <c r="B62" s="267"/>
      <c r="C62" s="264" t="s">
        <v>1552</v>
      </c>
      <c r="D62" s="264"/>
      <c r="E62" s="176" t="s">
        <v>709</v>
      </c>
      <c r="F62" s="176"/>
      <c r="G62" s="176"/>
      <c r="H62" s="176"/>
      <c r="I62" s="176"/>
      <c r="J62" s="252"/>
      <c r="K62" s="252"/>
      <c r="L62" s="251"/>
      <c r="M62" s="251"/>
      <c r="N62" s="251"/>
      <c r="O62" s="251"/>
      <c r="Q62" s="261">
        <v>10</v>
      </c>
      <c r="R62" s="678" t="s">
        <v>1746</v>
      </c>
    </row>
    <row r="63" spans="1:18">
      <c r="A63" s="266"/>
      <c r="B63" s="267"/>
      <c r="C63" s="264">
        <f>SUM(C58:C61)</f>
        <v>30.4</v>
      </c>
      <c r="D63" s="264"/>
      <c r="E63" s="176" t="s">
        <v>710</v>
      </c>
      <c r="F63" s="176"/>
      <c r="G63" s="176"/>
      <c r="H63" s="176"/>
      <c r="I63" s="176"/>
      <c r="J63" s="268"/>
      <c r="K63" s="252"/>
      <c r="L63" s="253" t="s">
        <v>1319</v>
      </c>
      <c r="M63" s="251"/>
      <c r="N63" s="251"/>
      <c r="O63" s="251"/>
      <c r="Q63" s="264" t="s">
        <v>1552</v>
      </c>
      <c r="R63" s="264"/>
    </row>
    <row r="64" spans="1:18">
      <c r="A64" s="266"/>
      <c r="B64" s="267"/>
      <c r="C64" s="264">
        <f>52*5</f>
        <v>260</v>
      </c>
      <c r="D64" s="264"/>
      <c r="E64" s="176" t="s">
        <v>511</v>
      </c>
      <c r="F64" s="176">
        <v>12</v>
      </c>
      <c r="G64" s="176">
        <v>8</v>
      </c>
      <c r="H64" s="176">
        <v>4</v>
      </c>
      <c r="I64" s="268"/>
      <c r="J64" s="268"/>
      <c r="K64" s="252"/>
      <c r="L64" s="253" t="s">
        <v>1320</v>
      </c>
      <c r="M64" s="251"/>
      <c r="N64" s="251"/>
      <c r="O64" s="251"/>
      <c r="Q64" s="264">
        <f>SUM(Q59:Q62)</f>
        <v>43.4</v>
      </c>
      <c r="R64" s="264"/>
    </row>
    <row r="65" spans="1:18">
      <c r="A65" s="269"/>
      <c r="B65" s="270"/>
      <c r="C65" s="264">
        <f>C64-C63</f>
        <v>229.6</v>
      </c>
      <c r="D65" s="264"/>
      <c r="E65" s="176" t="s">
        <v>712</v>
      </c>
      <c r="F65" s="176">
        <v>2</v>
      </c>
      <c r="G65" s="176">
        <v>1</v>
      </c>
      <c r="H65" s="176">
        <v>1</v>
      </c>
      <c r="I65" s="268"/>
      <c r="J65" s="268"/>
      <c r="K65" s="252"/>
      <c r="L65" s="251"/>
      <c r="M65" s="251"/>
      <c r="N65" s="251"/>
      <c r="O65" s="251"/>
      <c r="Q65" s="264">
        <f>52*5</f>
        <v>260</v>
      </c>
      <c r="R65" s="264"/>
    </row>
    <row r="66" spans="1:18">
      <c r="A66" s="271" t="s">
        <v>33</v>
      </c>
      <c r="B66" s="272"/>
      <c r="C66" s="271"/>
      <c r="D66" s="271"/>
      <c r="E66" s="251"/>
      <c r="F66" s="268"/>
      <c r="G66" s="269"/>
      <c r="H66" s="273"/>
      <c r="I66" s="268"/>
      <c r="J66" s="269"/>
      <c r="K66" s="251"/>
      <c r="L66" s="253" t="s">
        <v>1321</v>
      </c>
      <c r="M66" s="251"/>
      <c r="N66" s="251"/>
      <c r="O66" s="251"/>
      <c r="Q66" s="264">
        <f>Q65-Q64</f>
        <v>216.6</v>
      </c>
      <c r="R66" s="264"/>
    </row>
    <row r="67" spans="1:18" ht="16.5" thickBot="1">
      <c r="A67" s="269"/>
      <c r="B67" s="270"/>
      <c r="C67" s="251"/>
      <c r="D67" s="251"/>
      <c r="E67" s="251"/>
      <c r="F67" s="268"/>
      <c r="G67" s="269"/>
      <c r="H67" s="273"/>
      <c r="I67" s="268"/>
      <c r="J67" s="269"/>
      <c r="K67" s="251"/>
      <c r="L67" s="253" t="s">
        <v>1322</v>
      </c>
      <c r="M67" s="253" t="s">
        <v>1323</v>
      </c>
      <c r="N67" s="251"/>
      <c r="O67" s="251"/>
    </row>
    <row r="68" spans="1:18" ht="16.5" thickBot="1">
      <c r="A68" s="269" t="s">
        <v>35</v>
      </c>
      <c r="B68" s="270"/>
      <c r="C68" s="251"/>
      <c r="D68" s="251"/>
      <c r="E68" s="251"/>
      <c r="F68" s="274"/>
      <c r="G68" s="269" t="s">
        <v>15</v>
      </c>
      <c r="H68" s="273" t="s">
        <v>16</v>
      </c>
      <c r="I68" s="274"/>
      <c r="J68" s="269" t="s">
        <v>17</v>
      </c>
      <c r="K68" s="251"/>
      <c r="L68" s="251"/>
      <c r="M68" s="251"/>
      <c r="N68" s="251"/>
      <c r="O68" s="251"/>
    </row>
    <row r="69" spans="1:18" ht="16.5" thickBot="1">
      <c r="A69" s="11"/>
      <c r="B69" s="198"/>
      <c r="F69" s="14"/>
      <c r="G69" s="11"/>
      <c r="H69" s="46"/>
      <c r="I69" s="14"/>
      <c r="J69" s="11"/>
    </row>
    <row r="70" spans="1:18" ht="16.5" thickBot="1">
      <c r="A70" s="11" t="s">
        <v>18</v>
      </c>
      <c r="B70" s="198"/>
      <c r="F70" s="12"/>
      <c r="G70" s="11" t="s">
        <v>15</v>
      </c>
      <c r="H70" s="46" t="s">
        <v>16</v>
      </c>
      <c r="I70" s="12"/>
      <c r="J70" s="11" t="s">
        <v>17</v>
      </c>
    </row>
    <row r="71" spans="1:18" ht="16.5" thickBot="1">
      <c r="A71" s="11"/>
      <c r="B71" s="198"/>
      <c r="H71" s="47"/>
    </row>
    <row r="72" spans="1:18" ht="16.5" thickBot="1">
      <c r="A72" s="11" t="s">
        <v>19</v>
      </c>
      <c r="B72" s="198"/>
      <c r="F72" s="12"/>
      <c r="G72" s="11" t="s">
        <v>15</v>
      </c>
      <c r="H72" s="46" t="s">
        <v>16</v>
      </c>
      <c r="I72" s="12"/>
      <c r="J72" s="11" t="s">
        <v>17</v>
      </c>
      <c r="L72" s="41" t="s">
        <v>1326</v>
      </c>
    </row>
    <row r="73" spans="1:18">
      <c r="A73" s="11"/>
      <c r="B73" s="198"/>
      <c r="F73" s="14"/>
      <c r="G73" s="11"/>
      <c r="H73" s="13"/>
      <c r="I73" s="14"/>
      <c r="J73" s="11"/>
      <c r="L73" s="41" t="s">
        <v>1325</v>
      </c>
    </row>
    <row r="74" spans="1:18" ht="16.5" thickBot="1">
      <c r="A74" s="11" t="s">
        <v>32</v>
      </c>
    </row>
    <row r="75" spans="1:18" ht="16.5" thickBot="1">
      <c r="A75" s="15" t="s">
        <v>20</v>
      </c>
      <c r="B75" s="199"/>
      <c r="C75" s="16"/>
      <c r="D75" s="16"/>
    </row>
    <row r="76" spans="1:18" ht="95.25" thickBot="1">
      <c r="A76" s="17"/>
      <c r="B76" s="200" t="s">
        <v>21</v>
      </c>
      <c r="C76" s="18" t="s">
        <v>22</v>
      </c>
    </row>
    <row r="77" spans="1:18">
      <c r="A77" s="19" t="s">
        <v>23</v>
      </c>
      <c r="B77" s="201"/>
      <c r="C77" s="8"/>
    </row>
    <row r="78" spans="1:18" ht="16.5" thickBot="1">
      <c r="A78" s="20" t="s">
        <v>24</v>
      </c>
      <c r="B78" s="202"/>
      <c r="C78" s="9"/>
    </row>
    <row r="79" spans="1:18" ht="16.5" thickBot="1"/>
    <row r="80" spans="1:18" ht="16.5" thickBot="1">
      <c r="A80" s="11" t="s">
        <v>25</v>
      </c>
      <c r="D80" s="10"/>
      <c r="E80" s="11"/>
    </row>
    <row r="81" spans="1:8" ht="16.5" thickBot="1">
      <c r="A81" s="7" t="s">
        <v>26</v>
      </c>
      <c r="D81" s="10"/>
      <c r="E81" s="7" t="s">
        <v>30</v>
      </c>
    </row>
    <row r="82" spans="1:8" ht="16.5" thickBot="1">
      <c r="A82" s="7" t="s">
        <v>27</v>
      </c>
      <c r="D82" s="10"/>
      <c r="E82" s="7" t="s">
        <v>31</v>
      </c>
    </row>
    <row r="83" spans="1:8" ht="16.5" thickBot="1">
      <c r="A83" s="7" t="s">
        <v>28</v>
      </c>
      <c r="D83" s="10"/>
      <c r="E83" s="7" t="s">
        <v>30</v>
      </c>
    </row>
    <row r="84" spans="1:8" ht="15" customHeight="1" thickBot="1">
      <c r="A84" s="7" t="s">
        <v>29</v>
      </c>
      <c r="D84" s="10"/>
      <c r="E84" s="7" t="s">
        <v>31</v>
      </c>
    </row>
    <row r="85" spans="1:8" ht="16.5" thickBot="1">
      <c r="A85" s="7" t="s">
        <v>36</v>
      </c>
      <c r="D85" s="10"/>
    </row>
    <row r="86" spans="1:8">
      <c r="A86" s="11"/>
      <c r="B86" s="198"/>
      <c r="C86" s="14"/>
      <c r="D86" s="11"/>
      <c r="E86" s="13"/>
      <c r="F86" s="14"/>
      <c r="G86" s="11"/>
      <c r="H86" s="11"/>
    </row>
    <row r="87" spans="1:8">
      <c r="A87" s="21"/>
      <c r="B87" s="203"/>
      <c r="C87" s="21"/>
    </row>
    <row r="88" spans="1:8">
      <c r="A88" s="6"/>
      <c r="D88" s="5" t="s">
        <v>34</v>
      </c>
    </row>
    <row r="89" spans="1:8">
      <c r="A89" s="73" t="s">
        <v>585</v>
      </c>
    </row>
    <row r="90" spans="1:8">
      <c r="A90" s="73" t="s">
        <v>586</v>
      </c>
    </row>
    <row r="91" spans="1:8">
      <c r="A91" s="6" t="s">
        <v>587</v>
      </c>
    </row>
    <row r="92" spans="1:8">
      <c r="A92" s="6"/>
    </row>
    <row r="93" spans="1:8">
      <c r="A93" s="74" t="s">
        <v>590</v>
      </c>
    </row>
    <row r="94" spans="1:8">
      <c r="A94" s="6" t="s">
        <v>589</v>
      </c>
    </row>
    <row r="95" spans="1:8">
      <c r="A95" s="5" t="s">
        <v>588</v>
      </c>
    </row>
    <row r="96" spans="1:8">
      <c r="A96" s="5" t="s">
        <v>591</v>
      </c>
    </row>
    <row r="97" spans="1:1">
      <c r="A97" s="5" t="s">
        <v>592</v>
      </c>
    </row>
    <row r="98" spans="1:1">
      <c r="A98" s="5" t="s">
        <v>593</v>
      </c>
    </row>
    <row r="100" spans="1:1">
      <c r="A100" s="5" t="s">
        <v>594</v>
      </c>
    </row>
    <row r="101" spans="1:1">
      <c r="A101" s="5" t="s">
        <v>595</v>
      </c>
    </row>
    <row r="102" spans="1:1">
      <c r="A102" s="5" t="s">
        <v>596</v>
      </c>
    </row>
    <row r="103" spans="1:1">
      <c r="A103" s="5" t="s">
        <v>597</v>
      </c>
    </row>
    <row r="104" spans="1:1">
      <c r="A104" s="5" t="s">
        <v>599</v>
      </c>
    </row>
    <row r="105" spans="1:1">
      <c r="A105" s="5" t="s">
        <v>601</v>
      </c>
    </row>
    <row r="106" spans="1:1">
      <c r="A106" s="5" t="s">
        <v>600</v>
      </c>
    </row>
    <row r="109" spans="1:1">
      <c r="A109" s="5" t="s">
        <v>604</v>
      </c>
    </row>
    <row r="110" spans="1:1">
      <c r="A110" s="5" t="s">
        <v>607</v>
      </c>
    </row>
    <row r="111" spans="1:1">
      <c r="A111" s="5" t="s">
        <v>605</v>
      </c>
    </row>
    <row r="112" spans="1:1">
      <c r="A112" s="5" t="s">
        <v>606</v>
      </c>
    </row>
    <row r="114" spans="1:1">
      <c r="A114" s="5" t="s">
        <v>608</v>
      </c>
    </row>
    <row r="116" spans="1:1">
      <c r="A116" s="5" t="s">
        <v>609</v>
      </c>
    </row>
    <row r="118" spans="1:1">
      <c r="A118" s="5" t="s">
        <v>610</v>
      </c>
    </row>
    <row r="119" spans="1:1">
      <c r="A119" s="5" t="s">
        <v>611</v>
      </c>
    </row>
    <row r="120" spans="1:1">
      <c r="A120" s="5" t="s">
        <v>612</v>
      </c>
    </row>
    <row r="122" spans="1:1">
      <c r="A122" s="7" t="s">
        <v>602</v>
      </c>
    </row>
    <row r="123" spans="1:1">
      <c r="A123" s="7" t="s">
        <v>603</v>
      </c>
    </row>
    <row r="125" spans="1:1">
      <c r="A125" s="5" t="s">
        <v>613</v>
      </c>
    </row>
    <row r="126" spans="1:1">
      <c r="A126" s="5" t="s">
        <v>614</v>
      </c>
    </row>
    <row r="127" spans="1:1">
      <c r="A127" s="5" t="s">
        <v>615</v>
      </c>
    </row>
    <row r="128" spans="1:1">
      <c r="A128" s="5" t="s">
        <v>616</v>
      </c>
    </row>
    <row r="129" spans="1:3">
      <c r="A129" s="5" t="s">
        <v>619</v>
      </c>
    </row>
    <row r="130" spans="1:3">
      <c r="A130" s="5" t="s">
        <v>617</v>
      </c>
    </row>
    <row r="131" spans="1:3">
      <c r="A131" s="5" t="s">
        <v>618</v>
      </c>
    </row>
    <row r="135" spans="1:3">
      <c r="A135" s="5">
        <f>6*0.21</f>
        <v>1.26</v>
      </c>
      <c r="C135" s="204">
        <f>5/A135</f>
        <v>3.9682539682539684</v>
      </c>
    </row>
    <row r="136" spans="1:3">
      <c r="A136" s="5" t="s">
        <v>620</v>
      </c>
    </row>
    <row r="138" spans="1:3">
      <c r="A138" s="5" t="s">
        <v>621</v>
      </c>
    </row>
    <row r="140" spans="1:3">
      <c r="A140" s="5" t="s">
        <v>622</v>
      </c>
    </row>
    <row r="141" spans="1:3">
      <c r="A141" s="5" t="s">
        <v>623</v>
      </c>
    </row>
    <row r="142" spans="1:3">
      <c r="A142" s="5" t="s">
        <v>624</v>
      </c>
    </row>
    <row r="143" spans="1:3">
      <c r="A143" s="5" t="s">
        <v>625</v>
      </c>
    </row>
    <row r="144" spans="1:3">
      <c r="A144" s="5" t="s">
        <v>626</v>
      </c>
    </row>
    <row r="146" spans="1:1">
      <c r="A146" s="5" t="s">
        <v>627</v>
      </c>
    </row>
    <row r="147" spans="1:1">
      <c r="A147" s="5" t="s">
        <v>628</v>
      </c>
    </row>
    <row r="148" spans="1:1">
      <c r="A148" s="5" t="s">
        <v>629</v>
      </c>
    </row>
    <row r="149" spans="1:1">
      <c r="A149" s="5" t="s">
        <v>630</v>
      </c>
    </row>
    <row r="150" spans="1:1">
      <c r="A150" s="5" t="s">
        <v>631</v>
      </c>
    </row>
    <row r="152" spans="1:1">
      <c r="A152" s="5" t="s">
        <v>632</v>
      </c>
    </row>
    <row r="153" spans="1:1">
      <c r="A153" s="5" t="s">
        <v>633</v>
      </c>
    </row>
    <row r="154" spans="1:1">
      <c r="A154" s="5" t="s">
        <v>635</v>
      </c>
    </row>
    <row r="155" spans="1:1">
      <c r="A155" s="5" t="s">
        <v>279</v>
      </c>
    </row>
    <row r="156" spans="1:1">
      <c r="A156" s="5" t="s">
        <v>636</v>
      </c>
    </row>
    <row r="157" spans="1:1">
      <c r="A157" s="5" t="s">
        <v>634</v>
      </c>
    </row>
    <row r="159" spans="1:1">
      <c r="A159" s="5" t="s">
        <v>637</v>
      </c>
    </row>
    <row r="160" spans="1:1">
      <c r="A160" s="5" t="s">
        <v>638</v>
      </c>
    </row>
    <row r="161" spans="1:1">
      <c r="A161" s="5" t="s">
        <v>639</v>
      </c>
    </row>
    <row r="163" spans="1:1">
      <c r="A163" s="5" t="s">
        <v>640</v>
      </c>
    </row>
    <row r="164" spans="1:1">
      <c r="A164" s="5" t="s">
        <v>641</v>
      </c>
    </row>
    <row r="166" spans="1:1">
      <c r="A166" s="5" t="s">
        <v>642</v>
      </c>
    </row>
    <row r="168" spans="1:1">
      <c r="A168" s="5" t="s">
        <v>643</v>
      </c>
    </row>
    <row r="170" spans="1:1">
      <c r="A170" s="5" t="s">
        <v>644</v>
      </c>
    </row>
    <row r="173" spans="1:1">
      <c r="A173" s="5" t="s">
        <v>645</v>
      </c>
    </row>
    <row r="174" spans="1:1">
      <c r="A174" s="5" t="s">
        <v>646</v>
      </c>
    </row>
    <row r="176" spans="1:1">
      <c r="A176" s="5" t="s">
        <v>647</v>
      </c>
    </row>
    <row r="177" spans="1:1">
      <c r="A177" s="5" t="s">
        <v>648</v>
      </c>
    </row>
    <row r="178" spans="1:1">
      <c r="A178" s="5" t="s">
        <v>650</v>
      </c>
    </row>
    <row r="179" spans="1:1">
      <c r="A179" s="5" t="s">
        <v>649</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T83"/>
  <sheetViews>
    <sheetView workbookViewId="0">
      <selection activeCell="E16" sqref="A1:XFD1048576"/>
    </sheetView>
  </sheetViews>
  <sheetFormatPr baseColWidth="10" defaultColWidth="11" defaultRowHeight="15" x14ac:dyDescent="0"/>
  <cols>
    <col min="1" max="2" width="7.6640625" style="176" customWidth="1"/>
    <col min="3" max="3" width="19.5" style="176" customWidth="1"/>
    <col min="4" max="5" width="13.33203125" style="176" customWidth="1"/>
    <col min="6" max="6" width="12.1640625" style="176" customWidth="1"/>
    <col min="7" max="7" width="11" style="176" customWidth="1"/>
    <col min="8" max="8" width="11.33203125" style="176" customWidth="1"/>
    <col min="9" max="9" width="9.5" style="176" customWidth="1"/>
    <col min="10" max="10" width="12.1640625" style="176" customWidth="1"/>
    <col min="11" max="11" width="11.6640625" style="176" customWidth="1"/>
    <col min="12" max="12" width="11.33203125" style="176" bestFit="1" customWidth="1"/>
    <col min="13" max="16" width="11" style="176"/>
    <col min="17" max="17" width="10.1640625" style="176" customWidth="1"/>
    <col min="18" max="18" width="9.33203125" style="176" customWidth="1"/>
    <col min="19" max="19" width="9.1640625" style="176" customWidth="1"/>
    <col min="20" max="16384" width="11" style="176"/>
  </cols>
  <sheetData>
    <row r="1" spans="1:19" s="236" customFormat="1" ht="25.5" customHeight="1" thickBot="1">
      <c r="A1" s="845" t="s">
        <v>61</v>
      </c>
    </row>
    <row r="2" spans="1:19" ht="16" thickBot="1">
      <c r="B2" s="241"/>
      <c r="D2" s="846" t="s">
        <v>1347</v>
      </c>
      <c r="E2" s="793">
        <v>0.03</v>
      </c>
      <c r="F2" s="176" t="s">
        <v>34</v>
      </c>
    </row>
    <row r="3" spans="1:19" ht="16" thickBot="1">
      <c r="B3" s="241"/>
      <c r="S3" s="176" t="s">
        <v>1623</v>
      </c>
    </row>
    <row r="4" spans="1:19" ht="37" thickBot="1">
      <c r="B4" s="179"/>
      <c r="C4" s="155" t="s">
        <v>1348</v>
      </c>
      <c r="D4" s="155" t="s">
        <v>1327</v>
      </c>
      <c r="E4" s="155" t="s">
        <v>1328</v>
      </c>
      <c r="F4" s="155" t="s">
        <v>1329</v>
      </c>
      <c r="G4" s="155" t="s">
        <v>1330</v>
      </c>
      <c r="H4" s="156" t="s">
        <v>1363</v>
      </c>
      <c r="I4" s="157" t="s">
        <v>1331</v>
      </c>
      <c r="J4" s="155" t="s">
        <v>1332</v>
      </c>
      <c r="K4" s="155" t="s">
        <v>1333</v>
      </c>
      <c r="L4" s="155" t="s">
        <v>1334</v>
      </c>
      <c r="M4" s="155" t="s">
        <v>1335</v>
      </c>
      <c r="N4" s="155" t="s">
        <v>1336</v>
      </c>
      <c r="O4" s="155" t="s">
        <v>1337</v>
      </c>
      <c r="P4" s="158" t="s">
        <v>1338</v>
      </c>
      <c r="Q4" s="159" t="s">
        <v>1339</v>
      </c>
      <c r="R4" s="159" t="s">
        <v>1340</v>
      </c>
      <c r="S4" s="160" t="s">
        <v>1643</v>
      </c>
    </row>
    <row r="5" spans="1:19" s="847" customFormat="1" ht="36">
      <c r="A5" s="847" t="s">
        <v>1349</v>
      </c>
      <c r="B5" s="848"/>
      <c r="C5" s="849" t="s">
        <v>859</v>
      </c>
      <c r="D5" s="517">
        <v>40040</v>
      </c>
      <c r="E5" s="518">
        <v>382534</v>
      </c>
      <c r="F5" s="519">
        <v>2</v>
      </c>
      <c r="G5" s="520">
        <f>E5*F5</f>
        <v>765068</v>
      </c>
      <c r="H5" s="521">
        <f>I16</f>
        <v>10.14</v>
      </c>
      <c r="I5" s="522">
        <f>R28</f>
        <v>0.15683345780433156</v>
      </c>
      <c r="J5" s="523">
        <f>IF(H5=0,0,G5/H5*(1+I5))</f>
        <v>87283.654822035925</v>
      </c>
      <c r="K5" s="524">
        <v>5</v>
      </c>
      <c r="L5" s="525">
        <f t="shared" ref="L5:L12" si="0">(1-1/(1+$E$2)^K5)*$E$2^-1</f>
        <v>4.5797071871945301</v>
      </c>
      <c r="M5" s="520">
        <f>IF(L5=0,0,J5/L5)</f>
        <v>19058.785038941489</v>
      </c>
      <c r="N5" s="526">
        <v>1</v>
      </c>
      <c r="O5" s="520">
        <f>M5*N5</f>
        <v>19058.785038941489</v>
      </c>
      <c r="P5" s="527">
        <v>1</v>
      </c>
      <c r="Q5" s="527"/>
      <c r="R5" s="527"/>
      <c r="S5" s="528">
        <f>O5*P5 +O5*Q5*$Q$15</f>
        <v>19058.785038941489</v>
      </c>
    </row>
    <row r="6" spans="1:19" s="847" customFormat="1">
      <c r="A6" s="847" t="s">
        <v>1349</v>
      </c>
      <c r="B6" s="848"/>
      <c r="C6" s="850" t="s">
        <v>1351</v>
      </c>
      <c r="D6" s="529">
        <v>39553</v>
      </c>
      <c r="E6" s="530">
        <v>127686</v>
      </c>
      <c r="F6" s="531">
        <v>1</v>
      </c>
      <c r="G6" s="532">
        <f>E6*F6</f>
        <v>127686</v>
      </c>
      <c r="H6" s="533">
        <f>I16</f>
        <v>10.14</v>
      </c>
      <c r="I6" s="534">
        <f>R29</f>
        <v>0.23920000000000008</v>
      </c>
      <c r="J6" s="535">
        <f t="shared" ref="J6:J11" si="1">IF(H6=0,0,G6/H6*(1+I6))</f>
        <v>15604.387692307691</v>
      </c>
      <c r="K6" s="536">
        <v>5</v>
      </c>
      <c r="L6" s="537">
        <f t="shared" si="0"/>
        <v>4.5797071871945301</v>
      </c>
      <c r="M6" s="532">
        <f t="shared" ref="M6:M12" si="2">IF(L6=0,0,J6/L6)</f>
        <v>3407.2893865222723</v>
      </c>
      <c r="N6" s="538">
        <v>1</v>
      </c>
      <c r="O6" s="532">
        <f t="shared" ref="O6:O12" si="3">M6*N6</f>
        <v>3407.2893865222723</v>
      </c>
      <c r="P6" s="539">
        <v>1</v>
      </c>
      <c r="Q6" s="539"/>
      <c r="R6" s="539"/>
      <c r="S6" s="540">
        <f>O6*P6 +O6*Q6*$Q$15</f>
        <v>3407.2893865222723</v>
      </c>
    </row>
    <row r="7" spans="1:19" s="847" customFormat="1">
      <c r="B7" s="848"/>
      <c r="C7" s="850"/>
      <c r="D7" s="529"/>
      <c r="E7" s="530"/>
      <c r="F7" s="531"/>
      <c r="G7" s="532"/>
      <c r="H7" s="533"/>
      <c r="I7" s="534"/>
      <c r="J7" s="535"/>
      <c r="K7" s="536"/>
      <c r="L7" s="537"/>
      <c r="M7" s="532"/>
      <c r="N7" s="538"/>
      <c r="O7" s="532"/>
      <c r="P7" s="539"/>
      <c r="Q7" s="539"/>
      <c r="R7" s="539"/>
      <c r="S7" s="540"/>
    </row>
    <row r="8" spans="1:19" ht="24">
      <c r="A8" s="851" t="s">
        <v>76</v>
      </c>
      <c r="B8" s="174"/>
      <c r="C8" s="852" t="s">
        <v>1533</v>
      </c>
      <c r="D8" s="424">
        <v>40040</v>
      </c>
      <c r="E8" s="457">
        <v>269999</v>
      </c>
      <c r="F8" s="425">
        <v>4</v>
      </c>
      <c r="G8" s="194">
        <f>E8*F8</f>
        <v>1079996</v>
      </c>
      <c r="H8" s="426">
        <v>10.14</v>
      </c>
      <c r="I8" s="427">
        <f>R28</f>
        <v>0.15683345780433156</v>
      </c>
      <c r="J8" s="418">
        <f>IF(H8=0,0,G8/H8*(1+I8))</f>
        <v>123212.57466418608</v>
      </c>
      <c r="K8" s="413">
        <v>10</v>
      </c>
      <c r="L8" s="400">
        <f t="shared" si="0"/>
        <v>8.5302028367758282</v>
      </c>
      <c r="M8" s="194">
        <f>IF(L8=0,0,J8/L8)</f>
        <v>14444.272548008588</v>
      </c>
      <c r="N8" s="414">
        <v>1</v>
      </c>
      <c r="O8" s="194">
        <f t="shared" si="3"/>
        <v>14444.272548008588</v>
      </c>
      <c r="P8" s="379">
        <v>1</v>
      </c>
      <c r="Q8" s="379"/>
      <c r="R8" s="379"/>
      <c r="S8" s="380">
        <f>O8*P8 +O8*Q8*$Q$15</f>
        <v>14444.272548008588</v>
      </c>
    </row>
    <row r="9" spans="1:19">
      <c r="A9" s="851" t="s">
        <v>76</v>
      </c>
      <c r="B9" s="174"/>
      <c r="C9" s="853" t="s">
        <v>1351</v>
      </c>
      <c r="D9" s="590">
        <v>39539</v>
      </c>
      <c r="E9" s="591">
        <v>127686</v>
      </c>
      <c r="F9" s="592">
        <v>1</v>
      </c>
      <c r="G9" s="593">
        <f>E9*F9</f>
        <v>127686</v>
      </c>
      <c r="H9" s="594">
        <v>10.14</v>
      </c>
      <c r="I9" s="595">
        <f>R29</f>
        <v>0.23920000000000008</v>
      </c>
      <c r="J9" s="596">
        <f>IF(H9=0,0,G9/H9*(1+I9))</f>
        <v>15604.387692307691</v>
      </c>
      <c r="K9" s="597">
        <v>10</v>
      </c>
      <c r="L9" s="598">
        <f t="shared" si="0"/>
        <v>8.5302028367758282</v>
      </c>
      <c r="M9" s="593">
        <f>IF(L9=0,0,J9/L9)</f>
        <v>1829.3102744325481</v>
      </c>
      <c r="N9" s="599">
        <v>1</v>
      </c>
      <c r="O9" s="593">
        <f t="shared" si="3"/>
        <v>1829.3102744325481</v>
      </c>
      <c r="P9" s="600">
        <v>1</v>
      </c>
      <c r="Q9" s="600"/>
      <c r="R9" s="379"/>
      <c r="S9" s="380" t="s">
        <v>34</v>
      </c>
    </row>
    <row r="10" spans="1:19">
      <c r="B10" s="174"/>
      <c r="C10" s="854" t="s">
        <v>34</v>
      </c>
      <c r="D10" s="424"/>
      <c r="E10" s="413"/>
      <c r="F10" s="425"/>
      <c r="G10" s="194">
        <f>E10*F10</f>
        <v>0</v>
      </c>
      <c r="H10" s="426"/>
      <c r="I10" s="427"/>
      <c r="J10" s="418">
        <f t="shared" si="1"/>
        <v>0</v>
      </c>
      <c r="K10" s="413">
        <v>5</v>
      </c>
      <c r="L10" s="400">
        <f t="shared" si="0"/>
        <v>4.5797071871945301</v>
      </c>
      <c r="M10" s="194">
        <f t="shared" si="2"/>
        <v>0</v>
      </c>
      <c r="N10" s="414">
        <v>1</v>
      </c>
      <c r="O10" s="194">
        <f t="shared" si="3"/>
        <v>0</v>
      </c>
      <c r="P10" s="379"/>
      <c r="Q10" s="379"/>
      <c r="R10" s="379"/>
      <c r="S10" s="380">
        <f>O10*P10 +O10*Q10*$Q$15</f>
        <v>0</v>
      </c>
    </row>
    <row r="11" spans="1:19">
      <c r="B11" s="174"/>
      <c r="C11" s="854"/>
      <c r="D11" s="424"/>
      <c r="E11" s="413"/>
      <c r="F11" s="425"/>
      <c r="G11" s="194">
        <f>E11*F11</f>
        <v>0</v>
      </c>
      <c r="H11" s="426"/>
      <c r="I11" s="427"/>
      <c r="J11" s="418">
        <f t="shared" si="1"/>
        <v>0</v>
      </c>
      <c r="K11" s="413">
        <v>5</v>
      </c>
      <c r="L11" s="400">
        <f t="shared" si="0"/>
        <v>4.5797071871945301</v>
      </c>
      <c r="M11" s="194">
        <f t="shared" si="2"/>
        <v>0</v>
      </c>
      <c r="N11" s="414">
        <v>1</v>
      </c>
      <c r="O11" s="194">
        <f t="shared" si="3"/>
        <v>0</v>
      </c>
      <c r="P11" s="379"/>
      <c r="Q11" s="379"/>
      <c r="R11" s="379"/>
      <c r="S11" s="380">
        <f>O11*P11 +O11*Q11*$Q$15</f>
        <v>0</v>
      </c>
    </row>
    <row r="12" spans="1:19" ht="16" thickBot="1">
      <c r="B12" s="174"/>
      <c r="C12" s="855"/>
      <c r="D12" s="429"/>
      <c r="E12" s="433"/>
      <c r="F12" s="430"/>
      <c r="G12" s="195">
        <f>E12*F12</f>
        <v>0</v>
      </c>
      <c r="H12" s="213"/>
      <c r="I12" s="431"/>
      <c r="J12" s="432">
        <f>IF(H12=0,0,G12/H12*(1+I12))</f>
        <v>0</v>
      </c>
      <c r="K12" s="433">
        <v>5</v>
      </c>
      <c r="L12" s="401">
        <f t="shared" si="0"/>
        <v>4.5797071871945301</v>
      </c>
      <c r="M12" s="195">
        <f t="shared" si="2"/>
        <v>0</v>
      </c>
      <c r="N12" s="434">
        <v>1</v>
      </c>
      <c r="O12" s="195">
        <f t="shared" si="3"/>
        <v>0</v>
      </c>
      <c r="P12" s="213"/>
      <c r="Q12" s="213"/>
      <c r="R12" s="217"/>
      <c r="S12" s="380">
        <f>O12*P12 +O12*Q12*$Q$15</f>
        <v>0</v>
      </c>
    </row>
    <row r="13" spans="1:19" ht="16" thickBot="1">
      <c r="B13" s="770"/>
      <c r="C13" s="307"/>
      <c r="D13" s="176" t="s">
        <v>1342</v>
      </c>
      <c r="E13" s="307"/>
      <c r="F13" s="307"/>
      <c r="G13" s="307"/>
      <c r="H13" s="307"/>
      <c r="I13" s="307"/>
      <c r="J13" s="307"/>
      <c r="K13" s="307"/>
      <c r="L13" s="307"/>
      <c r="M13" s="307"/>
      <c r="N13" s="307"/>
      <c r="O13" s="307"/>
      <c r="P13" s="307"/>
      <c r="Q13" s="307"/>
      <c r="R13" s="436" t="s">
        <v>1343</v>
      </c>
      <c r="S13" s="768">
        <f>SUM(S8:S12)</f>
        <v>14444.272548008588</v>
      </c>
    </row>
    <row r="14" spans="1:19" ht="16" thickBot="1">
      <c r="B14" s="241"/>
      <c r="D14" s="176" t="s">
        <v>1344</v>
      </c>
    </row>
    <row r="15" spans="1:19" ht="16" thickBot="1">
      <c r="A15" s="176" t="s">
        <v>34</v>
      </c>
      <c r="B15" s="241"/>
      <c r="C15" s="259" t="s">
        <v>1387</v>
      </c>
      <c r="P15" s="436" t="s">
        <v>1345</v>
      </c>
      <c r="Q15" s="771">
        <v>0</v>
      </c>
    </row>
    <row r="16" spans="1:19" ht="16" thickBot="1">
      <c r="F16" s="176" t="s">
        <v>34</v>
      </c>
      <c r="G16" s="176">
        <f>E8/I16</f>
        <v>26627.120315581851</v>
      </c>
      <c r="I16" s="856">
        <v>10.14</v>
      </c>
      <c r="Q16" s="773" t="s">
        <v>1346</v>
      </c>
    </row>
    <row r="17" spans="1:18">
      <c r="C17" s="241" t="s">
        <v>871</v>
      </c>
      <c r="D17" s="241"/>
      <c r="F17" s="176" t="s">
        <v>34</v>
      </c>
      <c r="I17" s="176" t="s">
        <v>1364</v>
      </c>
    </row>
    <row r="18" spans="1:18">
      <c r="C18" s="857">
        <v>127686</v>
      </c>
      <c r="D18" s="241"/>
      <c r="F18" s="176" t="s">
        <v>34</v>
      </c>
      <c r="G18" s="176" t="s">
        <v>34</v>
      </c>
      <c r="I18" s="176" t="s">
        <v>34</v>
      </c>
    </row>
    <row r="19" spans="1:18">
      <c r="A19" s="858"/>
      <c r="B19" s="858"/>
      <c r="D19" s="858"/>
      <c r="E19" s="858" t="s">
        <v>34</v>
      </c>
      <c r="F19" s="858"/>
      <c r="G19" s="858"/>
      <c r="H19" s="858"/>
    </row>
    <row r="20" spans="1:18" ht="16" thickBot="1">
      <c r="C20" s="859" t="s">
        <v>56</v>
      </c>
      <c r="D20" s="859"/>
      <c r="E20" s="859"/>
      <c r="F20" s="859"/>
      <c r="G20" s="859"/>
      <c r="H20" s="859" t="s">
        <v>1634</v>
      </c>
      <c r="I20" s="859"/>
      <c r="J20" s="860"/>
      <c r="K20" s="176" t="s">
        <v>1634</v>
      </c>
      <c r="M20" s="176">
        <v>7.92</v>
      </c>
      <c r="N20" s="176" t="s">
        <v>1361</v>
      </c>
    </row>
    <row r="21" spans="1:18" ht="49" thickBot="1">
      <c r="C21" s="166" t="s">
        <v>1504</v>
      </c>
      <c r="D21" s="166" t="s">
        <v>1642</v>
      </c>
      <c r="E21" s="166" t="s">
        <v>1503</v>
      </c>
      <c r="F21" s="166" t="s">
        <v>57</v>
      </c>
      <c r="G21" s="166" t="s">
        <v>58</v>
      </c>
      <c r="H21" s="166" t="s">
        <v>59</v>
      </c>
      <c r="I21" s="155" t="s">
        <v>1632</v>
      </c>
      <c r="J21" s="166" t="s">
        <v>1713</v>
      </c>
      <c r="K21" s="155" t="s">
        <v>60</v>
      </c>
      <c r="L21" s="166" t="s">
        <v>1671</v>
      </c>
      <c r="M21" s="166" t="s">
        <v>1631</v>
      </c>
      <c r="N21" s="176" t="s">
        <v>1362</v>
      </c>
    </row>
    <row r="22" spans="1:18" ht="36">
      <c r="A22" s="176" t="s">
        <v>1349</v>
      </c>
      <c r="C22" s="849" t="s">
        <v>859</v>
      </c>
      <c r="D22" s="519">
        <v>1</v>
      </c>
      <c r="E22" s="519">
        <v>250</v>
      </c>
      <c r="F22" s="519">
        <v>44</v>
      </c>
      <c r="G22" s="519">
        <v>8</v>
      </c>
      <c r="H22" s="519">
        <v>10</v>
      </c>
      <c r="I22" s="541">
        <f>(D22*E22*F22*H22)/G22</f>
        <v>13750</v>
      </c>
      <c r="J22" s="542"/>
      <c r="K22" s="541">
        <f>500*8.11</f>
        <v>4054.9999999999995</v>
      </c>
      <c r="L22" s="524">
        <f>SUM(I22,J22,K22)</f>
        <v>17805</v>
      </c>
      <c r="M22" s="593">
        <f>L22/$I$16</f>
        <v>1755.9171597633135</v>
      </c>
      <c r="N22" s="259"/>
      <c r="O22" s="259"/>
      <c r="Q22" s="176" t="s">
        <v>1360</v>
      </c>
    </row>
    <row r="23" spans="1:18">
      <c r="A23" s="176" t="s">
        <v>1349</v>
      </c>
      <c r="C23" s="850" t="s">
        <v>1351</v>
      </c>
      <c r="D23" s="531">
        <v>1</v>
      </c>
      <c r="E23" s="531">
        <v>250</v>
      </c>
      <c r="F23" s="531">
        <v>44</v>
      </c>
      <c r="G23" s="531">
        <v>8</v>
      </c>
      <c r="H23" s="531">
        <v>10</v>
      </c>
      <c r="I23" s="543">
        <f>(D23*E23*F23*H23)/G23</f>
        <v>13750</v>
      </c>
      <c r="J23" s="544"/>
      <c r="K23" s="543">
        <f>500*8.11</f>
        <v>4054.9999999999995</v>
      </c>
      <c r="L23" s="536">
        <f>SUM(I23,J23,K23)</f>
        <v>17805</v>
      </c>
      <c r="M23" s="593">
        <f>L23/$I$16</f>
        <v>1755.9171597633135</v>
      </c>
      <c r="N23" s="176">
        <v>5.5</v>
      </c>
      <c r="O23" s="176" t="s">
        <v>1352</v>
      </c>
      <c r="Q23" s="176" t="s">
        <v>1355</v>
      </c>
      <c r="R23" s="176">
        <f>N24/N23</f>
        <v>1.5090909090909093</v>
      </c>
    </row>
    <row r="24" spans="1:18" ht="24">
      <c r="A24" s="176" t="s">
        <v>76</v>
      </c>
      <c r="C24" s="852" t="s">
        <v>1533</v>
      </c>
      <c r="D24" s="425">
        <v>4</v>
      </c>
      <c r="E24" s="425">
        <v>690</v>
      </c>
      <c r="F24" s="425">
        <v>44</v>
      </c>
      <c r="G24" s="425">
        <v>8</v>
      </c>
      <c r="H24" s="425">
        <v>10</v>
      </c>
      <c r="I24" s="182">
        <f>(D24*E24*F24*H24)/G24</f>
        <v>151800</v>
      </c>
      <c r="J24" s="189">
        <f>100*I16</f>
        <v>1014</v>
      </c>
      <c r="K24" s="182">
        <f>500*10.14</f>
        <v>5070</v>
      </c>
      <c r="L24" s="413">
        <f>SUM(I24,J24,K24)</f>
        <v>157884</v>
      </c>
      <c r="M24" s="194">
        <f>L24/$I$16</f>
        <v>15570.414201183432</v>
      </c>
      <c r="N24" s="176">
        <v>8.3000000000000007</v>
      </c>
      <c r="O24" s="176" t="s">
        <v>1353</v>
      </c>
    </row>
    <row r="25" spans="1:18">
      <c r="A25" s="176" t="s">
        <v>76</v>
      </c>
      <c r="C25" s="850" t="s">
        <v>1351</v>
      </c>
      <c r="D25" s="531">
        <v>1</v>
      </c>
      <c r="E25" s="531">
        <v>100</v>
      </c>
      <c r="F25" s="531">
        <v>44</v>
      </c>
      <c r="G25" s="531">
        <v>8</v>
      </c>
      <c r="H25" s="531">
        <v>10</v>
      </c>
      <c r="I25" s="543">
        <f>(D25*E25*F25*H25)/G25</f>
        <v>5500</v>
      </c>
      <c r="J25" s="189"/>
      <c r="K25" s="182" t="s">
        <v>34</v>
      </c>
      <c r="L25" s="413" t="s">
        <v>34</v>
      </c>
      <c r="M25" s="194" t="s">
        <v>34</v>
      </c>
      <c r="N25" s="176">
        <v>8</v>
      </c>
      <c r="O25" s="176" t="s">
        <v>1354</v>
      </c>
      <c r="Q25" s="176" t="s">
        <v>1356</v>
      </c>
      <c r="R25" s="176">
        <f>N25/N23</f>
        <v>1.4545454545454546</v>
      </c>
    </row>
    <row r="26" spans="1:18" ht="16" thickBot="1">
      <c r="C26" s="855"/>
      <c r="D26" s="430"/>
      <c r="E26" s="430"/>
      <c r="F26" s="430"/>
      <c r="G26" s="430"/>
      <c r="H26" s="430"/>
      <c r="I26" s="184"/>
      <c r="J26" s="186"/>
      <c r="K26" s="184"/>
      <c r="L26" s="433"/>
      <c r="M26" s="195"/>
    </row>
    <row r="27" spans="1:18" ht="16" thickBot="1">
      <c r="C27" s="861" t="s">
        <v>38</v>
      </c>
      <c r="D27" s="861"/>
      <c r="E27" s="861"/>
      <c r="F27" s="861"/>
      <c r="G27" s="861"/>
      <c r="H27" s="861"/>
      <c r="J27" s="307"/>
      <c r="L27" s="436" t="s">
        <v>1641</v>
      </c>
      <c r="M27" s="768">
        <f>SUM(M24:M26)</f>
        <v>15570.414201183432</v>
      </c>
      <c r="N27" s="812">
        <v>154.9</v>
      </c>
      <c r="O27" s="813" t="s">
        <v>1357</v>
      </c>
      <c r="P27" s="813"/>
      <c r="Q27" s="813"/>
      <c r="R27" s="814"/>
    </row>
    <row r="28" spans="1:18">
      <c r="G28" s="862" t="s">
        <v>1633</v>
      </c>
      <c r="H28" s="862"/>
      <c r="I28" s="862"/>
      <c r="N28" s="164">
        <v>133.9</v>
      </c>
      <c r="O28" s="816" t="s">
        <v>1358</v>
      </c>
      <c r="P28" s="816"/>
      <c r="Q28" s="816">
        <f>N27/N28</f>
        <v>1.1568334578043316</v>
      </c>
      <c r="R28" s="817">
        <f>Q28-1</f>
        <v>0.15683345780433156</v>
      </c>
    </row>
    <row r="29" spans="1:18">
      <c r="B29" s="259" t="s">
        <v>34</v>
      </c>
      <c r="G29" s="862" t="s">
        <v>1714</v>
      </c>
      <c r="H29" s="862"/>
      <c r="I29" s="862"/>
      <c r="N29" s="819">
        <v>125</v>
      </c>
      <c r="O29" s="816" t="s">
        <v>1359</v>
      </c>
      <c r="P29" s="816"/>
      <c r="Q29" s="816">
        <f>N27/N29</f>
        <v>1.2392000000000001</v>
      </c>
      <c r="R29" s="817">
        <f>Q29-1</f>
        <v>0.23920000000000008</v>
      </c>
    </row>
    <row r="30" spans="1:18">
      <c r="B30" s="863" t="s">
        <v>1651</v>
      </c>
      <c r="M30" s="163"/>
      <c r="N30" s="820"/>
      <c r="O30" s="821"/>
      <c r="P30" s="821"/>
      <c r="Q30" s="821" t="s">
        <v>34</v>
      </c>
      <c r="R30" s="822"/>
    </row>
    <row r="31" spans="1:18">
      <c r="C31" s="176" t="s">
        <v>1855</v>
      </c>
      <c r="G31" s="176">
        <f>50*5</f>
        <v>250</v>
      </c>
      <c r="I31" s="176">
        <f>I24/$I$16</f>
        <v>14970.414201183432</v>
      </c>
      <c r="J31" s="176">
        <f>J24/$I$16</f>
        <v>100</v>
      </c>
      <c r="K31" s="176">
        <f>K24/$I$16</f>
        <v>500</v>
      </c>
      <c r="L31" s="176">
        <f>L24/$I$16</f>
        <v>15570.414201183432</v>
      </c>
    </row>
    <row r="32" spans="1:18">
      <c r="C32" s="864">
        <v>1663</v>
      </c>
      <c r="E32" s="176">
        <f>E24*4</f>
        <v>2760</v>
      </c>
      <c r="M32" s="176" t="s">
        <v>34</v>
      </c>
    </row>
    <row r="33" spans="1:20">
      <c r="C33" s="176">
        <f>C32/4</f>
        <v>415.75</v>
      </c>
      <c r="D33" s="176">
        <f>C33/4</f>
        <v>103.9375</v>
      </c>
      <c r="J33" s="858"/>
      <c r="L33" s="816"/>
      <c r="O33" s="816" t="s">
        <v>857</v>
      </c>
      <c r="P33" s="816"/>
    </row>
    <row r="34" spans="1:20">
      <c r="A34" s="816"/>
      <c r="B34" s="859"/>
      <c r="C34" s="859"/>
      <c r="D34" s="859"/>
      <c r="E34" s="859"/>
      <c r="F34" s="859"/>
      <c r="G34" s="859"/>
      <c r="H34" s="859"/>
      <c r="I34" s="859"/>
      <c r="J34" s="860"/>
      <c r="L34" s="859"/>
      <c r="O34" s="816" t="s">
        <v>858</v>
      </c>
      <c r="P34" s="816"/>
    </row>
    <row r="35" spans="1:20">
      <c r="A35" s="816"/>
      <c r="B35" s="865"/>
      <c r="C35" s="866"/>
      <c r="D35" s="866"/>
      <c r="E35" s="866"/>
      <c r="F35" s="866" t="s">
        <v>34</v>
      </c>
      <c r="G35" s="866"/>
      <c r="H35" s="866"/>
      <c r="I35" s="866"/>
      <c r="J35" s="867"/>
      <c r="L35" s="868"/>
      <c r="O35" s="816"/>
      <c r="P35" s="816"/>
    </row>
    <row r="36" spans="1:20">
      <c r="A36" s="816"/>
      <c r="B36" s="681" t="s">
        <v>1751</v>
      </c>
      <c r="C36" s="859"/>
      <c r="D36" s="859"/>
      <c r="E36" s="859"/>
      <c r="F36" s="859"/>
      <c r="G36" s="860"/>
      <c r="H36" s="859"/>
      <c r="I36" s="859"/>
      <c r="J36" s="860"/>
      <c r="K36" s="869"/>
      <c r="L36" s="870"/>
      <c r="O36" s="816"/>
      <c r="P36" s="816"/>
    </row>
    <row r="37" spans="1:20" ht="16" thickBot="1">
      <c r="A37" s="816"/>
      <c r="B37" s="842"/>
      <c r="C37" s="859"/>
      <c r="D37" s="859"/>
      <c r="E37" s="859"/>
      <c r="F37" s="859"/>
      <c r="G37" s="860"/>
      <c r="H37" s="859"/>
      <c r="I37" s="859"/>
      <c r="J37" s="860"/>
      <c r="K37" s="869"/>
      <c r="L37" s="860"/>
      <c r="O37" s="816"/>
      <c r="P37" s="816"/>
    </row>
    <row r="38" spans="1:20" ht="71" thickBot="1">
      <c r="A38" s="816"/>
      <c r="B38" s="842"/>
      <c r="C38" s="871"/>
      <c r="D38" s="715" t="s">
        <v>1809</v>
      </c>
      <c r="E38" s="715" t="s">
        <v>1810</v>
      </c>
      <c r="F38" s="715" t="s">
        <v>1811</v>
      </c>
      <c r="G38" s="715" t="s">
        <v>1812</v>
      </c>
      <c r="H38" s="859"/>
      <c r="I38" s="859" t="s">
        <v>1816</v>
      </c>
      <c r="J38" s="860"/>
      <c r="K38" s="869"/>
      <c r="L38" s="860"/>
      <c r="O38" s="816"/>
      <c r="P38" s="816" t="s">
        <v>862</v>
      </c>
    </row>
    <row r="39" spans="1:20" ht="16" thickBot="1">
      <c r="A39" s="816"/>
      <c r="B39" s="872"/>
      <c r="C39" s="716" t="s">
        <v>1813</v>
      </c>
      <c r="D39" s="717">
        <v>1595</v>
      </c>
      <c r="E39" s="717">
        <v>149</v>
      </c>
      <c r="F39" s="717">
        <v>1770</v>
      </c>
      <c r="G39" s="717">
        <v>1122</v>
      </c>
      <c r="H39" s="859"/>
      <c r="I39" s="859">
        <f>F39/E39</f>
        <v>11.879194630872483</v>
      </c>
      <c r="J39" s="860" t="s">
        <v>34</v>
      </c>
      <c r="K39" s="860"/>
      <c r="L39" s="860"/>
      <c r="O39" s="816"/>
      <c r="P39" s="863" t="s">
        <v>77</v>
      </c>
    </row>
    <row r="40" spans="1:20" ht="16" thickBot="1">
      <c r="A40" s="816"/>
      <c r="B40" s="873"/>
      <c r="C40" s="716" t="s">
        <v>1814</v>
      </c>
      <c r="D40" s="717">
        <v>1663</v>
      </c>
      <c r="E40" s="717">
        <v>246</v>
      </c>
      <c r="F40" s="717">
        <v>2185</v>
      </c>
      <c r="G40" s="717">
        <v>362</v>
      </c>
      <c r="H40" s="859">
        <f>G40*4</f>
        <v>1448</v>
      </c>
      <c r="I40" s="859">
        <f>F40/E40</f>
        <v>8.882113821138212</v>
      </c>
      <c r="J40" s="860"/>
      <c r="K40" s="860"/>
      <c r="L40" s="860"/>
      <c r="O40" s="176">
        <v>2</v>
      </c>
      <c r="P40" s="874" t="s">
        <v>859</v>
      </c>
      <c r="Q40" s="875"/>
      <c r="R40" s="875"/>
      <c r="S40" s="875"/>
      <c r="T40" s="875"/>
    </row>
    <row r="41" spans="1:20" ht="16" thickBot="1">
      <c r="A41" s="816"/>
      <c r="B41" s="859"/>
      <c r="C41" s="716" t="s">
        <v>1815</v>
      </c>
      <c r="D41" s="717">
        <v>2571</v>
      </c>
      <c r="E41" s="717">
        <v>362</v>
      </c>
      <c r="F41" s="717">
        <v>4029</v>
      </c>
      <c r="G41" s="717">
        <v>908</v>
      </c>
      <c r="H41" s="859"/>
      <c r="I41" s="859">
        <f>F41/E41</f>
        <v>11.129834254143647</v>
      </c>
      <c r="J41" s="860"/>
      <c r="K41" s="860"/>
      <c r="L41" s="859"/>
      <c r="P41" s="781" t="s">
        <v>863</v>
      </c>
    </row>
    <row r="42" spans="1:20">
      <c r="A42" s="816"/>
      <c r="B42" s="816"/>
      <c r="C42" s="816"/>
      <c r="D42" s="816"/>
      <c r="E42" s="816"/>
      <c r="F42" s="816"/>
      <c r="G42" s="816" t="s">
        <v>1854</v>
      </c>
      <c r="H42" s="816"/>
      <c r="I42" s="816"/>
      <c r="J42" s="816"/>
      <c r="K42" s="816"/>
      <c r="L42" s="816"/>
      <c r="P42" s="781" t="s">
        <v>864</v>
      </c>
    </row>
    <row r="43" spans="1:20">
      <c r="A43" s="816"/>
      <c r="B43" s="816"/>
      <c r="C43" s="816"/>
      <c r="D43" s="816"/>
      <c r="E43" s="816"/>
      <c r="F43" s="816"/>
      <c r="G43" s="816" t="s">
        <v>1850</v>
      </c>
      <c r="H43" s="816" t="s">
        <v>1851</v>
      </c>
      <c r="I43" s="816" t="s">
        <v>1853</v>
      </c>
      <c r="J43" s="816"/>
      <c r="K43" s="816"/>
      <c r="L43" s="816"/>
      <c r="P43" s="781" t="s">
        <v>865</v>
      </c>
    </row>
    <row r="44" spans="1:20">
      <c r="A44" s="816"/>
      <c r="B44" s="816"/>
      <c r="C44" s="816"/>
      <c r="D44" s="816"/>
      <c r="E44" s="816"/>
      <c r="F44" s="816"/>
      <c r="G44" s="816">
        <f>G40/4</f>
        <v>90.5</v>
      </c>
      <c r="H44" s="816">
        <f>G44*12</f>
        <v>1086</v>
      </c>
      <c r="I44" s="816">
        <f>H44/I16</f>
        <v>107.10059171597632</v>
      </c>
      <c r="J44" s="816">
        <f>I44*4</f>
        <v>428.40236686390529</v>
      </c>
      <c r="K44" s="816"/>
      <c r="L44" s="816"/>
    </row>
    <row r="45" spans="1:20">
      <c r="A45" s="816"/>
      <c r="B45" s="816"/>
      <c r="C45" s="816"/>
      <c r="D45" s="816"/>
      <c r="E45" s="816"/>
      <c r="F45" s="816"/>
      <c r="G45" s="816">
        <f>G41/4</f>
        <v>227</v>
      </c>
      <c r="H45" s="816"/>
      <c r="I45" s="816"/>
      <c r="J45" s="816"/>
      <c r="K45" s="816"/>
      <c r="L45" s="816"/>
    </row>
    <row r="46" spans="1:20">
      <c r="A46" s="176" t="s">
        <v>598</v>
      </c>
    </row>
    <row r="49" spans="8:14">
      <c r="K49" s="176">
        <v>2</v>
      </c>
      <c r="L49" s="176" t="s">
        <v>861</v>
      </c>
    </row>
    <row r="51" spans="8:14">
      <c r="K51" s="176">
        <v>1</v>
      </c>
      <c r="L51" s="176" t="s">
        <v>867</v>
      </c>
    </row>
    <row r="52" spans="8:14">
      <c r="L52" s="176" t="s">
        <v>868</v>
      </c>
    </row>
    <row r="53" spans="8:14">
      <c r="L53" s="876">
        <v>0.3</v>
      </c>
    </row>
    <row r="54" spans="8:14">
      <c r="K54" s="176">
        <v>1</v>
      </c>
      <c r="L54" s="176" t="s">
        <v>860</v>
      </c>
    </row>
    <row r="55" spans="8:14">
      <c r="L55" s="802">
        <v>269999</v>
      </c>
    </row>
    <row r="56" spans="8:14">
      <c r="L56" s="176" t="s">
        <v>34</v>
      </c>
    </row>
    <row r="57" spans="8:14">
      <c r="L57" s="176" t="s">
        <v>866</v>
      </c>
    </row>
    <row r="58" spans="8:14">
      <c r="K58" s="812">
        <v>2</v>
      </c>
      <c r="L58" s="813" t="s">
        <v>869</v>
      </c>
      <c r="M58" s="813"/>
      <c r="N58" s="814"/>
    </row>
    <row r="59" spans="8:14">
      <c r="K59" s="819"/>
      <c r="L59" s="816" t="s">
        <v>870</v>
      </c>
      <c r="M59" s="816"/>
      <c r="N59" s="817"/>
    </row>
    <row r="60" spans="8:14">
      <c r="K60" s="819"/>
      <c r="L60" s="816" t="s">
        <v>871</v>
      </c>
      <c r="M60" s="816"/>
      <c r="N60" s="817"/>
    </row>
    <row r="61" spans="8:14">
      <c r="K61" s="819"/>
      <c r="L61" s="877">
        <v>127686</v>
      </c>
      <c r="M61" s="816"/>
      <c r="N61" s="817"/>
    </row>
    <row r="62" spans="8:14">
      <c r="H62" s="176" t="s">
        <v>55</v>
      </c>
      <c r="K62" s="819">
        <v>1</v>
      </c>
      <c r="L62" s="816" t="s">
        <v>860</v>
      </c>
      <c r="M62" s="816"/>
      <c r="N62" s="817"/>
    </row>
    <row r="63" spans="8:14">
      <c r="K63" s="820"/>
      <c r="L63" s="878">
        <v>269999</v>
      </c>
      <c r="M63" s="821"/>
      <c r="N63" s="822"/>
    </row>
    <row r="65" spans="1:18">
      <c r="L65" s="812"/>
      <c r="M65" s="813"/>
      <c r="N65" s="814"/>
    </row>
    <row r="66" spans="1:18">
      <c r="L66" s="820" t="s">
        <v>872</v>
      </c>
      <c r="M66" s="821"/>
      <c r="N66" s="822" t="s">
        <v>874</v>
      </c>
    </row>
    <row r="67" spans="1:18">
      <c r="I67" s="176" t="s">
        <v>34</v>
      </c>
      <c r="L67" s="176" t="s">
        <v>873</v>
      </c>
      <c r="N67" s="176" t="s">
        <v>1350</v>
      </c>
    </row>
    <row r="70" spans="1:18" ht="16" thickBot="1"/>
    <row r="71" spans="1:18" ht="61" thickBot="1">
      <c r="C71" s="166" t="s">
        <v>1504</v>
      </c>
      <c r="D71" s="166" t="s">
        <v>1642</v>
      </c>
      <c r="E71" s="166" t="s">
        <v>1503</v>
      </c>
      <c r="F71" s="166" t="s">
        <v>57</v>
      </c>
      <c r="G71" s="166" t="s">
        <v>58</v>
      </c>
      <c r="H71" s="166" t="s">
        <v>59</v>
      </c>
      <c r="I71" s="155" t="s">
        <v>1819</v>
      </c>
      <c r="J71" s="166" t="s">
        <v>1713</v>
      </c>
      <c r="K71" s="155" t="s">
        <v>1820</v>
      </c>
      <c r="L71" s="166" t="s">
        <v>1671</v>
      </c>
      <c r="M71" s="166" t="s">
        <v>1631</v>
      </c>
      <c r="N71" s="155" t="s">
        <v>1821</v>
      </c>
      <c r="O71" s="166" t="s">
        <v>1822</v>
      </c>
      <c r="P71" s="155" t="s">
        <v>1823</v>
      </c>
      <c r="Q71" s="166" t="s">
        <v>1824</v>
      </c>
      <c r="R71" s="166" t="s">
        <v>1825</v>
      </c>
    </row>
    <row r="72" spans="1:18" ht="36">
      <c r="A72" s="847" t="s">
        <v>1349</v>
      </c>
      <c r="C72" s="879" t="s">
        <v>859</v>
      </c>
      <c r="D72" s="420">
        <v>2</v>
      </c>
      <c r="E72" s="420">
        <f>D83/8</f>
        <v>321.375</v>
      </c>
      <c r="F72" s="420">
        <v>44</v>
      </c>
      <c r="G72" s="420">
        <v>8</v>
      </c>
      <c r="H72" s="420">
        <v>10</v>
      </c>
      <c r="I72" s="181">
        <f>(D72*E72*F72*H72)/G72</f>
        <v>35351.25</v>
      </c>
      <c r="J72" s="372"/>
      <c r="K72" s="181">
        <f>G83*6</f>
        <v>5448</v>
      </c>
      <c r="L72" s="416">
        <f>SUM(I72,J72,K72)</f>
        <v>40799.25</v>
      </c>
      <c r="M72" s="194">
        <f>L72/$I$16</f>
        <v>4023.5946745562128</v>
      </c>
      <c r="N72" s="181">
        <f>(I72*J72*K72*M72)/L72</f>
        <v>0</v>
      </c>
      <c r="O72" s="372"/>
      <c r="P72" s="181">
        <f>500*8.11</f>
        <v>4054.9999999999995</v>
      </c>
      <c r="Q72" s="416">
        <f>SUM(N72,O72,P72)</f>
        <v>4054.9999999999995</v>
      </c>
      <c r="R72" s="194">
        <f>Q72/$I$16</f>
        <v>399.90138067061139</v>
      </c>
    </row>
    <row r="73" spans="1:18">
      <c r="A73" s="847" t="s">
        <v>1349</v>
      </c>
      <c r="C73" s="854" t="s">
        <v>1351</v>
      </c>
      <c r="D73" s="425">
        <v>1</v>
      </c>
      <c r="E73" s="425">
        <f>D81/4</f>
        <v>398.75</v>
      </c>
      <c r="F73" s="425">
        <v>44</v>
      </c>
      <c r="G73" s="425">
        <v>8</v>
      </c>
      <c r="H73" s="425">
        <v>10</v>
      </c>
      <c r="I73" s="182">
        <f>(D73*E73*F73*H73)/G73</f>
        <v>21931.25</v>
      </c>
      <c r="J73" s="189"/>
      <c r="K73" s="182">
        <f>G81</f>
        <v>1122</v>
      </c>
      <c r="L73" s="413">
        <f>SUM(I73,J73,K73)</f>
        <v>23053.25</v>
      </c>
      <c r="M73" s="194">
        <f>L73/$I$16</f>
        <v>2273.4960552268244</v>
      </c>
      <c r="N73" s="182">
        <f>(I73*J73*K73*M73)/L73</f>
        <v>0</v>
      </c>
      <c r="O73" s="189"/>
      <c r="P73" s="182">
        <f>500*8.11</f>
        <v>4054.9999999999995</v>
      </c>
      <c r="Q73" s="413">
        <f>SUM(N73,O73,P73)</f>
        <v>4054.9999999999995</v>
      </c>
      <c r="R73" s="194">
        <f>Q73/$I$16</f>
        <v>399.90138067061139</v>
      </c>
    </row>
    <row r="74" spans="1:18" ht="24">
      <c r="A74" s="851" t="s">
        <v>76</v>
      </c>
      <c r="C74" s="852" t="s">
        <v>1533</v>
      </c>
      <c r="D74" s="425">
        <v>4</v>
      </c>
      <c r="E74" s="425">
        <f>D82/16</f>
        <v>103.9375</v>
      </c>
      <c r="F74" s="425">
        <v>44</v>
      </c>
      <c r="G74" s="425">
        <v>8</v>
      </c>
      <c r="H74" s="425">
        <v>10</v>
      </c>
      <c r="I74" s="182">
        <f>(D74*E74*F74*H74)/G74</f>
        <v>22866.25</v>
      </c>
      <c r="J74" s="189"/>
      <c r="K74" s="182" t="s">
        <v>55</v>
      </c>
      <c r="L74" s="413">
        <f>SUM(I74,J74,K74)</f>
        <v>22866.25</v>
      </c>
      <c r="M74" s="194">
        <f>L74/$I$16</f>
        <v>2255.0542406311638</v>
      </c>
      <c r="N74" s="182" t="e">
        <f>(I74*J74*K74*M74)/L74</f>
        <v>#VALUE!</v>
      </c>
      <c r="O74" s="189" t="e">
        <f>100*N66</f>
        <v>#VALUE!</v>
      </c>
      <c r="P74" s="182">
        <f>500*10.14</f>
        <v>5070</v>
      </c>
      <c r="Q74" s="413" t="e">
        <f>SUM(N74,O74,P74)</f>
        <v>#VALUE!</v>
      </c>
      <c r="R74" s="194" t="e">
        <f>Q74/$I$16</f>
        <v>#VALUE!</v>
      </c>
    </row>
    <row r="75" spans="1:18">
      <c r="A75" s="851" t="s">
        <v>76</v>
      </c>
      <c r="C75" s="854" t="s">
        <v>1351</v>
      </c>
      <c r="D75" s="425">
        <v>1</v>
      </c>
      <c r="E75" s="425">
        <v>100</v>
      </c>
      <c r="F75" s="425">
        <v>44</v>
      </c>
      <c r="G75" s="425">
        <v>8</v>
      </c>
      <c r="H75" s="425">
        <v>10</v>
      </c>
      <c r="I75" s="182">
        <f>(D75*E75*F75*H75)/G75</f>
        <v>5500</v>
      </c>
      <c r="J75" s="189"/>
      <c r="K75" s="182" t="s">
        <v>34</v>
      </c>
      <c r="L75" s="413" t="s">
        <v>34</v>
      </c>
      <c r="M75" s="194" t="s">
        <v>34</v>
      </c>
      <c r="N75" s="182" t="e">
        <f>(I75*J75*K75*M75)/L75</f>
        <v>#VALUE!</v>
      </c>
      <c r="O75" s="189"/>
      <c r="P75" s="182" t="s">
        <v>34</v>
      </c>
      <c r="Q75" s="413" t="s">
        <v>34</v>
      </c>
      <c r="R75" s="194" t="s">
        <v>34</v>
      </c>
    </row>
    <row r="76" spans="1:18" ht="16" thickBot="1">
      <c r="C76" s="855"/>
      <c r="D76" s="430"/>
      <c r="E76" s="430"/>
      <c r="F76" s="430"/>
      <c r="G76" s="430"/>
      <c r="H76" s="430"/>
      <c r="I76" s="184"/>
      <c r="J76" s="186"/>
      <c r="K76" s="184"/>
      <c r="L76" s="433"/>
      <c r="M76" s="195"/>
      <c r="N76" s="184"/>
      <c r="O76" s="186"/>
      <c r="P76" s="184"/>
      <c r="Q76" s="433"/>
      <c r="R76" s="195"/>
    </row>
    <row r="77" spans="1:18" ht="16" thickBot="1">
      <c r="C77" s="861" t="s">
        <v>38</v>
      </c>
      <c r="D77" s="861"/>
      <c r="E77" s="861"/>
      <c r="F77" s="861"/>
      <c r="G77" s="861"/>
      <c r="H77" s="861"/>
      <c r="J77" s="307"/>
      <c r="L77" s="436" t="s">
        <v>1641</v>
      </c>
      <c r="M77" s="768">
        <f>SUM(M74:M76)</f>
        <v>2255.0542406311638</v>
      </c>
      <c r="O77" s="307"/>
      <c r="Q77" s="436" t="s">
        <v>1641</v>
      </c>
      <c r="R77" s="768" t="e">
        <f>SUM(R74:R76)</f>
        <v>#VALUE!</v>
      </c>
    </row>
    <row r="79" spans="1:18" ht="16" thickBot="1"/>
    <row r="80" spans="1:18" ht="71" thickBot="1">
      <c r="C80" s="871"/>
      <c r="D80" s="715" t="s">
        <v>1809</v>
      </c>
      <c r="E80" s="715" t="s">
        <v>1810</v>
      </c>
      <c r="F80" s="715" t="s">
        <v>1811</v>
      </c>
      <c r="G80" s="715" t="s">
        <v>1812</v>
      </c>
    </row>
    <row r="81" spans="3:7" ht="16" thickBot="1">
      <c r="C81" s="716" t="s">
        <v>1813</v>
      </c>
      <c r="D81" s="717">
        <v>1595</v>
      </c>
      <c r="E81" s="717">
        <v>149</v>
      </c>
      <c r="F81" s="717">
        <v>1770</v>
      </c>
      <c r="G81" s="717">
        <v>1122</v>
      </c>
    </row>
    <row r="82" spans="3:7" ht="16" thickBot="1">
      <c r="C82" s="716" t="s">
        <v>1814</v>
      </c>
      <c r="D82" s="717">
        <v>1663</v>
      </c>
      <c r="E82" s="717">
        <v>246</v>
      </c>
      <c r="F82" s="717">
        <v>2185</v>
      </c>
      <c r="G82" s="717">
        <v>362</v>
      </c>
    </row>
    <row r="83" spans="3:7" ht="16" thickBot="1">
      <c r="C83" s="716" t="s">
        <v>1815</v>
      </c>
      <c r="D83" s="717">
        <v>2571</v>
      </c>
      <c r="E83" s="717">
        <v>362</v>
      </c>
      <c r="F83" s="717">
        <v>4029</v>
      </c>
      <c r="G83" s="717">
        <v>908</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U143"/>
  <sheetViews>
    <sheetView workbookViewId="0">
      <selection activeCell="F23" sqref="A1:XFD1048576"/>
    </sheetView>
  </sheetViews>
  <sheetFormatPr baseColWidth="10" defaultColWidth="12.6640625" defaultRowHeight="15" x14ac:dyDescent="0"/>
  <cols>
    <col min="1" max="1" width="6.83203125" style="308" customWidth="1"/>
    <col min="2" max="2" width="19.83203125" style="308" customWidth="1"/>
    <col min="3" max="3" width="10.33203125" style="308" customWidth="1"/>
    <col min="4" max="7" width="12.6640625" style="308"/>
    <col min="8" max="8" width="10.5" style="308" customWidth="1"/>
    <col min="9" max="9" width="12" style="308" customWidth="1"/>
    <col min="10" max="10" width="12.6640625" style="308"/>
    <col min="11" max="11" width="10.6640625" style="308" customWidth="1"/>
    <col min="12" max="12" width="13.33203125" style="308" customWidth="1"/>
    <col min="13" max="13" width="11.83203125" style="308" customWidth="1"/>
    <col min="14" max="14" width="11.1640625" style="308" customWidth="1"/>
    <col min="15" max="15" width="12.6640625" style="308"/>
    <col min="16" max="16" width="11.5" style="308" customWidth="1"/>
    <col min="17" max="17" width="9.6640625" style="308" customWidth="1"/>
    <col min="18" max="18" width="10.1640625" style="308" customWidth="1"/>
    <col min="19" max="19" width="11.6640625" style="308" customWidth="1"/>
    <col min="20" max="16384" width="12.6640625" style="308"/>
  </cols>
  <sheetData>
    <row r="1" spans="1:21" s="236" customFormat="1" ht="25.5" customHeight="1" thickBot="1">
      <c r="A1" s="234" t="s">
        <v>1414</v>
      </c>
    </row>
    <row r="2" spans="1:21" s="176" customFormat="1" ht="16" thickBot="1">
      <c r="A2" s="246"/>
      <c r="B2" s="241"/>
      <c r="C2" s="436" t="s">
        <v>1347</v>
      </c>
      <c r="D2" s="436"/>
      <c r="E2" s="793">
        <v>0.03</v>
      </c>
      <c r="H2" s="176" t="s">
        <v>34</v>
      </c>
    </row>
    <row r="3" spans="1:21" s="176" customFormat="1" ht="16" thickBot="1">
      <c r="A3" s="246"/>
      <c r="B3" s="175" t="s">
        <v>76</v>
      </c>
      <c r="M3" s="176" t="s">
        <v>34</v>
      </c>
      <c r="S3" s="176" t="s">
        <v>1623</v>
      </c>
    </row>
    <row r="4" spans="1:21" s="176" customFormat="1" ht="25" thickBot="1">
      <c r="A4" s="246"/>
      <c r="B4" s="155" t="s">
        <v>1348</v>
      </c>
      <c r="C4" s="155" t="s">
        <v>1327</v>
      </c>
      <c r="D4" s="155" t="s">
        <v>1328</v>
      </c>
      <c r="E4" s="155" t="s">
        <v>1329</v>
      </c>
      <c r="F4" s="155" t="s">
        <v>1330</v>
      </c>
      <c r="G4" s="166" t="s">
        <v>1369</v>
      </c>
      <c r="H4" s="156" t="s">
        <v>1363</v>
      </c>
      <c r="I4" s="157" t="s">
        <v>1331</v>
      </c>
      <c r="J4" s="155" t="s">
        <v>1629</v>
      </c>
      <c r="K4" s="155" t="s">
        <v>1333</v>
      </c>
      <c r="L4" s="155" t="s">
        <v>1334</v>
      </c>
      <c r="M4" s="155" t="s">
        <v>1335</v>
      </c>
      <c r="N4" s="155" t="s">
        <v>1336</v>
      </c>
      <c r="O4" s="155" t="s">
        <v>1337</v>
      </c>
      <c r="P4" s="158" t="s">
        <v>1338</v>
      </c>
      <c r="Q4" s="159" t="s">
        <v>1339</v>
      </c>
      <c r="R4" s="159" t="s">
        <v>1340</v>
      </c>
      <c r="S4" s="160" t="s">
        <v>1341</v>
      </c>
    </row>
    <row r="5" spans="1:21" s="176" customFormat="1">
      <c r="A5" s="246"/>
      <c r="B5" s="794" t="s">
        <v>122</v>
      </c>
      <c r="C5" s="419" t="s">
        <v>34</v>
      </c>
      <c r="D5" s="373">
        <v>6731</v>
      </c>
      <c r="E5" s="420">
        <v>2</v>
      </c>
      <c r="F5" s="390">
        <f>D5*E5</f>
        <v>13462</v>
      </c>
      <c r="G5" s="451">
        <v>1</v>
      </c>
      <c r="H5" s="421">
        <v>1</v>
      </c>
      <c r="I5" s="422">
        <f>R48</f>
        <v>0</v>
      </c>
      <c r="J5" s="443">
        <f>IF(H5=0,0,F5/H5*(1+I5))</f>
        <v>13462</v>
      </c>
      <c r="K5" s="402">
        <v>5</v>
      </c>
      <c r="L5" s="399">
        <f>(1-1/(1+$E$2)^K5)*$E$2^-1</f>
        <v>4.5797071871945301</v>
      </c>
      <c r="M5" s="390">
        <f>IF(L5=0,0,J5/L5)</f>
        <v>2939.4892401945567</v>
      </c>
      <c r="N5" s="454">
        <v>1</v>
      </c>
      <c r="O5" s="459">
        <f>M5*N5</f>
        <v>2939.4892401945567</v>
      </c>
      <c r="P5" s="207">
        <v>1</v>
      </c>
      <c r="Q5" s="377"/>
      <c r="R5" s="423"/>
      <c r="S5" s="390">
        <f>P5*O5</f>
        <v>2939.4892401945567</v>
      </c>
    </row>
    <row r="6" spans="1:21" s="176" customFormat="1" ht="24">
      <c r="A6" s="246"/>
      <c r="B6" s="763" t="s">
        <v>96</v>
      </c>
      <c r="C6" s="529"/>
      <c r="D6" s="546">
        <v>0</v>
      </c>
      <c r="E6" s="531">
        <v>1</v>
      </c>
      <c r="F6" s="548">
        <f>D6*E6</f>
        <v>0</v>
      </c>
      <c r="G6" s="576"/>
      <c r="H6" s="533">
        <v>10.14</v>
      </c>
      <c r="I6" s="534">
        <v>0</v>
      </c>
      <c r="J6" s="577">
        <f>IF(H6=0,0,F6/H6*(1+I6))</f>
        <v>0</v>
      </c>
      <c r="K6" s="578">
        <v>5</v>
      </c>
      <c r="L6" s="537">
        <f t="shared" ref="L6:L20" si="0">(1-1/(1+$E$2)^K6)*$E$2^-1</f>
        <v>4.5797071871945301</v>
      </c>
      <c r="M6" s="548">
        <f t="shared" ref="M6:M20" si="1">IF(L6=0,0,J6/L6)</f>
        <v>0</v>
      </c>
      <c r="N6" s="579">
        <v>1</v>
      </c>
      <c r="O6" s="580">
        <f t="shared" ref="O6:O19" si="2">M6*N6</f>
        <v>0</v>
      </c>
      <c r="P6" s="581">
        <v>1</v>
      </c>
      <c r="Q6" s="379"/>
      <c r="R6" s="211"/>
      <c r="S6" s="391">
        <f t="shared" ref="S6:S20" si="3">P6*O6</f>
        <v>0</v>
      </c>
    </row>
    <row r="7" spans="1:21" s="176" customFormat="1" ht="24">
      <c r="A7" s="246"/>
      <c r="B7" s="795" t="s">
        <v>144</v>
      </c>
      <c r="C7" s="424"/>
      <c r="D7" s="374">
        <v>0</v>
      </c>
      <c r="E7" s="425">
        <v>24</v>
      </c>
      <c r="F7" s="391">
        <f>D7*E7</f>
        <v>0</v>
      </c>
      <c r="G7" s="451"/>
      <c r="H7" s="426">
        <v>10.14</v>
      </c>
      <c r="I7" s="427">
        <v>0</v>
      </c>
      <c r="J7" s="444">
        <f>IF(H7=0,0,F7/H7*(1+I7))</f>
        <v>0</v>
      </c>
      <c r="K7" s="403">
        <v>5</v>
      </c>
      <c r="L7" s="400">
        <f t="shared" si="0"/>
        <v>4.5797071871945301</v>
      </c>
      <c r="M7" s="391">
        <f t="shared" si="1"/>
        <v>0</v>
      </c>
      <c r="N7" s="455">
        <v>1</v>
      </c>
      <c r="O7" s="460">
        <f t="shared" si="2"/>
        <v>0</v>
      </c>
      <c r="P7" s="212">
        <v>1</v>
      </c>
      <c r="Q7" s="379"/>
      <c r="R7" s="211"/>
      <c r="S7" s="391">
        <f t="shared" si="3"/>
        <v>0</v>
      </c>
    </row>
    <row r="8" spans="1:21" s="176" customFormat="1">
      <c r="A8" s="796"/>
      <c r="B8" s="763" t="s">
        <v>680</v>
      </c>
      <c r="C8" s="529"/>
      <c r="D8" s="546">
        <v>40</v>
      </c>
      <c r="E8" s="531">
        <v>4</v>
      </c>
      <c r="F8" s="548">
        <f t="shared" ref="F8:F18" si="4">D8*E8</f>
        <v>160</v>
      </c>
      <c r="G8" s="576">
        <v>1</v>
      </c>
      <c r="H8" s="426" t="s">
        <v>34</v>
      </c>
      <c r="I8" s="427">
        <v>0</v>
      </c>
      <c r="J8" s="444"/>
      <c r="K8" s="403"/>
      <c r="L8" s="400"/>
      <c r="M8" s="391"/>
      <c r="N8" s="455"/>
      <c r="O8" s="460"/>
      <c r="P8" s="212"/>
      <c r="Q8" s="379"/>
      <c r="R8" s="211"/>
      <c r="S8" s="391">
        <f t="shared" si="3"/>
        <v>0</v>
      </c>
      <c r="T8" s="797" t="s">
        <v>1626</v>
      </c>
      <c r="U8" s="796"/>
    </row>
    <row r="9" spans="1:21" s="176" customFormat="1">
      <c r="A9" s="246"/>
      <c r="B9" s="763" t="s">
        <v>681</v>
      </c>
      <c r="C9" s="529"/>
      <c r="D9" s="546">
        <v>0</v>
      </c>
      <c r="E9" s="531"/>
      <c r="F9" s="548">
        <f t="shared" si="4"/>
        <v>0</v>
      </c>
      <c r="G9" s="576"/>
      <c r="H9" s="533"/>
      <c r="I9" s="534"/>
      <c r="J9" s="577">
        <f>IF(H9=0,0,F9/H9*(1+I9))</f>
        <v>0</v>
      </c>
      <c r="K9" s="578">
        <v>5</v>
      </c>
      <c r="L9" s="537">
        <f t="shared" si="0"/>
        <v>4.5797071871945301</v>
      </c>
      <c r="M9" s="548">
        <f t="shared" si="1"/>
        <v>0</v>
      </c>
      <c r="N9" s="579">
        <v>1</v>
      </c>
      <c r="O9" s="580">
        <f t="shared" si="2"/>
        <v>0</v>
      </c>
      <c r="P9" s="581">
        <v>1</v>
      </c>
      <c r="Q9" s="379"/>
      <c r="R9" s="211"/>
      <c r="S9" s="391">
        <f t="shared" si="3"/>
        <v>0</v>
      </c>
    </row>
    <row r="10" spans="1:21" s="176" customFormat="1">
      <c r="A10" s="796"/>
      <c r="B10" s="763" t="s">
        <v>1461</v>
      </c>
      <c r="C10" s="529"/>
      <c r="D10" s="546">
        <v>12</v>
      </c>
      <c r="E10" s="531">
        <v>25</v>
      </c>
      <c r="F10" s="548">
        <f t="shared" si="4"/>
        <v>300</v>
      </c>
      <c r="G10" s="576">
        <v>1</v>
      </c>
      <c r="H10" s="426"/>
      <c r="I10" s="427"/>
      <c r="J10" s="444" t="s">
        <v>34</v>
      </c>
      <c r="K10" s="403"/>
      <c r="L10" s="400"/>
      <c r="M10" s="391"/>
      <c r="N10" s="455"/>
      <c r="O10" s="460"/>
      <c r="P10" s="212"/>
      <c r="Q10" s="379"/>
      <c r="R10" s="211"/>
      <c r="S10" s="391">
        <f t="shared" si="3"/>
        <v>0</v>
      </c>
    </row>
    <row r="11" spans="1:21" s="176" customFormat="1" ht="24">
      <c r="A11" s="246"/>
      <c r="B11" s="178" t="s">
        <v>1417</v>
      </c>
      <c r="C11" s="424" t="s">
        <v>34</v>
      </c>
      <c r="D11" s="374">
        <v>273</v>
      </c>
      <c r="E11" s="425">
        <v>2</v>
      </c>
      <c r="F11" s="391">
        <f t="shared" si="4"/>
        <v>546</v>
      </c>
      <c r="G11" s="451">
        <v>1</v>
      </c>
      <c r="H11" s="426"/>
      <c r="I11" s="427"/>
      <c r="J11" s="444">
        <f>F11</f>
        <v>546</v>
      </c>
      <c r="K11" s="403">
        <v>5</v>
      </c>
      <c r="L11" s="400">
        <f t="shared" si="0"/>
        <v>4.5797071871945301</v>
      </c>
      <c r="M11" s="391">
        <f t="shared" si="1"/>
        <v>119.22159598471461</v>
      </c>
      <c r="N11" s="455">
        <v>1</v>
      </c>
      <c r="O11" s="460">
        <f t="shared" si="2"/>
        <v>119.22159598471461</v>
      </c>
      <c r="P11" s="212">
        <v>1</v>
      </c>
      <c r="Q11" s="379"/>
      <c r="R11" s="211"/>
      <c r="S11" s="391">
        <f t="shared" si="3"/>
        <v>119.22159598471461</v>
      </c>
    </row>
    <row r="12" spans="1:21" s="176" customFormat="1">
      <c r="A12" s="246"/>
      <c r="B12" s="178" t="s">
        <v>1437</v>
      </c>
      <c r="C12" s="424"/>
      <c r="D12" s="374">
        <v>3</v>
      </c>
      <c r="E12" s="425">
        <v>25</v>
      </c>
      <c r="F12" s="391">
        <f t="shared" si="4"/>
        <v>75</v>
      </c>
      <c r="G12" s="451">
        <v>1</v>
      </c>
      <c r="H12" s="426"/>
      <c r="I12" s="427"/>
      <c r="J12" s="444">
        <f>F12</f>
        <v>75</v>
      </c>
      <c r="K12" s="403">
        <v>5</v>
      </c>
      <c r="L12" s="400">
        <f t="shared" si="0"/>
        <v>4.5797071871945301</v>
      </c>
      <c r="M12" s="391">
        <f t="shared" si="1"/>
        <v>16.376592855043214</v>
      </c>
      <c r="N12" s="455">
        <v>1</v>
      </c>
      <c r="O12" s="460">
        <f t="shared" si="2"/>
        <v>16.376592855043214</v>
      </c>
      <c r="P12" s="212">
        <v>1</v>
      </c>
      <c r="Q12" s="379"/>
      <c r="R12" s="211"/>
      <c r="S12" s="391">
        <f t="shared" si="3"/>
        <v>16.376592855043214</v>
      </c>
    </row>
    <row r="13" spans="1:21" s="176" customFormat="1">
      <c r="A13" s="246"/>
      <c r="B13" s="178" t="s">
        <v>1597</v>
      </c>
      <c r="C13" s="424"/>
      <c r="D13" s="374">
        <v>3</v>
      </c>
      <c r="E13" s="425">
        <v>25</v>
      </c>
      <c r="F13" s="391">
        <f t="shared" si="4"/>
        <v>75</v>
      </c>
      <c r="G13" s="451">
        <v>1</v>
      </c>
      <c r="H13" s="426"/>
      <c r="I13" s="427"/>
      <c r="J13" s="444">
        <f>F13</f>
        <v>75</v>
      </c>
      <c r="K13" s="403">
        <v>5</v>
      </c>
      <c r="L13" s="400">
        <f t="shared" si="0"/>
        <v>4.5797071871945301</v>
      </c>
      <c r="M13" s="391">
        <f t="shared" si="1"/>
        <v>16.376592855043214</v>
      </c>
      <c r="N13" s="455">
        <v>1</v>
      </c>
      <c r="O13" s="460">
        <f t="shared" si="2"/>
        <v>16.376592855043214</v>
      </c>
      <c r="P13" s="212">
        <v>1</v>
      </c>
      <c r="Q13" s="379"/>
      <c r="R13" s="211"/>
      <c r="S13" s="391">
        <f t="shared" si="3"/>
        <v>16.376592855043214</v>
      </c>
    </row>
    <row r="14" spans="1:21" s="176" customFormat="1">
      <c r="A14" s="796"/>
      <c r="B14" s="178" t="s">
        <v>1527</v>
      </c>
      <c r="C14" s="424"/>
      <c r="D14" s="374">
        <v>16</v>
      </c>
      <c r="E14" s="425">
        <v>25</v>
      </c>
      <c r="F14" s="391">
        <f t="shared" si="4"/>
        <v>400</v>
      </c>
      <c r="G14" s="451">
        <v>1</v>
      </c>
      <c r="H14" s="426"/>
      <c r="I14" s="427"/>
      <c r="J14" s="444">
        <f>F14</f>
        <v>400</v>
      </c>
      <c r="K14" s="403">
        <v>5</v>
      </c>
      <c r="L14" s="400">
        <f t="shared" si="0"/>
        <v>4.5797071871945301</v>
      </c>
      <c r="M14" s="391">
        <f t="shared" si="1"/>
        <v>87.341828560230482</v>
      </c>
      <c r="N14" s="455">
        <v>1</v>
      </c>
      <c r="O14" s="460">
        <f t="shared" si="2"/>
        <v>87.341828560230482</v>
      </c>
      <c r="P14" s="212">
        <v>1</v>
      </c>
      <c r="Q14" s="379"/>
      <c r="R14" s="211"/>
      <c r="S14" s="391">
        <f t="shared" si="3"/>
        <v>87.341828560230482</v>
      </c>
    </row>
    <row r="15" spans="1:21" s="176" customFormat="1">
      <c r="A15" s="246"/>
      <c r="B15" s="763" t="s">
        <v>1410</v>
      </c>
      <c r="C15" s="529"/>
      <c r="D15" s="546"/>
      <c r="E15" s="531"/>
      <c r="F15" s="548">
        <f t="shared" si="4"/>
        <v>0</v>
      </c>
      <c r="G15" s="576"/>
      <c r="H15" s="426"/>
      <c r="I15" s="427"/>
      <c r="J15" s="577" t="s">
        <v>34</v>
      </c>
      <c r="K15" s="578">
        <v>5</v>
      </c>
      <c r="L15" s="537" t="s">
        <v>34</v>
      </c>
      <c r="M15" s="548" t="s">
        <v>34</v>
      </c>
      <c r="N15" s="579" t="s">
        <v>34</v>
      </c>
      <c r="O15" s="580" t="s">
        <v>34</v>
      </c>
      <c r="P15" s="581" t="s">
        <v>34</v>
      </c>
      <c r="Q15" s="539"/>
      <c r="R15" s="798"/>
      <c r="S15" s="548" t="s">
        <v>34</v>
      </c>
    </row>
    <row r="16" spans="1:21" s="176" customFormat="1">
      <c r="A16" s="799" t="s">
        <v>1639</v>
      </c>
      <c r="B16" s="178" t="s">
        <v>1702</v>
      </c>
      <c r="C16" s="424"/>
      <c r="D16" s="374">
        <v>3125.0800000000004</v>
      </c>
      <c r="E16" s="425">
        <v>2</v>
      </c>
      <c r="F16" s="391">
        <f t="shared" si="4"/>
        <v>6250.1600000000008</v>
      </c>
      <c r="G16" s="451">
        <v>2</v>
      </c>
      <c r="H16" s="426">
        <v>10.14</v>
      </c>
      <c r="I16" s="427"/>
      <c r="J16" s="444">
        <f>IF(H16=0,0,F16/H16*(1+I16))</f>
        <v>616.38658777120315</v>
      </c>
      <c r="K16" s="403">
        <v>5</v>
      </c>
      <c r="L16" s="400">
        <f t="shared" si="0"/>
        <v>4.5797071871945301</v>
      </c>
      <c r="M16" s="391">
        <f t="shared" si="1"/>
        <v>134.5908291898447</v>
      </c>
      <c r="N16" s="455">
        <v>1</v>
      </c>
      <c r="O16" s="460">
        <f t="shared" si="2"/>
        <v>134.5908291898447</v>
      </c>
      <c r="P16" s="212">
        <v>1</v>
      </c>
      <c r="Q16" s="379"/>
      <c r="R16" s="211"/>
      <c r="S16" s="391">
        <f t="shared" si="3"/>
        <v>134.5908291898447</v>
      </c>
    </row>
    <row r="17" spans="1:21" s="176" customFormat="1">
      <c r="A17" s="799"/>
      <c r="B17" s="178" t="s">
        <v>1703</v>
      </c>
      <c r="C17" s="424"/>
      <c r="D17" s="374">
        <v>1309.3800000000001</v>
      </c>
      <c r="E17" s="425">
        <v>1</v>
      </c>
      <c r="F17" s="391">
        <f t="shared" si="4"/>
        <v>1309.3800000000001</v>
      </c>
      <c r="G17" s="451">
        <v>2</v>
      </c>
      <c r="H17" s="426">
        <v>10.14</v>
      </c>
      <c r="I17" s="427"/>
      <c r="J17" s="444">
        <f>IF(H17=0,0,F17/H17*(1+I17))</f>
        <v>129.1301775147929</v>
      </c>
      <c r="K17" s="403"/>
      <c r="L17" s="400"/>
      <c r="M17" s="391"/>
      <c r="N17" s="455"/>
      <c r="O17" s="460"/>
      <c r="P17" s="212"/>
      <c r="Q17" s="379"/>
      <c r="R17" s="211"/>
      <c r="S17" s="391"/>
    </row>
    <row r="18" spans="1:21" s="176" customFormat="1">
      <c r="A18" s="799" t="s">
        <v>1640</v>
      </c>
      <c r="B18" s="178" t="s">
        <v>1457</v>
      </c>
      <c r="C18" s="424"/>
      <c r="D18" s="374">
        <v>200</v>
      </c>
      <c r="E18" s="425">
        <v>1</v>
      </c>
      <c r="F18" s="391">
        <f t="shared" si="4"/>
        <v>200</v>
      </c>
      <c r="G18" s="451">
        <v>1</v>
      </c>
      <c r="H18" s="426">
        <v>1</v>
      </c>
      <c r="I18" s="427"/>
      <c r="J18" s="444">
        <f>IF(H18=0,0,F18/H18*(1+I18))</f>
        <v>200</v>
      </c>
      <c r="K18" s="403">
        <v>5</v>
      </c>
      <c r="L18" s="400">
        <f t="shared" si="0"/>
        <v>4.5797071871945301</v>
      </c>
      <c r="M18" s="391">
        <f t="shared" si="1"/>
        <v>43.670914280115241</v>
      </c>
      <c r="N18" s="455">
        <v>1</v>
      </c>
      <c r="O18" s="460">
        <f t="shared" si="2"/>
        <v>43.670914280115241</v>
      </c>
      <c r="P18" s="212">
        <v>1</v>
      </c>
      <c r="Q18" s="457"/>
      <c r="R18" s="428"/>
      <c r="S18" s="391">
        <f t="shared" si="3"/>
        <v>43.670914280115241</v>
      </c>
      <c r="U18" s="176" t="s">
        <v>34</v>
      </c>
    </row>
    <row r="19" spans="1:21" s="176" customFormat="1">
      <c r="A19" s="796"/>
      <c r="B19" s="177" t="s">
        <v>1857</v>
      </c>
      <c r="C19" s="800"/>
      <c r="D19" s="376">
        <v>1000</v>
      </c>
      <c r="E19" s="735"/>
      <c r="F19" s="392">
        <f>D19</f>
        <v>1000</v>
      </c>
      <c r="G19" s="736">
        <v>1</v>
      </c>
      <c r="H19" s="737">
        <v>1</v>
      </c>
      <c r="I19" s="738"/>
      <c r="J19" s="739">
        <f>D19</f>
        <v>1000</v>
      </c>
      <c r="K19" s="740">
        <v>5</v>
      </c>
      <c r="L19" s="400">
        <f t="shared" si="0"/>
        <v>4.5797071871945301</v>
      </c>
      <c r="M19" s="391">
        <f t="shared" si="1"/>
        <v>218.35457140057619</v>
      </c>
      <c r="N19" s="741">
        <v>1</v>
      </c>
      <c r="O19" s="460">
        <f t="shared" si="2"/>
        <v>218.35457140057619</v>
      </c>
      <c r="P19" s="245"/>
      <c r="Q19" s="742"/>
      <c r="R19" s="801"/>
      <c r="S19" s="392">
        <f>M19</f>
        <v>218.35457140057619</v>
      </c>
    </row>
    <row r="20" spans="1:21" s="176" customFormat="1" ht="16" thickBot="1">
      <c r="A20" s="796"/>
      <c r="B20" s="180" t="s">
        <v>1458</v>
      </c>
      <c r="C20" s="429"/>
      <c r="D20" s="397">
        <v>20</v>
      </c>
      <c r="E20" s="430">
        <v>1</v>
      </c>
      <c r="F20" s="393">
        <f>D20*E20</f>
        <v>20</v>
      </c>
      <c r="G20" s="452">
        <v>1</v>
      </c>
      <c r="H20" s="213">
        <v>1</v>
      </c>
      <c r="I20" s="431"/>
      <c r="J20" s="445">
        <f>IF(H20=0,0,F20/H20*(1+I20))</f>
        <v>20</v>
      </c>
      <c r="K20" s="404">
        <v>5</v>
      </c>
      <c r="L20" s="401">
        <f t="shared" si="0"/>
        <v>4.5797071871945301</v>
      </c>
      <c r="M20" s="393">
        <f t="shared" si="1"/>
        <v>4.3670914280115243</v>
      </c>
      <c r="N20" s="456">
        <v>1</v>
      </c>
      <c r="O20" s="461">
        <f>M20*N20</f>
        <v>4.3670914280115243</v>
      </c>
      <c r="P20" s="217">
        <v>1</v>
      </c>
      <c r="Q20" s="458"/>
      <c r="R20" s="435"/>
      <c r="S20" s="393">
        <f t="shared" si="3"/>
        <v>4.3670914280115243</v>
      </c>
    </row>
    <row r="21" spans="1:21" s="176" customFormat="1" ht="16" thickBot="1">
      <c r="A21" s="246"/>
      <c r="B21" s="307"/>
      <c r="C21" s="802" t="s">
        <v>1413</v>
      </c>
      <c r="D21" s="803"/>
      <c r="E21" s="804"/>
      <c r="F21" s="440"/>
      <c r="G21" s="440"/>
      <c r="H21" s="307"/>
      <c r="I21" s="307"/>
      <c r="J21" s="803"/>
      <c r="K21" s="307"/>
      <c r="L21" s="307"/>
      <c r="M21" s="803"/>
      <c r="N21" s="307"/>
      <c r="O21" s="307"/>
      <c r="P21" s="307"/>
      <c r="Q21" s="307"/>
      <c r="R21" s="436" t="s">
        <v>1717</v>
      </c>
      <c r="S21" s="545">
        <f>SUM(S5:S20)</f>
        <v>3579.7892567481358</v>
      </c>
    </row>
    <row r="22" spans="1:21" s="176" customFormat="1">
      <c r="A22" s="246"/>
      <c r="B22" s="805" t="s">
        <v>34</v>
      </c>
      <c r="D22" s="785" t="s">
        <v>1344</v>
      </c>
      <c r="F22" s="441"/>
      <c r="G22" s="441"/>
      <c r="J22" s="785"/>
      <c r="M22" s="785"/>
    </row>
    <row r="23" spans="1:21" s="176" customFormat="1">
      <c r="A23" s="246"/>
      <c r="B23" s="241"/>
      <c r="C23" s="241" t="s">
        <v>34</v>
      </c>
      <c r="D23" s="806" t="s">
        <v>34</v>
      </c>
      <c r="E23" s="241"/>
      <c r="F23" s="442"/>
      <c r="G23" s="442"/>
      <c r="H23" s="241"/>
      <c r="I23" s="241"/>
      <c r="J23" s="807"/>
      <c r="K23" s="241"/>
      <c r="L23" s="241"/>
      <c r="M23" s="807"/>
      <c r="R23" s="773" t="s">
        <v>1346</v>
      </c>
    </row>
    <row r="24" spans="1:21" s="176" customFormat="1" ht="16" hidden="1" thickBot="1">
      <c r="A24" s="246"/>
      <c r="B24" s="175" t="s">
        <v>1349</v>
      </c>
      <c r="D24" s="785"/>
      <c r="F24" s="441"/>
      <c r="G24" s="441"/>
      <c r="J24" s="785"/>
      <c r="M24" s="785"/>
    </row>
    <row r="25" spans="1:21" s="176" customFormat="1" ht="25" hidden="1" thickBot="1">
      <c r="A25" s="246"/>
      <c r="B25" s="155" t="s">
        <v>1348</v>
      </c>
      <c r="C25" s="155" t="s">
        <v>1327</v>
      </c>
      <c r="D25" s="439" t="s">
        <v>1328</v>
      </c>
      <c r="E25" s="155" t="s">
        <v>1329</v>
      </c>
      <c r="F25" s="439" t="s">
        <v>1330</v>
      </c>
      <c r="G25" s="166" t="s">
        <v>1369</v>
      </c>
      <c r="H25" s="156" t="s">
        <v>1363</v>
      </c>
      <c r="I25" s="157" t="s">
        <v>1331</v>
      </c>
      <c r="J25" s="155" t="s">
        <v>1629</v>
      </c>
      <c r="K25" s="155" t="s">
        <v>1333</v>
      </c>
      <c r="L25" s="155" t="s">
        <v>1334</v>
      </c>
      <c r="M25" s="439" t="s">
        <v>1335</v>
      </c>
      <c r="N25" s="155" t="s">
        <v>1336</v>
      </c>
      <c r="O25" s="155" t="s">
        <v>1337</v>
      </c>
      <c r="P25" s="158" t="s">
        <v>1338</v>
      </c>
      <c r="Q25" s="159" t="s">
        <v>1339</v>
      </c>
      <c r="R25" s="159" t="s">
        <v>1340</v>
      </c>
      <c r="S25" s="160" t="s">
        <v>1341</v>
      </c>
    </row>
    <row r="26" spans="1:21" s="176" customFormat="1" hidden="1">
      <c r="A26" s="246"/>
      <c r="B26" s="794" t="s">
        <v>122</v>
      </c>
      <c r="C26" s="446"/>
      <c r="D26" s="373">
        <v>6731</v>
      </c>
      <c r="E26" s="181">
        <v>1</v>
      </c>
      <c r="F26" s="390">
        <f>D26*E26</f>
        <v>6731</v>
      </c>
      <c r="G26" s="451">
        <v>1</v>
      </c>
      <c r="H26" s="421">
        <v>1</v>
      </c>
      <c r="I26" s="422">
        <v>0</v>
      </c>
      <c r="J26" s="390">
        <f t="shared" ref="J26:J37" si="5">IF(H26=0,0,F26/H26*(1+I26))</f>
        <v>6731</v>
      </c>
      <c r="K26" s="416">
        <v>5</v>
      </c>
      <c r="L26" s="399">
        <f>(1-1/(1+$E$2)^K26)*$E$2^-1</f>
        <v>4.5797071871945301</v>
      </c>
      <c r="M26" s="390">
        <f>IF(L26=0,0,J26/L26)</f>
        <v>1469.7446200972784</v>
      </c>
      <c r="N26" s="417">
        <v>1</v>
      </c>
      <c r="O26" s="193">
        <f>M26*N26</f>
        <v>1469.7446200972784</v>
      </c>
      <c r="P26" s="377">
        <v>1</v>
      </c>
      <c r="Q26" s="377"/>
      <c r="R26" s="377"/>
      <c r="S26" s="380">
        <f>O26</f>
        <v>1469.7446200972784</v>
      </c>
    </row>
    <row r="27" spans="1:21" s="176" customFormat="1" ht="24" hidden="1">
      <c r="A27" s="246"/>
      <c r="B27" s="178" t="s">
        <v>96</v>
      </c>
      <c r="C27" s="447"/>
      <c r="D27" s="374">
        <v>0</v>
      </c>
      <c r="E27" s="182">
        <v>1</v>
      </c>
      <c r="F27" s="391">
        <f>D27*E27</f>
        <v>0</v>
      </c>
      <c r="G27" s="451"/>
      <c r="H27" s="426">
        <v>8.1069999999999993</v>
      </c>
      <c r="I27" s="427">
        <v>0</v>
      </c>
      <c r="J27" s="391">
        <f t="shared" si="5"/>
        <v>0</v>
      </c>
      <c r="K27" s="413">
        <v>5</v>
      </c>
      <c r="L27" s="400">
        <f t="shared" ref="L27:L41" si="6">(1-1/(1+$E$2)^K27)*$E$2^-1</f>
        <v>4.5797071871945301</v>
      </c>
      <c r="M27" s="391">
        <f t="shared" ref="M27:M41" si="7">IF(L27=0,0,J27/L27)</f>
        <v>0</v>
      </c>
      <c r="N27" s="414">
        <v>1</v>
      </c>
      <c r="O27" s="194">
        <f t="shared" ref="O27:O41" si="8">M27*N27</f>
        <v>0</v>
      </c>
      <c r="P27" s="379">
        <v>1</v>
      </c>
      <c r="Q27" s="379"/>
      <c r="R27" s="379"/>
      <c r="S27" s="380">
        <f t="shared" ref="S27:S35" si="9">O27</f>
        <v>0</v>
      </c>
    </row>
    <row r="28" spans="1:21" s="176" customFormat="1" ht="24" hidden="1">
      <c r="A28" s="246"/>
      <c r="B28" s="795" t="s">
        <v>144</v>
      </c>
      <c r="C28" s="447"/>
      <c r="D28" s="374">
        <v>0</v>
      </c>
      <c r="E28" s="182">
        <v>4</v>
      </c>
      <c r="F28" s="391">
        <f>D28*E28</f>
        <v>0</v>
      </c>
      <c r="G28" s="451"/>
      <c r="H28" s="426">
        <v>8.1069999999999993</v>
      </c>
      <c r="I28" s="427">
        <v>0</v>
      </c>
      <c r="J28" s="391">
        <f t="shared" si="5"/>
        <v>0</v>
      </c>
      <c r="K28" s="413">
        <v>5</v>
      </c>
      <c r="L28" s="400">
        <f t="shared" si="6"/>
        <v>4.5797071871945301</v>
      </c>
      <c r="M28" s="391">
        <f t="shared" si="7"/>
        <v>0</v>
      </c>
      <c r="N28" s="414">
        <v>1</v>
      </c>
      <c r="O28" s="194">
        <f t="shared" si="8"/>
        <v>0</v>
      </c>
      <c r="P28" s="379">
        <v>1</v>
      </c>
      <c r="Q28" s="379"/>
      <c r="R28" s="379"/>
      <c r="S28" s="380">
        <f t="shared" si="9"/>
        <v>0</v>
      </c>
    </row>
    <row r="29" spans="1:21" s="176" customFormat="1" hidden="1">
      <c r="A29" s="246"/>
      <c r="B29" s="178" t="s">
        <v>680</v>
      </c>
      <c r="C29" s="447"/>
      <c r="D29" s="374">
        <v>40</v>
      </c>
      <c r="E29" s="182">
        <v>1</v>
      </c>
      <c r="F29" s="391">
        <f t="shared" ref="F29:F41" si="10">D29*E29</f>
        <v>40</v>
      </c>
      <c r="G29" s="451">
        <v>1</v>
      </c>
      <c r="H29" s="426">
        <v>1</v>
      </c>
      <c r="I29" s="427">
        <v>0</v>
      </c>
      <c r="J29" s="391">
        <f t="shared" si="5"/>
        <v>40</v>
      </c>
      <c r="K29" s="413">
        <v>5</v>
      </c>
      <c r="L29" s="400">
        <f t="shared" si="6"/>
        <v>4.5797071871945301</v>
      </c>
      <c r="M29" s="391">
        <f t="shared" si="7"/>
        <v>8.7341828560230486</v>
      </c>
      <c r="N29" s="414">
        <v>1</v>
      </c>
      <c r="O29" s="194">
        <f t="shared" si="8"/>
        <v>8.7341828560230486</v>
      </c>
      <c r="P29" s="379">
        <v>1</v>
      </c>
      <c r="Q29" s="379"/>
      <c r="R29" s="379"/>
      <c r="S29" s="380">
        <f t="shared" si="9"/>
        <v>8.7341828560230486</v>
      </c>
    </row>
    <row r="30" spans="1:21" s="176" customFormat="1" hidden="1">
      <c r="A30" s="246"/>
      <c r="B30" s="178" t="s">
        <v>681</v>
      </c>
      <c r="C30" s="447"/>
      <c r="D30" s="374"/>
      <c r="E30" s="182"/>
      <c r="F30" s="391">
        <f t="shared" si="10"/>
        <v>0</v>
      </c>
      <c r="G30" s="451"/>
      <c r="H30" s="426"/>
      <c r="I30" s="427"/>
      <c r="J30" s="391">
        <f t="shared" si="5"/>
        <v>0</v>
      </c>
      <c r="K30" s="413">
        <v>5</v>
      </c>
      <c r="L30" s="400">
        <f t="shared" si="6"/>
        <v>4.5797071871945301</v>
      </c>
      <c r="M30" s="391">
        <f t="shared" si="7"/>
        <v>0</v>
      </c>
      <c r="N30" s="414">
        <v>1</v>
      </c>
      <c r="O30" s="194">
        <f t="shared" si="8"/>
        <v>0</v>
      </c>
      <c r="P30" s="379"/>
      <c r="Q30" s="379"/>
      <c r="R30" s="379"/>
      <c r="S30" s="380">
        <f t="shared" si="9"/>
        <v>0</v>
      </c>
    </row>
    <row r="31" spans="1:21" s="176" customFormat="1" hidden="1">
      <c r="A31" s="808"/>
      <c r="B31" s="178" t="s">
        <v>1365</v>
      </c>
      <c r="C31" s="447"/>
      <c r="D31" s="374"/>
      <c r="E31" s="182"/>
      <c r="F31" s="391">
        <f t="shared" si="10"/>
        <v>0</v>
      </c>
      <c r="G31" s="451"/>
      <c r="H31" s="426"/>
      <c r="I31" s="427"/>
      <c r="J31" s="391">
        <f t="shared" si="5"/>
        <v>0</v>
      </c>
      <c r="K31" s="413">
        <v>5</v>
      </c>
      <c r="L31" s="400">
        <f t="shared" si="6"/>
        <v>4.5797071871945301</v>
      </c>
      <c r="M31" s="391">
        <f t="shared" si="7"/>
        <v>0</v>
      </c>
      <c r="N31" s="414">
        <v>1</v>
      </c>
      <c r="O31" s="194">
        <f t="shared" si="8"/>
        <v>0</v>
      </c>
      <c r="P31" s="379"/>
      <c r="Q31" s="379"/>
      <c r="R31" s="379"/>
      <c r="S31" s="380">
        <f t="shared" si="9"/>
        <v>0</v>
      </c>
    </row>
    <row r="32" spans="1:21" s="176" customFormat="1" ht="24" hidden="1">
      <c r="B32" s="178" t="s">
        <v>1417</v>
      </c>
      <c r="C32" s="447" t="s">
        <v>34</v>
      </c>
      <c r="D32" s="374">
        <v>273</v>
      </c>
      <c r="E32" s="182">
        <v>1</v>
      </c>
      <c r="F32" s="391">
        <f t="shared" si="10"/>
        <v>273</v>
      </c>
      <c r="G32" s="451"/>
      <c r="H32" s="426"/>
      <c r="I32" s="427"/>
      <c r="J32" s="391">
        <f t="shared" si="5"/>
        <v>0</v>
      </c>
      <c r="K32" s="413">
        <v>5</v>
      </c>
      <c r="L32" s="400">
        <f t="shared" si="6"/>
        <v>4.5797071871945301</v>
      </c>
      <c r="M32" s="391">
        <f t="shared" si="7"/>
        <v>0</v>
      </c>
      <c r="N32" s="414">
        <v>1</v>
      </c>
      <c r="O32" s="194">
        <f t="shared" si="8"/>
        <v>0</v>
      </c>
      <c r="P32" s="379"/>
      <c r="Q32" s="379"/>
      <c r="R32" s="379"/>
      <c r="S32" s="380">
        <f t="shared" si="9"/>
        <v>0</v>
      </c>
    </row>
    <row r="33" spans="1:19" s="176" customFormat="1" hidden="1">
      <c r="B33" s="178" t="s">
        <v>1437</v>
      </c>
      <c r="C33" s="447"/>
      <c r="D33" s="374">
        <v>3</v>
      </c>
      <c r="E33" s="182">
        <v>6</v>
      </c>
      <c r="F33" s="391">
        <f t="shared" si="10"/>
        <v>18</v>
      </c>
      <c r="G33" s="451">
        <v>1</v>
      </c>
      <c r="H33" s="426"/>
      <c r="I33" s="427"/>
      <c r="J33" s="391">
        <f t="shared" si="5"/>
        <v>0</v>
      </c>
      <c r="K33" s="413"/>
      <c r="L33" s="400"/>
      <c r="M33" s="391"/>
      <c r="N33" s="414">
        <v>1</v>
      </c>
      <c r="O33" s="194"/>
      <c r="P33" s="379"/>
      <c r="Q33" s="379"/>
      <c r="R33" s="379"/>
      <c r="S33" s="380">
        <f t="shared" si="9"/>
        <v>0</v>
      </c>
    </row>
    <row r="34" spans="1:19" s="176" customFormat="1" hidden="1">
      <c r="B34" s="178" t="s">
        <v>1597</v>
      </c>
      <c r="C34" s="447"/>
      <c r="D34" s="374">
        <v>3</v>
      </c>
      <c r="E34" s="182">
        <v>6</v>
      </c>
      <c r="F34" s="391">
        <f t="shared" si="10"/>
        <v>18</v>
      </c>
      <c r="G34" s="451">
        <v>1</v>
      </c>
      <c r="H34" s="426"/>
      <c r="I34" s="427"/>
      <c r="J34" s="391">
        <f t="shared" si="5"/>
        <v>0</v>
      </c>
      <c r="K34" s="413"/>
      <c r="L34" s="400"/>
      <c r="M34" s="391"/>
      <c r="N34" s="414">
        <v>1</v>
      </c>
      <c r="O34" s="194"/>
      <c r="P34" s="379"/>
      <c r="Q34" s="379"/>
      <c r="R34" s="379"/>
      <c r="S34" s="380">
        <f t="shared" si="9"/>
        <v>0</v>
      </c>
    </row>
    <row r="35" spans="1:19" s="176" customFormat="1" hidden="1">
      <c r="B35" s="178" t="s">
        <v>1527</v>
      </c>
      <c r="C35" s="447"/>
      <c r="D35" s="374">
        <v>16</v>
      </c>
      <c r="E35" s="425">
        <v>12</v>
      </c>
      <c r="F35" s="391">
        <f t="shared" si="10"/>
        <v>192</v>
      </c>
      <c r="G35" s="451">
        <v>1</v>
      </c>
      <c r="H35" s="426"/>
      <c r="I35" s="427"/>
      <c r="J35" s="391">
        <f t="shared" si="5"/>
        <v>0</v>
      </c>
      <c r="K35" s="413"/>
      <c r="L35" s="400"/>
      <c r="M35" s="391"/>
      <c r="N35" s="414">
        <v>1</v>
      </c>
      <c r="O35" s="194"/>
      <c r="P35" s="379"/>
      <c r="Q35" s="379"/>
      <c r="R35" s="379"/>
      <c r="S35" s="380">
        <f t="shared" si="9"/>
        <v>0</v>
      </c>
    </row>
    <row r="36" spans="1:19" s="176" customFormat="1" hidden="1">
      <c r="B36" s="178" t="s">
        <v>1628</v>
      </c>
      <c r="C36" s="447"/>
      <c r="D36" s="374">
        <v>13794.460000000001</v>
      </c>
      <c r="E36" s="182">
        <v>1</v>
      </c>
      <c r="F36" s="391">
        <f t="shared" si="10"/>
        <v>13794.460000000001</v>
      </c>
      <c r="G36" s="451">
        <v>2</v>
      </c>
      <c r="H36" s="426">
        <v>8.1069999999999993</v>
      </c>
      <c r="I36" s="427">
        <v>0</v>
      </c>
      <c r="J36" s="391">
        <f t="shared" si="5"/>
        <v>1701.5492784013818</v>
      </c>
      <c r="K36" s="413">
        <v>5</v>
      </c>
      <c r="L36" s="400">
        <f t="shared" si="6"/>
        <v>4.5797071871945301</v>
      </c>
      <c r="M36" s="391">
        <f>IF(L36=0,0,J36/L36)</f>
        <v>371.54106340229345</v>
      </c>
      <c r="N36" s="414">
        <v>1</v>
      </c>
      <c r="O36" s="194">
        <f>N36*M36</f>
        <v>371.54106340229345</v>
      </c>
      <c r="P36" s="379"/>
      <c r="Q36" s="379"/>
      <c r="R36" s="379"/>
      <c r="S36" s="380">
        <f>O36</f>
        <v>371.54106340229345</v>
      </c>
    </row>
    <row r="37" spans="1:19" s="176" customFormat="1" hidden="1">
      <c r="A37" s="809"/>
      <c r="B37" s="178" t="s">
        <v>1457</v>
      </c>
      <c r="C37" s="447"/>
      <c r="D37" s="374">
        <v>9360</v>
      </c>
      <c r="E37" s="182">
        <v>1</v>
      </c>
      <c r="F37" s="391">
        <f t="shared" si="10"/>
        <v>9360</v>
      </c>
      <c r="G37" s="451">
        <v>2</v>
      </c>
      <c r="H37" s="426">
        <v>8.11</v>
      </c>
      <c r="I37" s="427">
        <v>0</v>
      </c>
      <c r="J37" s="391">
        <f t="shared" si="5"/>
        <v>1154.130702836005</v>
      </c>
      <c r="K37" s="413">
        <v>5</v>
      </c>
      <c r="L37" s="400">
        <v>4.5797071871945301</v>
      </c>
      <c r="M37" s="391">
        <f>IF(L37=0,0,J37/L37)</f>
        <v>252.00971495800164</v>
      </c>
      <c r="N37" s="414">
        <v>1</v>
      </c>
      <c r="O37" s="194"/>
      <c r="P37" s="379"/>
      <c r="Q37" s="379"/>
      <c r="R37" s="379"/>
      <c r="S37" s="380">
        <f>O37</f>
        <v>0</v>
      </c>
    </row>
    <row r="38" spans="1:19" s="176" customFormat="1" hidden="1">
      <c r="B38" s="178" t="s">
        <v>1458</v>
      </c>
      <c r="C38" s="447"/>
      <c r="D38" s="374"/>
      <c r="E38" s="182"/>
      <c r="F38" s="391"/>
      <c r="G38" s="451"/>
      <c r="H38" s="426"/>
      <c r="I38" s="427"/>
      <c r="J38" s="391"/>
      <c r="K38" s="413"/>
      <c r="L38" s="400">
        <v>4.5797071871945301</v>
      </c>
      <c r="M38" s="391">
        <f>IF(L38=0,0,J38/L38)</f>
        <v>0</v>
      </c>
      <c r="N38" s="414">
        <v>1</v>
      </c>
      <c r="O38" s="194"/>
      <c r="P38" s="379"/>
      <c r="Q38" s="379"/>
      <c r="R38" s="379"/>
      <c r="S38" s="380">
        <f>O38</f>
        <v>0</v>
      </c>
    </row>
    <row r="39" spans="1:19" s="176" customFormat="1" ht="24" hidden="1">
      <c r="B39" s="762" t="s">
        <v>1409</v>
      </c>
      <c r="C39" s="447"/>
      <c r="D39" s="374"/>
      <c r="E39" s="182"/>
      <c r="F39" s="391">
        <f t="shared" si="10"/>
        <v>0</v>
      </c>
      <c r="G39" s="451"/>
      <c r="H39" s="426"/>
      <c r="I39" s="427" t="s">
        <v>34</v>
      </c>
      <c r="J39" s="391">
        <f>IF(H39=0,0,F39/H39*(1+I39))</f>
        <v>0</v>
      </c>
      <c r="K39" s="413">
        <v>5</v>
      </c>
      <c r="L39" s="400">
        <f t="shared" si="6"/>
        <v>4.5797071871945301</v>
      </c>
      <c r="M39" s="391">
        <f t="shared" si="7"/>
        <v>0</v>
      </c>
      <c r="N39" s="414">
        <v>1</v>
      </c>
      <c r="O39" s="194">
        <f t="shared" si="8"/>
        <v>0</v>
      </c>
      <c r="P39" s="379"/>
      <c r="Q39" s="379"/>
      <c r="R39" s="379"/>
      <c r="S39" s="380">
        <f>O39</f>
        <v>0</v>
      </c>
    </row>
    <row r="40" spans="1:19" s="176" customFormat="1" hidden="1">
      <c r="B40" s="178" t="s">
        <v>1410</v>
      </c>
      <c r="C40" s="447"/>
      <c r="D40" s="374"/>
      <c r="E40" s="182"/>
      <c r="F40" s="391">
        <f t="shared" si="10"/>
        <v>0</v>
      </c>
      <c r="G40" s="451"/>
      <c r="H40" s="208"/>
      <c r="I40" s="427"/>
      <c r="J40" s="391">
        <f>IF(H40=0,0,F40/H40*(1+I40))</f>
        <v>0</v>
      </c>
      <c r="K40" s="413">
        <v>5</v>
      </c>
      <c r="L40" s="400">
        <f t="shared" si="6"/>
        <v>4.5797071871945301</v>
      </c>
      <c r="M40" s="391">
        <f t="shared" si="7"/>
        <v>0</v>
      </c>
      <c r="N40" s="414">
        <v>1</v>
      </c>
      <c r="O40" s="194">
        <f t="shared" si="8"/>
        <v>0</v>
      </c>
      <c r="P40" s="208"/>
      <c r="Q40" s="208"/>
      <c r="R40" s="212"/>
      <c r="S40" s="380">
        <f>O40</f>
        <v>0</v>
      </c>
    </row>
    <row r="41" spans="1:19" s="176" customFormat="1" ht="16" hidden="1" thickBot="1">
      <c r="B41" s="180" t="s">
        <v>1461</v>
      </c>
      <c r="C41" s="448"/>
      <c r="D41" s="397">
        <v>12</v>
      </c>
      <c r="E41" s="184">
        <v>6</v>
      </c>
      <c r="F41" s="393">
        <f t="shared" si="10"/>
        <v>72</v>
      </c>
      <c r="G41" s="451">
        <v>1</v>
      </c>
      <c r="H41" s="213"/>
      <c r="I41" s="431"/>
      <c r="J41" s="393">
        <f>IF(H41=0,0,F41/H41*(1+I41))</f>
        <v>0</v>
      </c>
      <c r="K41" s="433">
        <v>5</v>
      </c>
      <c r="L41" s="401">
        <f t="shared" si="6"/>
        <v>4.5797071871945301</v>
      </c>
      <c r="M41" s="393">
        <f t="shared" si="7"/>
        <v>0</v>
      </c>
      <c r="N41" s="434">
        <v>1</v>
      </c>
      <c r="O41" s="195">
        <f t="shared" si="8"/>
        <v>0</v>
      </c>
      <c r="P41" s="213"/>
      <c r="Q41" s="213"/>
      <c r="R41" s="217"/>
      <c r="S41" s="380"/>
    </row>
    <row r="42" spans="1:19" s="176" customFormat="1" ht="16" hidden="1" thickBot="1">
      <c r="B42" s="307"/>
      <c r="C42" s="802" t="s">
        <v>1413</v>
      </c>
      <c r="D42" s="307"/>
      <c r="E42" s="804"/>
      <c r="F42" s="307"/>
      <c r="G42" s="307"/>
      <c r="H42" s="307"/>
      <c r="I42" s="307"/>
      <c r="J42" s="307"/>
      <c r="K42" s="307"/>
      <c r="L42" s="307"/>
      <c r="M42" s="307"/>
      <c r="N42" s="307"/>
      <c r="O42" s="307"/>
      <c r="P42" s="307"/>
      <c r="Q42" s="307"/>
      <c r="R42" s="436" t="s">
        <v>1343</v>
      </c>
      <c r="S42" s="768">
        <f>SUM(S26:S41)</f>
        <v>1850.019866355595</v>
      </c>
    </row>
    <row r="43" spans="1:19" s="176" customFormat="1" ht="16" hidden="1" thickBot="1">
      <c r="D43" s="802" t="s">
        <v>1344</v>
      </c>
      <c r="F43" s="802"/>
      <c r="G43" s="802"/>
    </row>
    <row r="44" spans="1:19" s="176" customFormat="1" ht="16" hidden="1" thickBot="1">
      <c r="A44" s="176" t="s">
        <v>34</v>
      </c>
      <c r="B44" s="810"/>
      <c r="C44" s="241"/>
      <c r="D44" s="241"/>
      <c r="E44" s="241"/>
      <c r="F44" s="241"/>
      <c r="G44" s="241"/>
      <c r="H44" s="241"/>
      <c r="I44" s="241"/>
      <c r="J44" s="241"/>
      <c r="K44" s="241"/>
      <c r="L44" s="241"/>
      <c r="M44" s="241"/>
      <c r="P44" s="436" t="s">
        <v>1345</v>
      </c>
      <c r="Q44" s="771">
        <v>0</v>
      </c>
    </row>
    <row r="45" spans="1:19" s="176" customFormat="1" hidden="1">
      <c r="B45" s="241">
        <v>13794.460000000001</v>
      </c>
      <c r="C45" s="241" t="s">
        <v>1627</v>
      </c>
      <c r="D45" s="241"/>
      <c r="E45" s="241"/>
      <c r="F45" s="241"/>
      <c r="G45" s="241"/>
      <c r="H45" s="241" t="s">
        <v>34</v>
      </c>
      <c r="I45" s="241"/>
      <c r="J45" s="241"/>
      <c r="K45" s="241"/>
      <c r="L45" s="241"/>
      <c r="M45" s="241"/>
      <c r="R45" s="773" t="s">
        <v>1346</v>
      </c>
    </row>
    <row r="46" spans="1:19" s="176" customFormat="1">
      <c r="B46" s="241"/>
      <c r="C46" s="241" t="s">
        <v>34</v>
      </c>
      <c r="D46" s="241"/>
      <c r="E46" s="241"/>
      <c r="F46" s="241"/>
      <c r="G46" s="241"/>
      <c r="H46" s="241"/>
      <c r="I46" s="241"/>
      <c r="J46" s="241"/>
      <c r="K46" s="241"/>
      <c r="L46" s="241"/>
      <c r="M46" s="241"/>
    </row>
    <row r="47" spans="1:19" s="176" customFormat="1">
      <c r="E47" s="802"/>
      <c r="L47" s="176" t="s">
        <v>784</v>
      </c>
      <c r="R47" s="773"/>
    </row>
    <row r="48" spans="1:19">
      <c r="A48" s="308" t="s">
        <v>52</v>
      </c>
      <c r="D48" s="308">
        <v>5</v>
      </c>
      <c r="H48" s="811"/>
      <c r="L48" s="176" t="s">
        <v>785</v>
      </c>
      <c r="O48" s="812">
        <v>154.9</v>
      </c>
      <c r="P48" s="813" t="s">
        <v>1357</v>
      </c>
      <c r="Q48" s="813"/>
      <c r="R48" s="813"/>
      <c r="S48" s="814"/>
    </row>
    <row r="49" spans="1:19">
      <c r="A49" s="308" t="s">
        <v>53</v>
      </c>
      <c r="D49" s="815">
        <v>0.03</v>
      </c>
      <c r="H49" s="811"/>
      <c r="L49" s="176" t="s">
        <v>786</v>
      </c>
      <c r="O49" s="164">
        <v>133.9</v>
      </c>
      <c r="P49" s="816" t="s">
        <v>1358</v>
      </c>
      <c r="Q49" s="816"/>
      <c r="R49" s="816">
        <f>O48/O49</f>
        <v>1.1568334578043316</v>
      </c>
      <c r="S49" s="817">
        <f>R49-1</f>
        <v>0.15683345780433156</v>
      </c>
    </row>
    <row r="50" spans="1:19">
      <c r="A50" s="308" t="s">
        <v>54</v>
      </c>
      <c r="D50" s="818" t="s">
        <v>34</v>
      </c>
      <c r="O50" s="819">
        <v>125</v>
      </c>
      <c r="P50" s="816" t="s">
        <v>1359</v>
      </c>
      <c r="Q50" s="816"/>
      <c r="R50" s="816">
        <f>O48/O50</f>
        <v>1.2392000000000001</v>
      </c>
      <c r="S50" s="817">
        <f>R50-1</f>
        <v>0.23920000000000008</v>
      </c>
    </row>
    <row r="51" spans="1:19">
      <c r="J51" s="308" t="s">
        <v>136</v>
      </c>
      <c r="O51" s="820"/>
      <c r="P51" s="821"/>
      <c r="Q51" s="821"/>
      <c r="R51" s="821" t="s">
        <v>34</v>
      </c>
      <c r="S51" s="822"/>
    </row>
    <row r="52" spans="1:19" ht="16" thickBot="1"/>
    <row r="53" spans="1:19">
      <c r="I53" s="823" t="s">
        <v>1411</v>
      </c>
      <c r="J53" s="824"/>
      <c r="K53" s="824"/>
      <c r="L53" s="824"/>
      <c r="M53" s="824"/>
      <c r="N53" s="824"/>
      <c r="O53" s="825"/>
      <c r="P53" s="826" t="s">
        <v>34</v>
      </c>
      <c r="Q53" s="827"/>
      <c r="R53" s="828"/>
    </row>
    <row r="54" spans="1:19">
      <c r="I54" s="829" t="s">
        <v>1412</v>
      </c>
      <c r="J54" s="789"/>
      <c r="K54" s="789"/>
      <c r="L54" s="789"/>
      <c r="M54" s="790">
        <v>2</v>
      </c>
      <c r="N54" s="830">
        <v>6731</v>
      </c>
      <c r="O54" s="585"/>
      <c r="P54" s="586">
        <v>13462</v>
      </c>
      <c r="Q54" s="831"/>
      <c r="R54" s="828"/>
    </row>
    <row r="55" spans="1:19">
      <c r="I55" s="832" t="s">
        <v>34</v>
      </c>
      <c r="J55" s="833"/>
      <c r="K55" s="833"/>
      <c r="L55" s="833"/>
      <c r="M55" s="833"/>
      <c r="N55" s="833"/>
      <c r="O55" s="834"/>
      <c r="P55" s="835">
        <v>0</v>
      </c>
      <c r="Q55" s="836">
        <v>13462</v>
      </c>
      <c r="R55" s="837">
        <v>13461</v>
      </c>
    </row>
    <row r="57" spans="1:19">
      <c r="J57" s="308" t="s">
        <v>34</v>
      </c>
    </row>
    <row r="62" spans="1:19" s="838" customFormat="1">
      <c r="C62" s="839"/>
      <c r="D62" s="840"/>
      <c r="E62" s="840"/>
    </row>
    <row r="63" spans="1:19" s="838" customFormat="1">
      <c r="C63" s="841"/>
      <c r="D63" s="842"/>
      <c r="E63" s="842"/>
    </row>
    <row r="64" spans="1:19" s="838" customFormat="1">
      <c r="C64" s="841"/>
      <c r="D64" s="842"/>
      <c r="E64" s="842"/>
    </row>
    <row r="65" spans="3:12" s="838" customFormat="1">
      <c r="C65" s="841"/>
      <c r="D65" s="842"/>
      <c r="E65" s="842"/>
    </row>
    <row r="66" spans="3:12" s="838" customFormat="1">
      <c r="C66" s="841"/>
      <c r="D66" s="842"/>
      <c r="E66" s="842"/>
      <c r="I66" s="789"/>
      <c r="J66" s="790"/>
      <c r="K66" s="843"/>
      <c r="L66" s="844"/>
    </row>
    <row r="67" spans="3:12" s="838" customFormat="1">
      <c r="C67" s="841"/>
      <c r="D67" s="842"/>
      <c r="E67" s="842"/>
      <c r="I67" s="789"/>
      <c r="J67" s="790"/>
      <c r="K67" s="843"/>
      <c r="L67" s="844"/>
    </row>
    <row r="68" spans="3:12" s="838" customFormat="1">
      <c r="C68" s="841"/>
      <c r="D68" s="842"/>
      <c r="E68" s="842"/>
    </row>
    <row r="69" spans="3:12" s="838" customFormat="1">
      <c r="C69" s="841"/>
      <c r="D69" s="842"/>
      <c r="E69" s="842"/>
    </row>
    <row r="70" spans="3:12" s="838" customFormat="1">
      <c r="C70" s="841"/>
      <c r="D70" s="842"/>
      <c r="E70" s="842"/>
    </row>
    <row r="71" spans="3:12" s="838" customFormat="1">
      <c r="C71" s="841"/>
      <c r="D71" s="842"/>
      <c r="E71" s="842"/>
    </row>
    <row r="72" spans="3:12" s="838" customFormat="1">
      <c r="C72" s="841"/>
      <c r="D72" s="842"/>
      <c r="E72" s="842"/>
    </row>
    <row r="73" spans="3:12" s="838" customFormat="1">
      <c r="C73" s="841"/>
      <c r="D73" s="842"/>
      <c r="E73" s="842"/>
    </row>
    <row r="74" spans="3:12" s="838" customFormat="1">
      <c r="C74" s="841"/>
      <c r="D74" s="842"/>
      <c r="E74" s="842"/>
    </row>
    <row r="75" spans="3:12" s="838" customFormat="1">
      <c r="C75" s="841"/>
      <c r="D75" s="842"/>
      <c r="E75" s="842"/>
    </row>
    <row r="76" spans="3:12" s="838" customFormat="1">
      <c r="C76" s="841"/>
      <c r="D76" s="842"/>
      <c r="E76" s="842"/>
    </row>
    <row r="77" spans="3:12" s="838" customFormat="1"/>
    <row r="78" spans="3:12" s="838" customFormat="1"/>
    <row r="79" spans="3:12" s="838" customFormat="1"/>
    <row r="80" spans="3:12" s="838" customFormat="1"/>
    <row r="81" s="838" customFormat="1"/>
    <row r="82" s="838" customFormat="1"/>
    <row r="83" s="838" customFormat="1"/>
    <row r="84" s="838" customFormat="1"/>
    <row r="85" s="838" customFormat="1"/>
    <row r="86" s="838" customFormat="1"/>
    <row r="87" s="838" customFormat="1"/>
    <row r="88" s="838" customFormat="1"/>
    <row r="89" s="838" customFormat="1"/>
    <row r="90" s="838" customFormat="1"/>
    <row r="91" s="838" customFormat="1"/>
    <row r="92" s="838" customFormat="1"/>
    <row r="93" s="838" customFormat="1"/>
    <row r="94" s="838" customFormat="1"/>
    <row r="95" s="838" customFormat="1"/>
    <row r="96" s="838" customFormat="1"/>
    <row r="97" s="838" customFormat="1"/>
    <row r="98" s="838" customFormat="1"/>
    <row r="99" s="838" customFormat="1"/>
    <row r="100" s="838" customFormat="1"/>
    <row r="101" s="838" customFormat="1"/>
    <row r="102" s="838" customFormat="1"/>
    <row r="103" s="838" customFormat="1"/>
    <row r="104" s="838" customFormat="1"/>
    <row r="105" s="838" customFormat="1"/>
    <row r="106" s="838" customFormat="1"/>
    <row r="107" s="838" customFormat="1"/>
    <row r="108" s="838" customFormat="1"/>
    <row r="109" s="838" customFormat="1"/>
    <row r="110" s="838" customFormat="1"/>
    <row r="111" s="838" customFormat="1"/>
    <row r="112" s="838" customFormat="1"/>
    <row r="113" s="838" customFormat="1"/>
    <row r="114" s="838" customFormat="1"/>
    <row r="115" s="838" customFormat="1"/>
    <row r="116" s="838" customFormat="1"/>
    <row r="117" s="838" customFormat="1"/>
    <row r="118" s="838" customFormat="1"/>
    <row r="119" s="838" customFormat="1"/>
    <row r="120" s="838" customFormat="1"/>
    <row r="121" s="838" customFormat="1"/>
    <row r="122" s="838" customFormat="1"/>
    <row r="123" s="838" customFormat="1"/>
    <row r="124" s="838" customFormat="1"/>
    <row r="125" s="838" customFormat="1"/>
    <row r="126" s="838" customFormat="1"/>
    <row r="127" s="838" customFormat="1"/>
    <row r="128" s="838" customFormat="1"/>
    <row r="129" s="838" customFormat="1"/>
    <row r="130" s="838" customFormat="1"/>
    <row r="131" s="838" customFormat="1"/>
    <row r="132" s="838" customFormat="1"/>
    <row r="133" s="838" customFormat="1"/>
    <row r="134" s="838" customFormat="1"/>
    <row r="135" s="838" customFormat="1"/>
    <row r="136" s="838" customFormat="1"/>
    <row r="137" s="838" customFormat="1"/>
    <row r="138" s="838" customFormat="1"/>
    <row r="139" s="838" customFormat="1"/>
    <row r="140" s="838" customFormat="1"/>
    <row r="141" s="838" customFormat="1"/>
    <row r="142" s="838" customFormat="1"/>
    <row r="143" s="838" customFormat="1"/>
  </sheetData>
  <mergeCells count="1">
    <mergeCell ref="I53:O53"/>
  </mergeCells>
  <pageMargins left="0.75" right="0.75" top="1" bottom="1" header="0.5" footer="0.5"/>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T101"/>
  <sheetViews>
    <sheetView workbookViewId="0">
      <selection activeCell="F16" sqref="A1:R57"/>
    </sheetView>
  </sheetViews>
  <sheetFormatPr baseColWidth="10" defaultColWidth="22.33203125" defaultRowHeight="15" x14ac:dyDescent="0"/>
  <cols>
    <col min="1" max="1" width="8.6640625" style="36" customWidth="1"/>
    <col min="2" max="2" width="22.83203125" style="36" customWidth="1"/>
    <col min="3" max="3" width="13.5" style="36" customWidth="1"/>
    <col min="4" max="4" width="10.1640625" style="36" customWidth="1"/>
    <col min="5" max="5" width="10.1640625" style="462" customWidth="1"/>
    <col min="6" max="6" width="10.1640625" style="36" customWidth="1"/>
    <col min="7" max="7" width="9.33203125" style="36" customWidth="1"/>
    <col min="8" max="8" width="11.6640625" style="36" customWidth="1"/>
    <col min="9" max="9" width="12" style="36" customWidth="1"/>
    <col min="10" max="10" width="14.83203125" style="36" customWidth="1"/>
    <col min="11" max="11" width="10.6640625" style="36" customWidth="1"/>
    <col min="12" max="12" width="10.83203125" style="36" customWidth="1"/>
    <col min="13" max="13" width="10.5" style="36" customWidth="1"/>
    <col min="14" max="14" width="10.83203125" style="36" customWidth="1"/>
    <col min="15" max="15" width="22.33203125" style="36"/>
    <col min="16" max="16" width="16.83203125" style="36" customWidth="1"/>
    <col min="17" max="17" width="11.83203125" style="36" bestFit="1" customWidth="1"/>
    <col min="18" max="18" width="14.1640625" style="36" customWidth="1"/>
    <col min="19" max="16384" width="22.33203125" style="36"/>
  </cols>
  <sheetData>
    <row r="1" spans="1:18">
      <c r="A1" s="775" t="s">
        <v>1621</v>
      </c>
      <c r="B1" s="308"/>
      <c r="C1" s="308"/>
      <c r="D1" s="308"/>
      <c r="E1" s="776"/>
      <c r="F1" s="308"/>
      <c r="G1" s="308"/>
      <c r="H1" s="308"/>
      <c r="I1" s="308"/>
      <c r="J1" s="308"/>
      <c r="K1" s="308"/>
      <c r="L1" s="308"/>
      <c r="M1" s="308"/>
      <c r="N1" s="308"/>
      <c r="O1" s="308"/>
      <c r="P1" s="308"/>
      <c r="Q1" s="308"/>
      <c r="R1" s="308"/>
    </row>
    <row r="2" spans="1:18" ht="31" thickBot="1">
      <c r="A2" s="777" t="s">
        <v>1596</v>
      </c>
      <c r="B2" s="308"/>
      <c r="C2" s="308"/>
      <c r="D2" s="308" t="s">
        <v>34</v>
      </c>
      <c r="E2" s="778" t="s">
        <v>1865</v>
      </c>
      <c r="F2" s="778"/>
      <c r="G2" s="778"/>
      <c r="H2" s="778"/>
      <c r="I2" s="308"/>
      <c r="J2" s="308"/>
      <c r="K2" s="308"/>
      <c r="L2" s="686" t="s">
        <v>1782</v>
      </c>
      <c r="M2" s="687" t="s">
        <v>1783</v>
      </c>
      <c r="N2" s="687" t="s">
        <v>1784</v>
      </c>
      <c r="O2" s="687" t="s">
        <v>1785</v>
      </c>
      <c r="P2" s="308"/>
      <c r="Q2" s="308"/>
      <c r="R2" s="308"/>
    </row>
    <row r="3" spans="1:18">
      <c r="A3" s="779" t="s">
        <v>1610</v>
      </c>
      <c r="B3" s="259" t="s">
        <v>319</v>
      </c>
      <c r="C3" s="308"/>
      <c r="D3" s="308"/>
      <c r="E3" s="776" t="s">
        <v>1867</v>
      </c>
      <c r="F3" s="308"/>
      <c r="G3" s="308" t="s">
        <v>1459</v>
      </c>
      <c r="H3" s="308"/>
      <c r="I3" s="308" t="s">
        <v>34</v>
      </c>
      <c r="J3" s="308" t="s">
        <v>136</v>
      </c>
      <c r="K3" s="308"/>
      <c r="L3" s="308"/>
      <c r="M3" s="308"/>
      <c r="N3" s="308"/>
      <c r="O3" s="308"/>
      <c r="P3" s="308"/>
      <c r="Q3" s="308"/>
      <c r="R3" s="308"/>
    </row>
    <row r="4" spans="1:18" ht="16" thickBot="1">
      <c r="A4" s="308"/>
      <c r="B4" s="780" t="s">
        <v>172</v>
      </c>
      <c r="C4" s="780"/>
      <c r="D4" s="308"/>
      <c r="E4" s="776"/>
      <c r="F4" s="308"/>
      <c r="G4" s="308"/>
      <c r="H4" s="308"/>
      <c r="I4" s="308"/>
      <c r="J4" s="308"/>
      <c r="K4" s="308"/>
      <c r="L4" s="308"/>
      <c r="M4" s="308"/>
      <c r="N4" s="308" t="s">
        <v>34</v>
      </c>
      <c r="O4" s="308"/>
      <c r="P4" s="781"/>
      <c r="Q4" s="781"/>
      <c r="R4" s="781"/>
    </row>
    <row r="5" spans="1:18" ht="37.5" customHeight="1" thickBot="1">
      <c r="A5" s="308"/>
      <c r="B5" s="155" t="s">
        <v>1348</v>
      </c>
      <c r="C5" s="165" t="s">
        <v>1329</v>
      </c>
      <c r="D5" s="155" t="s">
        <v>1330</v>
      </c>
      <c r="E5" s="155" t="s">
        <v>1328</v>
      </c>
      <c r="F5" s="463" t="s">
        <v>1646</v>
      </c>
      <c r="G5" s="155" t="s">
        <v>1612</v>
      </c>
      <c r="H5" s="166" t="s">
        <v>1369</v>
      </c>
      <c r="I5" s="166" t="s">
        <v>1370</v>
      </c>
      <c r="J5" s="160" t="s">
        <v>1609</v>
      </c>
      <c r="K5" s="308"/>
      <c r="L5" s="311"/>
      <c r="M5" s="781"/>
      <c r="N5" s="781"/>
      <c r="O5" s="308"/>
      <c r="P5" s="308"/>
      <c r="Q5" s="308"/>
      <c r="R5" s="308"/>
    </row>
    <row r="6" spans="1:18" ht="17.25" customHeight="1">
      <c r="A6" s="778"/>
      <c r="B6" s="178" t="s">
        <v>70</v>
      </c>
      <c r="C6" s="182">
        <v>100</v>
      </c>
      <c r="D6" s="391">
        <f>85.5/$O$65</f>
        <v>8.4319526627218924</v>
      </c>
      <c r="E6" s="374">
        <f t="shared" ref="E6:E11" si="0">D6/C6</f>
        <v>8.4319526627218921E-2</v>
      </c>
      <c r="F6" s="464">
        <v>1</v>
      </c>
      <c r="G6" s="374">
        <f>E6*0.1</f>
        <v>8.4319526627218925E-3</v>
      </c>
      <c r="H6" s="382">
        <v>1</v>
      </c>
      <c r="I6" s="418">
        <f>D6</f>
        <v>8.4319526627218924</v>
      </c>
      <c r="J6" s="391">
        <f>(E6*F6)+G6</f>
        <v>9.2751479289940819E-2</v>
      </c>
      <c r="K6" s="308"/>
      <c r="L6" s="398" t="s">
        <v>1715</v>
      </c>
      <c r="M6" s="781"/>
      <c r="N6" s="781"/>
      <c r="O6" s="308"/>
      <c r="P6" s="308"/>
      <c r="Q6" s="308"/>
      <c r="R6" s="308"/>
    </row>
    <row r="7" spans="1:18" ht="28.5" customHeight="1">
      <c r="A7" s="176"/>
      <c r="B7" s="762" t="s">
        <v>1826</v>
      </c>
      <c r="C7" s="396">
        <v>1</v>
      </c>
      <c r="D7" s="395">
        <v>5.2</v>
      </c>
      <c r="E7" s="374">
        <f t="shared" si="0"/>
        <v>5.2</v>
      </c>
      <c r="F7" s="464">
        <v>1</v>
      </c>
      <c r="G7" s="374">
        <f>E7 *0.05</f>
        <v>0.26</v>
      </c>
      <c r="H7" s="220">
        <v>2</v>
      </c>
      <c r="I7" s="701">
        <f>IF(H7=1,D7,E7/10.14)</f>
        <v>0.51282051282051277</v>
      </c>
      <c r="J7" s="391">
        <f>((E7*F7)+G7)/$L$19</f>
        <v>0.53846153846153844</v>
      </c>
      <c r="K7" s="308"/>
      <c r="L7" s="311"/>
      <c r="M7" s="781"/>
      <c r="N7" s="781"/>
      <c r="O7" s="308"/>
      <c r="P7" s="308"/>
      <c r="Q7" s="308"/>
      <c r="R7" s="308"/>
    </row>
    <row r="8" spans="1:18">
      <c r="A8" s="308"/>
      <c r="B8" s="178" t="s">
        <v>1777</v>
      </c>
      <c r="C8" s="189">
        <v>100</v>
      </c>
      <c r="D8" s="388">
        <v>34.200000000000003</v>
      </c>
      <c r="E8" s="374">
        <f t="shared" si="0"/>
        <v>0.34200000000000003</v>
      </c>
      <c r="F8" s="464">
        <v>1</v>
      </c>
      <c r="G8" s="374">
        <f>E8 *0.05</f>
        <v>1.7100000000000001E-2</v>
      </c>
      <c r="H8" s="208">
        <v>2</v>
      </c>
      <c r="I8" s="701">
        <f>IF(H8=1,D8,E8/10.14)</f>
        <v>3.3727810650887577E-2</v>
      </c>
      <c r="J8" s="391"/>
      <c r="K8" s="308"/>
      <c r="L8" s="311"/>
      <c r="M8" s="781"/>
      <c r="N8" s="781"/>
      <c r="O8" s="308"/>
      <c r="P8" s="308"/>
      <c r="Q8" s="308"/>
      <c r="R8" s="308"/>
    </row>
    <row r="9" spans="1:18" ht="23" thickBot="1">
      <c r="A9" s="778"/>
      <c r="B9" s="178" t="s">
        <v>1462</v>
      </c>
      <c r="C9" s="189">
        <v>100</v>
      </c>
      <c r="D9" s="388">
        <v>32</v>
      </c>
      <c r="E9" s="374">
        <f t="shared" si="0"/>
        <v>0.32</v>
      </c>
      <c r="F9" s="464">
        <v>1</v>
      </c>
      <c r="G9" s="374">
        <f>E9 *0.05</f>
        <v>1.6E-2</v>
      </c>
      <c r="H9" s="208">
        <v>1</v>
      </c>
      <c r="I9" s="418" t="s">
        <v>1516</v>
      </c>
      <c r="J9" s="391"/>
      <c r="K9" s="308"/>
      <c r="L9" s="689" t="s">
        <v>1761</v>
      </c>
      <c r="M9" s="690" t="s">
        <v>1762</v>
      </c>
      <c r="N9" s="690" t="s">
        <v>1763</v>
      </c>
      <c r="O9" s="690" t="s">
        <v>1764</v>
      </c>
      <c r="P9" s="308"/>
      <c r="Q9" s="308"/>
      <c r="R9" s="308"/>
    </row>
    <row r="10" spans="1:18">
      <c r="A10" s="782"/>
      <c r="B10" s="178" t="s">
        <v>317</v>
      </c>
      <c r="C10" s="189">
        <v>100</v>
      </c>
      <c r="D10" s="388">
        <v>23.94</v>
      </c>
      <c r="E10" s="374">
        <f t="shared" si="0"/>
        <v>0.2394</v>
      </c>
      <c r="F10" s="709">
        <v>1</v>
      </c>
      <c r="G10" s="374">
        <f>E10 *0.1*F10</f>
        <v>2.3940000000000003E-2</v>
      </c>
      <c r="H10" s="208">
        <v>2</v>
      </c>
      <c r="I10" s="701">
        <f>IF(H10=1,D10,E10/10.14)</f>
        <v>2.36094674556213E-2</v>
      </c>
      <c r="J10" s="391">
        <f>(E10+G10)/$L$19</f>
        <v>2.5970414201183432E-2</v>
      </c>
      <c r="K10" s="308"/>
      <c r="L10" s="311"/>
      <c r="M10" s="781"/>
      <c r="N10" s="781"/>
      <c r="O10" s="308"/>
      <c r="P10" s="308"/>
      <c r="Q10" s="308"/>
      <c r="R10" s="308"/>
    </row>
    <row r="11" spans="1:18">
      <c r="A11" s="782"/>
      <c r="B11" s="178" t="s">
        <v>1611</v>
      </c>
      <c r="C11" s="189">
        <v>1</v>
      </c>
      <c r="D11" s="388">
        <v>383.55</v>
      </c>
      <c r="E11" s="374">
        <f t="shared" si="0"/>
        <v>383.55</v>
      </c>
      <c r="F11" s="464">
        <v>0.25</v>
      </c>
      <c r="G11" s="374">
        <f>M15*0.1*F11</f>
        <v>1.1186326310694461E-2</v>
      </c>
      <c r="H11" s="382">
        <v>2</v>
      </c>
      <c r="I11" s="418">
        <f>D11/L19</f>
        <v>37.825443786982248</v>
      </c>
      <c r="J11" s="391">
        <f>((M15*F11)+G11)/L19</f>
        <v>1.2135067989905234E-2</v>
      </c>
      <c r="K11" s="308"/>
      <c r="L11" s="311"/>
      <c r="M11" s="781"/>
      <c r="N11" s="781"/>
      <c r="O11" s="308"/>
      <c r="P11" s="308"/>
      <c r="Q11" s="308"/>
      <c r="R11" s="308"/>
    </row>
    <row r="12" spans="1:18">
      <c r="A12" s="782"/>
      <c r="B12" s="178" t="s">
        <v>1765</v>
      </c>
      <c r="C12" s="189">
        <v>100</v>
      </c>
      <c r="D12" s="388">
        <v>12</v>
      </c>
      <c r="E12" s="374">
        <f>C12/D12</f>
        <v>8.3333333333333339</v>
      </c>
      <c r="F12" s="464">
        <v>0.01</v>
      </c>
      <c r="G12" s="374">
        <f>E12*0.01*F12</f>
        <v>8.333333333333335E-4</v>
      </c>
      <c r="H12" s="208"/>
      <c r="I12" s="418">
        <f>D12/L19</f>
        <v>1.1834319526627217</v>
      </c>
      <c r="J12" s="391">
        <f>(E12*F12)+G12</f>
        <v>8.4166666666666681E-2</v>
      </c>
      <c r="K12" s="308"/>
      <c r="L12" s="311" t="s">
        <v>34</v>
      </c>
      <c r="M12" s="781">
        <f>383.55/10.14</f>
        <v>37.825443786982248</v>
      </c>
      <c r="N12" s="781">
        <v>33.814</v>
      </c>
      <c r="O12" s="308"/>
      <c r="P12" s="308"/>
      <c r="Q12" s="308"/>
      <c r="R12" s="308"/>
    </row>
    <row r="13" spans="1:18">
      <c r="A13" s="308" t="s">
        <v>34</v>
      </c>
      <c r="B13" s="763" t="s">
        <v>34</v>
      </c>
      <c r="C13" s="189"/>
      <c r="D13" s="388">
        <f>C13*E13</f>
        <v>0</v>
      </c>
      <c r="E13" s="374"/>
      <c r="F13" s="464"/>
      <c r="G13" s="374"/>
      <c r="H13" s="208"/>
      <c r="I13" s="194" t="s">
        <v>1516</v>
      </c>
      <c r="J13" s="391">
        <f>(E13*F13)+G13</f>
        <v>0</v>
      </c>
      <c r="K13" s="308"/>
      <c r="L13" s="311"/>
      <c r="M13" s="781"/>
      <c r="N13" s="781"/>
      <c r="O13" s="308"/>
      <c r="P13" s="308"/>
      <c r="Q13" s="308"/>
      <c r="R13" s="308"/>
    </row>
    <row r="14" spans="1:18">
      <c r="A14" s="308"/>
      <c r="B14" s="763" t="s">
        <v>318</v>
      </c>
      <c r="C14" s="189"/>
      <c r="D14" s="388">
        <f>C14*E14</f>
        <v>0</v>
      </c>
      <c r="E14" s="374"/>
      <c r="F14" s="464"/>
      <c r="G14" s="374"/>
      <c r="H14" s="208"/>
      <c r="I14" s="194" t="s">
        <v>1516</v>
      </c>
      <c r="J14" s="391">
        <f>(E14*F14)+G14</f>
        <v>0</v>
      </c>
      <c r="K14" s="308"/>
      <c r="L14" s="311"/>
      <c r="M14" s="781">
        <f>M12/N14</f>
        <v>0.22372652621388922</v>
      </c>
      <c r="N14" s="781">
        <f>N12*5</f>
        <v>169.07</v>
      </c>
      <c r="O14" s="308"/>
      <c r="P14" s="308"/>
      <c r="Q14" s="308"/>
      <c r="R14" s="308"/>
    </row>
    <row r="15" spans="1:18">
      <c r="A15" s="778"/>
      <c r="B15" s="178" t="s">
        <v>1450</v>
      </c>
      <c r="C15" s="189">
        <v>1</v>
      </c>
      <c r="D15" s="388">
        <f>C15*E15*F15</f>
        <v>0.05</v>
      </c>
      <c r="E15" s="374">
        <v>0.05</v>
      </c>
      <c r="F15" s="464">
        <v>1</v>
      </c>
      <c r="G15" s="374">
        <f>E15*0.1</f>
        <v>5.000000000000001E-3</v>
      </c>
      <c r="H15" s="208"/>
      <c r="I15" s="194" t="s">
        <v>1516</v>
      </c>
      <c r="J15" s="391">
        <f>(E15*F15)+G15</f>
        <v>5.5000000000000007E-2</v>
      </c>
      <c r="K15" s="308"/>
      <c r="L15" s="311"/>
      <c r="M15" s="781">
        <f>M14*2</f>
        <v>0.44745305242777844</v>
      </c>
      <c r="N15" s="781"/>
      <c r="O15" s="308"/>
      <c r="P15" s="308"/>
      <c r="Q15" s="308"/>
      <c r="R15" s="308"/>
    </row>
    <row r="16" spans="1:18">
      <c r="A16" s="769" t="s">
        <v>1644</v>
      </c>
      <c r="B16" s="177" t="s">
        <v>1645</v>
      </c>
      <c r="C16" s="375">
        <v>1</v>
      </c>
      <c r="D16" s="388">
        <f>C16*E16*F16</f>
        <v>6.0000000000000001E-3</v>
      </c>
      <c r="E16" s="376">
        <v>0.12</v>
      </c>
      <c r="F16" s="465">
        <v>0.05</v>
      </c>
      <c r="G16" s="374">
        <f>E16*0.1</f>
        <v>1.2E-2</v>
      </c>
      <c r="H16" s="219"/>
      <c r="I16" s="205"/>
      <c r="J16" s="391">
        <f>(E16*F16)+G16</f>
        <v>1.8000000000000002E-2</v>
      </c>
      <c r="K16" s="308"/>
      <c r="L16" s="311"/>
      <c r="M16" s="781"/>
      <c r="N16" s="781"/>
      <c r="O16" s="308"/>
      <c r="P16" s="308"/>
      <c r="Q16" s="308"/>
      <c r="R16" s="308"/>
    </row>
    <row r="17" spans="1:18" ht="16" thickBot="1">
      <c r="A17" s="308"/>
      <c r="B17" s="180" t="s">
        <v>1421</v>
      </c>
      <c r="C17" s="186">
        <v>100</v>
      </c>
      <c r="D17" s="389">
        <v>102.6</v>
      </c>
      <c r="E17" s="397">
        <f>D17/C17</f>
        <v>1.026</v>
      </c>
      <c r="F17" s="466">
        <v>1</v>
      </c>
      <c r="G17" s="397">
        <f>E17*0.01*F17</f>
        <v>1.026E-2</v>
      </c>
      <c r="H17" s="213">
        <v>2</v>
      </c>
      <c r="I17" s="432">
        <f>IF(H17=1,D17,E17/10.14)</f>
        <v>0.10118343195266272</v>
      </c>
      <c r="J17" s="393">
        <f>((E17*F17)+G17)/$L$19</f>
        <v>0.10219526627218933</v>
      </c>
      <c r="K17" s="308"/>
      <c r="L17" s="311"/>
      <c r="M17" s="781"/>
      <c r="N17" s="781"/>
      <c r="O17" s="308"/>
      <c r="P17" s="308"/>
      <c r="Q17" s="308"/>
      <c r="R17" s="308"/>
    </row>
    <row r="18" spans="1:18" ht="16" thickBot="1">
      <c r="A18" s="308"/>
      <c r="B18" s="307"/>
      <c r="C18" s="307"/>
      <c r="D18" s="307"/>
      <c r="E18" s="783"/>
      <c r="F18" s="307"/>
      <c r="G18" s="307"/>
      <c r="H18" s="307"/>
      <c r="I18" s="307" t="s">
        <v>1370</v>
      </c>
      <c r="J18" s="545">
        <f>SUM(J6:J17)</f>
        <v>0.92868043288142399</v>
      </c>
      <c r="K18" s="308"/>
      <c r="L18" s="311"/>
      <c r="M18" s="781"/>
      <c r="N18" s="781"/>
      <c r="O18" s="308"/>
      <c r="P18" s="308"/>
      <c r="Q18" s="308"/>
      <c r="R18" s="308"/>
    </row>
    <row r="19" spans="1:18">
      <c r="A19" s="308"/>
      <c r="B19" s="176"/>
      <c r="C19" s="176"/>
      <c r="D19" s="176"/>
      <c r="E19" s="784">
        <f>E7/L19</f>
        <v>0.51282051282051277</v>
      </c>
      <c r="F19" s="176"/>
      <c r="G19" s="176"/>
      <c r="H19" s="176"/>
      <c r="I19" s="176"/>
      <c r="J19" s="176"/>
      <c r="K19" s="176"/>
      <c r="L19" s="311">
        <v>10.14</v>
      </c>
      <c r="M19" s="398" t="s">
        <v>1673</v>
      </c>
      <c r="N19" s="176"/>
      <c r="O19" s="308"/>
      <c r="P19" s="311"/>
      <c r="Q19" s="781"/>
      <c r="R19" s="781"/>
    </row>
    <row r="20" spans="1:18">
      <c r="A20" s="308"/>
      <c r="B20" s="176"/>
      <c r="C20" s="176"/>
      <c r="D20" s="176"/>
      <c r="E20" s="784">
        <f>5.2/L19</f>
        <v>0.51282051282051277</v>
      </c>
      <c r="F20" s="176"/>
      <c r="G20" s="176"/>
      <c r="H20" s="176"/>
      <c r="I20" s="176"/>
      <c r="J20" s="785">
        <f>J18+3.32</f>
        <v>4.2486804328814234</v>
      </c>
      <c r="K20" s="436"/>
      <c r="L20" s="311"/>
      <c r="M20" s="176"/>
      <c r="N20" s="176"/>
      <c r="O20" s="308"/>
      <c r="P20" s="311"/>
      <c r="Q20" s="781"/>
      <c r="R20" s="781"/>
    </row>
    <row r="21" spans="1:18" ht="24">
      <c r="A21" s="786" t="s">
        <v>1817</v>
      </c>
      <c r="B21" s="762" t="s">
        <v>1804</v>
      </c>
      <c r="C21" s="396">
        <v>100</v>
      </c>
      <c r="D21" s="395">
        <v>1162.8</v>
      </c>
      <c r="E21" s="374">
        <f>D21/C21</f>
        <v>11.628</v>
      </c>
      <c r="F21" s="464">
        <v>1</v>
      </c>
      <c r="G21" s="374">
        <f>E21 *0.05</f>
        <v>0.58140000000000003</v>
      </c>
      <c r="H21" s="220">
        <v>2</v>
      </c>
      <c r="I21" s="701">
        <f>IF(H21=1,D21,E21/10.14)</f>
        <v>1.1467455621301774</v>
      </c>
      <c r="J21" s="391">
        <f>((E21*F21)+G21)/$L$19</f>
        <v>1.2040828402366863</v>
      </c>
      <c r="K21" s="436"/>
      <c r="L21" s="311"/>
      <c r="M21" s="176"/>
      <c r="N21" s="176"/>
      <c r="O21" s="308"/>
      <c r="P21" s="311"/>
      <c r="Q21" s="781"/>
      <c r="R21" s="781"/>
    </row>
    <row r="22" spans="1:18">
      <c r="A22" s="308" t="s">
        <v>34</v>
      </c>
      <c r="B22" s="176"/>
      <c r="C22" s="176"/>
      <c r="D22" s="176" t="s">
        <v>34</v>
      </c>
      <c r="E22" s="784"/>
      <c r="F22" s="176"/>
      <c r="G22" s="176"/>
      <c r="H22" s="785" t="s">
        <v>34</v>
      </c>
      <c r="I22" s="176"/>
      <c r="J22" s="176"/>
      <c r="K22" s="176"/>
      <c r="L22" s="308"/>
      <c r="M22" s="176"/>
      <c r="N22" s="176"/>
      <c r="O22" s="308"/>
      <c r="P22" s="311"/>
      <c r="Q22" s="781"/>
      <c r="R22" s="781"/>
    </row>
    <row r="23" spans="1:18">
      <c r="A23" s="308"/>
      <c r="B23" s="259" t="s">
        <v>320</v>
      </c>
      <c r="C23" s="308"/>
      <c r="D23" s="308"/>
      <c r="E23" s="776"/>
      <c r="F23" s="308"/>
      <c r="G23" s="308"/>
      <c r="H23" s="308"/>
      <c r="I23" s="308"/>
      <c r="J23" s="308"/>
      <c r="K23" s="308"/>
      <c r="L23" s="308"/>
      <c r="M23" s="308"/>
      <c r="N23" s="308"/>
      <c r="O23" s="308"/>
      <c r="P23" s="781"/>
      <c r="Q23" s="781"/>
      <c r="R23" s="781"/>
    </row>
    <row r="24" spans="1:18" ht="16" thickBot="1">
      <c r="A24" s="308"/>
      <c r="B24" s="780" t="s">
        <v>172</v>
      </c>
      <c r="C24" s="780"/>
      <c r="D24" s="308"/>
      <c r="E24" s="776"/>
      <c r="F24" s="308"/>
      <c r="G24" s="308"/>
      <c r="H24" s="308"/>
      <c r="I24" s="308"/>
      <c r="J24" s="308"/>
      <c r="K24" s="308"/>
      <c r="L24" s="308"/>
      <c r="M24" s="308"/>
      <c r="N24" s="308"/>
      <c r="O24" s="308"/>
      <c r="P24" s="781"/>
      <c r="Q24" s="781"/>
      <c r="R24" s="781"/>
    </row>
    <row r="25" spans="1:18" ht="25" thickBot="1">
      <c r="A25" s="308"/>
      <c r="B25" s="155" t="s">
        <v>1348</v>
      </c>
      <c r="C25" s="165" t="s">
        <v>1329</v>
      </c>
      <c r="D25" s="155" t="s">
        <v>1330</v>
      </c>
      <c r="E25" s="155" t="s">
        <v>1328</v>
      </c>
      <c r="F25" s="463" t="s">
        <v>1646</v>
      </c>
      <c r="G25" s="155" t="s">
        <v>1612</v>
      </c>
      <c r="H25" s="166" t="s">
        <v>1369</v>
      </c>
      <c r="I25" s="166" t="s">
        <v>1370</v>
      </c>
      <c r="J25" s="160" t="s">
        <v>1609</v>
      </c>
      <c r="K25" s="308"/>
      <c r="L25" s="781"/>
      <c r="M25" s="781"/>
      <c r="N25" s="781"/>
      <c r="O25" s="308"/>
      <c r="P25" s="308"/>
      <c r="Q25" s="308"/>
      <c r="R25" s="308"/>
    </row>
    <row r="26" spans="1:18">
      <c r="A26" s="778"/>
      <c r="B26" s="764" t="s">
        <v>1677</v>
      </c>
      <c r="C26" s="601">
        <v>100</v>
      </c>
      <c r="D26" s="605">
        <v>12</v>
      </c>
      <c r="E26" s="602">
        <f>D26/C26</f>
        <v>0.12</v>
      </c>
      <c r="F26" s="603">
        <v>1</v>
      </c>
      <c r="G26" s="606">
        <f>E26*0.05</f>
        <v>6.0000000000000001E-3</v>
      </c>
      <c r="H26" s="669"/>
      <c r="I26" s="691" t="s">
        <v>1516</v>
      </c>
      <c r="J26" s="605"/>
      <c r="K26" s="308"/>
      <c r="L26" s="308"/>
      <c r="M26" s="308"/>
      <c r="N26" s="308"/>
      <c r="O26" s="308"/>
      <c r="P26" s="308"/>
      <c r="Q26" s="308"/>
      <c r="R26" s="308"/>
    </row>
    <row r="27" spans="1:18">
      <c r="A27" s="778"/>
      <c r="B27" s="764" t="s">
        <v>1676</v>
      </c>
      <c r="C27" s="607">
        <v>100</v>
      </c>
      <c r="D27" s="608">
        <v>14</v>
      </c>
      <c r="E27" s="606">
        <f>D27/C27</f>
        <v>0.14000000000000001</v>
      </c>
      <c r="F27" s="609">
        <v>1</v>
      </c>
      <c r="G27" s="606">
        <f>E27*0.05</f>
        <v>7.000000000000001E-3</v>
      </c>
      <c r="H27" s="604">
        <v>1</v>
      </c>
      <c r="I27" s="691" t="s">
        <v>1516</v>
      </c>
      <c r="J27" s="605"/>
      <c r="K27" s="308"/>
      <c r="L27" s="787">
        <v>8308</v>
      </c>
      <c r="M27" s="308"/>
      <c r="N27" s="308"/>
      <c r="O27" s="308"/>
      <c r="P27" s="308"/>
      <c r="Q27" s="308"/>
      <c r="R27" s="308"/>
    </row>
    <row r="28" spans="1:18">
      <c r="A28" s="308"/>
      <c r="B28" s="178" t="s">
        <v>70</v>
      </c>
      <c r="C28" s="182">
        <v>100</v>
      </c>
      <c r="D28" s="392">
        <f>85.5/$O$65</f>
        <v>8.4319526627218924</v>
      </c>
      <c r="E28" s="374">
        <f>D28/C28</f>
        <v>8.4319526627218921E-2</v>
      </c>
      <c r="F28" s="464">
        <v>1</v>
      </c>
      <c r="G28" s="374">
        <f>E28*0.1</f>
        <v>8.4319526627218925E-3</v>
      </c>
      <c r="H28" s="208">
        <v>1</v>
      </c>
      <c r="I28" s="692">
        <f>D28/O65</f>
        <v>0.83155351703371716</v>
      </c>
      <c r="J28" s="391">
        <f>(E28*F28)+G28</f>
        <v>9.2751479289940819E-2</v>
      </c>
      <c r="K28" s="308"/>
      <c r="L28" s="308">
        <f>L27/9</f>
        <v>923.11111111111109</v>
      </c>
      <c r="M28" s="308"/>
      <c r="N28" s="308"/>
      <c r="O28" s="308"/>
      <c r="P28" s="308"/>
      <c r="Q28" s="308"/>
      <c r="R28" s="308"/>
    </row>
    <row r="29" spans="1:18">
      <c r="A29" s="778"/>
      <c r="B29" s="178" t="s">
        <v>1462</v>
      </c>
      <c r="C29" s="189">
        <v>100</v>
      </c>
      <c r="D29" s="388">
        <v>32</v>
      </c>
      <c r="E29" s="374">
        <f>D29/C29</f>
        <v>0.32</v>
      </c>
      <c r="F29" s="464">
        <v>1</v>
      </c>
      <c r="G29" s="374">
        <v>0</v>
      </c>
      <c r="H29" s="208"/>
      <c r="I29" s="692" t="s">
        <v>1516</v>
      </c>
      <c r="J29" s="391"/>
      <c r="K29" s="308"/>
      <c r="L29" s="308">
        <f>L28/15</f>
        <v>61.540740740740738</v>
      </c>
      <c r="M29" s="308"/>
      <c r="N29" s="308"/>
      <c r="O29" s="308"/>
      <c r="P29" s="308"/>
      <c r="Q29" s="308"/>
      <c r="R29" s="308"/>
    </row>
    <row r="30" spans="1:18">
      <c r="A30" s="782" t="s">
        <v>34</v>
      </c>
      <c r="B30" s="178" t="s">
        <v>317</v>
      </c>
      <c r="C30" s="189">
        <v>100</v>
      </c>
      <c r="D30" s="388">
        <v>23.94</v>
      </c>
      <c r="E30" s="374">
        <f>D30/C30</f>
        <v>0.2394</v>
      </c>
      <c r="F30" s="709">
        <v>1</v>
      </c>
      <c r="G30" s="374">
        <f>E30 *0.1*F30</f>
        <v>2.3940000000000003E-2</v>
      </c>
      <c r="H30" s="208">
        <v>2</v>
      </c>
      <c r="I30" s="701">
        <f>IF(H30=1,D30,E30/10.14)</f>
        <v>2.36094674556213E-2</v>
      </c>
      <c r="J30" s="391">
        <f>((E30+G30)/$L$19)*2</f>
        <v>5.1940828402366863E-2</v>
      </c>
      <c r="K30" s="308" t="s">
        <v>1866</v>
      </c>
      <c r="L30" s="308"/>
      <c r="M30" s="308"/>
      <c r="N30" s="308"/>
      <c r="O30" s="308" t="s">
        <v>1613</v>
      </c>
      <c r="P30" s="308"/>
      <c r="Q30" s="308"/>
      <c r="R30" s="308"/>
    </row>
    <row r="31" spans="1:18">
      <c r="A31" s="308"/>
      <c r="B31" s="178" t="s">
        <v>1611</v>
      </c>
      <c r="C31" s="189">
        <v>1</v>
      </c>
      <c r="D31" s="391">
        <v>383.55</v>
      </c>
      <c r="E31" s="374">
        <v>383.55</v>
      </c>
      <c r="F31" s="464">
        <v>0.25</v>
      </c>
      <c r="G31" s="374">
        <v>1.1186326310694461E-2</v>
      </c>
      <c r="H31" s="208">
        <v>2</v>
      </c>
      <c r="I31" s="692">
        <v>37.825443786982248</v>
      </c>
      <c r="J31" s="391">
        <v>1.2135067989905234E-2</v>
      </c>
      <c r="K31" s="308"/>
      <c r="L31" s="308"/>
      <c r="M31" s="308"/>
      <c r="N31" s="308"/>
      <c r="O31" s="308"/>
      <c r="P31" s="308"/>
      <c r="Q31" s="308"/>
      <c r="R31" s="308"/>
    </row>
    <row r="32" spans="1:18">
      <c r="A32" s="782"/>
      <c r="B32" s="178" t="s">
        <v>1765</v>
      </c>
      <c r="C32" s="189">
        <v>100</v>
      </c>
      <c r="D32" s="388">
        <v>12</v>
      </c>
      <c r="E32" s="374">
        <f>C32/D32</f>
        <v>8.3333333333333339</v>
      </c>
      <c r="F32" s="464">
        <v>0.01</v>
      </c>
      <c r="G32" s="374">
        <f>E32*0.01*F32</f>
        <v>8.333333333333335E-4</v>
      </c>
      <c r="H32" s="208"/>
      <c r="I32" s="693">
        <f>D32/L19</f>
        <v>1.1834319526627217</v>
      </c>
      <c r="J32" s="391">
        <f>((E32*F32)+G32)*2</f>
        <v>0.16833333333333336</v>
      </c>
      <c r="K32" s="308" t="s">
        <v>1868</v>
      </c>
      <c r="L32" s="308"/>
      <c r="M32" s="308"/>
      <c r="N32" s="308"/>
      <c r="O32" s="308"/>
      <c r="P32" s="308"/>
      <c r="Q32" s="308"/>
      <c r="R32" s="308"/>
    </row>
    <row r="33" spans="1:18" ht="24">
      <c r="A33" s="782"/>
      <c r="B33" s="762" t="s">
        <v>1818</v>
      </c>
      <c r="C33" s="396">
        <v>1</v>
      </c>
      <c r="D33" s="395">
        <v>5.2</v>
      </c>
      <c r="E33" s="374">
        <f>D33/C33</f>
        <v>5.2</v>
      </c>
      <c r="F33" s="464">
        <v>1</v>
      </c>
      <c r="G33" s="374">
        <f>E33 *0.05</f>
        <v>0.26</v>
      </c>
      <c r="H33" s="220">
        <v>2</v>
      </c>
      <c r="I33" s="701">
        <f>IF(H33=1,D33,E33/10.14)</f>
        <v>0.51282051282051277</v>
      </c>
      <c r="J33" s="391">
        <f>((E33*F33)+G33)/$L$19</f>
        <v>0.53846153846153844</v>
      </c>
      <c r="K33" s="308"/>
      <c r="L33" s="308"/>
      <c r="M33" s="308"/>
      <c r="N33" s="308"/>
      <c r="O33" s="308"/>
      <c r="P33" s="308"/>
      <c r="Q33" s="308"/>
      <c r="R33" s="308"/>
    </row>
    <row r="34" spans="1:18" ht="24">
      <c r="A34" s="782"/>
      <c r="B34" s="178" t="s">
        <v>1773</v>
      </c>
      <c r="C34" s="189">
        <v>25</v>
      </c>
      <c r="D34" s="391">
        <v>185.25</v>
      </c>
      <c r="E34" s="374">
        <f>D34/C34</f>
        <v>7.41</v>
      </c>
      <c r="F34" s="464">
        <v>1</v>
      </c>
      <c r="G34" s="374">
        <f>E34*0.05*F34</f>
        <v>0.37050000000000005</v>
      </c>
      <c r="H34" s="208">
        <v>2</v>
      </c>
      <c r="I34" s="688">
        <f>IF(H34=1,D34,E34/10.14)</f>
        <v>0.73076923076923073</v>
      </c>
      <c r="J34" s="391">
        <f>((E34*F34)+G34)/L19</f>
        <v>0.76730769230769225</v>
      </c>
      <c r="K34" s="308"/>
      <c r="L34" s="308"/>
      <c r="M34" s="308"/>
      <c r="N34" s="308"/>
      <c r="O34" s="308"/>
      <c r="P34" s="308"/>
      <c r="Q34" s="308"/>
      <c r="R34" s="308"/>
    </row>
    <row r="35" spans="1:18">
      <c r="A35" s="788"/>
      <c r="B35" s="178" t="s">
        <v>1672</v>
      </c>
      <c r="C35" s="189">
        <v>1</v>
      </c>
      <c r="D35" s="391">
        <f>E35+G35</f>
        <v>3.2516250000000002</v>
      </c>
      <c r="E35" s="374">
        <v>3.25</v>
      </c>
      <c r="F35" s="464">
        <v>0.01</v>
      </c>
      <c r="G35" s="374">
        <f>E35*0.05*F35</f>
        <v>1.6250000000000001E-3</v>
      </c>
      <c r="H35" s="208">
        <v>1</v>
      </c>
      <c r="I35" s="694"/>
      <c r="J35" s="391">
        <f>(E35*F35)+G35</f>
        <v>3.4125000000000003E-2</v>
      </c>
      <c r="K35" s="308" t="s">
        <v>1674</v>
      </c>
      <c r="L35" s="308"/>
      <c r="M35" s="308"/>
      <c r="N35" s="308"/>
      <c r="O35" s="308"/>
      <c r="P35" s="308"/>
      <c r="Q35" s="308"/>
      <c r="R35" s="308"/>
    </row>
    <row r="36" spans="1:18">
      <c r="A36" s="308"/>
      <c r="B36" s="178" t="s">
        <v>1777</v>
      </c>
      <c r="C36" s="189">
        <v>100</v>
      </c>
      <c r="D36" s="388">
        <v>34.200000000000003</v>
      </c>
      <c r="E36" s="374">
        <f>D36/C36</f>
        <v>0.34200000000000003</v>
      </c>
      <c r="F36" s="464">
        <v>2</v>
      </c>
      <c r="G36" s="374">
        <f>E36 *0.05</f>
        <v>1.7100000000000001E-2</v>
      </c>
      <c r="H36" s="208">
        <v>2</v>
      </c>
      <c r="I36" s="688">
        <f>IF(H36=1,D36,E36/10.14)</f>
        <v>3.3727810650887577E-2</v>
      </c>
      <c r="J36" s="391"/>
      <c r="K36" s="308"/>
      <c r="L36" s="308"/>
      <c r="M36" s="308"/>
      <c r="N36" s="308"/>
      <c r="O36" s="308"/>
      <c r="P36" s="308"/>
      <c r="Q36" s="308"/>
      <c r="R36" s="308"/>
    </row>
    <row r="37" spans="1:18">
      <c r="A37" s="308"/>
      <c r="B37" s="763" t="s">
        <v>318</v>
      </c>
      <c r="C37" s="189"/>
      <c r="D37" s="548">
        <f>C37*E37</f>
        <v>0</v>
      </c>
      <c r="E37" s="546"/>
      <c r="F37" s="547"/>
      <c r="G37" s="546"/>
      <c r="H37" s="699"/>
      <c r="I37" s="695" t="s">
        <v>1516</v>
      </c>
      <c r="J37" s="548">
        <f t="shared" ref="J37:J53" si="1">(E37*F37)+G37</f>
        <v>0</v>
      </c>
      <c r="K37" s="308" t="s">
        <v>34</v>
      </c>
      <c r="L37" s="308"/>
      <c r="M37" s="308"/>
      <c r="N37" s="308"/>
      <c r="O37" s="259"/>
      <c r="P37" s="308" t="s">
        <v>1634</v>
      </c>
      <c r="Q37" s="308" t="s">
        <v>1623</v>
      </c>
      <c r="R37" s="308"/>
    </row>
    <row r="38" spans="1:18">
      <c r="A38" s="308" t="s">
        <v>34</v>
      </c>
      <c r="B38" s="765" t="s">
        <v>1444</v>
      </c>
      <c r="C38" s="375"/>
      <c r="D38" s="392"/>
      <c r="E38" s="376"/>
      <c r="F38" s="465"/>
      <c r="G38" s="376"/>
      <c r="H38" s="219"/>
      <c r="I38" s="696"/>
      <c r="J38" s="548">
        <f t="shared" si="1"/>
        <v>0</v>
      </c>
      <c r="K38" s="308"/>
      <c r="L38" s="308"/>
      <c r="M38" s="308"/>
      <c r="N38" s="308"/>
      <c r="O38" s="308" t="s">
        <v>1635</v>
      </c>
      <c r="P38" s="308">
        <v>51.88</v>
      </c>
      <c r="Q38" s="308">
        <f>P38/10.14</f>
        <v>5.1163708086785009</v>
      </c>
      <c r="R38" s="308"/>
    </row>
    <row r="39" spans="1:18">
      <c r="A39" s="308"/>
      <c r="B39" s="765" t="s">
        <v>1454</v>
      </c>
      <c r="C39" s="375"/>
      <c r="D39" s="392"/>
      <c r="E39" s="376"/>
      <c r="F39" s="465"/>
      <c r="G39" s="376"/>
      <c r="H39" s="219"/>
      <c r="I39" s="696"/>
      <c r="J39" s="548">
        <f t="shared" si="1"/>
        <v>0</v>
      </c>
      <c r="K39" s="308"/>
      <c r="L39" s="308"/>
      <c r="M39" s="308"/>
      <c r="N39" s="308"/>
      <c r="O39" s="308" t="s">
        <v>1636</v>
      </c>
      <c r="P39" s="308">
        <v>274</v>
      </c>
      <c r="Q39" s="308">
        <f>P39/8.11</f>
        <v>33.785450061652284</v>
      </c>
      <c r="R39" s="308"/>
    </row>
    <row r="40" spans="1:18">
      <c r="A40" s="308"/>
      <c r="B40" s="765" t="s">
        <v>1445</v>
      </c>
      <c r="C40" s="375"/>
      <c r="D40" s="392"/>
      <c r="E40" s="376"/>
      <c r="F40" s="465"/>
      <c r="G40" s="376"/>
      <c r="H40" s="219"/>
      <c r="I40" s="696"/>
      <c r="J40" s="548">
        <f t="shared" si="1"/>
        <v>0</v>
      </c>
      <c r="K40" s="308"/>
      <c r="L40" s="308"/>
      <c r="M40" s="308"/>
      <c r="N40" s="308"/>
      <c r="O40" s="308" t="s">
        <v>1637</v>
      </c>
      <c r="P40" s="308">
        <v>440</v>
      </c>
      <c r="Q40" s="308">
        <f>P40/8.11</f>
        <v>54.254007398273743</v>
      </c>
      <c r="R40" s="308"/>
    </row>
    <row r="41" spans="1:18">
      <c r="A41" s="308"/>
      <c r="B41" s="765" t="s">
        <v>1455</v>
      </c>
      <c r="C41" s="375"/>
      <c r="D41" s="392"/>
      <c r="E41" s="376"/>
      <c r="F41" s="465"/>
      <c r="G41" s="376"/>
      <c r="H41" s="219"/>
      <c r="I41" s="696"/>
      <c r="J41" s="548">
        <f t="shared" si="1"/>
        <v>0</v>
      </c>
      <c r="K41" s="308"/>
      <c r="L41" s="308" t="s">
        <v>34</v>
      </c>
      <c r="M41" s="308"/>
      <c r="N41" s="308"/>
      <c r="O41" s="308" t="s">
        <v>1638</v>
      </c>
      <c r="P41" s="308">
        <v>17.600000000000001</v>
      </c>
      <c r="Q41" s="308">
        <f>P41/8.11</f>
        <v>2.1701602959309496</v>
      </c>
      <c r="R41" s="308"/>
    </row>
    <row r="42" spans="1:18">
      <c r="A42" s="308"/>
      <c r="B42" s="177"/>
      <c r="C42" s="375"/>
      <c r="D42" s="392"/>
      <c r="E42" s="376"/>
      <c r="F42" s="465"/>
      <c r="G42" s="376"/>
      <c r="H42" s="219"/>
      <c r="I42" s="696"/>
      <c r="J42" s="548">
        <f t="shared" si="1"/>
        <v>0</v>
      </c>
      <c r="K42" s="308"/>
      <c r="L42" s="308"/>
      <c r="M42" s="308"/>
      <c r="N42" s="308"/>
      <c r="O42" s="308" t="s">
        <v>1650</v>
      </c>
      <c r="P42" s="308">
        <v>25</v>
      </c>
      <c r="Q42" s="308">
        <f>P42/8.11</f>
        <v>3.0826140567200988</v>
      </c>
      <c r="R42" s="308"/>
    </row>
    <row r="43" spans="1:18">
      <c r="A43" s="778"/>
      <c r="B43" s="178" t="s">
        <v>1450</v>
      </c>
      <c r="C43" s="189">
        <v>1</v>
      </c>
      <c r="D43" s="388">
        <f>C43*E43*F43</f>
        <v>0.05</v>
      </c>
      <c r="E43" s="374">
        <v>0.05</v>
      </c>
      <c r="F43" s="464">
        <v>1</v>
      </c>
      <c r="G43" s="374">
        <f>E43*0.1</f>
        <v>5.000000000000001E-3</v>
      </c>
      <c r="H43" s="208"/>
      <c r="I43" s="194" t="s">
        <v>1516</v>
      </c>
      <c r="J43" s="391">
        <f>(E43*F43)+G43</f>
        <v>5.5000000000000007E-2</v>
      </c>
      <c r="K43" s="308"/>
      <c r="L43" s="308"/>
      <c r="M43" s="308"/>
      <c r="N43" s="308"/>
      <c r="O43" s="308"/>
      <c r="P43" s="308"/>
      <c r="Q43" s="308"/>
      <c r="R43" s="308"/>
    </row>
    <row r="44" spans="1:18">
      <c r="A44" s="308"/>
      <c r="B44" s="178" t="s">
        <v>1421</v>
      </c>
      <c r="C44" s="189">
        <v>100</v>
      </c>
      <c r="D44" s="388">
        <v>102.6</v>
      </c>
      <c r="E44" s="374">
        <f>D44/C44</f>
        <v>1.026</v>
      </c>
      <c r="F44" s="464">
        <v>1</v>
      </c>
      <c r="G44" s="374">
        <f>E44*0.01*F44</f>
        <v>1.026E-2</v>
      </c>
      <c r="H44" s="208">
        <v>2</v>
      </c>
      <c r="I44" s="418">
        <f>IF(H44=1,D44,E44/10.14)</f>
        <v>0.10118343195266272</v>
      </c>
      <c r="J44" s="391">
        <f>((E44*F44)+G44)/$L$19</f>
        <v>0.10219526627218933</v>
      </c>
      <c r="K44" s="308" t="s">
        <v>34</v>
      </c>
      <c r="L44" s="308"/>
      <c r="M44" s="308"/>
      <c r="N44" s="308"/>
      <c r="O44" s="308"/>
      <c r="P44" s="308"/>
      <c r="Q44" s="308"/>
      <c r="R44" s="308"/>
    </row>
    <row r="45" spans="1:18">
      <c r="A45" s="308"/>
      <c r="B45" s="766" t="s">
        <v>1675</v>
      </c>
      <c r="C45" s="702"/>
      <c r="D45" s="703"/>
      <c r="E45" s="704"/>
      <c r="F45" s="705"/>
      <c r="G45" s="704"/>
      <c r="H45" s="706"/>
      <c r="I45" s="707"/>
      <c r="J45" s="708">
        <f t="shared" si="1"/>
        <v>0</v>
      </c>
      <c r="K45" s="259" t="s">
        <v>1608</v>
      </c>
      <c r="L45" s="308"/>
      <c r="M45" s="308"/>
      <c r="N45" s="308"/>
      <c r="O45" s="308"/>
      <c r="P45" s="308"/>
      <c r="Q45" s="308"/>
      <c r="R45" s="308"/>
    </row>
    <row r="46" spans="1:18">
      <c r="A46" s="788"/>
      <c r="B46" s="767" t="s">
        <v>1451</v>
      </c>
      <c r="C46" s="607">
        <v>100</v>
      </c>
      <c r="D46" s="608">
        <v>15</v>
      </c>
      <c r="E46" s="606">
        <f>D46/C46</f>
        <v>0.15</v>
      </c>
      <c r="F46" s="609"/>
      <c r="G46" s="602">
        <f>E46*0.1</f>
        <v>1.4999999999999999E-2</v>
      </c>
      <c r="H46" s="700"/>
      <c r="I46" s="697">
        <f>IF(H46=1,D46, )</f>
        <v>0</v>
      </c>
      <c r="J46" s="605"/>
      <c r="K46" s="308"/>
      <c r="L46" s="308"/>
      <c r="M46" s="308"/>
      <c r="N46" s="308"/>
      <c r="O46" s="308"/>
      <c r="P46" s="308"/>
      <c r="Q46" s="308"/>
      <c r="R46" s="308"/>
    </row>
    <row r="47" spans="1:18" ht="31" thickBot="1">
      <c r="A47" s="788"/>
      <c r="B47" s="767" t="s">
        <v>1430</v>
      </c>
      <c r="C47" s="607">
        <v>4</v>
      </c>
      <c r="D47" s="608">
        <f>C47*E47</f>
        <v>64</v>
      </c>
      <c r="E47" s="602">
        <v>16</v>
      </c>
      <c r="F47" s="609"/>
      <c r="G47" s="606"/>
      <c r="H47" s="700">
        <v>1</v>
      </c>
      <c r="I47" s="697">
        <f>IF(H47=1,D47, )</f>
        <v>64</v>
      </c>
      <c r="J47" s="605"/>
      <c r="K47" s="308"/>
      <c r="L47" s="308"/>
      <c r="M47" s="308"/>
      <c r="N47" s="308"/>
      <c r="O47" s="684" t="s">
        <v>1773</v>
      </c>
      <c r="P47" s="685" t="s">
        <v>1774</v>
      </c>
      <c r="Q47" s="685" t="s">
        <v>1775</v>
      </c>
      <c r="R47" s="685" t="s">
        <v>1776</v>
      </c>
    </row>
    <row r="48" spans="1:18" ht="24">
      <c r="A48" s="788"/>
      <c r="B48" s="767" t="s">
        <v>1431</v>
      </c>
      <c r="C48" s="607">
        <v>30</v>
      </c>
      <c r="D48" s="608">
        <f>C48*E48</f>
        <v>600</v>
      </c>
      <c r="E48" s="602">
        <v>20</v>
      </c>
      <c r="F48" s="609"/>
      <c r="G48" s="606">
        <v>0</v>
      </c>
      <c r="H48" s="700">
        <v>1</v>
      </c>
      <c r="I48" s="697">
        <f>IF(H48=1,D48, )</f>
        <v>600</v>
      </c>
      <c r="J48" s="605"/>
      <c r="K48" s="308" t="s">
        <v>34</v>
      </c>
      <c r="L48" s="308"/>
      <c r="M48" s="308" t="s">
        <v>34</v>
      </c>
      <c r="N48" s="308"/>
      <c r="O48" s="308"/>
      <c r="P48" s="308"/>
      <c r="Q48" s="308"/>
      <c r="R48" s="308"/>
    </row>
    <row r="49" spans="1:20">
      <c r="A49" s="788"/>
      <c r="B49" s="177" t="s">
        <v>1432</v>
      </c>
      <c r="C49" s="375">
        <v>600</v>
      </c>
      <c r="D49" s="392"/>
      <c r="E49" s="374">
        <f>P38/10.14</f>
        <v>5.1163708086785009</v>
      </c>
      <c r="F49" s="465">
        <v>1</v>
      </c>
      <c r="G49" s="376">
        <v>1</v>
      </c>
      <c r="H49" s="219">
        <v>1</v>
      </c>
      <c r="I49" s="696"/>
      <c r="J49" s="391">
        <f t="shared" si="1"/>
        <v>6.1163708086785009</v>
      </c>
      <c r="K49" s="308"/>
      <c r="L49" s="781"/>
      <c r="M49" s="781"/>
      <c r="N49" s="781"/>
      <c r="O49" s="781"/>
      <c r="P49" s="308"/>
      <c r="Q49" s="308"/>
      <c r="R49" s="308"/>
    </row>
    <row r="50" spans="1:20" ht="24">
      <c r="A50" s="788"/>
      <c r="B50" s="177" t="s">
        <v>1433</v>
      </c>
      <c r="C50" s="375">
        <v>600</v>
      </c>
      <c r="D50" s="392"/>
      <c r="E50" s="374">
        <v>1</v>
      </c>
      <c r="F50" s="465">
        <v>1</v>
      </c>
      <c r="G50" s="376">
        <v>0</v>
      </c>
      <c r="H50" s="219">
        <v>1</v>
      </c>
      <c r="I50" s="696"/>
      <c r="J50" s="391">
        <f>(E50*F50)+G50</f>
        <v>1</v>
      </c>
      <c r="K50" s="308"/>
      <c r="L50" s="781"/>
      <c r="M50" s="781"/>
      <c r="N50" s="781"/>
      <c r="O50" s="781"/>
      <c r="P50" s="308"/>
      <c r="Q50" s="308"/>
      <c r="R50" s="308"/>
    </row>
    <row r="51" spans="1:20">
      <c r="A51" s="788"/>
      <c r="B51" s="177"/>
      <c r="C51" s="375"/>
      <c r="D51" s="392"/>
      <c r="E51" s="376"/>
      <c r="F51" s="465"/>
      <c r="G51" s="376"/>
      <c r="H51" s="219"/>
      <c r="I51" s="696"/>
      <c r="J51" s="391">
        <f t="shared" si="1"/>
        <v>0</v>
      </c>
      <c r="K51" s="308"/>
      <c r="L51" s="311"/>
      <c r="M51" s="781"/>
      <c r="N51" s="781"/>
      <c r="O51" s="308"/>
      <c r="P51" s="308"/>
      <c r="Q51" s="308"/>
      <c r="R51" s="308"/>
    </row>
    <row r="52" spans="1:20">
      <c r="A52" s="769" t="s">
        <v>1644</v>
      </c>
      <c r="B52" s="177" t="s">
        <v>1645</v>
      </c>
      <c r="C52" s="375">
        <v>1</v>
      </c>
      <c r="D52" s="388">
        <f>C52*E52*F52</f>
        <v>6.0000000000000001E-3</v>
      </c>
      <c r="E52" s="376">
        <v>0.12</v>
      </c>
      <c r="F52" s="465">
        <v>0.05</v>
      </c>
      <c r="G52" s="374">
        <f>E52*0.1</f>
        <v>1.2E-2</v>
      </c>
      <c r="H52" s="219"/>
      <c r="I52" s="696"/>
      <c r="J52" s="391">
        <f t="shared" si="1"/>
        <v>1.8000000000000002E-2</v>
      </c>
      <c r="K52" s="308"/>
      <c r="L52" s="789"/>
      <c r="M52" s="790"/>
      <c r="N52" s="791"/>
      <c r="O52" s="790"/>
      <c r="P52" s="792"/>
      <c r="Q52" s="308"/>
      <c r="R52" s="308"/>
    </row>
    <row r="53" spans="1:20" ht="16" thickBot="1">
      <c r="A53" s="308"/>
      <c r="B53" s="180" t="s">
        <v>34</v>
      </c>
      <c r="C53" s="186"/>
      <c r="D53" s="393">
        <f>C53*E53</f>
        <v>0</v>
      </c>
      <c r="E53" s="213"/>
      <c r="F53" s="466"/>
      <c r="G53" s="213"/>
      <c r="H53" s="213"/>
      <c r="I53" s="698" t="s">
        <v>1516</v>
      </c>
      <c r="J53" s="393">
        <f t="shared" si="1"/>
        <v>0</v>
      </c>
      <c r="K53" s="308"/>
      <c r="L53" s="789"/>
      <c r="M53" s="790"/>
      <c r="N53" s="791"/>
      <c r="O53" s="790"/>
      <c r="P53" s="792"/>
      <c r="Q53" s="308"/>
      <c r="R53" s="308"/>
    </row>
    <row r="54" spans="1:20" ht="16" thickBot="1">
      <c r="A54" s="308"/>
      <c r="B54" s="307" t="s">
        <v>34</v>
      </c>
      <c r="C54" s="307"/>
      <c r="D54" s="307"/>
      <c r="E54" s="783"/>
      <c r="F54" s="307"/>
      <c r="G54" s="307"/>
      <c r="H54" s="307"/>
      <c r="I54" s="307" t="s">
        <v>1370</v>
      </c>
      <c r="J54" s="545">
        <f>SUM(J26:J53)</f>
        <v>8.9566210147354681</v>
      </c>
      <c r="K54" s="176"/>
      <c r="L54" s="176"/>
      <c r="M54" s="176"/>
      <c r="N54" s="176"/>
      <c r="O54" s="308"/>
      <c r="P54" s="789" t="s">
        <v>1598</v>
      </c>
      <c r="Q54" s="790">
        <v>800</v>
      </c>
      <c r="R54" s="791">
        <v>60</v>
      </c>
      <c r="S54" s="191"/>
      <c r="T54" s="384"/>
    </row>
    <row r="55" spans="1:20">
      <c r="A55" s="308"/>
      <c r="B55" s="176" t="s">
        <v>34</v>
      </c>
      <c r="C55" s="176"/>
      <c r="D55" s="176"/>
      <c r="E55" s="784"/>
      <c r="F55" s="176"/>
      <c r="G55" s="176"/>
      <c r="H55" s="176"/>
      <c r="I55" s="176" t="s">
        <v>34</v>
      </c>
      <c r="J55" s="176"/>
      <c r="K55" s="436"/>
      <c r="L55" s="176"/>
      <c r="M55" s="176"/>
      <c r="N55" s="176"/>
      <c r="O55" s="308"/>
      <c r="P55" s="789" t="s">
        <v>1599</v>
      </c>
      <c r="Q55" s="790">
        <v>200</v>
      </c>
      <c r="R55" s="791">
        <v>63</v>
      </c>
      <c r="S55" s="191"/>
      <c r="T55" s="384"/>
    </row>
    <row r="56" spans="1:20">
      <c r="A56" s="308" t="s">
        <v>34</v>
      </c>
      <c r="B56" s="176" t="s">
        <v>34</v>
      </c>
      <c r="C56" s="176"/>
      <c r="D56" s="176"/>
      <c r="E56" s="784"/>
      <c r="F56" s="176"/>
      <c r="G56" s="176" t="s">
        <v>34</v>
      </c>
      <c r="H56" s="176"/>
      <c r="I56" s="176"/>
      <c r="J56" s="176"/>
      <c r="K56" s="176"/>
      <c r="L56" s="176"/>
      <c r="M56" s="176"/>
      <c r="N56" s="176"/>
      <c r="O56" s="308"/>
      <c r="P56" s="311"/>
      <c r="Q56" s="312"/>
      <c r="R56" s="312"/>
      <c r="S56" s="79"/>
    </row>
    <row r="57" spans="1:20">
      <c r="A57" s="308"/>
      <c r="B57" s="176" t="s">
        <v>34</v>
      </c>
      <c r="C57" s="176"/>
      <c r="D57" s="176"/>
      <c r="E57" s="784"/>
      <c r="F57" s="176"/>
      <c r="G57" s="176"/>
      <c r="H57" s="176"/>
      <c r="I57" s="176"/>
      <c r="J57" s="176"/>
      <c r="K57" s="308"/>
      <c r="L57" s="308"/>
      <c r="M57" s="308"/>
      <c r="N57" s="308"/>
      <c r="O57" s="308"/>
      <c r="P57" s="311"/>
      <c r="Q57" s="312"/>
      <c r="R57" s="312"/>
      <c r="S57" s="79"/>
    </row>
    <row r="58" spans="1:20">
      <c r="P58" s="311"/>
      <c r="Q58" s="312"/>
      <c r="R58" s="312"/>
      <c r="S58" s="79"/>
    </row>
    <row r="59" spans="1:20">
      <c r="B59" s="54" t="s">
        <v>1453</v>
      </c>
      <c r="Q59" s="79"/>
      <c r="R59" s="79"/>
      <c r="S59" s="79"/>
    </row>
    <row r="60" spans="1:20" ht="16.5" thickBot="1">
      <c r="K60" s="79"/>
      <c r="L60" s="79"/>
    </row>
    <row r="61" spans="1:20" ht="36" thickBot="1">
      <c r="B61" s="155" t="s">
        <v>1348</v>
      </c>
      <c r="C61" s="165" t="s">
        <v>1329</v>
      </c>
      <c r="D61" s="155" t="s">
        <v>1328</v>
      </c>
      <c r="E61" s="155" t="s">
        <v>1330</v>
      </c>
      <c r="F61" s="166" t="s">
        <v>1369</v>
      </c>
      <c r="G61" s="166" t="s">
        <v>1370</v>
      </c>
      <c r="H61" s="166" t="s">
        <v>1371</v>
      </c>
      <c r="I61" s="160" t="s">
        <v>1648</v>
      </c>
      <c r="K61" s="79"/>
      <c r="L61" s="79"/>
    </row>
    <row r="62" spans="1:20">
      <c r="B62" s="275" t="s">
        <v>1446</v>
      </c>
      <c r="C62" s="372"/>
      <c r="D62" s="206"/>
      <c r="E62" s="193">
        <f>C62*D62</f>
        <v>0</v>
      </c>
      <c r="F62" s="206"/>
      <c r="G62" s="309" t="s">
        <v>1516</v>
      </c>
      <c r="H62" s="309">
        <v>0</v>
      </c>
      <c r="I62" s="378"/>
    </row>
    <row r="63" spans="1:20">
      <c r="B63" s="178" t="s">
        <v>1447</v>
      </c>
      <c r="C63" s="189"/>
      <c r="D63" s="208"/>
      <c r="E63" s="194">
        <f>C63*D63</f>
        <v>0</v>
      </c>
      <c r="F63" s="208"/>
      <c r="G63" s="194" t="s">
        <v>1516</v>
      </c>
      <c r="H63" s="194">
        <v>0</v>
      </c>
      <c r="I63" s="380"/>
    </row>
    <row r="64" spans="1:20" ht="16" thickBot="1">
      <c r="B64" s="178" t="s">
        <v>1448</v>
      </c>
      <c r="C64" s="189"/>
      <c r="D64" s="208"/>
      <c r="E64" s="194">
        <f>C64*D64</f>
        <v>0</v>
      </c>
      <c r="F64" s="208"/>
      <c r="G64" s="194" t="s">
        <v>1516</v>
      </c>
      <c r="H64" s="194">
        <v>0</v>
      </c>
      <c r="I64" s="380"/>
      <c r="O64" s="36" t="s">
        <v>1661</v>
      </c>
    </row>
    <row r="65" spans="1:18" ht="16" thickBot="1">
      <c r="B65" s="178" t="s">
        <v>1452</v>
      </c>
      <c r="C65" s="189"/>
      <c r="D65" s="208"/>
      <c r="E65" s="194">
        <f>C65*D65</f>
        <v>0</v>
      </c>
      <c r="F65" s="208"/>
      <c r="G65" s="194" t="s">
        <v>1516</v>
      </c>
      <c r="H65" s="194">
        <v>0</v>
      </c>
      <c r="I65" s="380"/>
      <c r="O65" s="610">
        <v>10.14</v>
      </c>
    </row>
    <row r="66" spans="1:18">
      <c r="B66" s="178" t="s">
        <v>1549</v>
      </c>
      <c r="C66" s="189"/>
      <c r="D66" s="208"/>
      <c r="E66" s="194">
        <f>C66*D66</f>
        <v>0</v>
      </c>
      <c r="F66" s="208"/>
      <c r="G66" s="194" t="s">
        <v>1516</v>
      </c>
      <c r="H66" s="194">
        <v>0</v>
      </c>
      <c r="I66" s="380"/>
    </row>
    <row r="67" spans="1:18">
      <c r="B67" s="178" t="s">
        <v>1434</v>
      </c>
      <c r="C67" s="189">
        <v>4</v>
      </c>
      <c r="D67" s="208">
        <v>185</v>
      </c>
      <c r="E67" s="194">
        <f>D67*C67</f>
        <v>740</v>
      </c>
      <c r="F67" s="208">
        <v>2</v>
      </c>
      <c r="G67" s="194">
        <f>E67/$L$19</f>
        <v>72.978303747534511</v>
      </c>
      <c r="H67" s="194">
        <v>0</v>
      </c>
      <c r="I67" s="380"/>
    </row>
    <row r="68" spans="1:18" ht="31" thickBot="1">
      <c r="B68" s="177" t="s">
        <v>1436</v>
      </c>
      <c r="C68" s="375">
        <v>60</v>
      </c>
      <c r="D68" s="376">
        <v>12</v>
      </c>
      <c r="E68" s="391">
        <f>C68*D68</f>
        <v>720</v>
      </c>
      <c r="F68" s="219"/>
      <c r="G68" s="205"/>
      <c r="H68" s="205"/>
      <c r="I68" s="380"/>
      <c r="O68" s="682" t="s">
        <v>1753</v>
      </c>
      <c r="P68" s="683" t="s">
        <v>1754</v>
      </c>
      <c r="Q68" s="683" t="s">
        <v>1755</v>
      </c>
      <c r="R68" s="714" t="s">
        <v>1756</v>
      </c>
    </row>
    <row r="69" spans="1:18" ht="25" thickBot="1">
      <c r="B69" s="177" t="s">
        <v>1564</v>
      </c>
      <c r="C69" s="375"/>
      <c r="D69" s="219"/>
      <c r="E69" s="205"/>
      <c r="F69" s="219"/>
      <c r="G69" s="205"/>
      <c r="H69" s="205"/>
      <c r="I69" s="380"/>
      <c r="O69" s="710" t="s">
        <v>1757</v>
      </c>
      <c r="P69" s="711" t="s">
        <v>1758</v>
      </c>
      <c r="Q69" s="711" t="s">
        <v>1759</v>
      </c>
      <c r="R69" s="711" t="s">
        <v>1760</v>
      </c>
    </row>
    <row r="70" spans="1:18" ht="37" thickBot="1">
      <c r="B70" s="177" t="s">
        <v>1562</v>
      </c>
      <c r="C70" s="375"/>
      <c r="D70" s="219"/>
      <c r="E70" s="205"/>
      <c r="F70" s="219"/>
      <c r="G70" s="205"/>
      <c r="H70" s="205"/>
      <c r="I70" s="380"/>
      <c r="O70" s="712" t="s">
        <v>1761</v>
      </c>
      <c r="P70" s="713" t="s">
        <v>1762</v>
      </c>
      <c r="Q70" s="713" t="s">
        <v>1763</v>
      </c>
      <c r="R70" s="713" t="s">
        <v>1764</v>
      </c>
    </row>
    <row r="71" spans="1:18" ht="25" thickBot="1">
      <c r="B71" s="177" t="s">
        <v>1449</v>
      </c>
      <c r="C71" s="375">
        <f>14*4</f>
        <v>56</v>
      </c>
      <c r="D71" s="376">
        <v>8</v>
      </c>
      <c r="E71" s="392">
        <f>C71*D71</f>
        <v>448</v>
      </c>
      <c r="F71" s="219">
        <v>1</v>
      </c>
      <c r="G71" s="392">
        <f>E71</f>
        <v>448</v>
      </c>
      <c r="H71" s="205"/>
      <c r="I71" s="394">
        <f>G71</f>
        <v>448</v>
      </c>
      <c r="J71" s="36" t="s">
        <v>1647</v>
      </c>
      <c r="O71" s="710" t="s">
        <v>1765</v>
      </c>
      <c r="P71" s="711" t="s">
        <v>1766</v>
      </c>
      <c r="Q71" s="711" t="s">
        <v>1767</v>
      </c>
      <c r="R71" s="711" t="s">
        <v>1768</v>
      </c>
    </row>
    <row r="72" spans="1:18" ht="25" thickBot="1">
      <c r="B72" s="177" t="s">
        <v>1636</v>
      </c>
      <c r="C72" s="375">
        <f>2*2</f>
        <v>4</v>
      </c>
      <c r="D72" s="219">
        <v>274</v>
      </c>
      <c r="E72" s="205">
        <f>D72*C72</f>
        <v>1096</v>
      </c>
      <c r="F72" s="219">
        <v>2</v>
      </c>
      <c r="G72" s="205">
        <f>E72/$O$65</f>
        <v>108.08678500986193</v>
      </c>
      <c r="H72" s="205"/>
      <c r="I72" s="394">
        <f>G72</f>
        <v>108.08678500986193</v>
      </c>
      <c r="J72" s="36" t="s">
        <v>1835</v>
      </c>
      <c r="O72" s="712" t="s">
        <v>1769</v>
      </c>
      <c r="P72" s="713" t="s">
        <v>1770</v>
      </c>
      <c r="Q72" s="713" t="s">
        <v>1771</v>
      </c>
      <c r="R72" s="713" t="s">
        <v>1772</v>
      </c>
    </row>
    <row r="73" spans="1:18" ht="37" thickBot="1">
      <c r="B73" s="177" t="s">
        <v>1563</v>
      </c>
      <c r="C73" s="375"/>
      <c r="D73" s="219"/>
      <c r="E73" s="205"/>
      <c r="F73" s="219"/>
      <c r="G73" s="205"/>
      <c r="H73" s="205"/>
      <c r="I73" s="380"/>
      <c r="M73"/>
      <c r="O73" s="710" t="s">
        <v>1773</v>
      </c>
      <c r="P73" s="711" t="s">
        <v>1774</v>
      </c>
      <c r="Q73" s="711" t="s">
        <v>1775</v>
      </c>
      <c r="R73" s="711" t="s">
        <v>1776</v>
      </c>
    </row>
    <row r="74" spans="1:18" ht="25" thickBot="1">
      <c r="B74" s="180" t="s">
        <v>1435</v>
      </c>
      <c r="C74" s="186">
        <v>4</v>
      </c>
      <c r="D74" s="397">
        <v>118</v>
      </c>
      <c r="E74" s="195">
        <f>C74*D74</f>
        <v>472</v>
      </c>
      <c r="F74" s="213"/>
      <c r="G74" s="195" t="s">
        <v>1516</v>
      </c>
      <c r="H74" s="195">
        <v>0</v>
      </c>
      <c r="I74" s="380"/>
      <c r="O74" s="712" t="s">
        <v>1777</v>
      </c>
      <c r="P74" s="713" t="s">
        <v>1778</v>
      </c>
      <c r="Q74" s="713" t="s">
        <v>1767</v>
      </c>
      <c r="R74" s="713" t="s">
        <v>1772</v>
      </c>
    </row>
    <row r="75" spans="1:18" ht="25" thickBot="1">
      <c r="B75" s="161" t="s">
        <v>34</v>
      </c>
      <c r="C75" s="161" t="s">
        <v>34</v>
      </c>
      <c r="D75" s="161" t="s">
        <v>34</v>
      </c>
      <c r="E75" s="161"/>
      <c r="F75" s="161"/>
      <c r="G75" s="161"/>
      <c r="H75" s="307" t="s">
        <v>1370</v>
      </c>
      <c r="I75" s="768">
        <f>SUM(I62:I74)</f>
        <v>556.08678500986196</v>
      </c>
      <c r="J75" s="36" t="s">
        <v>34</v>
      </c>
      <c r="K75"/>
      <c r="O75" s="710" t="s">
        <v>1421</v>
      </c>
      <c r="P75" s="711" t="s">
        <v>1779</v>
      </c>
      <c r="Q75" s="711" t="s">
        <v>1780</v>
      </c>
      <c r="R75" s="711" t="s">
        <v>1781</v>
      </c>
    </row>
    <row r="76" spans="1:18" ht="27" thickBot="1">
      <c r="B76" s="453" t="s">
        <v>1649</v>
      </c>
      <c r="C76"/>
      <c r="D76"/>
      <c r="E76" s="71"/>
      <c r="F76"/>
      <c r="G76"/>
      <c r="H76"/>
      <c r="I76"/>
      <c r="J76"/>
      <c r="K76"/>
      <c r="O76" s="712" t="s">
        <v>1782</v>
      </c>
      <c r="P76" s="713" t="s">
        <v>1783</v>
      </c>
      <c r="Q76" s="713" t="s">
        <v>1784</v>
      </c>
      <c r="R76" s="713" t="s">
        <v>1785</v>
      </c>
    </row>
    <row r="77" spans="1:18" ht="32.25" thickBot="1">
      <c r="B77"/>
      <c r="C77"/>
      <c r="D77"/>
      <c r="E77" s="71"/>
      <c r="F77"/>
      <c r="G77"/>
      <c r="H77"/>
      <c r="I77"/>
      <c r="K77"/>
      <c r="L77"/>
      <c r="O77" s="684" t="s">
        <v>1786</v>
      </c>
      <c r="P77" s="685" t="s">
        <v>1787</v>
      </c>
      <c r="Q77" s="685" t="s">
        <v>1788</v>
      </c>
      <c r="R77" s="685" t="s">
        <v>1772</v>
      </c>
    </row>
    <row r="78" spans="1:18" ht="32.25" thickBot="1">
      <c r="C78" s="36" t="s">
        <v>1619</v>
      </c>
      <c r="D78" s="36" t="s">
        <v>1620</v>
      </c>
      <c r="E78" s="36"/>
      <c r="F78" s="36" t="s">
        <v>1620</v>
      </c>
      <c r="H78"/>
      <c r="I78"/>
      <c r="J78" t="s">
        <v>34</v>
      </c>
      <c r="K78" s="179"/>
      <c r="O78" s="686" t="s">
        <v>1789</v>
      </c>
      <c r="P78" s="687" t="s">
        <v>1790</v>
      </c>
      <c r="Q78" s="687" t="s">
        <v>1791</v>
      </c>
      <c r="R78" s="687" t="s">
        <v>1792</v>
      </c>
    </row>
    <row r="79" spans="1:18" ht="36" thickBot="1">
      <c r="B79" s="155" t="s">
        <v>1348</v>
      </c>
      <c r="C79" s="165" t="s">
        <v>1619</v>
      </c>
      <c r="D79" s="155" t="s">
        <v>1620</v>
      </c>
      <c r="E79" s="166" t="s">
        <v>1369</v>
      </c>
      <c r="F79" s="166" t="s">
        <v>1370</v>
      </c>
      <c r="G79" s="179"/>
      <c r="H79" s="409"/>
      <c r="I79" s="409"/>
      <c r="J79" s="409"/>
      <c r="K79" s="242"/>
      <c r="O79" s="684" t="s">
        <v>1793</v>
      </c>
      <c r="P79" s="685" t="s">
        <v>1794</v>
      </c>
      <c r="Q79" s="685" t="s">
        <v>1795</v>
      </c>
      <c r="R79" s="685" t="s">
        <v>1796</v>
      </c>
    </row>
    <row r="80" spans="1:18" ht="32.25" thickBot="1">
      <c r="A80" s="410" t="s">
        <v>34</v>
      </c>
      <c r="B80" s="472" t="s">
        <v>1617</v>
      </c>
      <c r="C80" s="473">
        <v>1750</v>
      </c>
      <c r="D80" s="471">
        <f>C80*12</f>
        <v>21000</v>
      </c>
      <c r="E80" s="470">
        <v>2</v>
      </c>
      <c r="F80" s="393">
        <f>D80/10.14</f>
        <v>2071.0059171597632</v>
      </c>
      <c r="G80" s="242"/>
      <c r="H80" s="242"/>
      <c r="I80" s="242"/>
      <c r="J80" s="243"/>
      <c r="M80" s="36" t="s">
        <v>34</v>
      </c>
      <c r="O80" s="686" t="s">
        <v>1797</v>
      </c>
      <c r="P80" s="687" t="s">
        <v>1798</v>
      </c>
      <c r="Q80" s="687" t="s">
        <v>1799</v>
      </c>
      <c r="R80" s="687" t="s">
        <v>1800</v>
      </c>
    </row>
    <row r="81" spans="2:18" ht="16.5" thickBot="1">
      <c r="M81" s="36">
        <v>147</v>
      </c>
      <c r="O81" s="684" t="s">
        <v>1801</v>
      </c>
      <c r="P81" s="685" t="s">
        <v>1802</v>
      </c>
      <c r="Q81" s="685" t="s">
        <v>1803</v>
      </c>
      <c r="R81" s="685">
        <v>8000</v>
      </c>
    </row>
    <row r="82" spans="2:18">
      <c r="K82" s="407" t="s">
        <v>1616</v>
      </c>
      <c r="M82" s="54">
        <v>546</v>
      </c>
    </row>
    <row r="83" spans="2:18">
      <c r="B83" s="405" t="s">
        <v>1614</v>
      </c>
      <c r="C83" s="406"/>
      <c r="D83" s="406"/>
      <c r="E83" s="467"/>
      <c r="F83" s="406"/>
      <c r="G83" s="406"/>
      <c r="H83" s="406"/>
      <c r="I83" s="406"/>
      <c r="J83" s="406" t="s">
        <v>1615</v>
      </c>
      <c r="K83">
        <f>J84*12</f>
        <v>0</v>
      </c>
      <c r="L83" s="36" t="s">
        <v>1438</v>
      </c>
      <c r="M83" s="36">
        <v>300</v>
      </c>
    </row>
    <row r="84" spans="2:18">
      <c r="B84" s="408"/>
      <c r="C84" s="408"/>
      <c r="D84" s="408"/>
      <c r="E84" s="468"/>
      <c r="F84" s="408"/>
      <c r="G84" s="408"/>
      <c r="H84" s="408"/>
      <c r="I84" s="408"/>
      <c r="J84" s="408"/>
      <c r="K84">
        <f>J85*12</f>
        <v>6000</v>
      </c>
      <c r="M84" s="36">
        <v>150</v>
      </c>
    </row>
    <row r="85" spans="2:18">
      <c r="B85" s="408" t="s">
        <v>1618</v>
      </c>
      <c r="C85" s="408"/>
      <c r="D85" s="408"/>
      <c r="E85" s="468"/>
      <c r="F85" s="408"/>
      <c r="G85" s="408"/>
      <c r="H85" s="408"/>
      <c r="I85" s="408"/>
      <c r="J85" s="408">
        <v>500</v>
      </c>
      <c r="K85" s="36">
        <v>49</v>
      </c>
      <c r="L85" s="36">
        <f t="shared" ref="L85:L90" si="2">K85*J86</f>
        <v>147</v>
      </c>
      <c r="M85" s="36">
        <v>5850</v>
      </c>
    </row>
    <row r="86" spans="2:18">
      <c r="I86" s="36" t="s">
        <v>1416</v>
      </c>
      <c r="J86" s="36">
        <v>3</v>
      </c>
      <c r="K86" s="54">
        <v>273</v>
      </c>
      <c r="L86" s="54">
        <f t="shared" si="2"/>
        <v>546</v>
      </c>
      <c r="M86" s="36">
        <v>2112.5</v>
      </c>
    </row>
    <row r="87" spans="2:18">
      <c r="I87" s="54" t="s">
        <v>1417</v>
      </c>
      <c r="J87" s="54">
        <v>2</v>
      </c>
      <c r="K87" s="36">
        <v>3</v>
      </c>
      <c r="L87" s="36">
        <f t="shared" si="2"/>
        <v>300</v>
      </c>
      <c r="M87" s="36">
        <v>16</v>
      </c>
    </row>
    <row r="88" spans="2:18">
      <c r="I88" s="36" t="s">
        <v>1418</v>
      </c>
      <c r="J88" s="36">
        <v>100</v>
      </c>
      <c r="K88" s="36">
        <v>1.5</v>
      </c>
      <c r="L88" s="36">
        <f t="shared" si="2"/>
        <v>150</v>
      </c>
      <c r="M88" s="36">
        <v>125</v>
      </c>
    </row>
    <row r="89" spans="2:18">
      <c r="I89" s="36" t="s">
        <v>1419</v>
      </c>
      <c r="J89" s="36">
        <v>100</v>
      </c>
      <c r="K89" s="36">
        <v>3.25</v>
      </c>
      <c r="L89" s="36">
        <f t="shared" si="2"/>
        <v>5850</v>
      </c>
      <c r="M89" s="36">
        <v>6</v>
      </c>
    </row>
    <row r="90" spans="2:18">
      <c r="I90" s="36" t="s">
        <v>1456</v>
      </c>
      <c r="J90" s="36">
        <v>1800</v>
      </c>
      <c r="K90" s="36">
        <v>3.25</v>
      </c>
      <c r="L90" s="36">
        <f t="shared" si="2"/>
        <v>2112.5</v>
      </c>
      <c r="M90" s="36">
        <v>15</v>
      </c>
    </row>
    <row r="91" spans="2:18">
      <c r="I91" s="36" t="s">
        <v>1420</v>
      </c>
      <c r="J91" s="36">
        <v>650</v>
      </c>
      <c r="K91" s="36">
        <v>0</v>
      </c>
      <c r="L91" s="36" t="s">
        <v>34</v>
      </c>
      <c r="M91" s="36">
        <v>4</v>
      </c>
    </row>
    <row r="92" spans="2:18">
      <c r="I92" s="36" t="s">
        <v>1421</v>
      </c>
      <c r="J92" s="36" t="s">
        <v>1422</v>
      </c>
      <c r="K92" s="36">
        <v>1.25</v>
      </c>
      <c r="L92" s="36">
        <f>K92*J93</f>
        <v>125</v>
      </c>
      <c r="M92" s="36">
        <v>14</v>
      </c>
    </row>
    <row r="93" spans="2:18">
      <c r="I93" s="36" t="s">
        <v>1423</v>
      </c>
      <c r="J93" s="36">
        <v>100</v>
      </c>
      <c r="K93" s="36">
        <v>0</v>
      </c>
      <c r="L93" s="36" t="s">
        <v>34</v>
      </c>
      <c r="M93" s="36">
        <v>100</v>
      </c>
    </row>
    <row r="94" spans="2:18">
      <c r="I94" s="36" t="s">
        <v>1424</v>
      </c>
      <c r="J94" s="36" t="s">
        <v>1422</v>
      </c>
      <c r="K94" s="36">
        <v>0</v>
      </c>
      <c r="L94" s="36" t="s">
        <v>34</v>
      </c>
      <c r="M94" s="36">
        <v>14</v>
      </c>
    </row>
    <row r="95" spans="2:18">
      <c r="I95" s="36" t="s">
        <v>1425</v>
      </c>
      <c r="J95" s="36" t="s">
        <v>1422</v>
      </c>
      <c r="K95" s="36">
        <v>0</v>
      </c>
      <c r="L95" s="36" t="s">
        <v>34</v>
      </c>
      <c r="M95" s="36">
        <v>64</v>
      </c>
    </row>
    <row r="96" spans="2:18">
      <c r="I96" s="36" t="s">
        <v>1426</v>
      </c>
      <c r="J96" s="36" t="s">
        <v>1422</v>
      </c>
      <c r="K96" s="36">
        <v>7</v>
      </c>
      <c r="L96" s="36">
        <f>K96*J97</f>
        <v>14</v>
      </c>
      <c r="M96" s="36">
        <v>600</v>
      </c>
    </row>
    <row r="97" spans="9:13">
      <c r="I97" s="36" t="s">
        <v>1427</v>
      </c>
      <c r="J97" s="36">
        <v>2</v>
      </c>
      <c r="K97" s="36">
        <v>1</v>
      </c>
      <c r="L97" s="36">
        <f>K97*J98</f>
        <v>100</v>
      </c>
      <c r="M97" s="36">
        <v>5100</v>
      </c>
    </row>
    <row r="98" spans="9:13">
      <c r="I98" s="36" t="s">
        <v>1428</v>
      </c>
      <c r="J98" s="36">
        <v>100</v>
      </c>
      <c r="K98" s="36">
        <v>7</v>
      </c>
      <c r="L98" s="36">
        <f>K98*J99</f>
        <v>14</v>
      </c>
      <c r="M98" s="36">
        <v>600</v>
      </c>
    </row>
    <row r="99" spans="9:13">
      <c r="I99" s="36" t="s">
        <v>1429</v>
      </c>
      <c r="J99" s="36">
        <v>2</v>
      </c>
      <c r="K99" s="36">
        <v>16</v>
      </c>
      <c r="L99" s="36">
        <f>K99*J100</f>
        <v>64</v>
      </c>
      <c r="M99" s="36">
        <v>1950</v>
      </c>
    </row>
    <row r="100" spans="9:13">
      <c r="I100" s="36" t="s">
        <v>1430</v>
      </c>
      <c r="J100" s="36">
        <v>4</v>
      </c>
      <c r="K100" s="36">
        <v>20</v>
      </c>
      <c r="L100" s="36">
        <f>K100*J101</f>
        <v>600</v>
      </c>
      <c r="M100" s="36">
        <v>472</v>
      </c>
    </row>
    <row r="101" spans="9:13">
      <c r="I101" s="36" t="s">
        <v>1431</v>
      </c>
      <c r="J101" s="36">
        <v>30</v>
      </c>
    </row>
  </sheetData>
  <pageMargins left="0.75" right="0.75" top="1" bottom="1" header="0.5" footer="0.5"/>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R63"/>
  <sheetViews>
    <sheetView workbookViewId="0">
      <selection activeCell="B4" sqref="A1:XFD1048576"/>
    </sheetView>
  </sheetViews>
  <sheetFormatPr baseColWidth="10" defaultColWidth="11" defaultRowHeight="15" x14ac:dyDescent="0"/>
  <cols>
    <col min="1" max="1" width="38" style="176" bestFit="1" customWidth="1"/>
    <col min="2" max="8" width="11" style="176"/>
    <col min="9" max="9" width="10.83203125" style="176" customWidth="1"/>
    <col min="10" max="16384" width="11" style="176"/>
  </cols>
  <sheetData>
    <row r="1" spans="1:16" s="236" customFormat="1" ht="25.5" customHeight="1">
      <c r="A1" s="234" t="s">
        <v>1368</v>
      </c>
    </row>
    <row r="3" spans="1:16" ht="16" thickBot="1"/>
    <row r="4" spans="1:16" ht="37" thickBot="1">
      <c r="B4" s="179"/>
      <c r="C4" s="155" t="s">
        <v>1348</v>
      </c>
      <c r="D4" s="165" t="s">
        <v>1373</v>
      </c>
      <c r="E4" s="155" t="s">
        <v>1376</v>
      </c>
      <c r="F4" s="155" t="s">
        <v>1593</v>
      </c>
      <c r="G4" s="166" t="s">
        <v>1370</v>
      </c>
      <c r="H4" s="155" t="s">
        <v>1375</v>
      </c>
      <c r="I4" s="155" t="s">
        <v>1374</v>
      </c>
      <c r="J4" s="166" t="s">
        <v>1369</v>
      </c>
      <c r="K4" s="166" t="s">
        <v>1370</v>
      </c>
      <c r="L4" s="166" t="s">
        <v>1371</v>
      </c>
      <c r="M4" s="158" t="s">
        <v>1338</v>
      </c>
      <c r="N4" s="159" t="s">
        <v>1339</v>
      </c>
      <c r="O4" s="159" t="s">
        <v>1340</v>
      </c>
      <c r="P4" s="160" t="s">
        <v>1341</v>
      </c>
    </row>
    <row r="5" spans="1:16">
      <c r="A5" s="176" t="s">
        <v>1805</v>
      </c>
      <c r="B5" s="174"/>
      <c r="C5" s="275" t="s">
        <v>1378</v>
      </c>
      <c r="D5" s="372">
        <v>100</v>
      </c>
      <c r="E5" s="381">
        <v>65</v>
      </c>
      <c r="F5" s="549">
        <f>E5*D5</f>
        <v>6500</v>
      </c>
      <c r="G5" s="611">
        <f>F5/$P$12</f>
        <v>641.02564102564099</v>
      </c>
      <c r="H5" s="549">
        <v>12</v>
      </c>
      <c r="I5" s="612">
        <f>D5*E5*H5</f>
        <v>78000</v>
      </c>
      <c r="J5" s="549">
        <v>2</v>
      </c>
      <c r="K5" s="611">
        <f>I5/$P$12</f>
        <v>7692.3076923076915</v>
      </c>
      <c r="L5" s="611">
        <f>K5</f>
        <v>7692.3076923076915</v>
      </c>
      <c r="M5" s="613">
        <v>1</v>
      </c>
      <c r="N5" s="613"/>
      <c r="O5" s="614"/>
      <c r="P5" s="309">
        <f>L5*M5 +L5*N5*$N$12</f>
        <v>7692.3076923076915</v>
      </c>
    </row>
    <row r="6" spans="1:16" ht="24">
      <c r="B6" s="174"/>
      <c r="C6" s="178" t="s">
        <v>1379</v>
      </c>
      <c r="D6" s="189">
        <v>50</v>
      </c>
      <c r="E6" s="382">
        <v>50</v>
      </c>
      <c r="F6" s="208">
        <f>E6*D6</f>
        <v>2500</v>
      </c>
      <c r="G6" s="615">
        <f>F6/$P$12</f>
        <v>246.54832347140038</v>
      </c>
      <c r="H6" s="208">
        <v>12</v>
      </c>
      <c r="I6" s="194">
        <f>D6*E6*H6</f>
        <v>30000</v>
      </c>
      <c r="J6" s="208">
        <v>2</v>
      </c>
      <c r="K6" s="615">
        <f>I6/$P$12</f>
        <v>2958.5798816568044</v>
      </c>
      <c r="L6" s="615">
        <f>K6</f>
        <v>2958.5798816568044</v>
      </c>
      <c r="M6" s="379">
        <v>1</v>
      </c>
      <c r="N6" s="379"/>
      <c r="O6" s="212"/>
      <c r="P6" s="615">
        <f>L6*M6 +L6*N6*$N$12</f>
        <v>2958.5798816568044</v>
      </c>
    </row>
    <row r="7" spans="1:16">
      <c r="A7" s="176" t="s">
        <v>1806</v>
      </c>
      <c r="B7" s="174"/>
      <c r="C7" s="178" t="s">
        <v>1682</v>
      </c>
      <c r="D7" s="189"/>
      <c r="E7" s="382"/>
      <c r="F7" s="208">
        <f>(705/10.14)*0.5</f>
        <v>34.763313609467453</v>
      </c>
      <c r="G7" s="194">
        <f>F7*12</f>
        <v>417.15976331360946</v>
      </c>
      <c r="H7" s="208"/>
      <c r="I7" s="194">
        <f>D7*E7</f>
        <v>0</v>
      </c>
      <c r="J7" s="208">
        <v>1</v>
      </c>
      <c r="K7" s="194" t="s">
        <v>1516</v>
      </c>
      <c r="L7" s="194">
        <f>G7</f>
        <v>417.15976331360946</v>
      </c>
      <c r="M7" s="379"/>
      <c r="N7" s="379"/>
      <c r="O7" s="212"/>
      <c r="P7" s="615">
        <f>L7</f>
        <v>417.15976331360946</v>
      </c>
    </row>
    <row r="8" spans="1:16">
      <c r="A8" s="176" t="s">
        <v>1836</v>
      </c>
      <c r="B8" s="769" t="s">
        <v>34</v>
      </c>
      <c r="C8" s="178" t="s">
        <v>1415</v>
      </c>
      <c r="D8" s="189"/>
      <c r="E8" s="382"/>
      <c r="F8" s="208">
        <f>(5000/10.14)</f>
        <v>493.09664694280076</v>
      </c>
      <c r="G8" s="194">
        <f>F8*12</f>
        <v>5917.1597633136089</v>
      </c>
      <c r="H8" s="208"/>
      <c r="I8" s="194">
        <f>D8*E8</f>
        <v>0</v>
      </c>
      <c r="J8" s="208">
        <v>1</v>
      </c>
      <c r="K8" s="194" t="s">
        <v>1516</v>
      </c>
      <c r="L8" s="194">
        <f>G8</f>
        <v>5917.1597633136089</v>
      </c>
      <c r="M8" s="208"/>
      <c r="N8" s="208"/>
      <c r="O8" s="212"/>
      <c r="P8" s="615">
        <f>L8</f>
        <v>5917.1597633136089</v>
      </c>
    </row>
    <row r="9" spans="1:16" ht="25" thickBot="1">
      <c r="B9" s="769" t="s">
        <v>34</v>
      </c>
      <c r="C9" s="180" t="s">
        <v>1491</v>
      </c>
      <c r="D9" s="186"/>
      <c r="E9" s="383"/>
      <c r="F9" s="213">
        <v>50</v>
      </c>
      <c r="G9" s="195">
        <f>F9*12</f>
        <v>600</v>
      </c>
      <c r="H9" s="213"/>
      <c r="I9" s="195">
        <f>G9</f>
        <v>600</v>
      </c>
      <c r="J9" s="213">
        <v>1</v>
      </c>
      <c r="K9" s="195">
        <f>I9</f>
        <v>600</v>
      </c>
      <c r="L9" s="195"/>
      <c r="M9" s="213"/>
      <c r="N9" s="213"/>
      <c r="O9" s="217"/>
      <c r="P9" s="615">
        <f>K9</f>
        <v>600</v>
      </c>
    </row>
    <row r="10" spans="1:16" ht="16" thickBot="1">
      <c r="B10" s="770"/>
      <c r="C10" s="307"/>
      <c r="D10" s="307"/>
      <c r="E10" s="307"/>
      <c r="F10" s="307"/>
      <c r="G10" s="307"/>
      <c r="H10" s="307"/>
      <c r="I10" s="307"/>
      <c r="J10" s="307"/>
      <c r="K10" s="307"/>
      <c r="L10" s="307"/>
      <c r="M10" s="307"/>
      <c r="N10" s="307"/>
      <c r="O10" s="436" t="s">
        <v>1372</v>
      </c>
      <c r="P10" s="768">
        <f>SUM(P5:P9)</f>
        <v>17585.207100591713</v>
      </c>
    </row>
    <row r="11" spans="1:16" ht="16" thickBot="1"/>
    <row r="12" spans="1:16" ht="16" thickBot="1">
      <c r="E12" s="176">
        <f>E5*D5</f>
        <v>6500</v>
      </c>
      <c r="M12" s="436" t="s">
        <v>1345</v>
      </c>
      <c r="N12" s="771">
        <v>0</v>
      </c>
      <c r="P12" s="772">
        <v>10.14</v>
      </c>
    </row>
    <row r="13" spans="1:16">
      <c r="A13" s="176" t="s">
        <v>1415</v>
      </c>
      <c r="N13" s="773" t="s">
        <v>1346</v>
      </c>
    </row>
    <row r="14" spans="1:16">
      <c r="M14" s="176" t="s">
        <v>1716</v>
      </c>
      <c r="P14" s="176" t="s">
        <v>1364</v>
      </c>
    </row>
    <row r="16" spans="1:16">
      <c r="A16" s="176" t="s">
        <v>679</v>
      </c>
      <c r="H16" s="176" t="s">
        <v>799</v>
      </c>
    </row>
    <row r="17" spans="1:15">
      <c r="H17" s="176" t="s">
        <v>800</v>
      </c>
    </row>
    <row r="18" spans="1:15">
      <c r="A18" s="176" t="s">
        <v>787</v>
      </c>
      <c r="B18" s="176" t="s">
        <v>794</v>
      </c>
      <c r="H18" s="176" t="s">
        <v>801</v>
      </c>
    </row>
    <row r="19" spans="1:15">
      <c r="A19" s="259" t="s">
        <v>788</v>
      </c>
      <c r="B19" s="176" t="s">
        <v>796</v>
      </c>
    </row>
    <row r="20" spans="1:15">
      <c r="A20" s="176" t="s">
        <v>789</v>
      </c>
      <c r="B20" s="774">
        <v>0.3</v>
      </c>
      <c r="H20" s="774">
        <v>0.3</v>
      </c>
      <c r="I20" s="176" t="s">
        <v>798</v>
      </c>
    </row>
    <row r="21" spans="1:15">
      <c r="A21" s="176" t="s">
        <v>795</v>
      </c>
      <c r="B21" s="774">
        <v>0.3</v>
      </c>
      <c r="H21" s="176" t="s">
        <v>844</v>
      </c>
    </row>
    <row r="22" spans="1:15">
      <c r="A22" s="176" t="s">
        <v>790</v>
      </c>
      <c r="B22" s="774">
        <v>0.65</v>
      </c>
      <c r="C22" s="176" t="s">
        <v>797</v>
      </c>
      <c r="H22" s="176" t="s">
        <v>845</v>
      </c>
      <c r="K22" s="176">
        <f>949*(2/3)</f>
        <v>632.66666666666663</v>
      </c>
      <c r="L22" s="259">
        <f>0.3*K22</f>
        <v>189.79999999999998</v>
      </c>
      <c r="M22" s="176" t="s">
        <v>846</v>
      </c>
    </row>
    <row r="23" spans="1:15">
      <c r="A23" s="176" t="s">
        <v>791</v>
      </c>
      <c r="H23" s="176" t="s">
        <v>802</v>
      </c>
      <c r="M23" s="176" t="s">
        <v>847</v>
      </c>
    </row>
    <row r="24" spans="1:15">
      <c r="A24" s="176" t="s">
        <v>792</v>
      </c>
      <c r="H24" s="176" t="s">
        <v>803</v>
      </c>
      <c r="M24" s="176" t="s">
        <v>848</v>
      </c>
    </row>
    <row r="25" spans="1:15">
      <c r="A25" s="176" t="s">
        <v>793</v>
      </c>
      <c r="H25" s="176" t="s">
        <v>804</v>
      </c>
      <c r="M25" s="176" t="s">
        <v>849</v>
      </c>
    </row>
    <row r="26" spans="1:15">
      <c r="A26" s="176" t="s">
        <v>1377</v>
      </c>
      <c r="H26" s="176" t="s">
        <v>805</v>
      </c>
    </row>
    <row r="27" spans="1:15">
      <c r="H27" s="176" t="s">
        <v>806</v>
      </c>
    </row>
    <row r="29" spans="1:15">
      <c r="H29" s="176" t="s">
        <v>807</v>
      </c>
      <c r="N29" s="176">
        <f>9000/L22</f>
        <v>47.418335089567968</v>
      </c>
      <c r="O29" s="176" t="s">
        <v>1380</v>
      </c>
    </row>
    <row r="30" spans="1:15">
      <c r="A30" s="259" t="s">
        <v>810</v>
      </c>
      <c r="H30" s="176" t="s">
        <v>850</v>
      </c>
    </row>
    <row r="32" spans="1:15">
      <c r="A32" s="176" t="s">
        <v>811</v>
      </c>
      <c r="H32" s="259" t="s">
        <v>841</v>
      </c>
      <c r="K32" s="176" t="s">
        <v>842</v>
      </c>
    </row>
    <row r="33" spans="1:18">
      <c r="A33" s="176" t="s">
        <v>812</v>
      </c>
      <c r="H33" s="176" t="s">
        <v>843</v>
      </c>
    </row>
    <row r="34" spans="1:18">
      <c r="A34" s="176" t="s">
        <v>813</v>
      </c>
    </row>
    <row r="35" spans="1:18">
      <c r="A35" s="176" t="s">
        <v>814</v>
      </c>
      <c r="I35" s="176" t="s">
        <v>851</v>
      </c>
    </row>
    <row r="36" spans="1:18">
      <c r="A36" s="176" t="s">
        <v>815</v>
      </c>
      <c r="I36" s="176" t="s">
        <v>852</v>
      </c>
    </row>
    <row r="37" spans="1:18">
      <c r="A37" s="176" t="s">
        <v>816</v>
      </c>
      <c r="I37" s="176" t="s">
        <v>853</v>
      </c>
    </row>
    <row r="38" spans="1:18">
      <c r="A38" s="176" t="s">
        <v>817</v>
      </c>
      <c r="I38" s="176" t="s">
        <v>854</v>
      </c>
    </row>
    <row r="39" spans="1:18">
      <c r="A39" s="176" t="s">
        <v>818</v>
      </c>
      <c r="I39" s="259" t="s">
        <v>855</v>
      </c>
      <c r="J39" s="259"/>
      <c r="K39" s="259"/>
      <c r="L39" s="259"/>
      <c r="M39" s="259"/>
      <c r="N39" s="259"/>
      <c r="O39" s="259"/>
      <c r="P39" s="259"/>
      <c r="Q39" s="259"/>
      <c r="R39" s="259"/>
    </row>
    <row r="40" spans="1:18">
      <c r="A40" s="176" t="s">
        <v>819</v>
      </c>
      <c r="I40" s="176" t="s">
        <v>856</v>
      </c>
    </row>
    <row r="41" spans="1:18">
      <c r="A41" s="176" t="s">
        <v>821</v>
      </c>
    </row>
    <row r="42" spans="1:18">
      <c r="A42" s="176" t="s">
        <v>820</v>
      </c>
    </row>
    <row r="43" spans="1:18">
      <c r="A43" s="176" t="s">
        <v>822</v>
      </c>
    </row>
    <row r="44" spans="1:18">
      <c r="A44" s="176" t="s">
        <v>823</v>
      </c>
      <c r="L44" s="176" t="s">
        <v>1366</v>
      </c>
    </row>
    <row r="45" spans="1:18">
      <c r="A45" s="176" t="s">
        <v>824</v>
      </c>
      <c r="L45" s="176" t="s">
        <v>1367</v>
      </c>
    </row>
    <row r="46" spans="1:18">
      <c r="A46" s="176" t="s">
        <v>825</v>
      </c>
    </row>
    <row r="47" spans="1:18">
      <c r="A47" s="176" t="s">
        <v>826</v>
      </c>
    </row>
    <row r="48" spans="1:18">
      <c r="A48" s="176" t="s">
        <v>827</v>
      </c>
    </row>
    <row r="49" spans="1:1">
      <c r="A49" s="176" t="s">
        <v>828</v>
      </c>
    </row>
    <row r="50" spans="1:1">
      <c r="A50" s="176" t="s">
        <v>829</v>
      </c>
    </row>
    <row r="51" spans="1:1">
      <c r="A51" s="176" t="s">
        <v>830</v>
      </c>
    </row>
    <row r="52" spans="1:1">
      <c r="A52" s="176" t="s">
        <v>831</v>
      </c>
    </row>
    <row r="53" spans="1:1">
      <c r="A53" s="176" t="s">
        <v>834</v>
      </c>
    </row>
    <row r="54" spans="1:1">
      <c r="A54" s="176" t="s">
        <v>832</v>
      </c>
    </row>
    <row r="55" spans="1:1">
      <c r="A55" s="176" t="s">
        <v>833</v>
      </c>
    </row>
    <row r="56" spans="1:1">
      <c r="A56" s="176" t="s">
        <v>835</v>
      </c>
    </row>
    <row r="57" spans="1:1">
      <c r="A57" s="176" t="s">
        <v>836</v>
      </c>
    </row>
    <row r="59" spans="1:1">
      <c r="A59" s="176" t="s">
        <v>837</v>
      </c>
    </row>
    <row r="60" spans="1:1">
      <c r="A60" s="176" t="s">
        <v>838</v>
      </c>
    </row>
    <row r="62" spans="1:1">
      <c r="A62" s="176" t="s">
        <v>839</v>
      </c>
    </row>
    <row r="63" spans="1:1">
      <c r="A63" s="176" t="s">
        <v>840</v>
      </c>
    </row>
  </sheetData>
  <pageMargins left="0.75" right="0.75" top="1" bottom="1" header="0.5" footer="0.5"/>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Y144"/>
  <sheetViews>
    <sheetView topLeftCell="B54" workbookViewId="0">
      <selection activeCell="Q73" sqref="Q73"/>
    </sheetView>
  </sheetViews>
  <sheetFormatPr baseColWidth="10" defaultColWidth="8.83203125" defaultRowHeight="15" x14ac:dyDescent="0"/>
  <cols>
    <col min="1" max="1" width="39.1640625" customWidth="1"/>
    <col min="2" max="2" width="10.1640625" customWidth="1"/>
    <col min="4" max="4" width="11.1640625" bestFit="1" customWidth="1"/>
    <col min="5" max="5" width="9.6640625" customWidth="1"/>
    <col min="7" max="7" width="7.6640625" customWidth="1"/>
    <col min="8" max="8" width="15.6640625" customWidth="1"/>
    <col min="12" max="12" width="3.6640625" customWidth="1"/>
    <col min="13" max="13" width="10.6640625" customWidth="1"/>
    <col min="14" max="14" width="9.33203125" customWidth="1"/>
    <col min="16" max="16" width="10.6640625" customWidth="1"/>
    <col min="17" max="17" width="12.33203125" customWidth="1"/>
    <col min="19" max="19" width="13" customWidth="1"/>
    <col min="20" max="20" width="8.83203125" customWidth="1"/>
    <col min="24" max="24" width="10.1640625" customWidth="1"/>
  </cols>
  <sheetData>
    <row r="1" spans="1:24" ht="16.5" thickBot="1">
      <c r="A1" t="s">
        <v>158</v>
      </c>
      <c r="B1" t="s">
        <v>34</v>
      </c>
      <c r="C1" t="s">
        <v>139</v>
      </c>
      <c r="D1" t="s">
        <v>1535</v>
      </c>
      <c r="F1" t="s">
        <v>1536</v>
      </c>
      <c r="H1" t="s">
        <v>1534</v>
      </c>
    </row>
    <row r="2" spans="1:24" ht="26.25" thickBot="1">
      <c r="A2" t="s">
        <v>1465</v>
      </c>
      <c r="B2" t="s">
        <v>1481</v>
      </c>
      <c r="D2" t="s">
        <v>1482</v>
      </c>
      <c r="M2" s="155" t="s">
        <v>1334</v>
      </c>
    </row>
    <row r="3" spans="1:24" ht="16.5" thickBot="1">
      <c r="A3" t="s">
        <v>121</v>
      </c>
      <c r="M3" s="552">
        <v>4.5797071871945301</v>
      </c>
    </row>
    <row r="4" spans="1:24">
      <c r="A4" t="s">
        <v>1538</v>
      </c>
      <c r="B4" t="s">
        <v>1492</v>
      </c>
      <c r="C4" t="s">
        <v>1474</v>
      </c>
      <c r="D4" t="s">
        <v>1537</v>
      </c>
    </row>
    <row r="5" spans="1:24">
      <c r="A5" t="s">
        <v>147</v>
      </c>
      <c r="B5" t="s">
        <v>1484</v>
      </c>
      <c r="C5" t="s">
        <v>1483</v>
      </c>
      <c r="M5" t="s">
        <v>1678</v>
      </c>
    </row>
    <row r="6" spans="1:24">
      <c r="A6" t="s">
        <v>1539</v>
      </c>
      <c r="B6" t="s">
        <v>1540</v>
      </c>
      <c r="M6" t="s">
        <v>1845</v>
      </c>
    </row>
    <row r="8" spans="1:24">
      <c r="A8" t="s">
        <v>148</v>
      </c>
      <c r="M8" s="324"/>
      <c r="N8" s="324" t="s">
        <v>1551</v>
      </c>
      <c r="O8" s="324"/>
      <c r="P8" s="324"/>
      <c r="Q8" s="324" t="s">
        <v>1558</v>
      </c>
    </row>
    <row r="9" spans="1:24" ht="31.5">
      <c r="M9" s="324"/>
      <c r="N9" s="363" t="s">
        <v>705</v>
      </c>
      <c r="O9" s="363" t="s">
        <v>1550</v>
      </c>
      <c r="P9" s="363" t="s">
        <v>1397</v>
      </c>
      <c r="Q9" s="363" t="s">
        <v>1550</v>
      </c>
      <c r="V9" t="s">
        <v>1666</v>
      </c>
      <c r="X9">
        <v>657.25272323830018</v>
      </c>
    </row>
    <row r="10" spans="1:24" ht="16.5" thickBot="1">
      <c r="A10" s="54" t="s">
        <v>133</v>
      </c>
      <c r="B10" t="s">
        <v>1652</v>
      </c>
      <c r="C10" t="s">
        <v>1653</v>
      </c>
      <c r="D10" t="s">
        <v>1711</v>
      </c>
      <c r="E10" t="s">
        <v>1654</v>
      </c>
      <c r="F10" t="s">
        <v>1735</v>
      </c>
      <c r="M10" s="324" t="s">
        <v>1552</v>
      </c>
      <c r="N10" s="324">
        <v>376815</v>
      </c>
      <c r="O10" s="324">
        <v>170800</v>
      </c>
      <c r="P10" s="324">
        <v>206100</v>
      </c>
      <c r="Q10" s="324">
        <v>170800</v>
      </c>
      <c r="V10" t="s">
        <v>1690</v>
      </c>
      <c r="X10">
        <v>1033.6975699580867</v>
      </c>
    </row>
    <row r="11" spans="1:24" ht="36.75">
      <c r="A11" t="s">
        <v>150</v>
      </c>
      <c r="B11" s="474" t="s">
        <v>1493</v>
      </c>
      <c r="C11">
        <v>1</v>
      </c>
      <c r="D11" s="623"/>
      <c r="E11">
        <f>Table10[[#This Row],[cost rand]]/$X$17</f>
        <v>0</v>
      </c>
      <c r="F11">
        <f>Table10[[#This Row],[cost USD]]/$M$3</f>
        <v>0</v>
      </c>
      <c r="G11" s="226"/>
      <c r="H11" s="227" t="s">
        <v>511</v>
      </c>
      <c r="I11" s="227"/>
      <c r="J11" s="227"/>
      <c r="K11" s="227"/>
      <c r="L11" s="228"/>
      <c r="M11" s="324" t="s">
        <v>1553</v>
      </c>
      <c r="N11" s="324">
        <f>N10/$R$12</f>
        <v>217.05933179723502</v>
      </c>
      <c r="O11" s="324">
        <f>O10/$R$12</f>
        <v>98.387096774193552</v>
      </c>
      <c r="P11" s="324">
        <f>P10/$R$12</f>
        <v>118.72119815668202</v>
      </c>
      <c r="Q11" s="324">
        <f>Q10/$R$12</f>
        <v>98.387096774193552</v>
      </c>
      <c r="R11" s="24" t="s">
        <v>1750</v>
      </c>
      <c r="V11" t="s">
        <v>1566</v>
      </c>
      <c r="X11">
        <v>1888.4479035921343</v>
      </c>
    </row>
    <row r="12" spans="1:24" ht="36.75">
      <c r="A12" t="s">
        <v>149</v>
      </c>
      <c r="B12" s="474" t="s">
        <v>1494</v>
      </c>
      <c r="C12">
        <v>35</v>
      </c>
      <c r="D12" s="623">
        <f t="shared" ref="D12:D17" si="0">S108</f>
        <v>12631.09090909091</v>
      </c>
      <c r="E12" s="625">
        <f>Table10[[#This Row],[cost rand]]/$X$17</f>
        <v>1245.6697149004842</v>
      </c>
      <c r="F12">
        <f>Table10[[#This Row],[cost USD]]/$M$3</f>
        <v>271.99767670377315</v>
      </c>
      <c r="G12" s="229" t="s">
        <v>1466</v>
      </c>
      <c r="H12" s="77" t="s">
        <v>1467</v>
      </c>
      <c r="I12" s="77" t="s">
        <v>1468</v>
      </c>
      <c r="J12" s="77" t="s">
        <v>1469</v>
      </c>
      <c r="K12" s="77"/>
      <c r="L12" s="230"/>
      <c r="N12">
        <f>N11/10</f>
        <v>21.705933179723502</v>
      </c>
      <c r="R12">
        <f>217*8</f>
        <v>1736</v>
      </c>
      <c r="V12" t="s">
        <v>1579</v>
      </c>
      <c r="X12">
        <v>245.30185359512279</v>
      </c>
    </row>
    <row r="13" spans="1:24" ht="25.5" thickBot="1">
      <c r="A13" t="s">
        <v>151</v>
      </c>
      <c r="B13" s="474" t="s">
        <v>1583</v>
      </c>
      <c r="C13">
        <f>N11*8</f>
        <v>1736.4746543778801</v>
      </c>
      <c r="D13" s="623">
        <f>Table10[[#This Row],[cost]]</f>
        <v>1736.4746543778801</v>
      </c>
      <c r="E13">
        <f>Table10[[#This Row],[cost rand]]/$X$17</f>
        <v>171.2499659149783</v>
      </c>
      <c r="F13">
        <f>Table10[[#This Row],[cost USD]]/$M$3</f>
        <v>37.393212909728369</v>
      </c>
      <c r="G13" s="231">
        <v>24</v>
      </c>
      <c r="H13" s="126">
        <v>12</v>
      </c>
      <c r="I13" s="126">
        <v>14</v>
      </c>
      <c r="J13" s="126" t="s">
        <v>1478</v>
      </c>
      <c r="K13" s="126"/>
      <c r="L13" s="232"/>
      <c r="V13" t="s">
        <v>1696</v>
      </c>
      <c r="X13">
        <v>1414.5844540075309</v>
      </c>
    </row>
    <row r="14" spans="1:24">
      <c r="A14" t="s">
        <v>159</v>
      </c>
      <c r="D14" s="623">
        <f t="shared" si="0"/>
        <v>0</v>
      </c>
      <c r="E14">
        <f>Table10[[#This Row],[cost rand]]/$X$17</f>
        <v>0</v>
      </c>
      <c r="F14">
        <f>Table10[[#This Row],[cost USD]]/$M$3</f>
        <v>0</v>
      </c>
      <c r="M14" t="s">
        <v>34</v>
      </c>
      <c r="V14" t="s">
        <v>1691</v>
      </c>
      <c r="X14">
        <v>4019.1014688787154</v>
      </c>
    </row>
    <row r="15" spans="1:24" ht="16.5" thickBot="1">
      <c r="A15" t="s">
        <v>160</v>
      </c>
      <c r="D15" s="623">
        <f t="shared" si="0"/>
        <v>0</v>
      </c>
      <c r="E15">
        <f>Table10[[#This Row],[cost rand]]/$X$17</f>
        <v>0</v>
      </c>
      <c r="F15">
        <f>Table10[[#This Row],[cost USD]]/$M$3</f>
        <v>0</v>
      </c>
      <c r="H15" s="38" t="s">
        <v>121</v>
      </c>
      <c r="I15" s="38"/>
    </row>
    <row r="16" spans="1:24" ht="16.5" thickBot="1">
      <c r="A16" t="s">
        <v>161</v>
      </c>
      <c r="D16" s="623">
        <f t="shared" si="0"/>
        <v>0</v>
      </c>
      <c r="E16">
        <f>Table10[[#This Row],[cost rand]]/$X$17</f>
        <v>0</v>
      </c>
      <c r="F16">
        <f>Table10[[#This Row],[cost USD]]/$M$3</f>
        <v>0</v>
      </c>
      <c r="H16" s="330" t="s">
        <v>34</v>
      </c>
      <c r="I16" s="322"/>
      <c r="J16" s="322" t="s">
        <v>1475</v>
      </c>
      <c r="K16" s="322"/>
      <c r="L16" s="322"/>
      <c r="M16" s="322"/>
      <c r="N16" s="327" t="s">
        <v>1554</v>
      </c>
      <c r="O16" s="331"/>
      <c r="P16" s="331"/>
      <c r="Q16" s="332"/>
      <c r="R16" s="322"/>
      <c r="S16" s="333"/>
      <c r="T16" s="90"/>
      <c r="X16" t="s">
        <v>1439</v>
      </c>
    </row>
    <row r="17" spans="1:25" ht="32.25" thickBot="1">
      <c r="A17" t="s">
        <v>162</v>
      </c>
      <c r="D17" s="623">
        <f t="shared" si="0"/>
        <v>0</v>
      </c>
      <c r="E17">
        <f>Table10[[#This Row],[cost rand]]/$X$17</f>
        <v>0</v>
      </c>
      <c r="F17">
        <f>Table10[[#This Row],[cost USD]]/$M$3</f>
        <v>0</v>
      </c>
      <c r="H17" s="360"/>
      <c r="I17" s="318" t="s">
        <v>1575</v>
      </c>
      <c r="J17" s="319" t="s">
        <v>1476</v>
      </c>
      <c r="K17" s="320"/>
      <c r="L17" s="323"/>
      <c r="M17" s="322" t="s">
        <v>1541</v>
      </c>
      <c r="N17" s="321" t="s">
        <v>1555</v>
      </c>
      <c r="O17" s="321" t="s">
        <v>1556</v>
      </c>
      <c r="P17" s="321" t="s">
        <v>1557</v>
      </c>
      <c r="Q17" s="321" t="s">
        <v>1559</v>
      </c>
      <c r="R17" s="555" t="s">
        <v>1438</v>
      </c>
      <c r="S17" s="348" t="s">
        <v>1560</v>
      </c>
      <c r="T17" s="649" t="s">
        <v>1683</v>
      </c>
      <c r="U17" s="559" t="s">
        <v>1683</v>
      </c>
      <c r="V17" t="s">
        <v>1684</v>
      </c>
      <c r="X17" s="560">
        <v>10.14</v>
      </c>
    </row>
    <row r="18" spans="1:25" ht="32.25" thickBot="1">
      <c r="C18" t="s">
        <v>51</v>
      </c>
      <c r="D18" s="623" t="s">
        <v>34</v>
      </c>
      <c r="E18" s="626">
        <f>SUM(E12:E13)</f>
        <v>1416.9196808154625</v>
      </c>
      <c r="F18" s="626">
        <f>SUM(F12:F13)</f>
        <v>309.39088961350154</v>
      </c>
      <c r="H18" s="469" t="s">
        <v>1573</v>
      </c>
      <c r="I18" s="354">
        <v>5</v>
      </c>
      <c r="J18" s="761" t="s">
        <v>1576</v>
      </c>
      <c r="K18" s="761"/>
      <c r="L18" s="761"/>
      <c r="M18" s="354">
        <v>7</v>
      </c>
      <c r="N18" s="357">
        <f>I18*$N$11</f>
        <v>1085.2966589861751</v>
      </c>
      <c r="O18" s="357"/>
      <c r="P18" s="357"/>
      <c r="Q18" s="357">
        <f>M18*0.2*Q11</f>
        <v>137.74193548387098</v>
      </c>
      <c r="R18" s="556">
        <f>SUM(N18:Q18)</f>
        <v>1223.0385944700461</v>
      </c>
      <c r="S18" s="491">
        <f>R18/M18</f>
        <v>174.71979921000658</v>
      </c>
      <c r="T18" s="650">
        <f>R18/$X$17</f>
        <v>120.61524600296312</v>
      </c>
      <c r="U18" s="438">
        <f>T18</f>
        <v>120.61524600296312</v>
      </c>
      <c r="V18" t="s">
        <v>34</v>
      </c>
      <c r="W18" s="438">
        <f>U18/$M$3</f>
        <v>26.336890345352074</v>
      </c>
    </row>
    <row r="19" spans="1:25" ht="32.25" thickBot="1">
      <c r="H19" s="492" t="s">
        <v>1574</v>
      </c>
      <c r="I19" s="334">
        <v>4</v>
      </c>
      <c r="J19" s="314" t="s">
        <v>1577</v>
      </c>
      <c r="K19" s="314"/>
      <c r="L19" s="314"/>
      <c r="M19" s="334">
        <v>7</v>
      </c>
      <c r="N19" s="335"/>
      <c r="O19" s="336">
        <f>I19*$O$11</f>
        <v>393.54838709677421</v>
      </c>
      <c r="P19" s="336"/>
      <c r="Q19" s="336"/>
      <c r="R19" s="557">
        <f>SUM(N19:Q19)</f>
        <v>393.54838709677421</v>
      </c>
      <c r="S19" s="369">
        <f>R19/M19</f>
        <v>56.221198156682028</v>
      </c>
      <c r="T19" s="650">
        <f>R19/$X$17</f>
        <v>38.811478017433352</v>
      </c>
      <c r="U19" s="438">
        <f>T19</f>
        <v>38.811478017433352</v>
      </c>
      <c r="V19" t="s">
        <v>34</v>
      </c>
      <c r="W19" s="438">
        <f t="shared" ref="W19:W20" si="1">U19/$M$3</f>
        <v>8.4746636479195452</v>
      </c>
    </row>
    <row r="20" spans="1:25" ht="16.5" thickBot="1">
      <c r="G20" s="490" t="s">
        <v>1610</v>
      </c>
      <c r="H20" s="550" t="s">
        <v>1733</v>
      </c>
      <c r="I20" s="551"/>
      <c r="J20" s="551"/>
      <c r="K20" s="551" t="s">
        <v>1852</v>
      </c>
      <c r="L20" s="551"/>
      <c r="M20" s="551"/>
      <c r="N20" s="551"/>
      <c r="O20" s="551"/>
      <c r="P20" s="551"/>
      <c r="Q20" s="551"/>
      <c r="R20" s="551"/>
      <c r="S20" s="370">
        <v>600</v>
      </c>
      <c r="U20" s="438">
        <f>S20</f>
        <v>600</v>
      </c>
      <c r="W20" s="438">
        <f t="shared" si="1"/>
        <v>131.01274284034571</v>
      </c>
    </row>
    <row r="21" spans="1:25" ht="16.5" thickBot="1">
      <c r="H21" s="69"/>
      <c r="I21" s="69"/>
      <c r="J21" s="69"/>
      <c r="K21" s="69"/>
      <c r="L21" s="69"/>
      <c r="M21" s="69"/>
      <c r="N21" s="69"/>
      <c r="O21" s="69"/>
      <c r="P21" s="69"/>
      <c r="Q21" s="69"/>
      <c r="R21" s="69"/>
      <c r="S21" s="69"/>
      <c r="T21" t="s">
        <v>51</v>
      </c>
      <c r="U21" s="561">
        <f>SUM(U18:U20)</f>
        <v>759.42672402039648</v>
      </c>
      <c r="W21" s="750">
        <f>SUM(W18:W20)</f>
        <v>165.82429683361732</v>
      </c>
    </row>
    <row r="22" spans="1:25" ht="16.5" thickBot="1">
      <c r="A22" s="81"/>
      <c r="B22" s="62"/>
      <c r="C22" s="62"/>
      <c r="D22" s="82"/>
      <c r="H22" s="38" t="s">
        <v>1567</v>
      </c>
      <c r="I22" s="38"/>
      <c r="J22" s="38"/>
      <c r="K22" t="s">
        <v>34</v>
      </c>
      <c r="M22" t="s">
        <v>34</v>
      </c>
      <c r="P22" t="s">
        <v>1594</v>
      </c>
    </row>
    <row r="23" spans="1:25" ht="27" thickBot="1">
      <c r="A23" s="76" t="s">
        <v>809</v>
      </c>
      <c r="B23" s="77"/>
      <c r="C23" s="77"/>
      <c r="D23" s="83"/>
      <c r="H23" s="758" t="s">
        <v>1568</v>
      </c>
      <c r="I23" s="325" t="s">
        <v>1477</v>
      </c>
      <c r="J23" s="326"/>
      <c r="K23" s="326"/>
      <c r="L23" s="326"/>
      <c r="M23" s="326"/>
      <c r="N23" s="326"/>
      <c r="O23" s="326"/>
      <c r="P23" s="352" t="s">
        <v>1554</v>
      </c>
      <c r="Q23" s="328"/>
      <c r="R23" s="329"/>
      <c r="S23" s="758" t="s">
        <v>1560</v>
      </c>
      <c r="T23" s="559" t="s">
        <v>1685</v>
      </c>
      <c r="U23" s="649" t="s">
        <v>1370</v>
      </c>
      <c r="V23" s="559" t="s">
        <v>1734</v>
      </c>
      <c r="W23" s="559" t="s">
        <v>1687</v>
      </c>
    </row>
    <row r="24" spans="1:25" ht="16.5" thickBot="1">
      <c r="A24" s="76" t="s">
        <v>691</v>
      </c>
      <c r="B24" s="77" t="s">
        <v>695</v>
      </c>
      <c r="C24" s="77"/>
      <c r="D24" s="83"/>
      <c r="E24" t="s">
        <v>1470</v>
      </c>
      <c r="H24" s="760"/>
      <c r="I24" s="77" t="s">
        <v>1469</v>
      </c>
      <c r="J24" s="77"/>
      <c r="K24" s="77"/>
      <c r="L24" s="77"/>
      <c r="M24" s="77"/>
      <c r="N24" s="77"/>
      <c r="O24" s="77"/>
      <c r="P24" s="315" t="s">
        <v>1390</v>
      </c>
      <c r="Q24" s="315" t="s">
        <v>1399</v>
      </c>
      <c r="R24" s="77" t="s">
        <v>38</v>
      </c>
      <c r="S24" s="759"/>
      <c r="T24" s="559" t="s">
        <v>1686</v>
      </c>
      <c r="U24" s="649"/>
      <c r="V24" s="559"/>
      <c r="X24" s="156" t="s">
        <v>1381</v>
      </c>
      <c r="Y24" s="566" t="s">
        <v>1329</v>
      </c>
    </row>
    <row r="25" spans="1:25" ht="23.25" thickBot="1">
      <c r="A25" s="76" t="s">
        <v>692</v>
      </c>
      <c r="B25" s="77" t="s">
        <v>696</v>
      </c>
      <c r="C25" s="77"/>
      <c r="D25" s="83"/>
      <c r="E25" t="s">
        <v>1471</v>
      </c>
      <c r="G25" s="77"/>
      <c r="H25" s="349">
        <f>3.5*7</f>
        <v>24.5</v>
      </c>
      <c r="I25" s="77" t="s">
        <v>1474</v>
      </c>
      <c r="J25" s="77"/>
      <c r="K25" s="77"/>
      <c r="L25" s="77"/>
      <c r="M25" s="77" t="s">
        <v>1561</v>
      </c>
      <c r="N25" s="77"/>
      <c r="O25" s="77"/>
      <c r="P25" s="316">
        <f>H25*N11</f>
        <v>5317.9536290322576</v>
      </c>
      <c r="Q25" s="316">
        <f>H25*Q11</f>
        <v>2410.483870967742</v>
      </c>
      <c r="R25" s="313">
        <f>SUM(P25:Q25)</f>
        <v>7728.4375</v>
      </c>
      <c r="S25" s="351">
        <f>R25/24</f>
        <v>322.01822916666669</v>
      </c>
      <c r="T25" s="616">
        <f>S25*Y35</f>
        <v>10626.6015625</v>
      </c>
      <c r="U25" s="650">
        <f>T25/$X$17</f>
        <v>1047.9883197731756</v>
      </c>
      <c r="V25" s="561">
        <f>U25</f>
        <v>1047.9883197731756</v>
      </c>
      <c r="W25" s="750">
        <f>V25/M3</f>
        <v>228.83304039688176</v>
      </c>
      <c r="X25" s="562" t="s">
        <v>1443</v>
      </c>
      <c r="Y25" s="567">
        <v>1</v>
      </c>
    </row>
    <row r="26" spans="1:25" ht="23.25" thickBot="1">
      <c r="A26" s="76" t="s">
        <v>1388</v>
      </c>
      <c r="B26" s="77" t="s">
        <v>697</v>
      </c>
      <c r="C26" s="77"/>
      <c r="D26" s="83"/>
      <c r="E26">
        <f>5*7</f>
        <v>35</v>
      </c>
      <c r="H26" s="350" t="s">
        <v>1407</v>
      </c>
      <c r="I26" s="126" t="s">
        <v>1569</v>
      </c>
      <c r="J26" s="126"/>
      <c r="K26" s="126"/>
      <c r="L26" s="126"/>
      <c r="M26" s="126"/>
      <c r="N26" s="126"/>
      <c r="O26" s="126"/>
      <c r="P26" s="317"/>
      <c r="Q26" s="317"/>
      <c r="R26" s="126"/>
      <c r="S26" s="346"/>
      <c r="U26" s="90"/>
      <c r="X26" s="563" t="s">
        <v>1397</v>
      </c>
      <c r="Y26" s="567">
        <v>1</v>
      </c>
    </row>
    <row r="27" spans="1:25">
      <c r="A27" s="475" t="s">
        <v>693</v>
      </c>
      <c r="B27" s="77" t="s">
        <v>698</v>
      </c>
      <c r="C27" s="77"/>
      <c r="D27" s="83"/>
      <c r="E27">
        <f>E26/60</f>
        <v>0.58333333333333337</v>
      </c>
      <c r="I27" s="77"/>
      <c r="J27" s="77"/>
      <c r="K27" s="77"/>
      <c r="L27" s="77"/>
      <c r="M27" s="77"/>
      <c r="N27" s="77"/>
      <c r="O27" s="77"/>
      <c r="P27" s="77"/>
      <c r="Q27" s="77"/>
      <c r="R27" s="77" t="s">
        <v>34</v>
      </c>
      <c r="S27" s="77"/>
      <c r="X27" s="562" t="s">
        <v>573</v>
      </c>
      <c r="Y27" s="567">
        <v>4</v>
      </c>
    </row>
    <row r="28" spans="1:25" ht="23.25" thickBot="1">
      <c r="A28" s="33" t="s">
        <v>694</v>
      </c>
      <c r="B28" s="34"/>
      <c r="C28" s="34"/>
      <c r="D28" s="84"/>
      <c r="H28" s="38" t="s">
        <v>1566</v>
      </c>
      <c r="N28" t="s">
        <v>34</v>
      </c>
      <c r="X28" s="562" t="s">
        <v>1515</v>
      </c>
      <c r="Y28" s="567">
        <v>20</v>
      </c>
    </row>
    <row r="29" spans="1:25" ht="23.25" thickBot="1">
      <c r="H29" s="330" t="s">
        <v>34</v>
      </c>
      <c r="I29" s="322"/>
      <c r="J29" s="322" t="s">
        <v>1475</v>
      </c>
      <c r="K29" s="322"/>
      <c r="L29" s="322"/>
      <c r="M29" s="322"/>
      <c r="N29" s="327" t="s">
        <v>1595</v>
      </c>
      <c r="O29" s="331"/>
      <c r="P29" s="331"/>
      <c r="Q29" s="332"/>
      <c r="R29" s="322"/>
      <c r="S29" s="333"/>
      <c r="T29" t="s">
        <v>1704</v>
      </c>
      <c r="X29" s="562" t="s">
        <v>511</v>
      </c>
      <c r="Y29" s="567">
        <v>5</v>
      </c>
    </row>
    <row r="30" spans="1:25" ht="39.75" thickBot="1">
      <c r="B30" t="s">
        <v>699</v>
      </c>
      <c r="H30" s="360" t="s">
        <v>1381</v>
      </c>
      <c r="I30" s="318" t="s">
        <v>1470</v>
      </c>
      <c r="J30" s="319" t="s">
        <v>1476</v>
      </c>
      <c r="K30" s="320"/>
      <c r="L30" s="323"/>
      <c r="M30" s="322" t="s">
        <v>1541</v>
      </c>
      <c r="N30" s="321" t="s">
        <v>1555</v>
      </c>
      <c r="O30" s="321" t="s">
        <v>1556</v>
      </c>
      <c r="P30" s="321" t="s">
        <v>1557</v>
      </c>
      <c r="Q30" s="321" t="s">
        <v>1559</v>
      </c>
      <c r="R30" s="347" t="s">
        <v>1438</v>
      </c>
      <c r="S30" s="617" t="s">
        <v>1560</v>
      </c>
      <c r="T30" s="558" t="s">
        <v>1467</v>
      </c>
      <c r="U30" s="559" t="s">
        <v>1689</v>
      </c>
      <c r="V30" s="559" t="s">
        <v>1370</v>
      </c>
      <c r="W30" s="559" t="s">
        <v>1861</v>
      </c>
      <c r="X30" s="562" t="s">
        <v>1404</v>
      </c>
      <c r="Y30" s="567">
        <v>1</v>
      </c>
    </row>
    <row r="31" spans="1:25">
      <c r="B31" t="s">
        <v>700</v>
      </c>
      <c r="G31">
        <v>1</v>
      </c>
      <c r="H31" s="343" t="s">
        <v>1398</v>
      </c>
      <c r="I31" s="354">
        <v>4</v>
      </c>
      <c r="J31" s="314" t="s">
        <v>1391</v>
      </c>
      <c r="K31" s="355"/>
      <c r="L31" s="355"/>
      <c r="M31" s="354">
        <v>5</v>
      </c>
      <c r="N31" s="356">
        <f t="shared" ref="N31:N38" si="2">I31*$N$11</f>
        <v>868.23732718894007</v>
      </c>
      <c r="O31" s="357"/>
      <c r="P31" s="357"/>
      <c r="Q31" s="357"/>
      <c r="R31" s="358">
        <f t="shared" ref="R31:R40" si="3">SUM(N31:Q31)</f>
        <v>868.23732718894007</v>
      </c>
      <c r="S31" s="618">
        <f>R31/M31</f>
        <v>173.64746543778801</v>
      </c>
      <c r="T31">
        <v>2</v>
      </c>
      <c r="U31" s="438">
        <f>R31/2</f>
        <v>434.11866359447004</v>
      </c>
      <c r="V31" s="438">
        <f>U31/$X$17</f>
        <v>42.812491478744576</v>
      </c>
      <c r="W31" s="438">
        <f>V31/$M$3</f>
        <v>9.3483032274320923</v>
      </c>
      <c r="X31" s="562" t="s">
        <v>14</v>
      </c>
      <c r="Y31" s="567">
        <v>1</v>
      </c>
    </row>
    <row r="32" spans="1:25">
      <c r="G32">
        <v>2</v>
      </c>
      <c r="H32" s="344" t="s">
        <v>1472</v>
      </c>
      <c r="I32" s="334">
        <v>4</v>
      </c>
      <c r="J32" s="314" t="s">
        <v>1483</v>
      </c>
      <c r="K32" s="314"/>
      <c r="L32" s="314"/>
      <c r="M32" s="334">
        <v>4</v>
      </c>
      <c r="N32" s="335">
        <f t="shared" si="2"/>
        <v>868.23732718894007</v>
      </c>
      <c r="O32" s="336">
        <f>I32*$O$11</f>
        <v>393.54838709677421</v>
      </c>
      <c r="P32" s="336"/>
      <c r="Q32" s="336">
        <f>I32*$Q$11</f>
        <v>393.54838709677421</v>
      </c>
      <c r="R32" s="337">
        <f t="shared" si="3"/>
        <v>1655.3341013824884</v>
      </c>
      <c r="S32" s="619">
        <f t="shared" ref="S32:S40" si="4">R32/M32</f>
        <v>413.83352534562209</v>
      </c>
      <c r="T32">
        <v>20</v>
      </c>
      <c r="U32" s="438">
        <f>R32*5</f>
        <v>8276.6705069124419</v>
      </c>
      <c r="V32" s="438">
        <f t="shared" ref="V32:V40" si="5">U32/$X$17</f>
        <v>816.23969496177926</v>
      </c>
      <c r="W32" s="438">
        <f t="shared" ref="W32:W40" si="6">V32/$M$3</f>
        <v>178.22966875351636</v>
      </c>
      <c r="X32" s="562" t="s">
        <v>1398</v>
      </c>
      <c r="Y32" s="567">
        <v>4</v>
      </c>
    </row>
    <row r="33" spans="1:25" ht="16.5" thickBot="1">
      <c r="C33" t="s">
        <v>77</v>
      </c>
      <c r="D33" t="s">
        <v>76</v>
      </c>
      <c r="G33">
        <v>3</v>
      </c>
      <c r="H33" s="344" t="s">
        <v>573</v>
      </c>
      <c r="I33" s="334">
        <v>8</v>
      </c>
      <c r="J33" s="314" t="s">
        <v>1483</v>
      </c>
      <c r="K33" s="314"/>
      <c r="L33" s="314"/>
      <c r="M33" s="334">
        <v>4</v>
      </c>
      <c r="N33" s="335">
        <f t="shared" si="2"/>
        <v>1736.4746543778801</v>
      </c>
      <c r="O33" s="336">
        <f>I33*$O$11</f>
        <v>787.09677419354841</v>
      </c>
      <c r="P33" s="336"/>
      <c r="Q33" s="336">
        <f>I33*$Q$11</f>
        <v>787.09677419354841</v>
      </c>
      <c r="R33" s="337">
        <f t="shared" si="3"/>
        <v>3310.6682027649767</v>
      </c>
      <c r="S33" s="619">
        <f t="shared" si="4"/>
        <v>827.66705069124419</v>
      </c>
      <c r="T33">
        <v>2</v>
      </c>
      <c r="U33" s="438">
        <f>R33/T33</f>
        <v>1655.3341013824884</v>
      </c>
      <c r="V33" s="438">
        <f t="shared" si="5"/>
        <v>163.24793899235584</v>
      </c>
      <c r="W33" s="438">
        <f t="shared" si="6"/>
        <v>35.645933750703271</v>
      </c>
      <c r="X33" s="564" t="s">
        <v>1403</v>
      </c>
      <c r="Y33" s="568">
        <v>1</v>
      </c>
    </row>
    <row r="34" spans="1:25" ht="16.5" thickBot="1">
      <c r="A34" t="s">
        <v>573</v>
      </c>
      <c r="B34">
        <v>4</v>
      </c>
      <c r="C34">
        <v>1</v>
      </c>
      <c r="D34">
        <v>3</v>
      </c>
      <c r="G34">
        <v>4</v>
      </c>
      <c r="H34" s="344" t="s">
        <v>1473</v>
      </c>
      <c r="I34" s="334">
        <v>8</v>
      </c>
      <c r="J34" s="314" t="s">
        <v>1483</v>
      </c>
      <c r="K34" s="314"/>
      <c r="L34" s="314"/>
      <c r="M34" s="334">
        <v>1</v>
      </c>
      <c r="N34" s="335">
        <f t="shared" si="2"/>
        <v>1736.4746543778801</v>
      </c>
      <c r="O34" s="336">
        <f>I34*$O$11</f>
        <v>787.09677419354841</v>
      </c>
      <c r="P34" s="336"/>
      <c r="Q34" s="336">
        <f>I34*$Q$11</f>
        <v>787.09677419354841</v>
      </c>
      <c r="R34" s="337">
        <f t="shared" si="3"/>
        <v>3310.6682027649767</v>
      </c>
      <c r="S34" s="619">
        <f t="shared" si="4"/>
        <v>3310.6682027649767</v>
      </c>
      <c r="T34">
        <v>1</v>
      </c>
      <c r="U34" s="438">
        <f>R34</f>
        <v>3310.6682027649767</v>
      </c>
      <c r="V34" s="438">
        <f t="shared" si="5"/>
        <v>326.49587798471168</v>
      </c>
      <c r="W34" s="438">
        <f t="shared" si="6"/>
        <v>71.291867501406543</v>
      </c>
    </row>
    <row r="35" spans="1:25" ht="32.25" thickBot="1">
      <c r="A35" t="s">
        <v>574</v>
      </c>
      <c r="B35">
        <v>6</v>
      </c>
      <c r="C35">
        <v>2</v>
      </c>
      <c r="D35">
        <v>4</v>
      </c>
      <c r="G35">
        <v>5</v>
      </c>
      <c r="H35" s="344" t="s">
        <v>1480</v>
      </c>
      <c r="I35" s="334">
        <v>8</v>
      </c>
      <c r="J35" s="314" t="s">
        <v>1483</v>
      </c>
      <c r="K35" s="314"/>
      <c r="L35" s="314"/>
      <c r="M35" s="334">
        <v>7</v>
      </c>
      <c r="N35" s="335">
        <f t="shared" si="2"/>
        <v>1736.4746543778801</v>
      </c>
      <c r="O35" s="336">
        <f>I35*$O$11</f>
        <v>787.09677419354841</v>
      </c>
      <c r="P35" s="336"/>
      <c r="Q35" s="336">
        <f>I35*$Q$11</f>
        <v>787.09677419354841</v>
      </c>
      <c r="R35" s="337">
        <f t="shared" si="3"/>
        <v>3310.6682027649767</v>
      </c>
      <c r="S35" s="619">
        <f t="shared" si="4"/>
        <v>472.95260039499669</v>
      </c>
      <c r="U35" s="438"/>
      <c r="V35" s="438">
        <f t="shared" si="5"/>
        <v>0</v>
      </c>
      <c r="W35" s="438">
        <f t="shared" si="6"/>
        <v>0</v>
      </c>
      <c r="X35" s="565" t="s">
        <v>1688</v>
      </c>
      <c r="Y35" s="560">
        <f>SUM(Y25:Y33)-5</f>
        <v>33</v>
      </c>
    </row>
    <row r="36" spans="1:25" ht="47.25">
      <c r="A36" t="s">
        <v>701</v>
      </c>
      <c r="B36">
        <v>1</v>
      </c>
      <c r="C36">
        <v>0</v>
      </c>
      <c r="D36">
        <v>1</v>
      </c>
      <c r="G36">
        <v>6</v>
      </c>
      <c r="H36" s="344" t="s">
        <v>1408</v>
      </c>
      <c r="I36" s="334">
        <v>4</v>
      </c>
      <c r="J36" s="314" t="s">
        <v>1488</v>
      </c>
      <c r="K36" s="314"/>
      <c r="L36" s="314"/>
      <c r="M36" s="334">
        <v>2</v>
      </c>
      <c r="N36" s="335">
        <f t="shared" si="2"/>
        <v>868.23732718894007</v>
      </c>
      <c r="O36" s="336" t="s">
        <v>34</v>
      </c>
      <c r="P36" s="336">
        <f>$P$11*I36</f>
        <v>474.88479262672809</v>
      </c>
      <c r="Q36" s="336"/>
      <c r="R36" s="337">
        <f t="shared" si="3"/>
        <v>1343.1221198156682</v>
      </c>
      <c r="S36" s="619">
        <f t="shared" si="4"/>
        <v>671.56105990783408</v>
      </c>
      <c r="T36">
        <v>1</v>
      </c>
      <c r="U36" s="438">
        <f>R36/2</f>
        <v>671.56105990783408</v>
      </c>
      <c r="V36" s="438">
        <f t="shared" si="5"/>
        <v>66.228901371581273</v>
      </c>
      <c r="W36" s="438">
        <f t="shared" si="6"/>
        <v>14.461383373322661</v>
      </c>
    </row>
    <row r="37" spans="1:25" ht="31.5">
      <c r="A37" t="s">
        <v>702</v>
      </c>
      <c r="B37">
        <v>4</v>
      </c>
      <c r="C37">
        <v>3</v>
      </c>
      <c r="D37">
        <v>1</v>
      </c>
      <c r="G37">
        <v>7</v>
      </c>
      <c r="H37" s="344" t="s">
        <v>511</v>
      </c>
      <c r="I37" s="334">
        <v>8</v>
      </c>
      <c r="J37" s="314" t="s">
        <v>1488</v>
      </c>
      <c r="K37" s="314"/>
      <c r="L37" s="314"/>
      <c r="M37" s="334">
        <v>12</v>
      </c>
      <c r="N37" s="335">
        <f t="shared" si="2"/>
        <v>1736.4746543778801</v>
      </c>
      <c r="O37" s="336"/>
      <c r="P37" s="336">
        <f>$P$11*I37</f>
        <v>949.76958525345617</v>
      </c>
      <c r="Q37" s="336"/>
      <c r="R37" s="337">
        <f t="shared" si="3"/>
        <v>2686.2442396313363</v>
      </c>
      <c r="S37" s="619">
        <f t="shared" si="4"/>
        <v>223.85368663594468</v>
      </c>
      <c r="T37">
        <v>5</v>
      </c>
      <c r="U37" s="438">
        <f>R37/2</f>
        <v>1343.1221198156682</v>
      </c>
      <c r="V37" s="438">
        <f t="shared" si="5"/>
        <v>132.45780274316255</v>
      </c>
      <c r="W37" s="438">
        <f t="shared" si="6"/>
        <v>28.922766746645323</v>
      </c>
      <c r="Y37" t="s">
        <v>1570</v>
      </c>
    </row>
    <row r="38" spans="1:25">
      <c r="A38" t="s">
        <v>703</v>
      </c>
      <c r="B38">
        <v>5</v>
      </c>
      <c r="C38">
        <v>2</v>
      </c>
      <c r="D38">
        <v>3</v>
      </c>
      <c r="F38" t="s">
        <v>34</v>
      </c>
      <c r="G38">
        <v>8</v>
      </c>
      <c r="H38" s="344" t="s">
        <v>14</v>
      </c>
      <c r="I38" s="353">
        <v>8</v>
      </c>
      <c r="J38" s="314" t="s">
        <v>1483</v>
      </c>
      <c r="K38" s="69"/>
      <c r="L38" s="69"/>
      <c r="M38" s="353">
        <v>5</v>
      </c>
      <c r="N38" s="335">
        <f t="shared" si="2"/>
        <v>1736.4746543778801</v>
      </c>
      <c r="O38" s="315">
        <f>I38*O11</f>
        <v>787.09677419354841</v>
      </c>
      <c r="P38" s="315">
        <f>I38*$P$11</f>
        <v>949.76958525345617</v>
      </c>
      <c r="Q38" s="315"/>
      <c r="R38" s="337">
        <f t="shared" si="3"/>
        <v>3473.3410138248846</v>
      </c>
      <c r="S38" s="619">
        <f t="shared" si="4"/>
        <v>694.66820276497697</v>
      </c>
      <c r="T38">
        <v>1</v>
      </c>
      <c r="U38" s="438">
        <f>R38/3</f>
        <v>1157.7803379416282</v>
      </c>
      <c r="V38" s="438">
        <f t="shared" si="5"/>
        <v>114.17952050706391</v>
      </c>
      <c r="W38" s="438">
        <f t="shared" si="6"/>
        <v>24.931620263043243</v>
      </c>
      <c r="Y38" t="s">
        <v>1571</v>
      </c>
    </row>
    <row r="39" spans="1:25" ht="31.5" customHeight="1">
      <c r="A39" t="s">
        <v>704</v>
      </c>
      <c r="B39">
        <v>1</v>
      </c>
      <c r="C39">
        <v>0.5</v>
      </c>
      <c r="D39">
        <v>0.5</v>
      </c>
      <c r="G39">
        <v>9</v>
      </c>
      <c r="H39" s="344" t="s">
        <v>1565</v>
      </c>
      <c r="I39" s="353">
        <v>2</v>
      </c>
      <c r="J39" s="314" t="s">
        <v>1391</v>
      </c>
      <c r="K39" s="69"/>
      <c r="L39" s="69"/>
      <c r="M39" s="353">
        <v>1</v>
      </c>
      <c r="N39" s="315"/>
      <c r="O39" s="315"/>
      <c r="P39" s="315">
        <f>I39*$P$11</f>
        <v>237.44239631336404</v>
      </c>
      <c r="Q39" s="315"/>
      <c r="R39" s="337">
        <f t="shared" si="3"/>
        <v>237.44239631336404</v>
      </c>
      <c r="S39" s="619">
        <f t="shared" si="4"/>
        <v>237.44239631336404</v>
      </c>
      <c r="T39">
        <v>1</v>
      </c>
      <c r="U39" s="438">
        <f t="shared" ref="U39:U40" si="7">R39</f>
        <v>237.44239631336404</v>
      </c>
      <c r="V39" s="438">
        <f t="shared" si="5"/>
        <v>23.41640989283669</v>
      </c>
      <c r="W39" s="438">
        <f t="shared" si="6"/>
        <v>5.1130801458905681</v>
      </c>
      <c r="Y39" t="s">
        <v>1572</v>
      </c>
    </row>
    <row r="40" spans="1:25" ht="16.5" thickBot="1">
      <c r="A40" t="s">
        <v>1408</v>
      </c>
      <c r="B40">
        <v>2</v>
      </c>
      <c r="C40">
        <v>0.5</v>
      </c>
      <c r="D40">
        <v>0.5</v>
      </c>
      <c r="G40">
        <v>10</v>
      </c>
      <c r="H40" s="345" t="s">
        <v>1403</v>
      </c>
      <c r="I40" s="359">
        <v>2</v>
      </c>
      <c r="J40" s="339" t="s">
        <v>1391</v>
      </c>
      <c r="K40" s="126"/>
      <c r="L40" s="126"/>
      <c r="M40" s="359">
        <v>1</v>
      </c>
      <c r="N40" s="317"/>
      <c r="O40" s="317"/>
      <c r="P40" s="317">
        <f>I40*$P$11</f>
        <v>237.44239631336404</v>
      </c>
      <c r="Q40" s="317"/>
      <c r="R40" s="342">
        <f t="shared" si="3"/>
        <v>237.44239631336404</v>
      </c>
      <c r="S40" s="620">
        <f t="shared" si="4"/>
        <v>237.44239631336404</v>
      </c>
      <c r="T40">
        <v>1</v>
      </c>
      <c r="U40" s="438">
        <f t="shared" si="7"/>
        <v>237.44239631336404</v>
      </c>
      <c r="V40" s="438">
        <f t="shared" si="5"/>
        <v>23.41640989283669</v>
      </c>
      <c r="W40" s="438">
        <f t="shared" si="6"/>
        <v>5.1130801458905681</v>
      </c>
    </row>
    <row r="41" spans="1:25" ht="16.5" thickBot="1">
      <c r="A41" t="s">
        <v>705</v>
      </c>
      <c r="B41">
        <v>1</v>
      </c>
      <c r="C41">
        <v>0.5</v>
      </c>
      <c r="D41">
        <v>0.5</v>
      </c>
      <c r="F41" t="s">
        <v>34</v>
      </c>
      <c r="I41" s="77"/>
      <c r="J41" s="77"/>
      <c r="K41" s="77"/>
      <c r="L41" s="77"/>
      <c r="M41" s="77"/>
      <c r="N41" s="77"/>
      <c r="O41" s="77"/>
      <c r="P41" s="77"/>
      <c r="Q41" s="77"/>
      <c r="R41" s="77"/>
      <c r="S41" s="77"/>
      <c r="V41" t="s">
        <v>51</v>
      </c>
      <c r="W41" s="750">
        <f>SUM(W31:W40)</f>
        <v>373.05770390785074</v>
      </c>
    </row>
    <row r="42" spans="1:25">
      <c r="A42" s="54" t="s">
        <v>51</v>
      </c>
      <c r="B42" s="54">
        <f>SUM(B34:B41)</f>
        <v>24</v>
      </c>
      <c r="C42" s="54">
        <f>SUM(C34:C41)</f>
        <v>9.5</v>
      </c>
      <c r="D42" s="54">
        <f>SUM(D34:D41)</f>
        <v>13.5</v>
      </c>
    </row>
    <row r="43" spans="1:25" ht="16.5" thickBot="1">
      <c r="A43" t="s">
        <v>706</v>
      </c>
      <c r="H43" s="38" t="s">
        <v>1578</v>
      </c>
      <c r="I43" s="38"/>
      <c r="J43" s="38"/>
      <c r="K43" s="38"/>
    </row>
    <row r="44" spans="1:25" ht="16.5" thickBot="1">
      <c r="A44" s="54" t="s">
        <v>711</v>
      </c>
      <c r="H44" s="330" t="s">
        <v>34</v>
      </c>
      <c r="I44" s="322"/>
      <c r="J44" s="322" t="s">
        <v>1475</v>
      </c>
      <c r="K44" s="322"/>
      <c r="L44" s="322"/>
      <c r="M44" s="322"/>
      <c r="N44" s="327" t="s">
        <v>1554</v>
      </c>
      <c r="O44" s="331"/>
      <c r="P44" s="331"/>
      <c r="Q44" s="332"/>
      <c r="R44" s="322"/>
      <c r="S44" s="333"/>
    </row>
    <row r="45" spans="1:25" ht="39.75" thickBot="1">
      <c r="A45" t="s">
        <v>707</v>
      </c>
      <c r="H45" s="360"/>
      <c r="I45" s="318" t="s">
        <v>1575</v>
      </c>
      <c r="J45" s="319" t="s">
        <v>1476</v>
      </c>
      <c r="K45" s="320"/>
      <c r="L45" s="323"/>
      <c r="M45" s="322" t="s">
        <v>1541</v>
      </c>
      <c r="N45" s="321" t="s">
        <v>1555</v>
      </c>
      <c r="O45" s="321" t="s">
        <v>1556</v>
      </c>
      <c r="P45" s="321" t="s">
        <v>1557</v>
      </c>
      <c r="Q45" s="321" t="s">
        <v>1559</v>
      </c>
      <c r="R45" s="347" t="s">
        <v>1438</v>
      </c>
      <c r="S45" s="617" t="s">
        <v>1560</v>
      </c>
      <c r="T45" s="559" t="s">
        <v>1370</v>
      </c>
      <c r="U45" s="559" t="s">
        <v>1861</v>
      </c>
    </row>
    <row r="46" spans="1:25" ht="31.5">
      <c r="A46" t="s">
        <v>708</v>
      </c>
      <c r="H46" s="343" t="s">
        <v>1581</v>
      </c>
      <c r="I46" s="354">
        <v>5</v>
      </c>
      <c r="J46" s="761" t="s">
        <v>1580</v>
      </c>
      <c r="K46" s="761"/>
      <c r="L46" s="761"/>
      <c r="M46" s="354">
        <v>7</v>
      </c>
      <c r="N46" s="356">
        <f>I46*$N$11</f>
        <v>1085.2966589861751</v>
      </c>
      <c r="O46" s="357">
        <f>I46*$O$11</f>
        <v>491.93548387096774</v>
      </c>
      <c r="P46" s="357"/>
      <c r="Q46" s="357">
        <f>M46*0.2*Q32</f>
        <v>550.9677419354839</v>
      </c>
      <c r="R46" s="358">
        <f>SUM(N46:Q46)</f>
        <v>2128.199884792627</v>
      </c>
      <c r="S46" s="618">
        <f>R46/M46</f>
        <v>304.0285549703753</v>
      </c>
      <c r="T46" s="438">
        <f>R46/$X$17</f>
        <v>209.88164544305985</v>
      </c>
      <c r="U46" s="438">
        <f>T46/$M$3</f>
        <v>45.828616735567032</v>
      </c>
    </row>
    <row r="47" spans="1:25" ht="32.25" thickBot="1">
      <c r="A47" t="s">
        <v>709</v>
      </c>
      <c r="H47" s="345" t="s">
        <v>1579</v>
      </c>
      <c r="I47" s="338">
        <v>4</v>
      </c>
      <c r="J47" s="339" t="s">
        <v>1399</v>
      </c>
      <c r="K47" s="339"/>
      <c r="L47" s="339"/>
      <c r="M47" s="338">
        <v>7</v>
      </c>
      <c r="N47" s="340"/>
      <c r="O47" s="341">
        <f>I47*$O$11</f>
        <v>393.54838709677421</v>
      </c>
      <c r="P47" s="341"/>
      <c r="Q47" s="341"/>
      <c r="R47" s="342">
        <f>SUM(N47:Q47)</f>
        <v>393.54838709677421</v>
      </c>
      <c r="S47" s="620">
        <f>R47/M47</f>
        <v>56.221198156682028</v>
      </c>
      <c r="T47" s="438">
        <f>R47/$X$17</f>
        <v>38.811478017433352</v>
      </c>
      <c r="U47" s="438">
        <f>T47/$M$3</f>
        <v>8.4746636479195452</v>
      </c>
    </row>
    <row r="48" spans="1:25" ht="16.5" thickBot="1">
      <c r="A48" t="s">
        <v>710</v>
      </c>
      <c r="G48" t="s">
        <v>34</v>
      </c>
    </row>
    <row r="49" spans="1:23" ht="16.5" thickBot="1">
      <c r="T49" t="s">
        <v>51</v>
      </c>
      <c r="U49" s="750">
        <f>SUM(U46:U47)</f>
        <v>54.30328038348658</v>
      </c>
    </row>
    <row r="50" spans="1:23">
      <c r="A50" t="s">
        <v>511</v>
      </c>
      <c r="B50">
        <v>12</v>
      </c>
      <c r="C50">
        <v>8</v>
      </c>
      <c r="D50">
        <v>4</v>
      </c>
    </row>
    <row r="51" spans="1:23">
      <c r="A51" t="s">
        <v>712</v>
      </c>
      <c r="B51">
        <v>2</v>
      </c>
      <c r="C51">
        <v>1</v>
      </c>
      <c r="D51">
        <v>1</v>
      </c>
      <c r="H51" t="s">
        <v>133</v>
      </c>
    </row>
    <row r="52" spans="1:23">
      <c r="H52" t="s">
        <v>1582</v>
      </c>
      <c r="S52" t="s">
        <v>34</v>
      </c>
    </row>
    <row r="53" spans="1:23">
      <c r="A53" t="s">
        <v>713</v>
      </c>
    </row>
    <row r="54" spans="1:23">
      <c r="A54" t="s">
        <v>714</v>
      </c>
    </row>
    <row r="55" spans="1:23">
      <c r="A55" t="s">
        <v>715</v>
      </c>
    </row>
    <row r="56" spans="1:23">
      <c r="A56" t="s">
        <v>716</v>
      </c>
    </row>
    <row r="57" spans="1:23">
      <c r="A57" t="s">
        <v>717</v>
      </c>
      <c r="U57" t="s">
        <v>1695</v>
      </c>
    </row>
    <row r="58" spans="1:23">
      <c r="A58" t="s">
        <v>718</v>
      </c>
      <c r="U58" t="s">
        <v>1666</v>
      </c>
      <c r="W58">
        <v>659.42672402039648</v>
      </c>
    </row>
    <row r="59" spans="1:23">
      <c r="I59" s="681" t="s">
        <v>1752</v>
      </c>
      <c r="U59" t="s">
        <v>1690</v>
      </c>
      <c r="W59">
        <v>1047.9883197731756</v>
      </c>
    </row>
    <row r="60" spans="1:23">
      <c r="A60" t="s">
        <v>719</v>
      </c>
      <c r="J60">
        <f>85/10.14</f>
        <v>8.3826429980276131</v>
      </c>
      <c r="U60" t="s">
        <v>1566</v>
      </c>
      <c r="W60">
        <v>1914.5554782961731</v>
      </c>
    </row>
    <row r="61" spans="1:23">
      <c r="A61" t="s">
        <v>720</v>
      </c>
      <c r="I61" t="s">
        <v>34</v>
      </c>
      <c r="U61" t="s">
        <v>1579</v>
      </c>
      <c r="W61">
        <v>248.69312346049321</v>
      </c>
    </row>
    <row r="62" spans="1:23">
      <c r="A62" t="s">
        <v>721</v>
      </c>
      <c r="B62" t="s">
        <v>733</v>
      </c>
      <c r="U62" t="s">
        <v>1696</v>
      </c>
      <c r="W62">
        <v>1416.9196808154625</v>
      </c>
    </row>
    <row r="63" spans="1:23">
      <c r="A63" t="s">
        <v>732</v>
      </c>
      <c r="B63" t="s">
        <v>1389</v>
      </c>
      <c r="I63" s="385" t="s">
        <v>1600</v>
      </c>
      <c r="J63" s="280"/>
      <c r="K63" s="190"/>
      <c r="M63" s="386" t="s">
        <v>1655</v>
      </c>
      <c r="N63" s="191" t="s">
        <v>1663</v>
      </c>
      <c r="O63" s="387" t="s">
        <v>1664</v>
      </c>
      <c r="P63" s="192" t="s">
        <v>156</v>
      </c>
      <c r="U63" t="s">
        <v>1691</v>
      </c>
      <c r="W63">
        <v>14280.869667966441</v>
      </c>
    </row>
    <row r="64" spans="1:23">
      <c r="A64" t="s">
        <v>722</v>
      </c>
      <c r="I64" s="385" t="s">
        <v>1601</v>
      </c>
      <c r="J64" s="280"/>
      <c r="K64" s="190"/>
      <c r="M64" s="386">
        <v>2</v>
      </c>
      <c r="N64" s="191">
        <v>6</v>
      </c>
      <c r="O64" s="387">
        <v>13</v>
      </c>
      <c r="P64" s="192">
        <f t="shared" ref="P64:P70" si="8">+N64*O64*M64</f>
        <v>156</v>
      </c>
      <c r="V64" t="s">
        <v>51</v>
      </c>
      <c r="W64">
        <v>19568.452994332139</v>
      </c>
    </row>
    <row r="65" spans="1:17">
      <c r="A65" t="s">
        <v>723</v>
      </c>
      <c r="I65" s="385" t="s">
        <v>1602</v>
      </c>
      <c r="J65" s="280"/>
      <c r="K65" s="190"/>
      <c r="M65" s="386">
        <v>2</v>
      </c>
      <c r="N65" s="191">
        <v>6</v>
      </c>
      <c r="O65" s="387">
        <v>20</v>
      </c>
      <c r="P65" s="192">
        <f t="shared" si="8"/>
        <v>240</v>
      </c>
    </row>
    <row r="66" spans="1:17">
      <c r="A66" t="s">
        <v>724</v>
      </c>
      <c r="B66" s="64" t="s">
        <v>734</v>
      </c>
      <c r="I66" s="385" t="s">
        <v>1603</v>
      </c>
      <c r="J66" s="280"/>
      <c r="K66" s="190"/>
      <c r="M66" s="386">
        <v>1</v>
      </c>
      <c r="N66" s="191">
        <v>25</v>
      </c>
      <c r="O66" s="387">
        <v>20</v>
      </c>
      <c r="P66" s="192">
        <f t="shared" si="8"/>
        <v>500</v>
      </c>
    </row>
    <row r="67" spans="1:17">
      <c r="A67" t="s">
        <v>725</v>
      </c>
      <c r="I67" s="385" t="s">
        <v>1604</v>
      </c>
      <c r="J67" s="280"/>
      <c r="K67" s="190"/>
      <c r="M67" s="191">
        <v>1</v>
      </c>
      <c r="N67" s="191">
        <v>100</v>
      </c>
      <c r="O67" s="387">
        <v>5</v>
      </c>
      <c r="P67" s="192">
        <f t="shared" si="8"/>
        <v>500</v>
      </c>
    </row>
    <row r="68" spans="1:17">
      <c r="A68" t="s">
        <v>726</v>
      </c>
      <c r="I68" s="385" t="s">
        <v>1605</v>
      </c>
      <c r="J68" s="280"/>
      <c r="K68" s="190"/>
      <c r="M68" s="191">
        <v>2</v>
      </c>
      <c r="N68" s="191">
        <v>20</v>
      </c>
      <c r="O68" s="387">
        <v>49</v>
      </c>
      <c r="P68" s="192">
        <f t="shared" si="8"/>
        <v>1960</v>
      </c>
    </row>
    <row r="69" spans="1:17">
      <c r="A69" t="s">
        <v>727</v>
      </c>
      <c r="H69" t="s">
        <v>133</v>
      </c>
      <c r="I69" s="385" t="s">
        <v>1606</v>
      </c>
      <c r="J69" s="280"/>
      <c r="K69" s="190"/>
      <c r="M69" s="191">
        <v>1</v>
      </c>
      <c r="N69" s="191">
        <v>32</v>
      </c>
      <c r="O69" s="387">
        <v>20</v>
      </c>
      <c r="P69" s="192">
        <f t="shared" si="8"/>
        <v>640</v>
      </c>
    </row>
    <row r="70" spans="1:17">
      <c r="H70" t="s">
        <v>1542</v>
      </c>
      <c r="I70" s="483" t="s">
        <v>1607</v>
      </c>
      <c r="J70" s="484"/>
      <c r="K70" s="485"/>
      <c r="L70" s="486"/>
      <c r="M70" s="487">
        <v>1</v>
      </c>
      <c r="N70" s="487">
        <v>32</v>
      </c>
      <c r="O70" s="488">
        <v>20</v>
      </c>
      <c r="Q70" s="489">
        <f>+N70*O70*M70</f>
        <v>640</v>
      </c>
    </row>
    <row r="71" spans="1:17" ht="16" thickBot="1">
      <c r="A71" t="s">
        <v>728</v>
      </c>
      <c r="O71" t="s">
        <v>51</v>
      </c>
    </row>
    <row r="72" spans="1:17" ht="16.5" thickBot="1">
      <c r="A72" t="s">
        <v>729</v>
      </c>
      <c r="H72" t="s">
        <v>511</v>
      </c>
      <c r="O72" s="621">
        <f>SUM(P64:P70)</f>
        <v>3996</v>
      </c>
    </row>
    <row r="73" spans="1:17">
      <c r="A73" t="s">
        <v>730</v>
      </c>
      <c r="H73" t="s">
        <v>1517</v>
      </c>
    </row>
    <row r="74" spans="1:17">
      <c r="A74" t="s">
        <v>731</v>
      </c>
      <c r="H74" t="s">
        <v>1518</v>
      </c>
      <c r="J74" t="s">
        <v>1520</v>
      </c>
    </row>
    <row r="75" spans="1:17">
      <c r="J75" t="s">
        <v>1543</v>
      </c>
    </row>
    <row r="76" spans="1:17">
      <c r="A76" t="s">
        <v>735</v>
      </c>
      <c r="J76" t="s">
        <v>1544</v>
      </c>
    </row>
    <row r="77" spans="1:17">
      <c r="A77" t="s">
        <v>736</v>
      </c>
      <c r="J77" t="s">
        <v>1545</v>
      </c>
    </row>
    <row r="80" spans="1:17">
      <c r="H80" t="s">
        <v>1519</v>
      </c>
      <c r="J80" t="s">
        <v>1521</v>
      </c>
    </row>
    <row r="81" spans="1:10">
      <c r="A81" s="54" t="s">
        <v>737</v>
      </c>
      <c r="J81" t="s">
        <v>1522</v>
      </c>
    </row>
    <row r="82" spans="1:10">
      <c r="A82" t="s">
        <v>738</v>
      </c>
      <c r="J82" t="s">
        <v>1546</v>
      </c>
    </row>
    <row r="83" spans="1:10">
      <c r="A83" t="s">
        <v>739</v>
      </c>
      <c r="J83" t="s">
        <v>1547</v>
      </c>
    </row>
    <row r="84" spans="1:10">
      <c r="A84" t="s">
        <v>740</v>
      </c>
      <c r="J84" t="s">
        <v>1548</v>
      </c>
    </row>
    <row r="86" spans="1:10">
      <c r="A86" t="s">
        <v>741</v>
      </c>
    </row>
    <row r="87" spans="1:10">
      <c r="A87" t="s">
        <v>742</v>
      </c>
    </row>
    <row r="88" spans="1:10">
      <c r="A88" t="s">
        <v>743</v>
      </c>
      <c r="H88" t="s">
        <v>1523</v>
      </c>
    </row>
    <row r="89" spans="1:10">
      <c r="A89" t="s">
        <v>744</v>
      </c>
      <c r="H89" t="s">
        <v>1524</v>
      </c>
    </row>
    <row r="90" spans="1:10">
      <c r="A90" t="s">
        <v>745</v>
      </c>
      <c r="H90" t="s">
        <v>1526</v>
      </c>
    </row>
    <row r="91" spans="1:10">
      <c r="A91" t="s">
        <v>746</v>
      </c>
      <c r="H91" t="s">
        <v>779</v>
      </c>
    </row>
    <row r="92" spans="1:10">
      <c r="A92" t="s">
        <v>747</v>
      </c>
      <c r="H92" t="s">
        <v>780</v>
      </c>
    </row>
    <row r="93" spans="1:10">
      <c r="A93" t="s">
        <v>748</v>
      </c>
      <c r="H93" t="s">
        <v>781</v>
      </c>
    </row>
    <row r="95" spans="1:10">
      <c r="A95" t="s">
        <v>749</v>
      </c>
    </row>
    <row r="96" spans="1:10">
      <c r="A96" s="118">
        <v>1.5</v>
      </c>
    </row>
    <row r="97" spans="1:19">
      <c r="A97" t="s">
        <v>750</v>
      </c>
    </row>
    <row r="98" spans="1:19">
      <c r="A98" t="s">
        <v>751</v>
      </c>
      <c r="N98" t="s">
        <v>1707</v>
      </c>
    </row>
    <row r="99" spans="1:19">
      <c r="N99" t="s">
        <v>1708</v>
      </c>
    </row>
    <row r="100" spans="1:19">
      <c r="A100" t="s">
        <v>752</v>
      </c>
    </row>
    <row r="101" spans="1:19" ht="31.5">
      <c r="A101" t="s">
        <v>753</v>
      </c>
      <c r="M101" t="s">
        <v>1381</v>
      </c>
      <c r="O101" s="70" t="s">
        <v>1590</v>
      </c>
      <c r="P101" t="s">
        <v>1706</v>
      </c>
      <c r="Q101" t="s">
        <v>1709</v>
      </c>
      <c r="R101" t="s">
        <v>1710</v>
      </c>
      <c r="S101" t="s">
        <v>1438</v>
      </c>
    </row>
    <row r="102" spans="1:19">
      <c r="M102" t="s">
        <v>1398</v>
      </c>
      <c r="O102">
        <v>68010</v>
      </c>
      <c r="P102" s="622">
        <f t="shared" ref="P102:P107" si="9">O102/1760</f>
        <v>38.642045454545453</v>
      </c>
      <c r="Q102" s="622">
        <f t="shared" ref="Q102:Q107" si="10">8*P102</f>
        <v>309.13636363636363</v>
      </c>
      <c r="R102">
        <v>4</v>
      </c>
      <c r="S102" s="623">
        <f t="shared" ref="S102:S107" si="11">R102*Q102</f>
        <v>1236.5454545454545</v>
      </c>
    </row>
    <row r="103" spans="1:19">
      <c r="A103" t="s">
        <v>754</v>
      </c>
      <c r="M103" t="s">
        <v>1472</v>
      </c>
      <c r="O103">
        <v>84800</v>
      </c>
      <c r="P103" s="622">
        <f t="shared" si="9"/>
        <v>48.18181818181818</v>
      </c>
      <c r="Q103" s="622">
        <f t="shared" si="10"/>
        <v>385.45454545454544</v>
      </c>
      <c r="R103">
        <v>20</v>
      </c>
      <c r="S103" s="623">
        <f t="shared" si="11"/>
        <v>7709.090909090909</v>
      </c>
    </row>
    <row r="104" spans="1:19">
      <c r="A104" t="s">
        <v>755</v>
      </c>
      <c r="M104" t="s">
        <v>573</v>
      </c>
      <c r="O104">
        <v>109700</v>
      </c>
      <c r="P104" s="622">
        <f t="shared" si="9"/>
        <v>62.329545454545453</v>
      </c>
      <c r="Q104" s="622">
        <f t="shared" si="10"/>
        <v>498.63636363636363</v>
      </c>
      <c r="R104">
        <v>4</v>
      </c>
      <c r="S104" s="623">
        <f t="shared" si="11"/>
        <v>1994.5454545454545</v>
      </c>
    </row>
    <row r="105" spans="1:19">
      <c r="M105" t="s">
        <v>1397</v>
      </c>
      <c r="O105">
        <v>206100</v>
      </c>
      <c r="P105" s="622">
        <f t="shared" si="9"/>
        <v>117.10227272727273</v>
      </c>
      <c r="Q105" s="622">
        <f t="shared" si="10"/>
        <v>936.81818181818187</v>
      </c>
      <c r="R105">
        <v>1</v>
      </c>
      <c r="S105" s="623">
        <f t="shared" si="11"/>
        <v>936.81818181818187</v>
      </c>
    </row>
    <row r="106" spans="1:19">
      <c r="A106" t="s">
        <v>756</v>
      </c>
      <c r="M106" t="s">
        <v>1408</v>
      </c>
      <c r="O106">
        <v>84800</v>
      </c>
      <c r="P106" s="622">
        <f t="shared" si="9"/>
        <v>48.18181818181818</v>
      </c>
      <c r="Q106" s="622">
        <f t="shared" si="10"/>
        <v>385.45454545454544</v>
      </c>
      <c r="R106">
        <v>1</v>
      </c>
      <c r="S106" s="623">
        <f t="shared" si="11"/>
        <v>385.45454545454544</v>
      </c>
    </row>
    <row r="107" spans="1:19" ht="16.5" thickBot="1">
      <c r="A107" t="s">
        <v>757</v>
      </c>
      <c r="M107" t="s">
        <v>511</v>
      </c>
      <c r="O107">
        <v>16219.999999999998</v>
      </c>
      <c r="P107" s="622">
        <f t="shared" si="9"/>
        <v>9.2159090909090899</v>
      </c>
      <c r="Q107" s="622">
        <f t="shared" si="10"/>
        <v>73.72727272727272</v>
      </c>
      <c r="R107">
        <v>5</v>
      </c>
      <c r="S107" s="623">
        <f t="shared" si="11"/>
        <v>368.63636363636363</v>
      </c>
    </row>
    <row r="108" spans="1:19" ht="16.5" thickBot="1">
      <c r="Q108" t="s">
        <v>51</v>
      </c>
      <c r="S108" s="624">
        <f>SUM(S102:S107)</f>
        <v>12631.09090909091</v>
      </c>
    </row>
    <row r="109" spans="1:19">
      <c r="A109" s="54" t="s">
        <v>758</v>
      </c>
      <c r="R109" t="s">
        <v>34</v>
      </c>
    </row>
    <row r="110" spans="1:19">
      <c r="A110" t="s">
        <v>759</v>
      </c>
    </row>
    <row r="112" spans="1:19">
      <c r="A112" t="s">
        <v>760</v>
      </c>
    </row>
    <row r="113" spans="1:17">
      <c r="A113" s="54" t="s">
        <v>808</v>
      </c>
    </row>
    <row r="114" spans="1:17">
      <c r="A114" t="s">
        <v>761</v>
      </c>
    </row>
    <row r="115" spans="1:17">
      <c r="A115" t="s">
        <v>764</v>
      </c>
      <c r="N115" t="s">
        <v>14</v>
      </c>
      <c r="O115">
        <v>84800</v>
      </c>
      <c r="P115">
        <f>O115/1760</f>
        <v>48.18181818181818</v>
      </c>
      <c r="Q115">
        <f>8*P115</f>
        <v>385.45454545454544</v>
      </c>
    </row>
    <row r="116" spans="1:17">
      <c r="A116" t="s">
        <v>762</v>
      </c>
      <c r="N116" t="s">
        <v>1565</v>
      </c>
      <c r="O116">
        <v>84800</v>
      </c>
      <c r="P116">
        <f>O116/1760</f>
        <v>48.18181818181818</v>
      </c>
      <c r="Q116">
        <f>8*P116</f>
        <v>385.45454545454544</v>
      </c>
    </row>
    <row r="117" spans="1:17">
      <c r="A117" t="s">
        <v>763</v>
      </c>
      <c r="N117" t="s">
        <v>1403</v>
      </c>
      <c r="O117">
        <v>63135</v>
      </c>
      <c r="P117">
        <f>O117/1760</f>
        <v>35.872159090909093</v>
      </c>
      <c r="Q117" t="s">
        <v>34</v>
      </c>
    </row>
    <row r="118" spans="1:17">
      <c r="A118" t="s">
        <v>765</v>
      </c>
    </row>
    <row r="119" spans="1:17">
      <c r="A119" t="s">
        <v>766</v>
      </c>
    </row>
    <row r="120" spans="1:17">
      <c r="A120" t="s">
        <v>767</v>
      </c>
    </row>
    <row r="122" spans="1:17">
      <c r="A122" s="54" t="s">
        <v>768</v>
      </c>
    </row>
    <row r="123" spans="1:17">
      <c r="A123" t="s">
        <v>769</v>
      </c>
    </row>
    <row r="125" spans="1:17">
      <c r="A125" t="s">
        <v>770</v>
      </c>
    </row>
    <row r="126" spans="1:17">
      <c r="A126" t="s">
        <v>771</v>
      </c>
      <c r="B126" t="s">
        <v>1525</v>
      </c>
    </row>
    <row r="127" spans="1:17">
      <c r="A127" t="s">
        <v>772</v>
      </c>
      <c r="B127" t="s">
        <v>773</v>
      </c>
    </row>
    <row r="129" spans="1:1">
      <c r="A129" t="s">
        <v>774</v>
      </c>
    </row>
    <row r="130" spans="1:1">
      <c r="A130" t="s">
        <v>775</v>
      </c>
    </row>
    <row r="131" spans="1:1">
      <c r="A131" t="s">
        <v>776</v>
      </c>
    </row>
    <row r="132" spans="1:1">
      <c r="A132" t="s">
        <v>777</v>
      </c>
    </row>
    <row r="134" spans="1:1">
      <c r="A134" t="s">
        <v>778</v>
      </c>
    </row>
    <row r="135" spans="1:1">
      <c r="A135" t="s">
        <v>782</v>
      </c>
    </row>
    <row r="136" spans="1:1">
      <c r="A136" t="s">
        <v>783</v>
      </c>
    </row>
    <row r="138" spans="1:1">
      <c r="A138" t="s">
        <v>779</v>
      </c>
    </row>
    <row r="139" spans="1:1">
      <c r="A139" t="s">
        <v>780</v>
      </c>
    </row>
    <row r="140" spans="1:1">
      <c r="A140" t="s">
        <v>781</v>
      </c>
    </row>
    <row r="142" spans="1:1">
      <c r="A142" t="s">
        <v>784</v>
      </c>
    </row>
    <row r="143" spans="1:1">
      <c r="A143" t="s">
        <v>785</v>
      </c>
    </row>
    <row r="144" spans="1:1">
      <c r="A144" t="s">
        <v>786</v>
      </c>
    </row>
  </sheetData>
  <mergeCells count="4">
    <mergeCell ref="S23:S24"/>
    <mergeCell ref="H23:H24"/>
    <mergeCell ref="J18:L18"/>
    <mergeCell ref="J46:L46"/>
  </mergeCells>
  <pageMargins left="0.7" right="0.7" top="0.75" bottom="0.75" header="0.3" footer="0.3"/>
  <pageSetup orientation="portrait" horizontalDpi="4294967292" verticalDpi="4294967292"/>
  <tableParts count="2">
    <tablePart r:id="rId1"/>
    <tablePart r:id="rId2"/>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T87"/>
  <sheetViews>
    <sheetView topLeftCell="B1" workbookViewId="0">
      <selection activeCell="Q27" sqref="Q27"/>
    </sheetView>
  </sheetViews>
  <sheetFormatPr baseColWidth="10" defaultColWidth="11" defaultRowHeight="15" x14ac:dyDescent="0"/>
  <cols>
    <col min="1" max="1" width="19.6640625" customWidth="1"/>
    <col min="3" max="3" width="13.5" customWidth="1"/>
    <col min="4" max="4" width="7" customWidth="1"/>
    <col min="5" max="5" width="7.83203125" customWidth="1"/>
    <col min="6" max="6" width="10.33203125" customWidth="1"/>
    <col min="12" max="12" width="10" customWidth="1"/>
    <col min="13" max="13" width="13.1640625" customWidth="1"/>
    <col min="14" max="14" width="10.6640625" customWidth="1"/>
    <col min="17" max="17" width="11.83203125" customWidth="1"/>
    <col min="20" max="20" width="11.33203125" bestFit="1" customWidth="1"/>
  </cols>
  <sheetData>
    <row r="1" spans="1:19" s="70" customFormat="1">
      <c r="A1" s="233"/>
      <c r="B1" s="233"/>
      <c r="C1" s="233"/>
      <c r="D1" s="233"/>
      <c r="E1" s="233"/>
      <c r="F1" s="233"/>
      <c r="H1" s="324"/>
      <c r="I1" s="324" t="s">
        <v>1844</v>
      </c>
      <c r="J1" s="361"/>
      <c r="K1" s="324"/>
      <c r="L1" s="324"/>
      <c r="M1"/>
      <c r="N1"/>
    </row>
    <row r="2" spans="1:19" s="70" customFormat="1" ht="16.5" customHeight="1">
      <c r="A2" s="233"/>
      <c r="B2" s="233"/>
      <c r="C2" s="233"/>
      <c r="D2" s="233"/>
      <c r="E2" s="233"/>
      <c r="F2" s="233"/>
      <c r="H2" s="324"/>
      <c r="I2" s="324" t="s">
        <v>1479</v>
      </c>
      <c r="J2" s="324" t="s">
        <v>1550</v>
      </c>
      <c r="K2" s="324" t="s">
        <v>1397</v>
      </c>
      <c r="L2" s="324" t="s">
        <v>573</v>
      </c>
      <c r="M2"/>
      <c r="N2"/>
    </row>
    <row r="3" spans="1:19" s="70" customFormat="1" ht="29.25" customHeight="1">
      <c r="A3" s="233"/>
      <c r="B3" s="233"/>
      <c r="C3" s="233"/>
      <c r="D3" s="233"/>
      <c r="E3" s="233"/>
      <c r="F3" s="233" t="s">
        <v>34</v>
      </c>
      <c r="H3" s="324" t="s">
        <v>1552</v>
      </c>
      <c r="I3" s="364">
        <v>376815</v>
      </c>
      <c r="J3" s="364">
        <v>170800</v>
      </c>
      <c r="K3" s="364">
        <v>206100</v>
      </c>
      <c r="L3" s="364">
        <v>109700</v>
      </c>
      <c r="M3"/>
      <c r="N3">
        <f>217*8</f>
        <v>1736</v>
      </c>
    </row>
    <row r="4" spans="1:19" s="70" customFormat="1">
      <c r="A4" s="233"/>
      <c r="B4" s="233"/>
      <c r="C4" s="233"/>
      <c r="D4" s="233"/>
      <c r="E4" s="233"/>
      <c r="F4" s="233"/>
      <c r="H4" s="324" t="s">
        <v>1553</v>
      </c>
      <c r="I4" s="362">
        <f>I3/$N$3</f>
        <v>217.05933179723502</v>
      </c>
      <c r="J4" s="362">
        <f>J3/$N$3</f>
        <v>98.387096774193552</v>
      </c>
      <c r="K4" s="362">
        <f>K3/$N$3</f>
        <v>118.72119815668202</v>
      </c>
      <c r="L4" s="362">
        <f>L3/$N$3</f>
        <v>63.191244239631338</v>
      </c>
      <c r="M4" s="24" t="s">
        <v>1750</v>
      </c>
      <c r="N4"/>
    </row>
    <row r="5" spans="1:19" s="70" customFormat="1">
      <c r="A5"/>
      <c r="B5" s="77"/>
      <c r="C5" s="77"/>
      <c r="D5" s="77"/>
      <c r="E5" s="77"/>
      <c r="F5" s="77"/>
      <c r="G5" s="77"/>
      <c r="H5" s="77"/>
      <c r="I5" s="77"/>
      <c r="J5" s="77"/>
      <c r="K5" s="77"/>
      <c r="L5" s="77"/>
      <c r="M5" s="70" t="s">
        <v>34</v>
      </c>
      <c r="N5" s="70" t="s">
        <v>34</v>
      </c>
      <c r="P5" s="366"/>
      <c r="Q5" s="366"/>
      <c r="R5" s="366"/>
      <c r="S5" s="366"/>
    </row>
    <row r="6" spans="1:19" s="70" customFormat="1" ht="16.5" thickBot="1">
      <c r="A6" s="38" t="s">
        <v>1486</v>
      </c>
      <c r="B6" t="s">
        <v>1662</v>
      </c>
      <c r="C6"/>
      <c r="D6"/>
      <c r="E6"/>
      <c r="F6"/>
      <c r="G6"/>
      <c r="H6"/>
      <c r="I6"/>
      <c r="J6"/>
      <c r="K6"/>
      <c r="L6"/>
      <c r="M6" s="70" t="s">
        <v>34</v>
      </c>
      <c r="P6" s="571"/>
      <c r="Q6" s="571"/>
      <c r="R6" s="366"/>
      <c r="S6" s="366"/>
    </row>
    <row r="7" spans="1:19" s="70" customFormat="1" ht="16.5" thickBot="1">
      <c r="A7" s="330" t="s">
        <v>34</v>
      </c>
      <c r="B7" s="322"/>
      <c r="C7" s="322" t="s">
        <v>34</v>
      </c>
      <c r="D7" s="322"/>
      <c r="E7" s="322"/>
      <c r="F7" s="322"/>
      <c r="G7" s="368" t="s">
        <v>1554</v>
      </c>
      <c r="H7" s="327" t="s">
        <v>1634</v>
      </c>
      <c r="I7" s="331"/>
      <c r="J7" s="332"/>
      <c r="K7" s="332"/>
      <c r="L7" s="331"/>
      <c r="M7" s="371"/>
      <c r="N7" s="476" t="s">
        <v>1634</v>
      </c>
      <c r="O7" s="477"/>
      <c r="P7" s="572"/>
      <c r="Q7" s="587" t="s">
        <v>1701</v>
      </c>
      <c r="S7" s="366"/>
    </row>
    <row r="8" spans="1:19" s="70" customFormat="1" ht="34.5" customHeight="1" thickBot="1">
      <c r="A8" s="449" t="s">
        <v>1381</v>
      </c>
      <c r="B8" s="318" t="s">
        <v>1487</v>
      </c>
      <c r="C8" s="318" t="s">
        <v>1476</v>
      </c>
      <c r="D8" s="320" t="s">
        <v>1585</v>
      </c>
      <c r="E8" s="323" t="s">
        <v>1586</v>
      </c>
      <c r="F8" s="318" t="s">
        <v>1485</v>
      </c>
      <c r="G8" s="321" t="s">
        <v>1590</v>
      </c>
      <c r="H8" s="321" t="s">
        <v>1555</v>
      </c>
      <c r="I8" s="321" t="s">
        <v>1557</v>
      </c>
      <c r="J8" s="321" t="s">
        <v>573</v>
      </c>
      <c r="K8" s="321" t="s">
        <v>1588</v>
      </c>
      <c r="L8" s="321" t="s">
        <v>1438</v>
      </c>
      <c r="M8" s="589" t="s">
        <v>1560</v>
      </c>
      <c r="N8" s="645" t="s">
        <v>1659</v>
      </c>
      <c r="O8" s="348" t="s">
        <v>1660</v>
      </c>
      <c r="P8" s="588" t="s">
        <v>1700</v>
      </c>
      <c r="Q8" s="348" t="s">
        <v>1683</v>
      </c>
      <c r="R8" s="476" t="s">
        <v>1334</v>
      </c>
    </row>
    <row r="9" spans="1:19" s="70" customFormat="1" ht="16.5" thickBot="1">
      <c r="A9" s="719" t="s">
        <v>1398</v>
      </c>
      <c r="B9" s="334" t="s">
        <v>1490</v>
      </c>
      <c r="C9" s="314" t="s">
        <v>1391</v>
      </c>
      <c r="D9" s="314">
        <v>1</v>
      </c>
      <c r="E9" s="314">
        <v>3</v>
      </c>
      <c r="F9" s="334">
        <v>5</v>
      </c>
      <c r="G9" s="365">
        <v>68010</v>
      </c>
      <c r="H9" s="335" t="s">
        <v>34</v>
      </c>
      <c r="I9" s="336"/>
      <c r="J9" s="336"/>
      <c r="K9" s="336">
        <f>(G9/$N$3)*E9*P9</f>
        <v>470.11520737327191</v>
      </c>
      <c r="L9" s="336">
        <f>SUM(H9:K9)</f>
        <v>470.11520737327191</v>
      </c>
      <c r="M9" s="640">
        <f>L9/F9</f>
        <v>94.023041474654377</v>
      </c>
      <c r="N9" s="480">
        <f>L9/$R$9</f>
        <v>102.65180461488379</v>
      </c>
      <c r="O9" s="642">
        <f t="shared" ref="O9:O21" si="0">N9/$R$13</f>
        <v>10.123452131645344</v>
      </c>
      <c r="P9" s="334">
        <v>4</v>
      </c>
      <c r="Q9" s="242">
        <f>L9/$R$13</f>
        <v>46.362446486515964</v>
      </c>
      <c r="R9" s="479">
        <v>4.5797071871945301</v>
      </c>
      <c r="S9" s="70">
        <f>Q9/$R$9</f>
        <v>10.123452131645344</v>
      </c>
    </row>
    <row r="10" spans="1:19" s="70" customFormat="1">
      <c r="A10" s="720" t="s">
        <v>1860</v>
      </c>
      <c r="B10" s="334" t="s">
        <v>1490</v>
      </c>
      <c r="C10" s="314" t="s">
        <v>1391</v>
      </c>
      <c r="D10" s="314">
        <v>5</v>
      </c>
      <c r="E10" s="314">
        <f>D10*7</f>
        <v>35</v>
      </c>
      <c r="F10" s="334">
        <v>4</v>
      </c>
      <c r="G10" s="365">
        <v>3495.7832000000003</v>
      </c>
      <c r="H10" s="336">
        <f>$K$4*E10</f>
        <v>4155.2419354838712</v>
      </c>
      <c r="I10" s="336">
        <f>E10*$K$4</f>
        <v>4155.2419354838712</v>
      </c>
      <c r="J10" s="336"/>
      <c r="K10" s="336">
        <f t="shared" ref="K10:K20" si="1">(G10/$N$3)*E10*P10</f>
        <v>1409.5900000000001</v>
      </c>
      <c r="L10" s="336">
        <f t="shared" ref="L10:L21" si="2">SUM(H10:K10)</f>
        <v>9720.0738709677426</v>
      </c>
      <c r="M10" s="640">
        <f t="shared" ref="M10:M21" si="3">L10/F10</f>
        <v>2430.0184677419356</v>
      </c>
      <c r="N10" s="481">
        <f>L10/$R$9</f>
        <v>2122.422564077101</v>
      </c>
      <c r="O10" s="643">
        <f t="shared" si="0"/>
        <v>209.31188994843205</v>
      </c>
      <c r="P10" s="334">
        <v>20</v>
      </c>
      <c r="Q10" s="242">
        <f t="shared" ref="Q10:Q21" si="4">L10/$R$13</f>
        <v>958.58716676210474</v>
      </c>
      <c r="R10" s="366"/>
      <c r="S10" s="639">
        <f>L10/R13/R9</f>
        <v>209.31188994843205</v>
      </c>
    </row>
    <row r="11" spans="1:19" s="70" customFormat="1">
      <c r="A11" s="720" t="s">
        <v>1860</v>
      </c>
      <c r="B11" s="334" t="s">
        <v>1489</v>
      </c>
      <c r="C11" s="79" t="s">
        <v>573</v>
      </c>
      <c r="D11" s="314">
        <v>1</v>
      </c>
      <c r="E11" s="314">
        <f>D11*7</f>
        <v>7</v>
      </c>
      <c r="F11" s="334">
        <v>4</v>
      </c>
      <c r="G11" s="365">
        <v>3495.7832000000003</v>
      </c>
      <c r="H11" s="335"/>
      <c r="I11" s="336"/>
      <c r="J11" s="336"/>
      <c r="K11" s="336">
        <f t="shared" si="1"/>
        <v>281.91800000000001</v>
      </c>
      <c r="L11" s="336">
        <f t="shared" si="2"/>
        <v>281.91800000000001</v>
      </c>
      <c r="M11" s="640">
        <f t="shared" si="3"/>
        <v>70.479500000000002</v>
      </c>
      <c r="N11" s="481">
        <f>L11/$R$9</f>
        <v>61.558084060107639</v>
      </c>
      <c r="O11" s="643">
        <f t="shared" si="0"/>
        <v>6.0708169684524291</v>
      </c>
      <c r="P11" s="334">
        <v>20</v>
      </c>
      <c r="Q11" s="242">
        <f t="shared" si="4"/>
        <v>27.802564102564101</v>
      </c>
      <c r="R11" s="366"/>
      <c r="S11" s="70">
        <f t="shared" ref="S11:S21" si="5">Q11/$R$9</f>
        <v>6.07081696845243</v>
      </c>
    </row>
    <row r="12" spans="1:19" s="70" customFormat="1" ht="16.5" thickBot="1">
      <c r="A12" s="720" t="s">
        <v>1860</v>
      </c>
      <c r="B12" s="334" t="s">
        <v>1589</v>
      </c>
      <c r="C12" s="79"/>
      <c r="D12" s="314">
        <v>4</v>
      </c>
      <c r="E12" s="314">
        <f>D12*7</f>
        <v>28</v>
      </c>
      <c r="F12" s="334">
        <v>4</v>
      </c>
      <c r="G12" s="365">
        <v>3495.7832000000003</v>
      </c>
      <c r="H12" s="335"/>
      <c r="I12" s="336"/>
      <c r="J12" s="336"/>
      <c r="K12" s="336">
        <f t="shared" si="1"/>
        <v>1127.672</v>
      </c>
      <c r="L12" s="336">
        <f t="shared" si="2"/>
        <v>1127.672</v>
      </c>
      <c r="M12" s="640">
        <f t="shared" si="3"/>
        <v>281.91800000000001</v>
      </c>
      <c r="N12" s="481">
        <f t="shared" ref="N12:N21" si="6">L12/$R$9</f>
        <v>246.23233624043056</v>
      </c>
      <c r="O12" s="643">
        <f t="shared" si="0"/>
        <v>24.283267873809717</v>
      </c>
      <c r="P12" s="334">
        <v>20</v>
      </c>
      <c r="Q12" s="242">
        <f t="shared" si="4"/>
        <v>111.21025641025641</v>
      </c>
      <c r="R12" s="680" t="s">
        <v>1661</v>
      </c>
      <c r="S12" s="70">
        <f t="shared" si="5"/>
        <v>24.28326787380972</v>
      </c>
    </row>
    <row r="13" spans="1:19" s="70" customFormat="1" ht="16.5" thickBot="1">
      <c r="A13" s="720" t="s">
        <v>573</v>
      </c>
      <c r="B13" s="334" t="s">
        <v>1490</v>
      </c>
      <c r="C13" s="314" t="s">
        <v>1587</v>
      </c>
      <c r="D13" s="314">
        <v>5</v>
      </c>
      <c r="E13" s="314">
        <f t="shared" ref="E13:E20" si="7">D13*7</f>
        <v>35</v>
      </c>
      <c r="F13" s="334">
        <v>4</v>
      </c>
      <c r="G13" s="365">
        <v>109700</v>
      </c>
      <c r="H13" s="336">
        <f>$K$4*E13</f>
        <v>4155.2419354838712</v>
      </c>
      <c r="I13" s="336">
        <f>E13*$K$4</f>
        <v>4155.2419354838712</v>
      </c>
      <c r="J13" s="336"/>
      <c r="K13" s="336">
        <f t="shared" si="1"/>
        <v>8846.7741935483882</v>
      </c>
      <c r="L13" s="336">
        <f t="shared" si="2"/>
        <v>17157.258064516129</v>
      </c>
      <c r="M13" s="640">
        <f t="shared" si="3"/>
        <v>4289.3145161290322</v>
      </c>
      <c r="N13" s="481">
        <f t="shared" si="6"/>
        <v>3746.3657310864987</v>
      </c>
      <c r="O13" s="643">
        <f t="shared" si="0"/>
        <v>369.46407604403339</v>
      </c>
      <c r="P13" s="334">
        <v>4</v>
      </c>
      <c r="Q13" s="242">
        <f t="shared" si="4"/>
        <v>1692.0372844690462</v>
      </c>
      <c r="R13" s="478">
        <v>10.14</v>
      </c>
      <c r="S13" s="70">
        <f t="shared" si="5"/>
        <v>369.46407604403339</v>
      </c>
    </row>
    <row r="14" spans="1:19" s="70" customFormat="1">
      <c r="A14" s="720" t="s">
        <v>573</v>
      </c>
      <c r="B14" s="334" t="s">
        <v>1489</v>
      </c>
      <c r="C14" s="314"/>
      <c r="D14" s="79">
        <v>1</v>
      </c>
      <c r="E14" s="314">
        <f t="shared" si="7"/>
        <v>7</v>
      </c>
      <c r="F14" s="334">
        <v>4</v>
      </c>
      <c r="G14" s="365">
        <v>109700</v>
      </c>
      <c r="H14" s="335"/>
      <c r="I14" s="336"/>
      <c r="J14" s="336">
        <f>$L$4*E14</f>
        <v>442.33870967741939</v>
      </c>
      <c r="K14" s="336">
        <f t="shared" si="1"/>
        <v>1769.3548387096776</v>
      </c>
      <c r="L14" s="336">
        <f t="shared" si="2"/>
        <v>2211.6935483870971</v>
      </c>
      <c r="M14" s="640">
        <f t="shared" si="3"/>
        <v>552.92338709677426</v>
      </c>
      <c r="N14" s="481">
        <f t="shared" si="6"/>
        <v>482.9333968274841</v>
      </c>
      <c r="O14" s="643">
        <f t="shared" si="0"/>
        <v>47.626567734465887</v>
      </c>
      <c r="P14" s="334">
        <v>4</v>
      </c>
      <c r="Q14" s="242">
        <f t="shared" si="4"/>
        <v>218.11573455494053</v>
      </c>
      <c r="R14" s="366"/>
      <c r="S14" s="70">
        <f t="shared" si="5"/>
        <v>47.626567734465887</v>
      </c>
    </row>
    <row r="15" spans="1:19" s="70" customFormat="1">
      <c r="A15" s="720" t="s">
        <v>573</v>
      </c>
      <c r="B15" s="334" t="s">
        <v>1589</v>
      </c>
      <c r="C15" s="314"/>
      <c r="D15" s="79">
        <v>4</v>
      </c>
      <c r="E15" s="79">
        <f t="shared" si="7"/>
        <v>28</v>
      </c>
      <c r="F15" s="334">
        <v>4</v>
      </c>
      <c r="G15" s="365">
        <v>109700</v>
      </c>
      <c r="H15" s="335"/>
      <c r="I15" s="336"/>
      <c r="J15" s="336"/>
      <c r="K15" s="336">
        <f t="shared" si="1"/>
        <v>7077.4193548387102</v>
      </c>
      <c r="L15" s="336">
        <f t="shared" si="2"/>
        <v>7077.4193548387102</v>
      </c>
      <c r="M15" s="640">
        <f t="shared" si="3"/>
        <v>1769.3548387096776</v>
      </c>
      <c r="N15" s="481">
        <f t="shared" si="6"/>
        <v>1545.3868698479491</v>
      </c>
      <c r="O15" s="643">
        <f t="shared" si="0"/>
        <v>152.40501675029083</v>
      </c>
      <c r="P15" s="334">
        <v>4</v>
      </c>
      <c r="Q15" s="242">
        <f t="shared" si="4"/>
        <v>697.97035057580968</v>
      </c>
      <c r="R15" s="366"/>
      <c r="S15" s="70">
        <f t="shared" si="5"/>
        <v>152.40501675029083</v>
      </c>
    </row>
    <row r="16" spans="1:19" s="70" customFormat="1">
      <c r="A16" s="720" t="s">
        <v>1397</v>
      </c>
      <c r="B16" s="334" t="s">
        <v>1490</v>
      </c>
      <c r="C16" s="314" t="s">
        <v>1390</v>
      </c>
      <c r="D16" s="79">
        <v>10</v>
      </c>
      <c r="E16" s="314">
        <f t="shared" si="7"/>
        <v>70</v>
      </c>
      <c r="F16" s="334">
        <v>1</v>
      </c>
      <c r="G16" s="365">
        <v>206100</v>
      </c>
      <c r="H16" s="336">
        <f>$K$4*E16</f>
        <v>8310.4838709677424</v>
      </c>
      <c r="I16" s="336"/>
      <c r="J16" s="336"/>
      <c r="K16" s="336">
        <f t="shared" si="1"/>
        <v>8310.4838709677424</v>
      </c>
      <c r="L16" s="336">
        <f t="shared" si="2"/>
        <v>16620.967741935485</v>
      </c>
      <c r="M16" s="640">
        <f>L16/F16</f>
        <v>16620.967741935485</v>
      </c>
      <c r="N16" s="481">
        <f t="shared" si="6"/>
        <v>3629.2642875531255</v>
      </c>
      <c r="O16" s="643">
        <f t="shared" si="0"/>
        <v>357.9156102123398</v>
      </c>
      <c r="P16" s="334">
        <v>1</v>
      </c>
      <c r="Q16" s="242">
        <f t="shared" si="4"/>
        <v>1639.1486924985684</v>
      </c>
      <c r="R16" s="366"/>
      <c r="S16" s="70">
        <f t="shared" si="5"/>
        <v>357.91561021233974</v>
      </c>
    </row>
    <row r="17" spans="1:20" s="70" customFormat="1" ht="30.75" customHeight="1">
      <c r="A17" s="720" t="s">
        <v>1408</v>
      </c>
      <c r="B17" s="334" t="s">
        <v>1490</v>
      </c>
      <c r="C17" s="314" t="s">
        <v>1488</v>
      </c>
      <c r="D17" s="79">
        <v>5</v>
      </c>
      <c r="E17" s="314">
        <f t="shared" si="7"/>
        <v>35</v>
      </c>
      <c r="F17" s="334">
        <v>4</v>
      </c>
      <c r="G17" s="365">
        <v>84800</v>
      </c>
      <c r="H17" s="336" t="s">
        <v>34</v>
      </c>
      <c r="I17" s="336">
        <f>E17*$K$4</f>
        <v>4155.2419354838712</v>
      </c>
      <c r="J17" s="336"/>
      <c r="K17" s="336">
        <f t="shared" si="1"/>
        <v>1709.6774193548385</v>
      </c>
      <c r="L17" s="336">
        <f t="shared" si="2"/>
        <v>5864.9193548387102</v>
      </c>
      <c r="M17" s="640">
        <f t="shared" si="3"/>
        <v>1466.2298387096776</v>
      </c>
      <c r="N17" s="481">
        <f t="shared" si="6"/>
        <v>1280.6319520247505</v>
      </c>
      <c r="O17" s="643">
        <f t="shared" si="0"/>
        <v>126.29506430224363</v>
      </c>
      <c r="P17" s="334">
        <v>1</v>
      </c>
      <c r="Q17" s="242">
        <f t="shared" si="4"/>
        <v>578.39441369218048</v>
      </c>
      <c r="R17" s="366"/>
      <c r="S17" s="70">
        <f t="shared" si="5"/>
        <v>126.29506430224363</v>
      </c>
    </row>
    <row r="18" spans="1:20" s="70" customFormat="1" ht="15.75" customHeight="1">
      <c r="A18" s="720" t="s">
        <v>511</v>
      </c>
      <c r="B18" s="334" t="s">
        <v>1490</v>
      </c>
      <c r="C18" s="314" t="s">
        <v>1591</v>
      </c>
      <c r="D18" s="79">
        <v>4</v>
      </c>
      <c r="E18" s="314">
        <f t="shared" si="7"/>
        <v>28</v>
      </c>
      <c r="F18" s="334">
        <v>12</v>
      </c>
      <c r="G18" s="365">
        <v>16219.999999999998</v>
      </c>
      <c r="H18" s="336" t="s">
        <v>34</v>
      </c>
      <c r="I18" s="336">
        <f>E18*$K$4</f>
        <v>3324.1935483870966</v>
      </c>
      <c r="J18" s="336"/>
      <c r="K18" s="336">
        <f t="shared" si="1"/>
        <v>1308.064516129032</v>
      </c>
      <c r="L18" s="336">
        <f t="shared" si="2"/>
        <v>4632.2580645161288</v>
      </c>
      <c r="M18" s="640">
        <f t="shared" si="3"/>
        <v>386.02150537634407</v>
      </c>
      <c r="N18" s="481">
        <f t="shared" si="6"/>
        <v>1011.4747242942819</v>
      </c>
      <c r="O18" s="643">
        <f t="shared" si="0"/>
        <v>99.750959003380856</v>
      </c>
      <c r="P18" s="334">
        <v>5</v>
      </c>
      <c r="Q18" s="242">
        <f t="shared" si="4"/>
        <v>456.83018387733023</v>
      </c>
      <c r="R18" s="366"/>
      <c r="S18" s="70">
        <f t="shared" si="5"/>
        <v>99.750959003380856</v>
      </c>
    </row>
    <row r="19" spans="1:20" s="70" customFormat="1">
      <c r="A19" s="720" t="s">
        <v>14</v>
      </c>
      <c r="B19" s="353" t="s">
        <v>1490</v>
      </c>
      <c r="C19" s="314" t="s">
        <v>1592</v>
      </c>
      <c r="D19" s="79">
        <v>10</v>
      </c>
      <c r="E19" s="314">
        <f t="shared" si="7"/>
        <v>70</v>
      </c>
      <c r="F19" s="353">
        <v>5</v>
      </c>
      <c r="G19" s="365">
        <v>84800</v>
      </c>
      <c r="H19" s="336">
        <f>$K$4*E19</f>
        <v>8310.4838709677424</v>
      </c>
      <c r="I19" s="315" t="s">
        <v>34</v>
      </c>
      <c r="J19" s="315"/>
      <c r="K19" s="336">
        <f t="shared" si="1"/>
        <v>3419.3548387096771</v>
      </c>
      <c r="L19" s="336">
        <f t="shared" si="2"/>
        <v>11729.83870967742</v>
      </c>
      <c r="M19" s="640">
        <f t="shared" si="3"/>
        <v>2345.9677419354839</v>
      </c>
      <c r="N19" s="481">
        <f t="shared" si="6"/>
        <v>2561.263904049501</v>
      </c>
      <c r="O19" s="643">
        <f t="shared" si="0"/>
        <v>252.59012860448726</v>
      </c>
      <c r="P19" s="353">
        <v>1</v>
      </c>
      <c r="Q19" s="242">
        <f t="shared" si="4"/>
        <v>1156.788827384361</v>
      </c>
      <c r="R19" s="366"/>
      <c r="S19" s="70">
        <f t="shared" si="5"/>
        <v>252.59012860448726</v>
      </c>
    </row>
    <row r="20" spans="1:20" s="70" customFormat="1">
      <c r="A20" s="720" t="s">
        <v>1565</v>
      </c>
      <c r="B20" s="353" t="s">
        <v>1490</v>
      </c>
      <c r="C20" s="314" t="s">
        <v>1391</v>
      </c>
      <c r="D20" s="79">
        <v>2</v>
      </c>
      <c r="E20" s="314">
        <f t="shared" si="7"/>
        <v>14</v>
      </c>
      <c r="F20" s="353">
        <v>1</v>
      </c>
      <c r="G20" s="365">
        <v>84800</v>
      </c>
      <c r="H20" s="336"/>
      <c r="I20" s="336">
        <f>E20*$K$4</f>
        <v>1662.0967741935483</v>
      </c>
      <c r="J20" s="315"/>
      <c r="K20" s="336">
        <f t="shared" si="1"/>
        <v>683.87096774193549</v>
      </c>
      <c r="L20" s="336">
        <f t="shared" si="2"/>
        <v>2345.9677419354839</v>
      </c>
      <c r="M20" s="640">
        <f t="shared" si="3"/>
        <v>2345.9677419354839</v>
      </c>
      <c r="N20" s="481">
        <f t="shared" si="6"/>
        <v>512.25278080990017</v>
      </c>
      <c r="O20" s="643">
        <f t="shared" si="0"/>
        <v>50.518025720897448</v>
      </c>
      <c r="P20" s="353">
        <v>1</v>
      </c>
      <c r="Q20" s="242">
        <f t="shared" si="4"/>
        <v>231.35776547687217</v>
      </c>
      <c r="R20" s="366"/>
      <c r="S20" s="70">
        <f t="shared" si="5"/>
        <v>50.518025720897448</v>
      </c>
    </row>
    <row r="21" spans="1:20" s="70" customFormat="1" ht="16.5" thickBot="1">
      <c r="A21" s="721" t="s">
        <v>1403</v>
      </c>
      <c r="B21" s="359"/>
      <c r="C21" s="339" t="s">
        <v>34</v>
      </c>
      <c r="D21" s="126"/>
      <c r="E21" s="126"/>
      <c r="F21" s="359">
        <v>1</v>
      </c>
      <c r="G21" s="367">
        <v>63135</v>
      </c>
      <c r="H21" s="317"/>
      <c r="I21" s="317" t="s">
        <v>34</v>
      </c>
      <c r="J21" s="317"/>
      <c r="K21" s="341">
        <f>(G21/1800)*E21*P21</f>
        <v>0</v>
      </c>
      <c r="L21" s="341">
        <f t="shared" si="2"/>
        <v>0</v>
      </c>
      <c r="M21" s="641">
        <f t="shared" si="3"/>
        <v>0</v>
      </c>
      <c r="N21" s="482">
        <f t="shared" si="6"/>
        <v>0</v>
      </c>
      <c r="O21" s="644">
        <f t="shared" si="0"/>
        <v>0</v>
      </c>
      <c r="P21" s="359">
        <v>1</v>
      </c>
      <c r="Q21" s="242">
        <f t="shared" si="4"/>
        <v>0</v>
      </c>
      <c r="S21" s="70">
        <f t="shared" si="5"/>
        <v>0</v>
      </c>
    </row>
    <row r="22" spans="1:20" ht="16.5" thickBot="1">
      <c r="A22" s="734" t="s">
        <v>34</v>
      </c>
      <c r="E22" t="s">
        <v>1656</v>
      </c>
      <c r="F22" t="s">
        <v>1657</v>
      </c>
      <c r="G22" t="s">
        <v>1658</v>
      </c>
      <c r="I22" t="s">
        <v>1438</v>
      </c>
      <c r="L22" s="438">
        <f>SUM(L9:L21)/10.14</f>
        <v>7814.6056862905498</v>
      </c>
      <c r="N22" s="646">
        <f>L22/$R$9</f>
        <v>1706.3548752944787</v>
      </c>
      <c r="O22" s="643"/>
      <c r="P22" s="486"/>
      <c r="Q22" t="s">
        <v>1657</v>
      </c>
      <c r="R22" s="242"/>
      <c r="T22" s="70">
        <f>R22/$R$9</f>
        <v>0</v>
      </c>
    </row>
    <row r="23" spans="1:20" ht="16.5" thickBot="1">
      <c r="A23" s="385" t="s">
        <v>1607</v>
      </c>
      <c r="B23" s="280"/>
      <c r="C23" s="190"/>
      <c r="E23" s="191">
        <v>1</v>
      </c>
      <c r="F23" s="191">
        <v>32</v>
      </c>
      <c r="G23" s="584">
        <v>20</v>
      </c>
      <c r="H23" s="585" t="s">
        <v>34</v>
      </c>
      <c r="I23" s="586">
        <f>+F23*G23*E23</f>
        <v>640</v>
      </c>
      <c r="K23" t="s">
        <v>1856</v>
      </c>
      <c r="L23">
        <v>500</v>
      </c>
      <c r="M23" t="s">
        <v>51</v>
      </c>
      <c r="O23" s="561">
        <f>SUM(O9:O22)</f>
        <v>1706.3548752944785</v>
      </c>
      <c r="P23" s="583"/>
      <c r="Q23" s="191">
        <v>32</v>
      </c>
      <c r="R23" s="80">
        <f>SUM(Q9:Q21)</f>
        <v>7814.6056862905498</v>
      </c>
    </row>
    <row r="24" spans="1:20" ht="16.5" thickBot="1">
      <c r="K24" t="s">
        <v>1862</v>
      </c>
      <c r="L24">
        <f>L23/R9</f>
        <v>109.1772857002881</v>
      </c>
      <c r="P24" s="486"/>
      <c r="Q24" s="486"/>
    </row>
    <row r="25" spans="1:20" ht="16.5" thickBot="1">
      <c r="A25" t="s">
        <v>152</v>
      </c>
      <c r="L25" t="s">
        <v>1699</v>
      </c>
      <c r="O25" s="561">
        <f>O23+I23</f>
        <v>2346.3548752944785</v>
      </c>
      <c r="P25" s="486"/>
      <c r="Q25" s="111" t="s">
        <v>1863</v>
      </c>
      <c r="T25" s="639">
        <f t="shared" ref="T25:T37" si="8">O9*$R$9</f>
        <v>46.362446486515964</v>
      </c>
    </row>
    <row r="26" spans="1:20" ht="16.5" thickBot="1">
      <c r="A26" t="s">
        <v>153</v>
      </c>
      <c r="B26" t="s">
        <v>154</v>
      </c>
      <c r="C26" t="s">
        <v>155</v>
      </c>
      <c r="D26" t="s">
        <v>156</v>
      </c>
      <c r="P26" s="486"/>
      <c r="Q26" s="751">
        <f>O23+L24+O28</f>
        <v>2455.5321609947669</v>
      </c>
      <c r="T26" s="639">
        <f t="shared" si="8"/>
        <v>958.58716676210474</v>
      </c>
    </row>
    <row r="27" spans="1:20" ht="16.5" thickBot="1">
      <c r="H27" s="54" t="s">
        <v>157</v>
      </c>
      <c r="L27" t="s">
        <v>1731</v>
      </c>
      <c r="O27" s="647">
        <f>R23+L23</f>
        <v>8314.6056862905498</v>
      </c>
      <c r="T27" s="639">
        <f t="shared" si="8"/>
        <v>27.802564102564098</v>
      </c>
    </row>
    <row r="28" spans="1:20" ht="16.5" thickBot="1">
      <c r="L28" t="s">
        <v>1732</v>
      </c>
      <c r="O28" s="621">
        <f>I23</f>
        <v>640</v>
      </c>
      <c r="T28" s="639">
        <f t="shared" si="8"/>
        <v>111.21025641025639</v>
      </c>
    </row>
    <row r="29" spans="1:20">
      <c r="F29" t="s">
        <v>651</v>
      </c>
      <c r="Q29" s="438">
        <f>L9/10.14</f>
        <v>46.362446486515964</v>
      </c>
      <c r="R29" s="438">
        <f>Q29/$R$9</f>
        <v>10.123452131645344</v>
      </c>
      <c r="T29" s="639">
        <f t="shared" si="8"/>
        <v>1692.0372844690462</v>
      </c>
    </row>
    <row r="30" spans="1:20">
      <c r="F30" s="54" t="s">
        <v>658</v>
      </c>
      <c r="Q30" s="438">
        <f t="shared" ref="Q30:Q37" si="9">L10/10.14</f>
        <v>958.58716676210474</v>
      </c>
      <c r="R30" s="438">
        <f>Q30/$R$9</f>
        <v>209.31188994843205</v>
      </c>
      <c r="T30" s="639">
        <f t="shared" si="8"/>
        <v>218.11573455494053</v>
      </c>
    </row>
    <row r="31" spans="1:20">
      <c r="F31" t="s">
        <v>652</v>
      </c>
      <c r="Q31" s="438">
        <f t="shared" si="9"/>
        <v>27.802564102564101</v>
      </c>
      <c r="R31" s="438">
        <f t="shared" ref="R31:R37" si="10">Q31/$R$9</f>
        <v>6.07081696845243</v>
      </c>
      <c r="T31" s="639">
        <f t="shared" si="8"/>
        <v>697.97035057580968</v>
      </c>
    </row>
    <row r="32" spans="1:20">
      <c r="F32" t="s">
        <v>653</v>
      </c>
      <c r="Q32" s="438">
        <f t="shared" si="9"/>
        <v>111.21025641025641</v>
      </c>
      <c r="R32" s="438">
        <f t="shared" si="10"/>
        <v>24.28326787380972</v>
      </c>
      <c r="T32" s="639">
        <f t="shared" si="8"/>
        <v>1639.1486924985686</v>
      </c>
    </row>
    <row r="33" spans="1:20">
      <c r="F33" t="s">
        <v>654</v>
      </c>
      <c r="Q33" s="438">
        <f t="shared" si="9"/>
        <v>1692.0372844690462</v>
      </c>
      <c r="R33" s="438">
        <f t="shared" si="10"/>
        <v>369.46407604403339</v>
      </c>
      <c r="T33" s="639">
        <f t="shared" si="8"/>
        <v>578.39441369218048</v>
      </c>
    </row>
    <row r="34" spans="1:20">
      <c r="F34" t="s">
        <v>655</v>
      </c>
      <c r="Q34" s="438">
        <f t="shared" si="9"/>
        <v>218.11573455494053</v>
      </c>
      <c r="R34" s="438">
        <f t="shared" si="10"/>
        <v>47.626567734465887</v>
      </c>
      <c r="T34" s="639">
        <f t="shared" si="8"/>
        <v>456.83018387733023</v>
      </c>
    </row>
    <row r="35" spans="1:20">
      <c r="D35" t="s">
        <v>34</v>
      </c>
      <c r="F35" t="s">
        <v>656</v>
      </c>
      <c r="Q35" s="438">
        <f t="shared" si="9"/>
        <v>697.97035057580968</v>
      </c>
      <c r="R35" s="438">
        <f t="shared" si="10"/>
        <v>152.40501675029083</v>
      </c>
      <c r="T35" s="639">
        <f t="shared" si="8"/>
        <v>1156.788827384361</v>
      </c>
    </row>
    <row r="36" spans="1:20">
      <c r="F36" t="s">
        <v>657</v>
      </c>
      <c r="Q36" s="438">
        <f t="shared" si="9"/>
        <v>1639.1486924985684</v>
      </c>
      <c r="R36" s="438">
        <f t="shared" si="10"/>
        <v>357.91561021233974</v>
      </c>
      <c r="T36" s="639">
        <f t="shared" si="8"/>
        <v>231.35776547687217</v>
      </c>
    </row>
    <row r="37" spans="1:20">
      <c r="F37" t="s">
        <v>677</v>
      </c>
      <c r="Q37" s="438">
        <f t="shared" si="9"/>
        <v>578.39441369218048</v>
      </c>
      <c r="R37" s="438">
        <f t="shared" si="10"/>
        <v>126.29506430224363</v>
      </c>
      <c r="T37" s="639">
        <f t="shared" si="8"/>
        <v>0</v>
      </c>
    </row>
    <row r="38" spans="1:20">
      <c r="F38" s="54" t="s">
        <v>663</v>
      </c>
    </row>
    <row r="39" spans="1:20">
      <c r="F39" t="s">
        <v>659</v>
      </c>
    </row>
    <row r="40" spans="1:20">
      <c r="F40" t="s">
        <v>660</v>
      </c>
    </row>
    <row r="41" spans="1:20">
      <c r="F41" t="s">
        <v>661</v>
      </c>
    </row>
    <row r="42" spans="1:20">
      <c r="A42" t="s">
        <v>678</v>
      </c>
      <c r="F42" t="s">
        <v>662</v>
      </c>
    </row>
    <row r="43" spans="1:20">
      <c r="F43" t="s">
        <v>664</v>
      </c>
    </row>
    <row r="44" spans="1:20">
      <c r="F44" t="s">
        <v>665</v>
      </c>
    </row>
    <row r="45" spans="1:20">
      <c r="F45" t="s">
        <v>666</v>
      </c>
    </row>
    <row r="47" spans="1:20">
      <c r="F47" s="54" t="s">
        <v>667</v>
      </c>
    </row>
    <row r="51" spans="6:6">
      <c r="F51" s="54" t="s">
        <v>668</v>
      </c>
    </row>
    <row r="52" spans="6:6">
      <c r="F52" t="s">
        <v>671</v>
      </c>
    </row>
    <row r="53" spans="6:6">
      <c r="F53" t="s">
        <v>672</v>
      </c>
    </row>
    <row r="54" spans="6:6">
      <c r="F54" s="75" t="s">
        <v>674</v>
      </c>
    </row>
    <row r="55" spans="6:6">
      <c r="F55" t="s">
        <v>675</v>
      </c>
    </row>
    <row r="56" spans="6:6">
      <c r="F56" s="54" t="s">
        <v>669</v>
      </c>
    </row>
    <row r="57" spans="6:6">
      <c r="F57" t="s">
        <v>673</v>
      </c>
    </row>
    <row r="58" spans="6:6">
      <c r="F58" t="s">
        <v>676</v>
      </c>
    </row>
    <row r="62" spans="6:6">
      <c r="F62" t="s">
        <v>670</v>
      </c>
    </row>
    <row r="63" spans="6:6">
      <c r="F63" t="s">
        <v>1382</v>
      </c>
    </row>
    <row r="66" spans="2:6">
      <c r="F66" t="s">
        <v>741</v>
      </c>
    </row>
    <row r="67" spans="2:6">
      <c r="F67" t="s">
        <v>742</v>
      </c>
    </row>
    <row r="68" spans="2:6">
      <c r="B68" t="s">
        <v>34</v>
      </c>
      <c r="F68" t="s">
        <v>743</v>
      </c>
    </row>
    <row r="69" spans="2:6">
      <c r="F69" t="s">
        <v>744</v>
      </c>
    </row>
    <row r="70" spans="2:6">
      <c r="F70" t="s">
        <v>745</v>
      </c>
    </row>
    <row r="71" spans="2:6">
      <c r="F71" t="s">
        <v>746</v>
      </c>
    </row>
    <row r="72" spans="2:6">
      <c r="F72" t="s">
        <v>747</v>
      </c>
    </row>
    <row r="73" spans="2:6">
      <c r="F73" t="s">
        <v>748</v>
      </c>
    </row>
    <row r="75" spans="2:6">
      <c r="F75" t="s">
        <v>749</v>
      </c>
    </row>
    <row r="76" spans="2:6">
      <c r="F76" s="118">
        <v>1.5</v>
      </c>
    </row>
    <row r="77" spans="2:6">
      <c r="F77" t="s">
        <v>750</v>
      </c>
    </row>
    <row r="78" spans="2:6">
      <c r="F78" t="s">
        <v>751</v>
      </c>
    </row>
    <row r="80" spans="2:6">
      <c r="F80" t="s">
        <v>752</v>
      </c>
    </row>
    <row r="81" spans="6:6">
      <c r="F81" t="s">
        <v>753</v>
      </c>
    </row>
    <row r="83" spans="6:6">
      <c r="F83" t="s">
        <v>754</v>
      </c>
    </row>
    <row r="84" spans="6:6">
      <c r="F84" t="s">
        <v>755</v>
      </c>
    </row>
    <row r="86" spans="6:6">
      <c r="F86" t="s">
        <v>756</v>
      </c>
    </row>
    <row r="87" spans="6:6">
      <c r="F87" t="s">
        <v>757</v>
      </c>
    </row>
  </sheetData>
  <pageMargins left="0.75" right="0.75" top="1" bottom="1" header="0.5" footer="0.5"/>
  <pageSetup orientation="portrait" horizontalDpi="4294967292" verticalDpi="4294967292"/>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Assumptions</vt:lpstr>
      <vt:lpstr>Summary</vt:lpstr>
      <vt:lpstr>Personnel</vt:lpstr>
      <vt:lpstr>Vehicles</vt:lpstr>
      <vt:lpstr>Equipment</vt:lpstr>
      <vt:lpstr>Supplies</vt:lpstr>
      <vt:lpstr>building &amp; overhead</vt:lpstr>
      <vt:lpstr>Start up costs</vt:lpstr>
      <vt:lpstr>Training</vt:lpstr>
      <vt:lpstr>Data capture</vt:lpstr>
      <vt:lpstr>house enumeration</vt:lpstr>
      <vt:lpstr>HBCT</vt:lpstr>
      <vt:lpstr>TM sum</vt:lpstr>
      <vt:lpstr>MVCT</vt:lpstr>
      <vt:lpstr>MC F-up</vt:lpstr>
      <vt:lpstr>QC</vt:lpstr>
      <vt:lpstr>Com mobilize</vt:lpstr>
      <vt:lpstr>HBCT logs</vt:lpstr>
      <vt:lpstr>ARVs</vt:lpstr>
      <vt:lpstr>Pt time transport</vt:lpstr>
      <vt:lpstr>Time motion</vt:lpstr>
      <vt:lpstr>clinic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Monisha Sharma</dc:creator>
  <cp:lastModifiedBy>Monisha Sharma</cp:lastModifiedBy>
  <dcterms:created xsi:type="dcterms:W3CDTF">2013-08-31T18:31:31Z</dcterms:created>
  <dcterms:modified xsi:type="dcterms:W3CDTF">2014-06-14T12:26:20Z</dcterms:modified>
</cp:coreProperties>
</file>