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onisha\Dropbox\Health econ workshop\"/>
    </mc:Choice>
  </mc:AlternateContent>
  <bookViews>
    <workbookView xWindow="0" yWindow="240" windowWidth="19200" windowHeight="7908" tabRatio="948" activeTab="2"/>
  </bookViews>
  <sheets>
    <sheet name="Instructions &amp; assumptions" sheetId="1" r:id="rId1"/>
    <sheet name="Summary" sheetId="26" r:id="rId2"/>
    <sheet name="Personnel" sheetId="2" r:id="rId3"/>
    <sheet name="Vehicles" sheetId="5" r:id="rId4"/>
    <sheet name="Equipment" sheetId="7" r:id="rId5"/>
    <sheet name="Supplies" sheetId="13" r:id="rId6"/>
    <sheet name="building &amp; overhead" sheetId="21" r:id="rId7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26" l="1"/>
  <c r="C10" i="26"/>
  <c r="F22" i="26"/>
  <c r="E7" i="21"/>
  <c r="E8" i="21"/>
  <c r="E6" i="21"/>
  <c r="G5" i="21"/>
  <c r="E5" i="21"/>
  <c r="E16" i="13"/>
  <c r="E17" i="13"/>
  <c r="E18" i="13"/>
  <c r="E19" i="13"/>
  <c r="E15" i="13"/>
  <c r="N10" i="7"/>
  <c r="L10" i="7"/>
  <c r="I10" i="7"/>
  <c r="J10" i="7" s="1"/>
  <c r="G10" i="7"/>
  <c r="E10" i="7"/>
  <c r="E6" i="13"/>
  <c r="G6" i="13" s="1"/>
  <c r="E7" i="13"/>
  <c r="G7" i="13" s="1"/>
  <c r="E8" i="13"/>
  <c r="G8" i="13" s="1"/>
  <c r="E9" i="13"/>
  <c r="G9" i="13" s="1"/>
  <c r="E10" i="13"/>
  <c r="G10" i="13" s="1"/>
  <c r="E4" i="13"/>
  <c r="G4" i="13" s="1"/>
  <c r="G6" i="7"/>
  <c r="G12" i="7"/>
  <c r="G5" i="7"/>
  <c r="H9" i="13" l="1"/>
  <c r="I9" i="13" s="1"/>
  <c r="H8" i="13"/>
  <c r="I8" i="13" s="1"/>
  <c r="H4" i="13"/>
  <c r="I4" i="13" s="1"/>
  <c r="H7" i="13"/>
  <c r="I7" i="13" s="1"/>
  <c r="H10" i="13"/>
  <c r="I10" i="13" s="1"/>
  <c r="H6" i="13"/>
  <c r="I6" i="13" s="1"/>
  <c r="D10" i="26"/>
  <c r="D13" i="26"/>
  <c r="E20" i="13"/>
  <c r="C12" i="26" s="1"/>
  <c r="D12" i="26" s="1"/>
  <c r="I15" i="5"/>
  <c r="G4" i="2" l="1"/>
  <c r="H4" i="2" s="1"/>
  <c r="J4" i="2" s="1"/>
  <c r="G6" i="2"/>
  <c r="H6" i="2" s="1"/>
  <c r="J6" i="2" s="1"/>
  <c r="G7" i="2"/>
  <c r="H7" i="2" s="1"/>
  <c r="J7" i="2" s="1"/>
  <c r="G5" i="2"/>
  <c r="H5" i="2" s="1"/>
  <c r="J5" i="2" s="1"/>
  <c r="J8" i="2" l="1"/>
  <c r="C8" i="26" s="1"/>
  <c r="D8" i="26" s="1"/>
  <c r="L21" i="26" s="1"/>
  <c r="L5" i="5"/>
  <c r="G5" i="5"/>
  <c r="J5" i="5" s="1"/>
  <c r="L6" i="5"/>
  <c r="G6" i="5"/>
  <c r="J6" i="5" s="1"/>
  <c r="L7" i="5"/>
  <c r="J7" i="5"/>
  <c r="L8" i="5"/>
  <c r="J8" i="5"/>
  <c r="K15" i="5"/>
  <c r="L15" i="5" s="1"/>
  <c r="M15" i="5" s="1"/>
  <c r="I5" i="7"/>
  <c r="E5" i="7"/>
  <c r="I6" i="7"/>
  <c r="E6" i="7"/>
  <c r="I7" i="7"/>
  <c r="E7" i="7"/>
  <c r="G7" i="7" s="1"/>
  <c r="I8" i="7"/>
  <c r="E8" i="7"/>
  <c r="G8" i="7" s="1"/>
  <c r="I9" i="7"/>
  <c r="E9" i="7"/>
  <c r="G9" i="7" s="1"/>
  <c r="I11" i="7"/>
  <c r="E11" i="7"/>
  <c r="G11" i="7" s="1"/>
  <c r="I12" i="7"/>
  <c r="E12" i="7"/>
  <c r="D5" i="13"/>
  <c r="I5" i="21"/>
  <c r="L23" i="26"/>
  <c r="L25" i="26"/>
  <c r="L26" i="26"/>
  <c r="G8" i="5"/>
  <c r="G7" i="5"/>
  <c r="G7" i="21" l="1"/>
  <c r="I7" i="21" s="1"/>
  <c r="E5" i="13"/>
  <c r="J5" i="7"/>
  <c r="L5" i="7" s="1"/>
  <c r="N5" i="7" s="1"/>
  <c r="J11" i="7"/>
  <c r="L11" i="7" s="1"/>
  <c r="N11" i="7" s="1"/>
  <c r="J6" i="7"/>
  <c r="L6" i="7" s="1"/>
  <c r="N6" i="7" s="1"/>
  <c r="J7" i="7"/>
  <c r="L7" i="7" s="1"/>
  <c r="N7" i="7" s="1"/>
  <c r="J12" i="7"/>
  <c r="L12" i="7" s="1"/>
  <c r="N12" i="7" s="1"/>
  <c r="J9" i="7"/>
  <c r="L9" i="7" s="1"/>
  <c r="N9" i="7" s="1"/>
  <c r="J8" i="7"/>
  <c r="L8" i="7" s="1"/>
  <c r="N8" i="7" s="1"/>
  <c r="M8" i="5"/>
  <c r="O8" i="5" s="1"/>
  <c r="Q8" i="5" s="1"/>
  <c r="M7" i="5"/>
  <c r="O7" i="5" s="1"/>
  <c r="Q7" i="5" s="1"/>
  <c r="M18" i="5"/>
  <c r="C9" i="26" s="1"/>
  <c r="D9" i="26" s="1"/>
  <c r="L22" i="26" s="1"/>
  <c r="M6" i="5"/>
  <c r="O6" i="5" s="1"/>
  <c r="Q6" i="5" s="1"/>
  <c r="M5" i="5"/>
  <c r="O5" i="5" s="1"/>
  <c r="Q5" i="5" s="1"/>
  <c r="G5" i="13" l="1"/>
  <c r="H5" i="13" s="1"/>
  <c r="I5" i="13" s="1"/>
  <c r="I11" i="13" s="1"/>
  <c r="C11" i="26" s="1"/>
  <c r="G6" i="21"/>
  <c r="I6" i="21" s="1"/>
  <c r="G8" i="21"/>
  <c r="I8" i="21" s="1"/>
  <c r="N13" i="7"/>
  <c r="Q9" i="5"/>
  <c r="D11" i="26" l="1"/>
  <c r="L24" i="26" s="1"/>
  <c r="C14" i="26"/>
  <c r="C15" i="26" s="1"/>
  <c r="L27" i="26" s="1"/>
  <c r="I9" i="21"/>
</calcChain>
</file>

<file path=xl/sharedStrings.xml><?xml version="1.0" encoding="utf-8"?>
<sst xmlns="http://schemas.openxmlformats.org/spreadsheetml/2006/main" count="202" uniqueCount="127">
  <si>
    <t>The following are approximate guides for amortization periods where more accurate estimates are not available:</t>
  </si>
  <si>
    <t xml:space="preserve"> </t>
  </si>
  <si>
    <t>Total</t>
  </si>
  <si>
    <t>TOTAL</t>
  </si>
  <si>
    <t xml:space="preserve">  </t>
  </si>
  <si>
    <t>RECURRENT</t>
  </si>
  <si>
    <t>Weeks worked per year</t>
  </si>
  <si>
    <t>Fuel consumption
(km/lit)</t>
  </si>
  <si>
    <t>Vehicles</t>
  </si>
  <si>
    <t>Supplies</t>
  </si>
  <si>
    <t>Purchase Date</t>
  </si>
  <si>
    <t>Unit Cost</t>
  </si>
  <si>
    <t>Number</t>
  </si>
  <si>
    <t>Total Cost</t>
  </si>
  <si>
    <t>Inflation Factor (%)</t>
  </si>
  <si>
    <t>Current Price</t>
  </si>
  <si>
    <t>Useful Life (yrs)</t>
  </si>
  <si>
    <t>Annuity Factor</t>
  </si>
  <si>
    <t xml:space="preserve">Annual Cost    </t>
  </si>
  <si>
    <t>Part Year?**</t>
  </si>
  <si>
    <t>Total Adj. Cost</t>
  </si>
  <si>
    <t>% for Intervention</t>
  </si>
  <si>
    <t>Total for Intervention</t>
  </si>
  <si>
    <t xml:space="preserve">** If a vehicle is only used for part of a year (eg vehicle purchased part-way through the costing period, or if </t>
  </si>
  <si>
    <t xml:space="preserve">    costing period shorter than a year).</t>
  </si>
  <si>
    <t xml:space="preserve">Discount Rate : </t>
  </si>
  <si>
    <t>Item</t>
  </si>
  <si>
    <t>Xcng Rate</t>
  </si>
  <si>
    <t>Building</t>
  </si>
  <si>
    <r>
      <t xml:space="preserve">Currency </t>
    </r>
    <r>
      <rPr>
        <b/>
        <sz val="8"/>
        <rFont val="Arial"/>
        <family val="2"/>
      </rPr>
      <t>(1=US, 2=local)</t>
    </r>
  </si>
  <si>
    <t>Total in USD</t>
  </si>
  <si>
    <t>Total Annual Cost</t>
  </si>
  <si>
    <t>months used</t>
  </si>
  <si>
    <t>Salaries, allowances and benefits</t>
  </si>
  <si>
    <t>Staff</t>
  </si>
  <si>
    <t>Position Title                               (+ grade if applicable)</t>
  </si>
  <si>
    <t>Equipment</t>
  </si>
  <si>
    <t>Printing paper</t>
  </si>
  <si>
    <t>Printer cartridges</t>
  </si>
  <si>
    <t>exchange rate</t>
  </si>
  <si>
    <t>General supplies</t>
  </si>
  <si>
    <t xml:space="preserve">      </t>
  </si>
  <si>
    <t>Capillary tubes</t>
  </si>
  <si>
    <t>Weekly distance traveled</t>
  </si>
  <si>
    <t>Vehicle</t>
  </si>
  <si>
    <t>Total monthly cost</t>
  </si>
  <si>
    <t>Hand sanitizer (2 oz)</t>
  </si>
  <si>
    <t>Wastage</t>
  </si>
  <si>
    <t>Yearly cost</t>
  </si>
  <si>
    <t>Current Price (USD)</t>
  </si>
  <si>
    <t>cost in USD</t>
  </si>
  <si>
    <t>Annual fuel costs</t>
  </si>
  <si>
    <t>Total fuel and maintenance cost:</t>
  </si>
  <si>
    <t xml:space="preserve">Number </t>
  </si>
  <si>
    <t>Total annual cost</t>
  </si>
  <si>
    <t>Fraction used / visit</t>
  </si>
  <si>
    <t>Exchange rate</t>
  </si>
  <si>
    <t>Personnel</t>
  </si>
  <si>
    <t>Transportation</t>
  </si>
  <si>
    <t>Total for Intervention USD</t>
  </si>
  <si>
    <t xml:space="preserve">Perspective: Provider/Programmatic  </t>
  </si>
  <si>
    <t>internet</t>
  </si>
  <si>
    <t># staff</t>
  </si>
  <si>
    <t>registration, inspection</t>
  </si>
  <si>
    <t># tested/day</t>
  </si>
  <si>
    <t>total # tested</t>
  </si>
  <si>
    <r>
      <t xml:space="preserve">Exchange rate from IMF </t>
    </r>
    <r>
      <rPr>
        <sz val="11"/>
        <color theme="1"/>
        <rFont val="Calibri"/>
        <family val="2"/>
        <scheme val="minor"/>
      </rPr>
      <t>(KSH</t>
    </r>
    <r>
      <rPr>
        <sz val="11"/>
        <color theme="1"/>
        <rFont val="Calibri"/>
        <family val="2"/>
        <scheme val="minor"/>
      </rPr>
      <t xml:space="preserve"> to dollar)</t>
    </r>
  </si>
  <si>
    <t>28/02/14</t>
  </si>
  <si>
    <t>Office chairs</t>
  </si>
  <si>
    <t>Conference table</t>
  </si>
  <si>
    <t>Dual Safe powdered gloves</t>
  </si>
  <si>
    <t>70% Alcohol swabs</t>
  </si>
  <si>
    <t>Toner</t>
  </si>
  <si>
    <t xml:space="preserve">Annual recurrent cost  </t>
  </si>
  <si>
    <t>Electricity</t>
  </si>
  <si>
    <t>Employee type</t>
  </si>
  <si>
    <t>Project manager</t>
  </si>
  <si>
    <t>Lay counselor</t>
  </si>
  <si>
    <t>Community mobilizer</t>
  </si>
  <si>
    <t>Office manager</t>
  </si>
  <si>
    <t>Net Salary                   (per person) KSH</t>
  </si>
  <si>
    <t>Gross Salary (including fringe) per person</t>
  </si>
  <si>
    <t>Gross salary in USD (per person)</t>
  </si>
  <si>
    <t>EXCHANGE RATE</t>
  </si>
  <si>
    <t>Fringe benefits</t>
  </si>
  <si>
    <t>SUV Landrover</t>
  </si>
  <si>
    <t>Fuel price
($/lit) KSH</t>
  </si>
  <si>
    <t>Maintenance cost
(KSH/year)</t>
  </si>
  <si>
    <t>Currency: 2015 USD</t>
  </si>
  <si>
    <t>Office desk</t>
  </si>
  <si>
    <t>Cabinet</t>
  </si>
  <si>
    <t>PC</t>
  </si>
  <si>
    <t>Staff back packs</t>
  </si>
  <si>
    <t>Laptop computer with printer</t>
  </si>
  <si>
    <t>First response (confirmatory test)</t>
  </si>
  <si>
    <t>Unigold (tie breaker test)</t>
  </si>
  <si>
    <t>HIV rapid screening test</t>
  </si>
  <si>
    <t>Total cost KSH</t>
  </si>
  <si>
    <t>Mobile phones</t>
  </si>
  <si>
    <t>Pens</t>
  </si>
  <si>
    <t>Notebooks</t>
  </si>
  <si>
    <t>Office space in clinic</t>
  </si>
  <si>
    <t>Water</t>
  </si>
  <si>
    <t>Total in USD (per person tested)</t>
  </si>
  <si>
    <t xml:space="preserve"># days worked </t>
  </si>
  <si>
    <t>Lay counselors</t>
  </si>
  <si>
    <t xml:space="preserve">Cost per person tested </t>
  </si>
  <si>
    <t>Supplies per person tested</t>
  </si>
  <si>
    <t>number of persons tested per year</t>
  </si>
  <si>
    <t>Building and overhead</t>
  </si>
  <si>
    <t>person tested</t>
  </si>
  <si>
    <t>Cost per</t>
  </si>
  <si>
    <t>Category</t>
  </si>
  <si>
    <t xml:space="preserve">Total per person tested </t>
  </si>
  <si>
    <t>Instructions</t>
  </si>
  <si>
    <t>Boxes in blue can be filled in with words (description items included in costing)</t>
  </si>
  <si>
    <t>Boxes in yellow can be filled in with numbers</t>
  </si>
  <si>
    <t>Boxes in green populate automatically and should not be altered</t>
  </si>
  <si>
    <t>Perspective: Programmatic (only costs incurred by the healthcare provider are included)</t>
  </si>
  <si>
    <t>These spreadsheets are linked and summary costs will automatically populate the summary sheet tab.</t>
  </si>
  <si>
    <t>Discount rate: 3% annually</t>
  </si>
  <si>
    <t>Costs expressed in 2015 US dollars</t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</si>
  <si>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New buildings: 30 years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</si>
  <si>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Renovations: 10 years, unless expected to be repeated sooner (e.g. maintenance expected to be repeated every 3 or 5 years)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</si>
  <si>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Vehicles: 5 years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</si>
  <si>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Furniture: 10 years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</si>
  <si>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Training: 5 years (to account for likely repeats, change in protocol, staff changeover - TBC), unless expected cycle of training expected sooner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</si>
</sst>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[$ZAR]\ #,##0.00"/>
    <numFmt numFmtId="166" formatCode="[$-409]d\-mmm\-yy;@"/>
    <numFmt numFmtId="167" formatCode="&quot;$&quot;#,##0.00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color rgb="FFC00000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730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44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229">
    <xf numFmtId="0" fontId="0" fillId="0" borderId="0" xfId="0"/>
    <xf numFmtId="0" fontId="9" fillId="0" borderId="0" xfId="0" applyFont="1" applyAlignment="1">
      <alignment horizontal="left" vertical="center" indent="3"/>
    </xf>
    <xf numFmtId="0" fontId="10" fillId="0" borderId="0" xfId="0" applyFont="1" applyAlignment="1">
      <alignment horizontal="left" vertical="center" indent="3"/>
    </xf>
    <xf numFmtId="0" fontId="14" fillId="0" borderId="0" xfId="0" applyFont="1"/>
    <xf numFmtId="0" fontId="14" fillId="0" borderId="0" xfId="0" applyFont="1" applyBorder="1"/>
    <xf numFmtId="0" fontId="13" fillId="0" borderId="0" xfId="0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0" fillId="0" borderId="0" xfId="0" applyFont="1"/>
    <xf numFmtId="0" fontId="18" fillId="3" borderId="0" xfId="0" applyFont="1" applyFill="1"/>
    <xf numFmtId="0" fontId="19" fillId="0" borderId="0" xfId="0" applyFont="1"/>
    <xf numFmtId="0" fontId="0" fillId="0" borderId="0" xfId="0" applyFill="1" applyBorder="1"/>
    <xf numFmtId="2" fontId="0" fillId="0" borderId="0" xfId="0" applyNumberFormat="1"/>
    <xf numFmtId="0" fontId="0" fillId="0" borderId="0" xfId="0" applyFont="1" applyFill="1" applyBorder="1"/>
    <xf numFmtId="0" fontId="0" fillId="0" borderId="0" xfId="0" applyFill="1"/>
    <xf numFmtId="0" fontId="19" fillId="0" borderId="0" xfId="0" applyFont="1" applyFill="1"/>
    <xf numFmtId="0" fontId="22" fillId="0" borderId="0" xfId="0" applyFont="1"/>
    <xf numFmtId="0" fontId="24" fillId="0" borderId="0" xfId="0" applyFont="1" applyAlignment="1">
      <alignment horizontal="right"/>
    </xf>
    <xf numFmtId="10" fontId="24" fillId="7" borderId="1" xfId="278" applyNumberFormat="1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3" fillId="0" borderId="0" xfId="0" applyFont="1"/>
    <xf numFmtId="3" fontId="24" fillId="6" borderId="1" xfId="0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right"/>
    </xf>
    <xf numFmtId="0" fontId="27" fillId="8" borderId="0" xfId="0" applyFont="1" applyFill="1"/>
    <xf numFmtId="0" fontId="0" fillId="8" borderId="0" xfId="0" applyFill="1"/>
    <xf numFmtId="0" fontId="28" fillId="8" borderId="0" xfId="0" applyFont="1" applyFill="1"/>
    <xf numFmtId="0" fontId="24" fillId="8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wrapText="1"/>
    </xf>
    <xf numFmtId="0" fontId="29" fillId="0" borderId="0" xfId="0" applyFont="1"/>
    <xf numFmtId="0" fontId="23" fillId="4" borderId="18" xfId="0" applyFont="1" applyFill="1" applyBorder="1" applyAlignment="1">
      <alignment wrapText="1"/>
    </xf>
    <xf numFmtId="0" fontId="30" fillId="0" borderId="0" xfId="0" applyFont="1"/>
    <xf numFmtId="0" fontId="23" fillId="0" borderId="0" xfId="0" applyFont="1" applyFill="1" applyBorder="1" applyAlignment="1">
      <alignment horizontal="center" vertical="top" wrapText="1"/>
    </xf>
    <xf numFmtId="0" fontId="23" fillId="4" borderId="22" xfId="0" applyFont="1" applyFill="1" applyBorder="1" applyAlignment="1">
      <alignment wrapText="1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4" borderId="18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3" fillId="7" borderId="18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3" fillId="7" borderId="26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3" fontId="23" fillId="6" borderId="15" xfId="0" applyNumberFormat="1" applyFont="1" applyFill="1" applyBorder="1" applyAlignment="1">
      <alignment horizontal="center" vertical="center" wrapText="1"/>
    </xf>
    <xf numFmtId="3" fontId="23" fillId="6" borderId="18" xfId="0" applyNumberFormat="1" applyFont="1" applyFill="1" applyBorder="1" applyAlignment="1">
      <alignment horizontal="center" vertical="center" wrapText="1"/>
    </xf>
    <xf numFmtId="3" fontId="23" fillId="6" borderId="2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3" fontId="23" fillId="7" borderId="15" xfId="0" applyNumberFormat="1" applyFont="1" applyFill="1" applyBorder="1" applyAlignment="1">
      <alignment horizontal="center" vertical="center" wrapText="1"/>
    </xf>
    <xf numFmtId="3" fontId="23" fillId="7" borderId="18" xfId="0" applyNumberFormat="1" applyFont="1" applyFill="1" applyBorder="1" applyAlignment="1">
      <alignment horizontal="center" vertical="center" wrapText="1"/>
    </xf>
    <xf numFmtId="9" fontId="23" fillId="7" borderId="26" xfId="0" applyNumberFormat="1" applyFont="1" applyFill="1" applyBorder="1" applyAlignment="1">
      <alignment horizontal="center" vertical="center" wrapText="1"/>
    </xf>
    <xf numFmtId="3" fontId="23" fillId="7" borderId="22" xfId="0" applyNumberFormat="1" applyFont="1" applyFill="1" applyBorder="1" applyAlignment="1">
      <alignment horizontal="center" vertical="center" wrapText="1"/>
    </xf>
    <xf numFmtId="4" fontId="23" fillId="7" borderId="1" xfId="0" applyNumberFormat="1" applyFont="1" applyFill="1" applyBorder="1" applyAlignment="1">
      <alignment horizontal="center" vertical="center" wrapText="1"/>
    </xf>
    <xf numFmtId="3" fontId="23" fillId="7" borderId="28" xfId="0" applyNumberFormat="1" applyFont="1" applyFill="1" applyBorder="1" applyAlignment="1">
      <alignment horizontal="center" vertical="center" wrapText="1"/>
    </xf>
    <xf numFmtId="3" fontId="23" fillId="7" borderId="29" xfId="0" applyNumberFormat="1" applyFont="1" applyFill="1" applyBorder="1" applyAlignment="1">
      <alignment horizontal="center" vertical="center" wrapText="1"/>
    </xf>
    <xf numFmtId="9" fontId="23" fillId="7" borderId="7" xfId="0" applyNumberFormat="1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wrapText="1"/>
    </xf>
    <xf numFmtId="0" fontId="28" fillId="8" borderId="0" xfId="0" applyFont="1" applyFill="1" applyAlignment="1">
      <alignment vertical="center"/>
    </xf>
    <xf numFmtId="0" fontId="0" fillId="8" borderId="0" xfId="0" applyFill="1" applyAlignment="1">
      <alignment horizontal="right" vertical="center"/>
    </xf>
    <xf numFmtId="0" fontId="0" fillId="8" borderId="0" xfId="0" applyFill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0" xfId="0" applyFont="1" applyAlignment="1">
      <alignment horizontal="left"/>
    </xf>
    <xf numFmtId="0" fontId="23" fillId="4" borderId="19" xfId="0" applyFont="1" applyFill="1" applyBorder="1" applyAlignment="1">
      <alignment wrapText="1"/>
    </xf>
    <xf numFmtId="0" fontId="23" fillId="4" borderId="23" xfId="0" applyFont="1" applyFill="1" applyBorder="1" applyAlignment="1">
      <alignment wrapText="1"/>
    </xf>
    <xf numFmtId="0" fontId="22" fillId="0" borderId="0" xfId="0" applyFont="1" applyAlignment="1">
      <alignment vertical="center"/>
    </xf>
    <xf numFmtId="0" fontId="31" fillId="0" borderId="0" xfId="0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0" fillId="0" borderId="0" xfId="0" applyFont="1" applyBorder="1"/>
    <xf numFmtId="0" fontId="23" fillId="4" borderId="28" xfId="0" applyFont="1" applyFill="1" applyBorder="1" applyAlignment="1">
      <alignment wrapText="1"/>
    </xf>
    <xf numFmtId="0" fontId="23" fillId="7" borderId="25" xfId="0" applyFont="1" applyFill="1" applyBorder="1" applyAlignment="1">
      <alignment horizontal="center" vertical="center" wrapText="1"/>
    </xf>
    <xf numFmtId="167" fontId="23" fillId="7" borderId="15" xfId="0" applyNumberFormat="1" applyFont="1" applyFill="1" applyBorder="1" applyAlignment="1">
      <alignment horizontal="center" vertical="center" wrapText="1"/>
    </xf>
    <xf numFmtId="167" fontId="23" fillId="7" borderId="18" xfId="0" applyNumberFormat="1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167" fontId="23" fillId="7" borderId="28" xfId="0" applyNumberFormat="1" applyFont="1" applyFill="1" applyBorder="1" applyAlignment="1">
      <alignment horizontal="center" vertical="center" wrapText="1"/>
    </xf>
    <xf numFmtId="9" fontId="23" fillId="7" borderId="20" xfId="0" applyNumberFormat="1" applyFont="1" applyFill="1" applyBorder="1" applyAlignment="1">
      <alignment horizontal="center" vertical="center" wrapText="1"/>
    </xf>
    <xf numFmtId="3" fontId="23" fillId="6" borderId="21" xfId="0" applyNumberFormat="1" applyFont="1" applyFill="1" applyBorder="1" applyAlignment="1">
      <alignment horizontal="center" vertical="center" wrapText="1"/>
    </xf>
    <xf numFmtId="167" fontId="23" fillId="6" borderId="15" xfId="0" applyNumberFormat="1" applyFont="1" applyFill="1" applyBorder="1" applyAlignment="1">
      <alignment horizontal="center" vertical="center" wrapText="1"/>
    </xf>
    <xf numFmtId="167" fontId="23" fillId="6" borderId="18" xfId="0" applyNumberFormat="1" applyFont="1" applyFill="1" applyBorder="1" applyAlignment="1">
      <alignment horizontal="center" vertical="center" wrapText="1"/>
    </xf>
    <xf numFmtId="167" fontId="23" fillId="6" borderId="22" xfId="0" applyNumberFormat="1" applyFont="1" applyFill="1" applyBorder="1" applyAlignment="1">
      <alignment horizontal="center" vertical="center" wrapText="1"/>
    </xf>
    <xf numFmtId="167" fontId="23" fillId="7" borderId="22" xfId="0" applyNumberFormat="1" applyFont="1" applyFill="1" applyBorder="1" applyAlignment="1">
      <alignment horizontal="center" vertical="center" wrapText="1"/>
    </xf>
    <xf numFmtId="164" fontId="23" fillId="6" borderId="11" xfId="0" applyNumberFormat="1" applyFont="1" applyFill="1" applyBorder="1" applyAlignment="1" applyProtection="1">
      <alignment horizontal="center" vertical="center"/>
      <protection hidden="1"/>
    </xf>
    <xf numFmtId="164" fontId="23" fillId="6" borderId="19" xfId="0" applyNumberFormat="1" applyFont="1" applyFill="1" applyBorder="1" applyAlignment="1" applyProtection="1">
      <alignment horizontal="center" vertical="center"/>
      <protection hidden="1"/>
    </xf>
    <xf numFmtId="164" fontId="23" fillId="6" borderId="23" xfId="0" applyNumberFormat="1" applyFont="1" applyFill="1" applyBorder="1" applyAlignment="1" applyProtection="1">
      <alignment horizontal="center" vertical="center"/>
      <protection hidden="1"/>
    </xf>
    <xf numFmtId="0" fontId="23" fillId="7" borderId="16" xfId="0" applyFont="1" applyFill="1" applyBorder="1" applyAlignment="1">
      <alignment horizontal="center" vertical="center"/>
    </xf>
    <xf numFmtId="0" fontId="23" fillId="7" borderId="20" xfId="0" applyFont="1" applyFill="1" applyBorder="1" applyAlignment="1">
      <alignment horizontal="center" vertical="center"/>
    </xf>
    <xf numFmtId="167" fontId="23" fillId="6" borderId="16" xfId="0" applyNumberFormat="1" applyFont="1" applyFill="1" applyBorder="1" applyAlignment="1">
      <alignment horizontal="center" vertical="center" wrapText="1"/>
    </xf>
    <xf numFmtId="0" fontId="23" fillId="7" borderId="20" xfId="0" applyFont="1" applyFill="1" applyBorder="1" applyAlignment="1">
      <alignment horizontal="center" vertical="center" wrapText="1"/>
    </xf>
    <xf numFmtId="4" fontId="23" fillId="7" borderId="20" xfId="0" applyNumberFormat="1" applyFont="1" applyFill="1" applyBorder="1" applyAlignment="1">
      <alignment horizontal="center" vertical="center" wrapText="1"/>
    </xf>
    <xf numFmtId="2" fontId="23" fillId="6" borderId="18" xfId="0" applyNumberFormat="1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9" fontId="23" fillId="7" borderId="25" xfId="0" applyNumberFormat="1" applyFont="1" applyFill="1" applyBorder="1" applyAlignment="1">
      <alignment horizontal="center" vertical="center" wrapText="1"/>
    </xf>
    <xf numFmtId="166" fontId="23" fillId="7" borderId="18" xfId="0" applyNumberFormat="1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4" fontId="23" fillId="7" borderId="18" xfId="0" applyNumberFormat="1" applyFont="1" applyFill="1" applyBorder="1" applyAlignment="1">
      <alignment horizontal="center" vertical="center" wrapText="1"/>
    </xf>
    <xf numFmtId="10" fontId="23" fillId="7" borderId="19" xfId="0" applyNumberFormat="1" applyFont="1" applyFill="1" applyBorder="1" applyAlignment="1">
      <alignment horizontal="center" vertical="center" wrapText="1"/>
    </xf>
    <xf numFmtId="166" fontId="23" fillId="7" borderId="22" xfId="0" applyNumberFormat="1" applyFont="1" applyFill="1" applyBorder="1" applyAlignment="1">
      <alignment horizontal="center" vertical="center" wrapText="1"/>
    </xf>
    <xf numFmtId="0" fontId="23" fillId="7" borderId="23" xfId="0" applyFont="1" applyFill="1" applyBorder="1" applyAlignment="1">
      <alignment horizontal="center" vertical="center" wrapText="1"/>
    </xf>
    <xf numFmtId="10" fontId="23" fillId="7" borderId="23" xfId="0" applyNumberFormat="1" applyFont="1" applyFill="1" applyBorder="1" applyAlignment="1">
      <alignment horizontal="center" vertical="center" wrapText="1"/>
    </xf>
    <xf numFmtId="2" fontId="23" fillId="6" borderId="22" xfId="0" applyNumberFormat="1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center" vertical="center" wrapText="1"/>
    </xf>
    <xf numFmtId="4" fontId="23" fillId="7" borderId="24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23" fillId="6" borderId="18" xfId="0" applyNumberFormat="1" applyFont="1" applyFill="1" applyBorder="1" applyAlignment="1">
      <alignment horizontal="center" vertical="center"/>
    </xf>
    <xf numFmtId="4" fontId="23" fillId="7" borderId="25" xfId="0" applyNumberFormat="1" applyFont="1" applyFill="1" applyBorder="1" applyAlignment="1">
      <alignment horizontal="center" vertical="center" wrapText="1"/>
    </xf>
    <xf numFmtId="4" fontId="23" fillId="7" borderId="26" xfId="0" applyNumberFormat="1" applyFont="1" applyFill="1" applyBorder="1" applyAlignment="1">
      <alignment horizontal="center" vertical="center" wrapText="1"/>
    </xf>
    <xf numFmtId="3" fontId="23" fillId="7" borderId="2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3" fillId="7" borderId="18" xfId="0" applyNumberFormat="1" applyFont="1" applyFill="1" applyBorder="1" applyAlignment="1">
      <alignment horizontal="center" vertical="center" wrapText="1"/>
    </xf>
    <xf numFmtId="2" fontId="23" fillId="0" borderId="0" xfId="0" applyNumberFormat="1" applyFont="1"/>
    <xf numFmtId="0" fontId="8" fillId="0" borderId="0" xfId="280"/>
    <xf numFmtId="0" fontId="35" fillId="0" borderId="0" xfId="280" applyFont="1"/>
    <xf numFmtId="0" fontId="20" fillId="0" borderId="0" xfId="280" applyFont="1"/>
    <xf numFmtId="0" fontId="8" fillId="0" borderId="0" xfId="280" applyBorder="1"/>
    <xf numFmtId="0" fontId="35" fillId="0" borderId="0" xfId="280" applyFont="1" applyBorder="1"/>
    <xf numFmtId="0" fontId="35" fillId="0" borderId="0" xfId="280" applyFont="1" applyFill="1" applyBorder="1"/>
    <xf numFmtId="0" fontId="36" fillId="4" borderId="19" xfId="0" applyFont="1" applyFill="1" applyBorder="1" applyAlignment="1">
      <alignment wrapText="1"/>
    </xf>
    <xf numFmtId="0" fontId="36" fillId="7" borderId="19" xfId="0" applyFont="1" applyFill="1" applyBorder="1" applyAlignment="1">
      <alignment horizontal="center" vertical="center" wrapText="1"/>
    </xf>
    <xf numFmtId="167" fontId="24" fillId="6" borderId="33" xfId="0" applyNumberFormat="1" applyFont="1" applyFill="1" applyBorder="1" applyAlignment="1">
      <alignment horizontal="center" vertical="center" wrapText="1"/>
    </xf>
    <xf numFmtId="3" fontId="23" fillId="7" borderId="12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8" fillId="0" borderId="0" xfId="280" applyNumberFormat="1"/>
    <xf numFmtId="15" fontId="32" fillId="0" borderId="0" xfId="0" applyNumberFormat="1" applyFont="1"/>
    <xf numFmtId="3" fontId="23" fillId="6" borderId="12" xfId="0" applyNumberFormat="1" applyFont="1" applyFill="1" applyBorder="1" applyAlignment="1">
      <alignment horizontal="center" vertical="center" wrapText="1"/>
    </xf>
    <xf numFmtId="9" fontId="23" fillId="7" borderId="13" xfId="0" applyNumberFormat="1" applyFont="1" applyFill="1" applyBorder="1" applyAlignment="1">
      <alignment horizontal="center" vertical="center" wrapText="1"/>
    </xf>
    <xf numFmtId="0" fontId="7" fillId="0" borderId="0" xfId="280" applyFont="1"/>
    <xf numFmtId="0" fontId="8" fillId="0" borderId="0" xfId="280" applyFill="1"/>
    <xf numFmtId="0" fontId="8" fillId="0" borderId="0" xfId="280" applyFill="1" applyBorder="1"/>
    <xf numFmtId="0" fontId="37" fillId="0" borderId="0" xfId="280" applyFont="1"/>
    <xf numFmtId="0" fontId="6" fillId="0" borderId="0" xfId="280" applyFont="1"/>
    <xf numFmtId="44" fontId="8" fillId="9" borderId="0" xfId="279" applyFont="1" applyFill="1"/>
    <xf numFmtId="0" fontId="0" fillId="0" borderId="0" xfId="0" applyFont="1" applyAlignment="1"/>
    <xf numFmtId="1" fontId="23" fillId="7" borderId="19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3" fontId="23" fillId="6" borderId="1" xfId="0" applyNumberFormat="1" applyFont="1" applyFill="1" applyBorder="1" applyAlignment="1">
      <alignment horizontal="center" vertical="center" wrapText="1"/>
    </xf>
    <xf numFmtId="9" fontId="23" fillId="7" borderId="18" xfId="278" applyFont="1" applyFill="1" applyBorder="1" applyAlignment="1">
      <alignment horizontal="center" vertical="center" wrapText="1"/>
    </xf>
    <xf numFmtId="0" fontId="0" fillId="0" borderId="5" xfId="0" applyBorder="1"/>
    <xf numFmtId="0" fontId="23" fillId="4" borderId="19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3" fontId="23" fillId="7" borderId="16" xfId="0" applyNumberFormat="1" applyFont="1" applyFill="1" applyBorder="1" applyAlignment="1">
      <alignment horizontal="center" vertical="center" wrapText="1"/>
    </xf>
    <xf numFmtId="3" fontId="23" fillId="7" borderId="30" xfId="0" applyNumberFormat="1" applyFont="1" applyFill="1" applyBorder="1" applyAlignment="1">
      <alignment horizontal="center" vertical="center" wrapText="1"/>
    </xf>
    <xf numFmtId="164" fontId="23" fillId="6" borderId="18" xfId="0" applyNumberFormat="1" applyFont="1" applyFill="1" applyBorder="1" applyAlignment="1" applyProtection="1">
      <alignment horizontal="center" vertical="center"/>
      <protection hidden="1"/>
    </xf>
    <xf numFmtId="0" fontId="23" fillId="4" borderId="29" xfId="0" applyFont="1" applyFill="1" applyBorder="1" applyAlignment="1">
      <alignment vertical="center" wrapText="1"/>
    </xf>
    <xf numFmtId="9" fontId="23" fillId="7" borderId="30" xfId="0" applyNumberFormat="1" applyFont="1" applyFill="1" applyBorder="1" applyAlignment="1">
      <alignment horizontal="center" vertical="center" wrapText="1"/>
    </xf>
    <xf numFmtId="2" fontId="8" fillId="0" borderId="0" xfId="280" applyNumberFormat="1" applyBorder="1"/>
    <xf numFmtId="0" fontId="8" fillId="0" borderId="0" xfId="280" applyFill="1" applyAlignment="1">
      <alignment wrapText="1"/>
    </xf>
    <xf numFmtId="0" fontId="8" fillId="0" borderId="0" xfId="280" applyFont="1" applyBorder="1"/>
    <xf numFmtId="0" fontId="23" fillId="7" borderId="40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4" fillId="8" borderId="42" xfId="0" applyFont="1" applyFill="1" applyBorder="1" applyAlignment="1">
      <alignment horizontal="center" vertical="center" wrapText="1"/>
    </xf>
    <xf numFmtId="0" fontId="23" fillId="4" borderId="43" xfId="0" applyFont="1" applyFill="1" applyBorder="1" applyAlignment="1">
      <alignment vertical="center" wrapText="1"/>
    </xf>
    <xf numFmtId="0" fontId="23" fillId="4" borderId="5" xfId="0" applyFont="1" applyFill="1" applyBorder="1" applyAlignment="1">
      <alignment vertical="center" wrapText="1"/>
    </xf>
    <xf numFmtId="0" fontId="23" fillId="4" borderId="38" xfId="0" applyFont="1" applyFill="1" applyBorder="1" applyAlignment="1">
      <alignment vertical="center" wrapText="1"/>
    </xf>
    <xf numFmtId="0" fontId="3" fillId="0" borderId="0" xfId="280" applyFont="1"/>
    <xf numFmtId="0" fontId="24" fillId="8" borderId="13" xfId="0" applyFont="1" applyFill="1" applyBorder="1" applyAlignment="1">
      <alignment horizontal="center" vertical="center" wrapText="1"/>
    </xf>
    <xf numFmtId="167" fontId="23" fillId="6" borderId="20" xfId="0" applyNumberFormat="1" applyFont="1" applyFill="1" applyBorder="1" applyAlignment="1">
      <alignment horizontal="center" vertical="center" wrapText="1"/>
    </xf>
    <xf numFmtId="0" fontId="24" fillId="8" borderId="44" xfId="0" applyFont="1" applyFill="1" applyBorder="1" applyAlignment="1">
      <alignment horizontal="center" vertical="center" wrapText="1"/>
    </xf>
    <xf numFmtId="0" fontId="24" fillId="8" borderId="28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25" fillId="8" borderId="45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left" vertical="center" wrapText="1"/>
    </xf>
    <xf numFmtId="9" fontId="23" fillId="7" borderId="4" xfId="0" applyNumberFormat="1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vertical="center" wrapText="1"/>
    </xf>
    <xf numFmtId="9" fontId="23" fillId="7" borderId="36" xfId="0" applyNumberFormat="1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left" vertical="center" wrapText="1"/>
    </xf>
    <xf numFmtId="0" fontId="24" fillId="8" borderId="6" xfId="0" applyFont="1" applyFill="1" applyBorder="1" applyAlignment="1">
      <alignment horizontal="center" vertical="center" wrapText="1"/>
    </xf>
    <xf numFmtId="2" fontId="24" fillId="8" borderId="28" xfId="0" applyNumberFormat="1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vertical="center" wrapText="1"/>
    </xf>
    <xf numFmtId="2" fontId="23" fillId="6" borderId="36" xfId="0" applyNumberFormat="1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vertical="center" wrapText="1"/>
    </xf>
    <xf numFmtId="0" fontId="24" fillId="4" borderId="21" xfId="0" applyFont="1" applyFill="1" applyBorder="1" applyAlignment="1">
      <alignment wrapText="1"/>
    </xf>
    <xf numFmtId="4" fontId="23" fillId="6" borderId="36" xfId="0" applyNumberFormat="1" applyFont="1" applyFill="1" applyBorder="1" applyAlignment="1">
      <alignment horizontal="center" vertical="center" wrapText="1"/>
    </xf>
    <xf numFmtId="167" fontId="23" fillId="6" borderId="11" xfId="0" applyNumberFormat="1" applyFont="1" applyFill="1" applyBorder="1" applyAlignment="1">
      <alignment horizontal="center" vertical="center" wrapText="1"/>
    </xf>
    <xf numFmtId="167" fontId="23" fillId="6" borderId="19" xfId="0" applyNumberFormat="1" applyFont="1" applyFill="1" applyBorder="1" applyAlignment="1">
      <alignment horizontal="center" vertical="center" wrapText="1"/>
    </xf>
    <xf numFmtId="167" fontId="24" fillId="6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67" fontId="24" fillId="6" borderId="1" xfId="0" applyNumberFormat="1" applyFont="1" applyFill="1" applyBorder="1" applyAlignment="1">
      <alignment horizontal="center" vertical="top" wrapText="1"/>
    </xf>
    <xf numFmtId="0" fontId="2" fillId="0" borderId="0" xfId="280" applyFont="1" applyBorder="1"/>
    <xf numFmtId="0" fontId="38" fillId="0" borderId="8" xfId="280" applyFont="1" applyFill="1" applyBorder="1" applyAlignment="1">
      <alignment horizontal="right" wrapText="1"/>
    </xf>
    <xf numFmtId="0" fontId="38" fillId="0" borderId="0" xfId="280" applyFont="1" applyFill="1" applyBorder="1" applyAlignment="1">
      <alignment horizontal="left" wrapText="1"/>
    </xf>
    <xf numFmtId="0" fontId="38" fillId="0" borderId="0" xfId="280" applyFont="1" applyFill="1" applyBorder="1" applyAlignment="1">
      <alignment wrapText="1"/>
    </xf>
    <xf numFmtId="0" fontId="38" fillId="0" borderId="32" xfId="280" applyFont="1" applyFill="1" applyBorder="1" applyAlignment="1">
      <alignment wrapText="1"/>
    </xf>
    <xf numFmtId="0" fontId="38" fillId="0" borderId="0" xfId="280" applyFont="1" applyFill="1" applyBorder="1" applyAlignment="1">
      <alignment horizontal="center"/>
    </xf>
    <xf numFmtId="0" fontId="38" fillId="0" borderId="0" xfId="280" applyFont="1" applyFill="1" applyBorder="1" applyAlignment="1">
      <alignment horizontal="right"/>
    </xf>
    <xf numFmtId="0" fontId="38" fillId="0" borderId="0" xfId="280" applyFont="1" applyBorder="1"/>
    <xf numFmtId="0" fontId="38" fillId="0" borderId="0" xfId="280" applyFont="1" applyBorder="1" applyAlignment="1">
      <alignment horizontal="center"/>
    </xf>
    <xf numFmtId="0" fontId="38" fillId="0" borderId="34" xfId="280" applyFont="1" applyFill="1" applyBorder="1" applyAlignment="1">
      <alignment horizontal="right"/>
    </xf>
    <xf numFmtId="0" fontId="39" fillId="0" borderId="2" xfId="280" applyFont="1" applyFill="1" applyBorder="1"/>
    <xf numFmtId="0" fontId="38" fillId="0" borderId="2" xfId="280" applyFont="1" applyFill="1" applyBorder="1"/>
    <xf numFmtId="0" fontId="39" fillId="0" borderId="35" xfId="280" applyFont="1" applyFill="1" applyBorder="1"/>
    <xf numFmtId="0" fontId="29" fillId="4" borderId="34" xfId="0" applyFont="1" applyFill="1" applyBorder="1" applyAlignment="1">
      <alignment horizontal="right" vertical="center" wrapText="1"/>
    </xf>
    <xf numFmtId="1" fontId="23" fillId="6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0" fillId="5" borderId="37" xfId="280" applyFont="1" applyFill="1" applyBorder="1"/>
    <xf numFmtId="0" fontId="8" fillId="5" borderId="39" xfId="280" applyFill="1" applyBorder="1"/>
    <xf numFmtId="0" fontId="20" fillId="5" borderId="39" xfId="280" applyFont="1" applyFill="1" applyBorder="1"/>
    <xf numFmtId="0" fontId="20" fillId="5" borderId="5" xfId="280" applyFont="1" applyFill="1" applyBorder="1"/>
    <xf numFmtId="0" fontId="8" fillId="5" borderId="5" xfId="280" applyFill="1" applyBorder="1"/>
    <xf numFmtId="0" fontId="2" fillId="5" borderId="5" xfId="280" applyFont="1" applyFill="1" applyBorder="1"/>
    <xf numFmtId="0" fontId="8" fillId="5" borderId="34" xfId="280" applyFill="1" applyBorder="1"/>
    <xf numFmtId="0" fontId="34" fillId="5" borderId="2" xfId="280" applyFont="1" applyFill="1" applyBorder="1"/>
    <xf numFmtId="0" fontId="33" fillId="5" borderId="35" xfId="280" applyFont="1" applyFill="1" applyBorder="1" applyAlignment="1">
      <alignment wrapText="1"/>
    </xf>
    <xf numFmtId="0" fontId="8" fillId="5" borderId="8" xfId="280" applyFill="1" applyBorder="1"/>
    <xf numFmtId="0" fontId="20" fillId="5" borderId="0" xfId="280" applyFont="1" applyFill="1" applyBorder="1" applyAlignment="1">
      <alignment horizontal="right"/>
    </xf>
    <xf numFmtId="0" fontId="8" fillId="5" borderId="3" xfId="280" applyFill="1" applyBorder="1"/>
    <xf numFmtId="0" fontId="34" fillId="5" borderId="10" xfId="280" applyFont="1" applyFill="1" applyBorder="1"/>
    <xf numFmtId="0" fontId="20" fillId="0" borderId="0" xfId="0" applyFont="1"/>
    <xf numFmtId="0" fontId="1" fillId="0" borderId="0" xfId="0" applyFont="1"/>
    <xf numFmtId="0" fontId="29" fillId="4" borderId="3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66" fontId="29" fillId="7" borderId="3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7" fontId="38" fillId="6" borderId="3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23" fillId="6" borderId="18" xfId="729" applyNumberFormat="1" applyFont="1" applyFill="1" applyBorder="1" applyAlignment="1">
      <alignment horizontal="center" vertical="center" wrapText="1"/>
    </xf>
  </cellXfs>
  <cellStyles count="730">
    <cellStyle name="Comma" xfId="729" builtinId="3"/>
    <cellStyle name="Currency" xfId="279" builtinId="4"/>
    <cellStyle name="Currency 3" xfId="42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Good 3" xfId="43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Normal" xfId="0" builtinId="0"/>
    <cellStyle name="Normal 2" xfId="41"/>
    <cellStyle name="Normal 2 2" xfId="413"/>
    <cellStyle name="Normal 3" xfId="280"/>
    <cellStyle name="Normal 4" xfId="728"/>
    <cellStyle name="Percent" xfId="278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2853234996298"/>
          <c:y val="9.6744916231265465E-2"/>
          <c:w val="0.55198291192487692"/>
          <c:h val="0.80484444117382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Summary!$K$21</c:f>
              <c:strCache>
                <c:ptCount val="1"/>
                <c:pt idx="0">
                  <c:v>Personnel</c:v>
                </c:pt>
              </c:strCache>
            </c:strRef>
          </c:tx>
          <c:invertIfNegative val="0"/>
          <c:cat>
            <c:strRef>
              <c:f>Summary!$L$20</c:f>
              <c:strCache>
                <c:ptCount val="1"/>
                <c:pt idx="0">
                  <c:v>Cost per person tested </c:v>
                </c:pt>
              </c:strCache>
            </c:strRef>
          </c:cat>
          <c:val>
            <c:numRef>
              <c:f>Summary!$L$21</c:f>
              <c:numCache>
                <c:formatCode>"$"#,##0.00</c:formatCode>
                <c:ptCount val="1"/>
                <c:pt idx="0">
                  <c:v>12.2413715158304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D-4D69-B5E0-CBC3D72CE912}"/>
            </c:ext>
          </c:extLst>
        </c:ser>
        <c:ser>
          <c:idx val="1"/>
          <c:order val="1"/>
          <c:tx>
            <c:strRef>
              <c:f>Summary!$K$22</c:f>
              <c:strCache>
                <c:ptCount val="1"/>
                <c:pt idx="0">
                  <c:v>Transportation</c:v>
                </c:pt>
              </c:strCache>
            </c:strRef>
          </c:tx>
          <c:invertIfNegative val="0"/>
          <c:cat>
            <c:strRef>
              <c:f>Summary!$L$20</c:f>
              <c:strCache>
                <c:ptCount val="1"/>
                <c:pt idx="0">
                  <c:v>Cost per person tested </c:v>
                </c:pt>
              </c:strCache>
            </c:strRef>
          </c:cat>
          <c:val>
            <c:numRef>
              <c:f>Summary!$L$22</c:f>
              <c:numCache>
                <c:formatCode>"$"#,##0.00</c:formatCode>
                <c:ptCount val="1"/>
                <c:pt idx="0">
                  <c:v>0.73256369603313121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D-4D69-B5E0-CBC3D72CE912}"/>
            </c:ext>
          </c:extLst>
        </c:ser>
        <c:ser>
          <c:idx val="2"/>
          <c:order val="2"/>
          <c:tx>
            <c:strRef>
              <c:f>Summary!$K$23</c:f>
              <c:strCache>
                <c:ptCount val="1"/>
                <c:pt idx="0">
                  <c:v>Equipment</c:v>
                </c:pt>
              </c:strCache>
            </c:strRef>
          </c:tx>
          <c:invertIfNegative val="0"/>
          <c:cat>
            <c:strRef>
              <c:f>Summary!$L$20</c:f>
              <c:strCache>
                <c:ptCount val="1"/>
                <c:pt idx="0">
                  <c:v>Cost per person tested </c:v>
                </c:pt>
              </c:strCache>
            </c:strRef>
          </c:cat>
          <c:val>
            <c:numRef>
              <c:f>Summary!$L$23</c:f>
              <c:numCache>
                <c:formatCode>"$"#,##0.00</c:formatCode>
                <c:ptCount val="1"/>
                <c:pt idx="0">
                  <c:v>5.020098897828059E-2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D-4D69-B5E0-CBC3D72CE912}"/>
            </c:ext>
          </c:extLst>
        </c:ser>
        <c:ser>
          <c:idx val="3"/>
          <c:order val="3"/>
          <c:tx>
            <c:strRef>
              <c:f>Summary!$K$24</c:f>
              <c:strCache>
                <c:ptCount val="1"/>
                <c:pt idx="0">
                  <c:v>Supplies per person tested</c:v>
                </c:pt>
              </c:strCache>
            </c:strRef>
          </c:tx>
          <c:invertIfNegative val="0"/>
          <c:cat>
            <c:strRef>
              <c:f>Summary!$L$20</c:f>
              <c:strCache>
                <c:ptCount val="1"/>
                <c:pt idx="0">
                  <c:v>Cost per person tested </c:v>
                </c:pt>
              </c:strCache>
            </c:strRef>
          </c:cat>
          <c:val>
            <c:numRef>
              <c:f>Summary!$L$24</c:f>
              <c:numCache>
                <c:formatCode>"$"#,##0.00</c:formatCode>
                <c:ptCount val="1"/>
                <c:pt idx="0">
                  <c:v>2.163857525655644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1D-4D69-B5E0-CBC3D72CE912}"/>
            </c:ext>
          </c:extLst>
        </c:ser>
        <c:ser>
          <c:idx val="4"/>
          <c:order val="4"/>
          <c:tx>
            <c:strRef>
              <c:f>Summary!$K$25</c:f>
              <c:strCache>
                <c:ptCount val="1"/>
                <c:pt idx="0">
                  <c:v>General supplies</c:v>
                </c:pt>
              </c:strCache>
            </c:strRef>
          </c:tx>
          <c:invertIfNegative val="0"/>
          <c:cat>
            <c:strRef>
              <c:f>Summary!$L$20</c:f>
              <c:strCache>
                <c:ptCount val="1"/>
                <c:pt idx="0">
                  <c:v>Cost per person tested </c:v>
                </c:pt>
              </c:strCache>
            </c:strRef>
          </c:cat>
          <c:val>
            <c:numRef>
              <c:f>Summary!$L$25</c:f>
              <c:numCache>
                <c:formatCode>"$"#,##0.00</c:formatCode>
                <c:ptCount val="1"/>
                <c:pt idx="0">
                  <c:v>3.2851280145068038E-2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1D-4D69-B5E0-CBC3D72CE912}"/>
            </c:ext>
          </c:extLst>
        </c:ser>
        <c:ser>
          <c:idx val="5"/>
          <c:order val="5"/>
          <c:tx>
            <c:strRef>
              <c:f>Summary!$K$26</c:f>
              <c:strCache>
                <c:ptCount val="1"/>
                <c:pt idx="0">
                  <c:v>Building and overhead</c:v>
                </c:pt>
              </c:strCache>
            </c:strRef>
          </c:tx>
          <c:invertIfNegative val="0"/>
          <c:cat>
            <c:strRef>
              <c:f>Summary!$L$20</c:f>
              <c:strCache>
                <c:ptCount val="1"/>
                <c:pt idx="0">
                  <c:v>Cost per person tested </c:v>
                </c:pt>
              </c:strCache>
            </c:strRef>
          </c:cat>
          <c:val>
            <c:numRef>
              <c:f>Summary!$L$26</c:f>
              <c:numCache>
                <c:formatCode>"$"#,##0.00</c:formatCode>
                <c:ptCount val="1"/>
                <c:pt idx="0">
                  <c:v>0.20147780529337597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6-49D1-AB59-DC2C62454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043712"/>
        <c:axId val="153045632"/>
      </c:barChart>
      <c:catAx>
        <c:axId val="15304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3045632"/>
        <c:crosses val="autoZero"/>
        <c:auto val="1"/>
        <c:lblAlgn val="ctr"/>
        <c:lblOffset val="100"/>
        <c:noMultiLvlLbl val="0"/>
      </c:catAx>
      <c:valAx>
        <c:axId val="153045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 per person tested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304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63127641674336"/>
          <c:y val="0.19557550633273643"/>
          <c:w val="0.31698949900391737"/>
          <c:h val="0.804424446944131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782955</xdr:colOff>
      <xdr:row>3</xdr:row>
      <xdr:rowOff>87630</xdr:rowOff>
    </xdr:from>
    <xdr:to>
      <xdr:col>10</xdr:col>
      <xdr:colOff>104775</xdr:colOff>
      <xdr:row>17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13" sqref="C13:C15"/>
    </sheetView>
  </sheetViews>
  <sheetFormatPr defaultColWidth="11" defaultRowHeight="14.4" x14ac:dyDescent="0.55000000000000004"/>
  <cols>
    <col min="1" max="5" width="11" style="217"/>
    <col min="6" max="6" width="5.25" style="217" customWidth="1"/>
    <col min="7" max="16384" width="11" style="217"/>
  </cols>
  <sheetData>
    <row r="1" spans="1:6" x14ac:dyDescent="0.55000000000000004">
      <c r="A1" s="216" t="s">
        <v>114</v>
      </c>
    </row>
    <row r="2" spans="1:6" ht="14.7" thickBot="1" x14ac:dyDescent="0.6">
      <c r="A2" s="217" t="s">
        <v>119</v>
      </c>
    </row>
    <row r="3" spans="1:6" ht="14.7" thickBot="1" x14ac:dyDescent="0.6">
      <c r="A3" s="218" t="s">
        <v>115</v>
      </c>
      <c r="B3" s="219"/>
      <c r="C3" s="219"/>
      <c r="D3" s="219"/>
      <c r="E3" s="219"/>
      <c r="F3" s="220"/>
    </row>
    <row r="4" spans="1:6" ht="14.7" thickBot="1" x14ac:dyDescent="0.6"/>
    <row r="5" spans="1:6" ht="14.7" thickBot="1" x14ac:dyDescent="0.6">
      <c r="A5" s="221" t="s">
        <v>116</v>
      </c>
      <c r="B5" s="222"/>
      <c r="C5" s="222"/>
      <c r="D5" s="222"/>
      <c r="E5" s="222"/>
      <c r="F5" s="223"/>
    </row>
    <row r="6" spans="1:6" ht="14.7" thickBot="1" x14ac:dyDescent="0.6"/>
    <row r="7" spans="1:6" ht="14.7" thickBot="1" x14ac:dyDescent="0.6">
      <c r="A7" s="224" t="s">
        <v>117</v>
      </c>
      <c r="B7" s="225"/>
      <c r="C7" s="225"/>
      <c r="D7" s="225"/>
      <c r="E7" s="225"/>
      <c r="F7" s="226"/>
    </row>
    <row r="10" spans="1:6" x14ac:dyDescent="0.55000000000000004">
      <c r="A10" s="227" t="s">
        <v>0</v>
      </c>
    </row>
    <row r="11" spans="1:6" x14ac:dyDescent="0.55000000000000004">
      <c r="A11" s="1" t="s">
        <v>122</v>
      </c>
    </row>
    <row r="12" spans="1:6" x14ac:dyDescent="0.55000000000000004">
      <c r="A12" s="1" t="s">
        <v>123</v>
      </c>
    </row>
    <row r="13" spans="1:6" x14ac:dyDescent="0.55000000000000004">
      <c r="A13" s="1" t="s">
        <v>124</v>
      </c>
    </row>
    <row r="14" spans="1:6" x14ac:dyDescent="0.55000000000000004">
      <c r="A14" s="1" t="s">
        <v>125</v>
      </c>
    </row>
    <row r="15" spans="1:6" x14ac:dyDescent="0.55000000000000004">
      <c r="A15" s="1" t="s">
        <v>126</v>
      </c>
    </row>
    <row r="16" spans="1:6" x14ac:dyDescent="0.55000000000000004">
      <c r="A16" s="1"/>
    </row>
    <row r="17" spans="1:10" x14ac:dyDescent="0.55000000000000004">
      <c r="J17" s="217" t="s">
        <v>1</v>
      </c>
    </row>
    <row r="19" spans="1:10" x14ac:dyDescent="0.55000000000000004">
      <c r="A19" s="217" t="s">
        <v>118</v>
      </c>
    </row>
    <row r="20" spans="1:10" x14ac:dyDescent="0.55000000000000004">
      <c r="A20" s="2"/>
    </row>
    <row r="21" spans="1:10" x14ac:dyDescent="0.55000000000000004">
      <c r="A21" s="217" t="s">
        <v>120</v>
      </c>
      <c r="D21" s="217" t="s">
        <v>4</v>
      </c>
    </row>
    <row r="22" spans="1:10" x14ac:dyDescent="0.55000000000000004">
      <c r="A22" s="217" t="s">
        <v>121</v>
      </c>
    </row>
    <row r="24" spans="1:10" x14ac:dyDescent="0.55000000000000004">
      <c r="A24" s="216"/>
    </row>
    <row r="26" spans="1:10" x14ac:dyDescent="0.55000000000000004">
      <c r="A26" s="216"/>
    </row>
    <row r="28" spans="1:10" x14ac:dyDescent="0.55000000000000004">
      <c r="A28" s="216"/>
    </row>
    <row r="30" spans="1:10" x14ac:dyDescent="0.55000000000000004">
      <c r="A30" s="216"/>
    </row>
  </sheetData>
  <mergeCells count="3">
    <mergeCell ref="A3:F3"/>
    <mergeCell ref="A5:F5"/>
    <mergeCell ref="A7:F7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39"/>
  <sheetViews>
    <sheetView workbookViewId="0">
      <selection activeCell="D12" sqref="D12"/>
    </sheetView>
  </sheetViews>
  <sheetFormatPr defaultColWidth="8.84765625" defaultRowHeight="14.4" x14ac:dyDescent="0.55000000000000004"/>
  <cols>
    <col min="1" max="1" width="8" style="117" customWidth="1"/>
    <col min="2" max="2" width="24.34765625" style="117" customWidth="1"/>
    <col min="3" max="3" width="12.59765625" style="117" customWidth="1"/>
    <col min="4" max="4" width="10.94921875" style="117" customWidth="1"/>
    <col min="5" max="5" width="15.84765625" style="117" customWidth="1"/>
    <col min="6" max="6" width="11.59765625" style="117" customWidth="1"/>
    <col min="7" max="7" width="5.5" style="133" customWidth="1"/>
    <col min="8" max="8" width="11.09765625" style="117" customWidth="1"/>
    <col min="9" max="9" width="11.59765625" style="117" customWidth="1"/>
    <col min="10" max="10" width="10.09765625" style="117" customWidth="1"/>
    <col min="11" max="11" width="12.09765625" style="117" customWidth="1"/>
    <col min="12" max="12" width="8.84765625" style="117"/>
    <col min="13" max="13" width="11" style="117" customWidth="1"/>
    <col min="14" max="14" width="22.09765625" style="117" customWidth="1"/>
    <col min="15" max="15" width="9.59765625" style="117" bestFit="1" customWidth="1"/>
    <col min="16" max="16384" width="8.84765625" style="117"/>
  </cols>
  <sheetData>
    <row r="1" spans="1:17" x14ac:dyDescent="0.55000000000000004">
      <c r="A1" s="117" t="s">
        <v>60</v>
      </c>
      <c r="G1" s="117"/>
      <c r="N1" s="135"/>
      <c r="O1" s="135"/>
      <c r="P1" s="135"/>
      <c r="Q1" s="135"/>
    </row>
    <row r="2" spans="1:17" x14ac:dyDescent="0.55000000000000004">
      <c r="A2" s="162" t="s">
        <v>88</v>
      </c>
      <c r="G2" s="117"/>
      <c r="N2" s="135"/>
      <c r="O2" s="135"/>
      <c r="P2" s="135"/>
      <c r="Q2" s="135"/>
    </row>
    <row r="3" spans="1:17" x14ac:dyDescent="0.55000000000000004">
      <c r="A3" s="136" t="s">
        <v>66</v>
      </c>
      <c r="C3" s="137">
        <v>87.7</v>
      </c>
      <c r="I3" s="128"/>
      <c r="N3" s="135"/>
      <c r="O3" s="135"/>
      <c r="P3" s="135"/>
      <c r="Q3" s="135"/>
    </row>
    <row r="4" spans="1:17" x14ac:dyDescent="0.55000000000000004">
      <c r="A4" s="129" t="s">
        <v>1</v>
      </c>
      <c r="L4" s="132"/>
      <c r="N4" s="135"/>
      <c r="O4" s="135"/>
      <c r="P4" s="135"/>
      <c r="Q4" s="135"/>
    </row>
    <row r="5" spans="1:17" x14ac:dyDescent="0.55000000000000004">
      <c r="G5" s="117"/>
    </row>
    <row r="6" spans="1:17" x14ac:dyDescent="0.55000000000000004">
      <c r="B6" s="203" t="s">
        <v>112</v>
      </c>
      <c r="C6" s="203"/>
      <c r="D6" s="203" t="s">
        <v>111</v>
      </c>
      <c r="G6" s="117"/>
    </row>
    <row r="7" spans="1:17" ht="14.7" thickBot="1" x14ac:dyDescent="0.6">
      <c r="B7" s="204"/>
      <c r="C7" s="205" t="s">
        <v>13</v>
      </c>
      <c r="D7" s="205" t="s">
        <v>110</v>
      </c>
      <c r="G7" s="117"/>
    </row>
    <row r="8" spans="1:17" ht="14.7" thickBot="1" x14ac:dyDescent="0.6">
      <c r="B8" s="206" t="s">
        <v>57</v>
      </c>
      <c r="C8" s="84">
        <f>Personnel!J8</f>
        <v>277879.13340935006</v>
      </c>
      <c r="D8" s="84">
        <f>C8/$F$22</f>
        <v>12.2413715158304</v>
      </c>
      <c r="G8" s="117"/>
    </row>
    <row r="9" spans="1:17" ht="14.7" thickBot="1" x14ac:dyDescent="0.6">
      <c r="B9" s="206" t="s">
        <v>58</v>
      </c>
      <c r="C9" s="84">
        <f>Vehicles!Q9+Vehicles!M18</f>
        <v>16629.195899952079</v>
      </c>
      <c r="D9" s="84">
        <f t="shared" ref="D9:D13" si="0">C9/$F$22</f>
        <v>0.73256369603313121</v>
      </c>
      <c r="G9" s="117"/>
    </row>
    <row r="10" spans="1:17" ht="14.7" thickBot="1" x14ac:dyDescent="0.6">
      <c r="B10" s="206" t="s">
        <v>36</v>
      </c>
      <c r="C10" s="84">
        <f>Equipment!N13</f>
        <v>1139.5624498069694</v>
      </c>
      <c r="D10" s="84">
        <f t="shared" si="0"/>
        <v>5.020098897828059E-2</v>
      </c>
      <c r="G10" s="117"/>
    </row>
    <row r="11" spans="1:17" ht="14.7" thickBot="1" x14ac:dyDescent="0.6">
      <c r="B11" s="206" t="s">
        <v>107</v>
      </c>
      <c r="C11" s="84">
        <f>Supplies!I11*F22</f>
        <v>49119.565832383123</v>
      </c>
      <c r="D11" s="84">
        <f t="shared" si="0"/>
        <v>2.163857525655644</v>
      </c>
      <c r="G11" s="117"/>
    </row>
    <row r="12" spans="1:17" ht="14.7" thickBot="1" x14ac:dyDescent="0.6">
      <c r="B12" s="206" t="s">
        <v>40</v>
      </c>
      <c r="C12" s="84">
        <f>Supplies!E20</f>
        <v>745.72405929304443</v>
      </c>
      <c r="D12" s="84">
        <f t="shared" si="0"/>
        <v>3.2851280145068038E-2</v>
      </c>
      <c r="G12" s="117"/>
    </row>
    <row r="13" spans="1:17" ht="14.7" thickBot="1" x14ac:dyDescent="0.6">
      <c r="B13" s="206" t="s">
        <v>109</v>
      </c>
      <c r="C13" s="84">
        <f>'building &amp; overhead'!I9</f>
        <v>4573.5461801596348</v>
      </c>
      <c r="D13" s="84">
        <f t="shared" si="0"/>
        <v>0.20147780529337597</v>
      </c>
      <c r="G13" s="117"/>
    </row>
    <row r="14" spans="1:17" ht="14.7" thickBot="1" x14ac:dyDescent="0.6">
      <c r="B14" s="207" t="s">
        <v>3</v>
      </c>
      <c r="C14" s="84">
        <f>SUM(C8:C13)</f>
        <v>350086.72783094487</v>
      </c>
      <c r="D14" s="84" t="s">
        <v>1</v>
      </c>
      <c r="G14" s="117"/>
    </row>
    <row r="15" spans="1:17" x14ac:dyDescent="0.55000000000000004">
      <c r="B15" s="208" t="s">
        <v>113</v>
      </c>
      <c r="C15" s="84">
        <f>C14/F22</f>
        <v>15.422322811935897</v>
      </c>
      <c r="D15" s="84"/>
      <c r="G15" s="117"/>
    </row>
    <row r="18" spans="2:12" x14ac:dyDescent="0.55000000000000004">
      <c r="B18" s="120"/>
      <c r="C18" s="187" t="s">
        <v>1</v>
      </c>
      <c r="D18" s="152"/>
    </row>
    <row r="19" spans="2:12" ht="14.7" thickBot="1" x14ac:dyDescent="0.6">
      <c r="J19" s="133"/>
      <c r="K19" s="119"/>
    </row>
    <row r="20" spans="2:12" ht="43.5" thickBot="1" x14ac:dyDescent="0.6">
      <c r="B20" s="196"/>
      <c r="C20" s="197" t="s">
        <v>108</v>
      </c>
      <c r="D20" s="197"/>
      <c r="E20" s="198"/>
      <c r="F20" s="199"/>
      <c r="J20" s="209"/>
      <c r="K20" s="210"/>
      <c r="L20" s="211" t="s">
        <v>106</v>
      </c>
    </row>
    <row r="21" spans="2:12" ht="14.7" thickBot="1" x14ac:dyDescent="0.6">
      <c r="B21" s="188" t="s">
        <v>75</v>
      </c>
      <c r="C21" s="189" t="s">
        <v>64</v>
      </c>
      <c r="D21" s="189" t="s">
        <v>62</v>
      </c>
      <c r="E21" s="190" t="s">
        <v>104</v>
      </c>
      <c r="F21" s="191" t="s">
        <v>65</v>
      </c>
      <c r="G21" s="153"/>
      <c r="J21" s="212"/>
      <c r="K21" s="213" t="s">
        <v>57</v>
      </c>
      <c r="L21" s="84">
        <f t="shared" ref="L21:L26" si="1">D8</f>
        <v>12.2413715158304</v>
      </c>
    </row>
    <row r="22" spans="2:12" ht="14.7" thickBot="1" x14ac:dyDescent="0.6">
      <c r="B22" s="200" t="s">
        <v>105</v>
      </c>
      <c r="C22" s="202">
        <v>5</v>
      </c>
      <c r="D22" s="202">
        <v>20</v>
      </c>
      <c r="E22" s="202">
        <v>227</v>
      </c>
      <c r="F22" s="201">
        <f>E22*C22*D22</f>
        <v>22700</v>
      </c>
      <c r="J22" s="212"/>
      <c r="K22" s="213" t="s">
        <v>58</v>
      </c>
      <c r="L22" s="84">
        <f t="shared" si="1"/>
        <v>0.73256369603313121</v>
      </c>
    </row>
    <row r="23" spans="2:12" ht="14.7" thickBot="1" x14ac:dyDescent="0.6">
      <c r="B23" s="193"/>
      <c r="C23" s="192"/>
      <c r="D23" s="192"/>
      <c r="E23" s="192"/>
      <c r="F23" s="120"/>
      <c r="J23" s="212"/>
      <c r="K23" s="213" t="s">
        <v>36</v>
      </c>
      <c r="L23" s="84">
        <f t="shared" si="1"/>
        <v>5.020098897828059E-2</v>
      </c>
    </row>
    <row r="24" spans="2:12" ht="14.7" thickBot="1" x14ac:dyDescent="0.6">
      <c r="B24" s="194"/>
      <c r="C24" s="194"/>
      <c r="D24" s="194"/>
      <c r="E24" s="195"/>
      <c r="F24" s="120"/>
      <c r="J24" s="212"/>
      <c r="K24" s="213" t="s">
        <v>107</v>
      </c>
      <c r="L24" s="84">
        <f t="shared" si="1"/>
        <v>2.163857525655644</v>
      </c>
    </row>
    <row r="25" spans="2:12" s="120" customFormat="1" ht="14.7" thickBot="1" x14ac:dyDescent="0.6">
      <c r="B25" s="121"/>
      <c r="G25" s="134"/>
      <c r="I25" s="117"/>
      <c r="J25" s="212"/>
      <c r="K25" s="213" t="s">
        <v>40</v>
      </c>
      <c r="L25" s="84">
        <f t="shared" si="1"/>
        <v>3.2851280145068038E-2</v>
      </c>
    </row>
    <row r="26" spans="2:12" s="120" customFormat="1" ht="14.7" thickBot="1" x14ac:dyDescent="0.6">
      <c r="B26" s="121"/>
      <c r="G26" s="134"/>
      <c r="I26" s="117"/>
      <c r="J26" s="212"/>
      <c r="K26" s="213" t="s">
        <v>109</v>
      </c>
      <c r="L26" s="84">
        <f t="shared" si="1"/>
        <v>0.20147780529337597</v>
      </c>
    </row>
    <row r="27" spans="2:12" s="120" customFormat="1" ht="14.7" thickBot="1" x14ac:dyDescent="0.6">
      <c r="B27" s="121"/>
      <c r="C27" s="121"/>
      <c r="D27" s="121"/>
      <c r="E27" s="121"/>
      <c r="G27" s="122"/>
      <c r="H27" s="121"/>
      <c r="I27" s="117"/>
      <c r="J27" s="214"/>
      <c r="K27" s="215" t="s">
        <v>3</v>
      </c>
      <c r="L27" s="84">
        <f>C15</f>
        <v>15.422322811935897</v>
      </c>
    </row>
    <row r="28" spans="2:12" s="120" customFormat="1" x14ac:dyDescent="0.55000000000000004">
      <c r="B28" s="121"/>
      <c r="C28" s="121"/>
      <c r="D28" s="121"/>
      <c r="E28" s="121"/>
      <c r="G28" s="122"/>
      <c r="H28" s="121"/>
      <c r="I28" s="121"/>
      <c r="J28" s="154"/>
    </row>
    <row r="29" spans="2:12" s="120" customFormat="1" x14ac:dyDescent="0.55000000000000004">
      <c r="B29" s="121"/>
      <c r="G29" s="134"/>
    </row>
    <row r="30" spans="2:12" s="120" customFormat="1" x14ac:dyDescent="0.55000000000000004">
      <c r="B30" s="121"/>
      <c r="G30" s="134"/>
    </row>
    <row r="31" spans="2:12" s="120" customFormat="1" x14ac:dyDescent="0.55000000000000004">
      <c r="B31" s="121"/>
      <c r="G31" s="134"/>
    </row>
    <row r="32" spans="2:12" s="120" customFormat="1" x14ac:dyDescent="0.55000000000000004">
      <c r="B32" s="121"/>
      <c r="G32" s="134"/>
    </row>
    <row r="33" spans="2:7" s="120" customFormat="1" x14ac:dyDescent="0.55000000000000004">
      <c r="B33" s="122"/>
      <c r="G33" s="134"/>
    </row>
    <row r="34" spans="2:7" s="120" customFormat="1" x14ac:dyDescent="0.55000000000000004">
      <c r="B34" s="122"/>
      <c r="G34" s="134"/>
    </row>
    <row r="35" spans="2:7" s="120" customFormat="1" x14ac:dyDescent="0.55000000000000004">
      <c r="G35" s="134"/>
    </row>
    <row r="36" spans="2:7" s="120" customFormat="1" x14ac:dyDescent="0.55000000000000004">
      <c r="G36" s="134"/>
    </row>
    <row r="38" spans="2:7" x14ac:dyDescent="0.55000000000000004">
      <c r="B38" s="118"/>
    </row>
    <row r="39" spans="2:7" x14ac:dyDescent="0.55000000000000004">
      <c r="B39" s="12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P38"/>
  <sheetViews>
    <sheetView tabSelected="1" workbookViewId="0">
      <selection activeCell="F7" sqref="C4:F7"/>
    </sheetView>
  </sheetViews>
  <sheetFormatPr defaultColWidth="10.84765625" defaultRowHeight="15.3" x14ac:dyDescent="0.55000000000000004"/>
  <cols>
    <col min="1" max="1" width="5.34765625" style="3" customWidth="1"/>
    <col min="2" max="2" width="3.59765625" style="52" customWidth="1"/>
    <col min="3" max="3" width="21.5" style="3" customWidth="1"/>
    <col min="4" max="4" width="19.09765625" style="3" customWidth="1"/>
    <col min="5" max="5" width="19.59765625" style="3" customWidth="1"/>
    <col min="6" max="6" width="9.59765625" style="3" customWidth="1"/>
    <col min="7" max="7" width="12.546875" style="3" customWidth="1"/>
    <col min="8" max="8" width="11.796875" style="3" customWidth="1"/>
    <col min="9" max="9" width="13" style="3" customWidth="1"/>
    <col min="10" max="10" width="10.75" style="3" customWidth="1"/>
    <col min="11" max="11" width="10" style="3" customWidth="1"/>
    <col min="12" max="12" width="10.09765625" style="3" customWidth="1"/>
    <col min="13" max="16384" width="10.84765625" style="3"/>
  </cols>
  <sheetData>
    <row r="1" spans="1:16" s="28" customFormat="1" ht="25.5" customHeight="1" x14ac:dyDescent="0.6">
      <c r="A1" s="62" t="s">
        <v>33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customFormat="1" ht="15.9" thickBot="1" x14ac:dyDescent="0.65">
      <c r="A2" s="65" t="s">
        <v>34</v>
      </c>
      <c r="B2" s="66"/>
      <c r="C2" s="37" t="s">
        <v>1</v>
      </c>
      <c r="D2" s="38"/>
      <c r="E2" s="38" t="s">
        <v>1</v>
      </c>
      <c r="F2" s="38"/>
      <c r="G2" s="38"/>
      <c r="H2" s="38"/>
      <c r="I2" s="38"/>
      <c r="J2" s="38"/>
      <c r="K2" s="38"/>
      <c r="L2" s="38"/>
      <c r="M2" s="38"/>
    </row>
    <row r="3" spans="1:16" s="32" customFormat="1" ht="41.1" customHeight="1" thickBot="1" x14ac:dyDescent="0.65">
      <c r="A3" s="67"/>
      <c r="B3" s="51"/>
      <c r="C3" s="158" t="s">
        <v>35</v>
      </c>
      <c r="D3" s="44" t="s">
        <v>12</v>
      </c>
      <c r="E3" s="19" t="s">
        <v>80</v>
      </c>
      <c r="F3" s="20" t="s">
        <v>84</v>
      </c>
      <c r="G3" s="20" t="s">
        <v>81</v>
      </c>
      <c r="H3" s="44" t="s">
        <v>82</v>
      </c>
      <c r="I3" s="20" t="s">
        <v>21</v>
      </c>
      <c r="J3" s="19" t="s">
        <v>59</v>
      </c>
      <c r="K3"/>
    </row>
    <row r="4" spans="1:16" s="16" customFormat="1" ht="15.9" thickBot="1" x14ac:dyDescent="0.65">
      <c r="A4" s="72"/>
      <c r="B4" s="73"/>
      <c r="C4" s="159" t="s">
        <v>76</v>
      </c>
      <c r="D4" s="155">
        <v>1</v>
      </c>
      <c r="E4" s="147">
        <v>1500000</v>
      </c>
      <c r="F4" s="148">
        <v>84000</v>
      </c>
      <c r="G4" s="48">
        <f>E4+F4</f>
        <v>1584000</v>
      </c>
      <c r="H4" s="48">
        <f>G4/$L$8</f>
        <v>18061.57354618016</v>
      </c>
      <c r="I4" s="98">
        <v>1</v>
      </c>
      <c r="J4" s="48">
        <f>H4*D4*I4</f>
        <v>18061.57354618016</v>
      </c>
    </row>
    <row r="5" spans="1:16" customFormat="1" ht="15.9" thickBot="1" x14ac:dyDescent="0.65">
      <c r="A5" s="72"/>
      <c r="B5" s="73"/>
      <c r="C5" s="160" t="s">
        <v>77</v>
      </c>
      <c r="D5" s="156">
        <v>20</v>
      </c>
      <c r="E5" s="148">
        <v>900000</v>
      </c>
      <c r="F5" s="148">
        <v>84000</v>
      </c>
      <c r="G5" s="48">
        <f>E5+F5</f>
        <v>984000</v>
      </c>
      <c r="H5" s="48">
        <f>G5/$L$8</f>
        <v>11220.068415051312</v>
      </c>
      <c r="I5" s="60">
        <v>1</v>
      </c>
      <c r="J5" s="48">
        <f t="shared" ref="J5:J7" si="0">H5*D5*I5</f>
        <v>224401.36830102623</v>
      </c>
    </row>
    <row r="6" spans="1:16" customFormat="1" ht="15.9" thickBot="1" x14ac:dyDescent="0.65">
      <c r="A6" s="72"/>
      <c r="B6" s="73"/>
      <c r="C6" s="161" t="s">
        <v>78</v>
      </c>
      <c r="D6" s="157">
        <v>6</v>
      </c>
      <c r="E6" s="148">
        <v>360000</v>
      </c>
      <c r="F6" s="148">
        <v>84000</v>
      </c>
      <c r="G6" s="48">
        <f t="shared" ref="G6:G7" si="1">E6+F6</f>
        <v>444000</v>
      </c>
      <c r="H6" s="48">
        <f>G6/$L$8</f>
        <v>5062.7137970353479</v>
      </c>
      <c r="I6" s="60">
        <v>1</v>
      </c>
      <c r="J6" s="48">
        <f t="shared" si="0"/>
        <v>30376.282782212089</v>
      </c>
    </row>
    <row r="7" spans="1:16" customFormat="1" ht="14.1" customHeight="1" thickBot="1" x14ac:dyDescent="0.65">
      <c r="A7" s="72"/>
      <c r="B7" s="73"/>
      <c r="C7" s="160" t="s">
        <v>79</v>
      </c>
      <c r="D7" s="156">
        <v>1</v>
      </c>
      <c r="E7" s="148">
        <v>800000</v>
      </c>
      <c r="F7" s="148">
        <v>84000</v>
      </c>
      <c r="G7" s="48">
        <f t="shared" si="1"/>
        <v>884000</v>
      </c>
      <c r="H7" s="48">
        <f>G7/$L$8</f>
        <v>10079.81755986317</v>
      </c>
      <c r="I7" s="55">
        <v>0.5</v>
      </c>
      <c r="J7" s="48">
        <f t="shared" si="0"/>
        <v>5039.9087799315848</v>
      </c>
      <c r="L7" t="s">
        <v>83</v>
      </c>
    </row>
    <row r="8" spans="1:16" s="11" customFormat="1" ht="19" customHeight="1" thickBot="1" x14ac:dyDescent="0.65">
      <c r="A8" s="72"/>
      <c r="B8" s="72"/>
      <c r="C8" s="72"/>
      <c r="D8" s="72"/>
      <c r="E8" s="72"/>
      <c r="F8" s="72"/>
      <c r="G8" s="72"/>
      <c r="H8" s="72"/>
      <c r="I8" s="72"/>
      <c r="J8" s="141">
        <f>SUM(J4:J7)</f>
        <v>277879.13340935006</v>
      </c>
      <c r="L8" s="57">
        <v>87.7</v>
      </c>
    </row>
    <row r="9" spans="1:16" customFormat="1" ht="14.1" customHeight="1" x14ac:dyDescent="0.6">
      <c r="A9" s="72"/>
      <c r="B9" s="72"/>
      <c r="C9" s="72"/>
      <c r="D9" s="72"/>
      <c r="E9" s="72"/>
      <c r="F9" s="72"/>
      <c r="G9" s="72"/>
      <c r="H9" s="72"/>
      <c r="I9" s="72"/>
      <c r="J9" s="68"/>
      <c r="K9" s="68"/>
      <c r="L9" s="68"/>
      <c r="M9" s="68"/>
      <c r="N9" s="68"/>
      <c r="O9" s="68"/>
      <c r="P9" s="11"/>
    </row>
    <row r="10" spans="1:16" x14ac:dyDescent="0.55000000000000004">
      <c r="A10" s="4"/>
      <c r="B10" s="140"/>
      <c r="C10" s="4"/>
      <c r="D10" s="4"/>
      <c r="E10" s="4"/>
      <c r="F10" s="4"/>
      <c r="G10" s="4"/>
      <c r="H10" s="4"/>
      <c r="I10" s="4"/>
      <c r="J10" s="4"/>
      <c r="K10" s="4"/>
    </row>
    <row r="11" spans="1:16" x14ac:dyDescent="0.55000000000000004">
      <c r="A11" s="4"/>
      <c r="B11" s="140"/>
      <c r="C11" s="4"/>
      <c r="D11" s="4"/>
      <c r="E11" s="4"/>
      <c r="F11" s="4" t="s">
        <v>1</v>
      </c>
      <c r="G11" s="4"/>
      <c r="H11" s="4"/>
      <c r="I11" s="4"/>
      <c r="J11" s="4"/>
      <c r="K11" s="4"/>
    </row>
    <row r="12" spans="1:16" x14ac:dyDescent="0.55000000000000004">
      <c r="A12" s="4"/>
      <c r="B12" s="140"/>
      <c r="C12" s="4"/>
      <c r="D12" s="4"/>
      <c r="E12" s="4"/>
      <c r="F12" s="4"/>
      <c r="G12" s="4"/>
      <c r="H12" s="4"/>
      <c r="I12" s="4"/>
      <c r="J12" s="4"/>
      <c r="K12" s="4"/>
    </row>
    <row r="13" spans="1:16" x14ac:dyDescent="0.55000000000000004">
      <c r="A13" s="4"/>
      <c r="B13" s="140"/>
      <c r="C13" s="4"/>
      <c r="D13" s="4"/>
      <c r="E13" s="4"/>
      <c r="F13" s="4"/>
      <c r="G13" s="4"/>
      <c r="H13" s="4"/>
      <c r="I13" s="4"/>
      <c r="J13" s="4"/>
      <c r="K13" s="4"/>
    </row>
    <row r="14" spans="1:16" x14ac:dyDescent="0.55000000000000004">
      <c r="A14" s="4"/>
      <c r="B14" s="140"/>
      <c r="C14" s="4"/>
      <c r="D14" s="4"/>
      <c r="E14" s="4"/>
      <c r="F14" s="4"/>
      <c r="G14" s="4"/>
      <c r="H14" s="4"/>
      <c r="I14" s="4"/>
      <c r="J14" s="4"/>
      <c r="K14" s="4"/>
    </row>
    <row r="15" spans="1:16" x14ac:dyDescent="0.55000000000000004">
      <c r="A15" s="4"/>
      <c r="B15" s="140"/>
      <c r="C15" s="4"/>
      <c r="D15" s="4"/>
      <c r="E15" s="4"/>
      <c r="F15" s="4"/>
      <c r="G15" s="4"/>
      <c r="H15" s="4"/>
      <c r="I15" s="4"/>
      <c r="J15" s="4"/>
      <c r="K15" s="4"/>
    </row>
    <row r="16" spans="1:16" x14ac:dyDescent="0.55000000000000004">
      <c r="A16" s="4"/>
      <c r="B16" s="140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55000000000000004">
      <c r="A17" s="4"/>
      <c r="B17" s="140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55000000000000004">
      <c r="A18" s="4"/>
      <c r="B18" s="140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55000000000000004">
      <c r="A19" s="4"/>
      <c r="B19" s="140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55000000000000004">
      <c r="A20" s="4"/>
      <c r="B20" s="140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55000000000000004">
      <c r="A21" s="4"/>
      <c r="B21" s="140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55000000000000004">
      <c r="A22" s="4"/>
      <c r="B22" s="140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55000000000000004">
      <c r="A23" s="4"/>
      <c r="B23" s="140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55000000000000004">
      <c r="A24" s="4"/>
      <c r="B24" s="140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55000000000000004">
      <c r="A25" s="4"/>
      <c r="B25" s="140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55000000000000004">
      <c r="A26" s="4"/>
      <c r="B26" s="140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55000000000000004">
      <c r="A27" s="4"/>
      <c r="B27" s="140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55000000000000004">
      <c r="A28" s="4"/>
      <c r="B28" s="140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55000000000000004">
      <c r="A29" s="4"/>
      <c r="B29" s="140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55000000000000004">
      <c r="A30" s="4"/>
      <c r="B30" s="140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55000000000000004">
      <c r="A31" s="4"/>
      <c r="B31" s="140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55000000000000004">
      <c r="A32" s="4"/>
      <c r="B32" s="140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55000000000000004">
      <c r="A33" s="4"/>
      <c r="B33" s="140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55000000000000004">
      <c r="A34" s="4"/>
      <c r="B34" s="140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55000000000000004">
      <c r="A35" s="4"/>
      <c r="B35" s="140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55000000000000004">
      <c r="A36" s="4"/>
      <c r="B36" s="140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55000000000000004">
      <c r="A37" s="4"/>
      <c r="B37" s="140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55000000000000004">
      <c r="A38" s="4"/>
      <c r="B38" s="140"/>
      <c r="C38" s="4"/>
      <c r="D38" s="4"/>
      <c r="E38" s="4"/>
      <c r="F38" s="4"/>
      <c r="G38" s="4"/>
      <c r="H38" s="4"/>
      <c r="I38" s="4"/>
      <c r="J38" s="4"/>
      <c r="K38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S18"/>
  <sheetViews>
    <sheetView topLeftCell="A4" zoomScale="91" zoomScaleNormal="250" workbookViewId="0">
      <selection activeCell="H7" sqref="H7"/>
    </sheetView>
  </sheetViews>
  <sheetFormatPr defaultColWidth="11" defaultRowHeight="15.6" x14ac:dyDescent="0.6"/>
  <cols>
    <col min="1" max="2" width="7.59765625" customWidth="1"/>
    <col min="3" max="3" width="19.5" customWidth="1"/>
    <col min="4" max="5" width="13.34765625" customWidth="1"/>
    <col min="6" max="6" width="12.09765625" customWidth="1"/>
    <col min="7" max="7" width="12" customWidth="1"/>
    <col min="8" max="8" width="11.34765625" customWidth="1"/>
    <col min="9" max="9" width="9.5" customWidth="1"/>
    <col min="10" max="10" width="12.09765625" customWidth="1"/>
    <col min="11" max="11" width="11.59765625" customWidth="1"/>
    <col min="12" max="12" width="11.34765625" bestFit="1" customWidth="1"/>
    <col min="17" max="17" width="10.09765625" customWidth="1"/>
    <col min="18" max="18" width="9.34765625" customWidth="1"/>
    <col min="19" max="19" width="9.09765625" customWidth="1"/>
  </cols>
  <sheetData>
    <row r="1" spans="1:19" s="28" customFormat="1" ht="25.5" customHeight="1" thickBot="1" x14ac:dyDescent="0.7">
      <c r="A1" s="27" t="s">
        <v>8</v>
      </c>
    </row>
    <row r="2" spans="1:19" ht="15.9" thickBot="1" x14ac:dyDescent="0.65">
      <c r="B2" s="11"/>
      <c r="D2" s="69" t="s">
        <v>25</v>
      </c>
      <c r="E2" s="18">
        <v>0.03</v>
      </c>
      <c r="F2" t="s">
        <v>1</v>
      </c>
      <c r="H2" t="s">
        <v>1</v>
      </c>
    </row>
    <row r="3" spans="1:19" ht="15.9" thickBot="1" x14ac:dyDescent="0.65">
      <c r="B3" s="11"/>
      <c r="S3" t="s">
        <v>1</v>
      </c>
    </row>
    <row r="4" spans="1:19" ht="24.9" thickBot="1" x14ac:dyDescent="0.65">
      <c r="B4" s="40"/>
      <c r="C4" s="19" t="s">
        <v>26</v>
      </c>
      <c r="D4" s="19" t="s">
        <v>10</v>
      </c>
      <c r="E4" s="19" t="s">
        <v>11</v>
      </c>
      <c r="F4" s="19" t="s">
        <v>12</v>
      </c>
      <c r="G4" s="19" t="s">
        <v>13</v>
      </c>
      <c r="H4" s="20" t="s">
        <v>27</v>
      </c>
      <c r="I4" s="21" t="s">
        <v>14</v>
      </c>
      <c r="J4" s="19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19" t="s">
        <v>20</v>
      </c>
      <c r="P4" s="22" t="s">
        <v>21</v>
      </c>
      <c r="Q4" s="23" t="s">
        <v>54</v>
      </c>
    </row>
    <row r="5" spans="1:19" x14ac:dyDescent="0.6">
      <c r="B5" s="35" t="s">
        <v>1</v>
      </c>
      <c r="C5" s="144" t="s">
        <v>85</v>
      </c>
      <c r="D5" s="99" t="s">
        <v>67</v>
      </c>
      <c r="E5" s="113">
        <v>1300500</v>
      </c>
      <c r="F5" s="100">
        <v>4</v>
      </c>
      <c r="G5" s="49">
        <f>E5*F5</f>
        <v>5202000</v>
      </c>
      <c r="H5" s="101">
        <v>87.7</v>
      </c>
      <c r="I5" s="102">
        <v>0</v>
      </c>
      <c r="J5" s="228">
        <f>IF(H5=0,0,G5/H5*(1+I5))</f>
        <v>59315.849486887113</v>
      </c>
      <c r="K5" s="94">
        <v>5</v>
      </c>
      <c r="L5" s="89">
        <f t="shared" ref="L5:L8" si="0">(1-1/(1+$E$2)^K5)*$E$2^-1</f>
        <v>4.5797071871945301</v>
      </c>
      <c r="M5" s="49">
        <f>IF(L5=0,0,J5/L5)</f>
        <v>12951.886891970324</v>
      </c>
      <c r="N5" s="95">
        <v>1</v>
      </c>
      <c r="O5" s="49">
        <f t="shared" ref="O5:O8" si="1">M5*N5</f>
        <v>12951.886891970324</v>
      </c>
      <c r="P5" s="82">
        <v>1</v>
      </c>
      <c r="Q5" s="83">
        <f>O5*P5</f>
        <v>12951.886891970324</v>
      </c>
    </row>
    <row r="6" spans="1:19" x14ac:dyDescent="0.6">
      <c r="B6" s="35"/>
      <c r="C6" s="144"/>
      <c r="D6" s="99"/>
      <c r="E6" s="113"/>
      <c r="F6" s="100"/>
      <c r="G6" s="49">
        <f>E6*F6</f>
        <v>0</v>
      </c>
      <c r="H6" s="101"/>
      <c r="I6" s="102"/>
      <c r="J6" s="96">
        <f>IF(H6=0,0,G6/H6*(1+I6))</f>
        <v>0</v>
      </c>
      <c r="K6" s="94">
        <v>5</v>
      </c>
      <c r="L6" s="89">
        <f t="shared" si="0"/>
        <v>4.5797071871945301</v>
      </c>
      <c r="M6" s="49">
        <f>IF(L6=0,0,J6/L6)</f>
        <v>0</v>
      </c>
      <c r="N6" s="95">
        <v>1</v>
      </c>
      <c r="O6" s="49">
        <f t="shared" si="1"/>
        <v>0</v>
      </c>
      <c r="P6" s="82"/>
      <c r="Q6" s="83">
        <f t="shared" ref="Q6:Q8" si="2">O6*P6</f>
        <v>0</v>
      </c>
    </row>
    <row r="7" spans="1:19" x14ac:dyDescent="0.6">
      <c r="B7" s="35"/>
      <c r="C7" s="70"/>
      <c r="D7" s="99"/>
      <c r="E7" s="94"/>
      <c r="F7" s="100"/>
      <c r="G7" s="49">
        <f>E7*F7</f>
        <v>0</v>
      </c>
      <c r="H7" s="101"/>
      <c r="I7" s="102"/>
      <c r="J7" s="96">
        <f t="shared" ref="J7" si="3">IF(H7=0,0,G7/H7*(1+I7))</f>
        <v>0</v>
      </c>
      <c r="K7" s="94">
        <v>5</v>
      </c>
      <c r="L7" s="89">
        <f t="shared" si="0"/>
        <v>4.5797071871945301</v>
      </c>
      <c r="M7" s="49">
        <f t="shared" ref="M7:M8" si="4">IF(L7=0,0,J7/L7)</f>
        <v>0</v>
      </c>
      <c r="N7" s="95">
        <v>1</v>
      </c>
      <c r="O7" s="49">
        <f t="shared" si="1"/>
        <v>0</v>
      </c>
      <c r="P7" s="82"/>
      <c r="Q7" s="83">
        <f t="shared" si="2"/>
        <v>0</v>
      </c>
    </row>
    <row r="8" spans="1:19" ht="15.9" thickBot="1" x14ac:dyDescent="0.65">
      <c r="B8" s="35"/>
      <c r="C8" s="71"/>
      <c r="D8" s="103"/>
      <c r="E8" s="107"/>
      <c r="F8" s="104"/>
      <c r="G8" s="50">
        <f>E8*F8</f>
        <v>0</v>
      </c>
      <c r="H8" s="56"/>
      <c r="I8" s="105"/>
      <c r="J8" s="106">
        <f>IF(H8=0,0,G8/H8*(1+I8))</f>
        <v>0</v>
      </c>
      <c r="K8" s="107">
        <v>5</v>
      </c>
      <c r="L8" s="90">
        <f t="shared" si="0"/>
        <v>4.5797071871945301</v>
      </c>
      <c r="M8" s="50">
        <f t="shared" si="4"/>
        <v>0</v>
      </c>
      <c r="N8" s="108">
        <v>1</v>
      </c>
      <c r="O8" s="50">
        <f t="shared" si="1"/>
        <v>0</v>
      </c>
      <c r="P8" s="56"/>
      <c r="Q8" s="83">
        <f t="shared" si="2"/>
        <v>0</v>
      </c>
    </row>
    <row r="9" spans="1:19" ht="15.9" thickBot="1" x14ac:dyDescent="0.65">
      <c r="B9" s="47"/>
      <c r="C9" s="24"/>
      <c r="D9" t="s">
        <v>23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>
        <f>SUM(Q5:Q8)</f>
        <v>12951.886891970324</v>
      </c>
    </row>
    <row r="10" spans="1:19" x14ac:dyDescent="0.6">
      <c r="B10" s="11"/>
      <c r="D10" t="s">
        <v>24</v>
      </c>
    </row>
    <row r="11" spans="1:19" ht="15.9" thickBot="1" x14ac:dyDescent="0.65">
      <c r="A11" t="s">
        <v>1</v>
      </c>
      <c r="B11" s="11"/>
      <c r="C11" s="10"/>
      <c r="I11" t="s">
        <v>56</v>
      </c>
      <c r="P11" s="17"/>
    </row>
    <row r="12" spans="1:19" ht="15.9" thickBot="1" x14ac:dyDescent="0.65">
      <c r="D12" t="s">
        <v>1</v>
      </c>
      <c r="E12" s="12"/>
      <c r="F12" s="12" t="s">
        <v>1</v>
      </c>
      <c r="G12" s="12"/>
      <c r="I12" s="127">
        <v>87.7</v>
      </c>
      <c r="Q12" s="26"/>
    </row>
    <row r="13" spans="1:19" ht="15.9" thickBot="1" x14ac:dyDescent="0.65">
      <c r="C13" s="5" t="s">
        <v>5</v>
      </c>
      <c r="D13" s="5"/>
      <c r="E13" s="5"/>
      <c r="F13" s="5"/>
      <c r="G13" s="5"/>
      <c r="H13" s="5" t="s">
        <v>1</v>
      </c>
      <c r="I13" s="5"/>
      <c r="J13" s="6"/>
      <c r="K13" t="s">
        <v>1</v>
      </c>
    </row>
    <row r="14" spans="1:19" ht="37.200000000000003" thickBot="1" x14ac:dyDescent="0.65">
      <c r="C14" s="30" t="s">
        <v>44</v>
      </c>
      <c r="D14" s="30" t="s">
        <v>53</v>
      </c>
      <c r="E14" s="30" t="s">
        <v>43</v>
      </c>
      <c r="F14" s="30" t="s">
        <v>6</v>
      </c>
      <c r="G14" s="30" t="s">
        <v>7</v>
      </c>
      <c r="H14" s="30" t="s">
        <v>86</v>
      </c>
      <c r="I14" s="19" t="s">
        <v>51</v>
      </c>
      <c r="J14" s="30" t="s">
        <v>63</v>
      </c>
      <c r="K14" s="19" t="s">
        <v>87</v>
      </c>
      <c r="L14" s="30" t="s">
        <v>73</v>
      </c>
      <c r="M14" s="30" t="s">
        <v>50</v>
      </c>
    </row>
    <row r="15" spans="1:19" x14ac:dyDescent="0.6">
      <c r="C15" s="144" t="s">
        <v>85</v>
      </c>
      <c r="D15" s="97">
        <v>4</v>
      </c>
      <c r="E15" s="97">
        <v>150</v>
      </c>
      <c r="F15" s="97">
        <v>44</v>
      </c>
      <c r="G15" s="97">
        <v>10</v>
      </c>
      <c r="H15" s="97">
        <v>120</v>
      </c>
      <c r="I15" s="49">
        <f>(D15*E15*F15*H15)/G15</f>
        <v>316800</v>
      </c>
      <c r="J15" s="77">
        <v>200</v>
      </c>
      <c r="K15" s="41">
        <f>500*11</f>
        <v>5500</v>
      </c>
      <c r="L15" s="49">
        <f>SUM(I15,J15,K15)</f>
        <v>322500</v>
      </c>
      <c r="M15" s="49">
        <f>L15/$I$12</f>
        <v>3677.3090079817557</v>
      </c>
      <c r="N15" s="10"/>
      <c r="O15" s="10"/>
    </row>
    <row r="16" spans="1:19" x14ac:dyDescent="0.6">
      <c r="C16" s="123"/>
      <c r="D16" s="124"/>
      <c r="E16" s="124"/>
      <c r="F16" s="124"/>
      <c r="G16" s="124"/>
      <c r="H16" s="124"/>
      <c r="I16" s="49"/>
      <c r="J16" s="46"/>
      <c r="K16" s="42"/>
      <c r="L16" s="49"/>
      <c r="M16" s="49" t="s">
        <v>1</v>
      </c>
    </row>
    <row r="17" spans="1:13" ht="15.9" thickBot="1" x14ac:dyDescent="0.65">
      <c r="A17" t="s">
        <v>1</v>
      </c>
      <c r="C17" s="71"/>
      <c r="D17" s="104"/>
      <c r="E17" s="104"/>
      <c r="F17" s="104"/>
      <c r="G17" s="104"/>
      <c r="H17" s="104"/>
      <c r="I17" s="49"/>
      <c r="J17" s="45"/>
      <c r="K17" s="43"/>
      <c r="L17" s="49"/>
      <c r="M17" s="50"/>
    </row>
    <row r="18" spans="1:13" ht="15.9" thickBot="1" x14ac:dyDescent="0.65">
      <c r="C18" s="7" t="s">
        <v>2</v>
      </c>
      <c r="D18" s="7"/>
      <c r="E18" s="7"/>
      <c r="F18" s="7"/>
      <c r="G18" s="7"/>
      <c r="H18" s="7"/>
      <c r="J18" s="24"/>
      <c r="L18" s="17" t="s">
        <v>52</v>
      </c>
      <c r="M18" s="25">
        <f>SUM(M15:M17)</f>
        <v>3677.3090079817557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S17"/>
  <sheetViews>
    <sheetView topLeftCell="A7" zoomScale="115" zoomScaleNormal="115" workbookViewId="0">
      <selection activeCell="G5" sqref="G5"/>
    </sheetView>
  </sheetViews>
  <sheetFormatPr defaultColWidth="12.59765625" defaultRowHeight="15.6" x14ac:dyDescent="0.6"/>
  <cols>
    <col min="1" max="1" width="9" style="8" customWidth="1"/>
    <col min="2" max="2" width="20.34765625" style="8" customWidth="1"/>
    <col min="3" max="6" width="12.59765625" style="8"/>
    <col min="7" max="7" width="10.5" style="8" customWidth="1"/>
    <col min="8" max="8" width="12" style="8" customWidth="1"/>
    <col min="9" max="9" width="12.59765625" style="8"/>
    <col min="10" max="10" width="10.59765625" style="8" customWidth="1"/>
    <col min="11" max="11" width="13.34765625" style="8" customWidth="1"/>
    <col min="12" max="12" width="11.84765625" style="8" customWidth="1"/>
    <col min="13" max="13" width="11.09765625" style="8" customWidth="1"/>
    <col min="14" max="14" width="12.59765625" style="8"/>
    <col min="15" max="15" width="11.5" style="8" customWidth="1"/>
    <col min="16" max="16" width="11.59765625" style="8" customWidth="1"/>
    <col min="17" max="17" width="12.59765625" style="8"/>
    <col min="18" max="18" width="13.59765625" style="8" customWidth="1"/>
    <col min="19" max="16384" width="12.59765625" style="8"/>
  </cols>
  <sheetData>
    <row r="1" spans="1:19" s="28" customFormat="1" ht="25.5" customHeight="1" thickBot="1" x14ac:dyDescent="0.7">
      <c r="A1" s="29" t="s">
        <v>36</v>
      </c>
    </row>
    <row r="2" spans="1:19" customFormat="1" ht="15.9" thickBot="1" x14ac:dyDescent="0.65">
      <c r="A2" s="14"/>
      <c r="B2" s="11"/>
      <c r="C2" s="17" t="s">
        <v>25</v>
      </c>
      <c r="D2" s="18">
        <v>0.03</v>
      </c>
      <c r="G2" s="185" t="s">
        <v>39</v>
      </c>
      <c r="H2" s="143">
        <v>87.7</v>
      </c>
    </row>
    <row r="3" spans="1:19" customFormat="1" ht="15.9" thickBot="1" x14ac:dyDescent="0.65">
      <c r="A3" s="14"/>
      <c r="B3" s="34" t="s">
        <v>1</v>
      </c>
      <c r="J3" s="109" t="s">
        <v>1</v>
      </c>
      <c r="L3" t="s">
        <v>1</v>
      </c>
      <c r="P3" t="s">
        <v>1</v>
      </c>
    </row>
    <row r="4" spans="1:19" customFormat="1" ht="24.9" thickBot="1" x14ac:dyDescent="0.65">
      <c r="A4" s="14"/>
      <c r="B4" s="165" t="s">
        <v>26</v>
      </c>
      <c r="C4" s="166" t="s">
        <v>11</v>
      </c>
      <c r="D4" s="166" t="s">
        <v>12</v>
      </c>
      <c r="E4" s="166" t="s">
        <v>13</v>
      </c>
      <c r="F4" s="167" t="s">
        <v>29</v>
      </c>
      <c r="G4" s="166" t="s">
        <v>49</v>
      </c>
      <c r="H4" s="166" t="s">
        <v>16</v>
      </c>
      <c r="I4" s="166" t="s">
        <v>17</v>
      </c>
      <c r="J4" s="166" t="s">
        <v>18</v>
      </c>
      <c r="K4" s="166" t="s">
        <v>19</v>
      </c>
      <c r="L4" s="166" t="s">
        <v>20</v>
      </c>
      <c r="M4" s="168" t="s">
        <v>21</v>
      </c>
      <c r="N4" s="163" t="s">
        <v>22</v>
      </c>
    </row>
    <row r="5" spans="1:19" customFormat="1" x14ac:dyDescent="0.6">
      <c r="A5" s="14"/>
      <c r="B5" s="169" t="s">
        <v>90</v>
      </c>
      <c r="C5" s="78">
        <v>18695</v>
      </c>
      <c r="D5" s="97">
        <v>3</v>
      </c>
      <c r="E5" s="84">
        <f>C5*D5</f>
        <v>56085</v>
      </c>
      <c r="F5" s="139">
        <v>2</v>
      </c>
      <c r="G5" s="110">
        <f>IF(F5=1,E5,E5/$H$2)</f>
        <v>639.50969213226904</v>
      </c>
      <c r="H5" s="91">
        <v>10</v>
      </c>
      <c r="I5" s="88">
        <f t="shared" ref="I5:I10" si="0">(1-1/(1+$D$2)^H5)*$D$2^-1</f>
        <v>8.5302028367758282</v>
      </c>
      <c r="J5" s="84">
        <f>IF(I5=0,0,G5/I5)</f>
        <v>74.97004518757555</v>
      </c>
      <c r="K5" s="111">
        <v>1</v>
      </c>
      <c r="L5" s="182">
        <f>J5*K5</f>
        <v>74.97004518757555</v>
      </c>
      <c r="M5" s="170">
        <v>1</v>
      </c>
      <c r="N5" s="93">
        <f t="shared" ref="N5:N10" si="1">M5*L5</f>
        <v>74.97004518757555</v>
      </c>
      <c r="R5" s="138"/>
    </row>
    <row r="6" spans="1:19" customFormat="1" x14ac:dyDescent="0.6">
      <c r="A6" s="14"/>
      <c r="B6" s="171" t="s">
        <v>89</v>
      </c>
      <c r="C6" s="79">
        <v>9699</v>
      </c>
      <c r="D6" s="100">
        <v>3</v>
      </c>
      <c r="E6" s="85">
        <f>C6*D6</f>
        <v>29097</v>
      </c>
      <c r="F6" s="139">
        <v>2</v>
      </c>
      <c r="G6" s="110">
        <f t="shared" ref="G6:G12" si="2">IF(F6=1,E6,E6/$H$2)</f>
        <v>331.77879133409351</v>
      </c>
      <c r="H6" s="92">
        <v>10</v>
      </c>
      <c r="I6" s="149">
        <f t="shared" si="0"/>
        <v>8.5302028367758282</v>
      </c>
      <c r="J6" s="85">
        <f t="shared" ref="J6:J10" si="3">IF(I6=0,0,G6/I6)</f>
        <v>38.89459578894332</v>
      </c>
      <c r="K6" s="112">
        <v>1</v>
      </c>
      <c r="L6" s="183">
        <f t="shared" ref="L6:L12" si="4">J6*K6</f>
        <v>38.89459578894332</v>
      </c>
      <c r="M6" s="172">
        <v>1</v>
      </c>
      <c r="N6" s="164">
        <f t="shared" si="1"/>
        <v>38.89459578894332</v>
      </c>
      <c r="R6" s="138"/>
    </row>
    <row r="7" spans="1:19" customFormat="1" x14ac:dyDescent="0.6">
      <c r="A7" s="14"/>
      <c r="B7" s="173" t="s">
        <v>68</v>
      </c>
      <c r="C7" s="79">
        <v>2815.15</v>
      </c>
      <c r="D7" s="100">
        <v>26</v>
      </c>
      <c r="E7" s="85">
        <f>C7*D7</f>
        <v>73193.900000000009</v>
      </c>
      <c r="F7" s="139">
        <v>2</v>
      </c>
      <c r="G7" s="110">
        <f t="shared" si="2"/>
        <v>834.59407069555311</v>
      </c>
      <c r="H7" s="92">
        <v>10</v>
      </c>
      <c r="I7" s="149">
        <f t="shared" si="0"/>
        <v>8.5302028367758282</v>
      </c>
      <c r="J7" s="85">
        <f t="shared" si="3"/>
        <v>97.839885717302082</v>
      </c>
      <c r="K7" s="112">
        <v>1</v>
      </c>
      <c r="L7" s="183">
        <f t="shared" si="4"/>
        <v>97.839885717302082</v>
      </c>
      <c r="M7" s="172">
        <v>1</v>
      </c>
      <c r="N7" s="164">
        <f t="shared" si="1"/>
        <v>97.839885717302082</v>
      </c>
      <c r="R7" s="138"/>
    </row>
    <row r="8" spans="1:19" customFormat="1" x14ac:dyDescent="0.6">
      <c r="A8" s="14"/>
      <c r="B8" s="171" t="s">
        <v>91</v>
      </c>
      <c r="C8" s="79">
        <v>700</v>
      </c>
      <c r="D8" s="100">
        <v>2</v>
      </c>
      <c r="E8" s="85">
        <f t="shared" ref="E8:E11" si="5">C8*D8</f>
        <v>1400</v>
      </c>
      <c r="F8" s="139">
        <v>1</v>
      </c>
      <c r="G8" s="110">
        <f t="shared" si="2"/>
        <v>1400</v>
      </c>
      <c r="H8" s="92">
        <v>5</v>
      </c>
      <c r="I8" s="149">
        <f t="shared" si="0"/>
        <v>4.5797071871945301</v>
      </c>
      <c r="J8" s="85">
        <f t="shared" si="3"/>
        <v>305.69639996080667</v>
      </c>
      <c r="K8" s="112">
        <v>1</v>
      </c>
      <c r="L8" s="183">
        <f t="shared" si="4"/>
        <v>305.69639996080667</v>
      </c>
      <c r="M8" s="172">
        <v>1</v>
      </c>
      <c r="N8" s="164">
        <f t="shared" si="1"/>
        <v>305.69639996080667</v>
      </c>
      <c r="R8" s="138"/>
    </row>
    <row r="9" spans="1:19" customFormat="1" ht="24.6" x14ac:dyDescent="0.6">
      <c r="A9" s="14"/>
      <c r="B9" s="171" t="s">
        <v>93</v>
      </c>
      <c r="C9" s="79">
        <v>58000</v>
      </c>
      <c r="D9" s="100">
        <v>1</v>
      </c>
      <c r="E9" s="85">
        <f t="shared" si="5"/>
        <v>58000</v>
      </c>
      <c r="F9" s="139">
        <v>2</v>
      </c>
      <c r="G9" s="110">
        <f t="shared" si="2"/>
        <v>661.34549600912203</v>
      </c>
      <c r="H9" s="92">
        <v>5</v>
      </c>
      <c r="I9" s="149">
        <f t="shared" si="0"/>
        <v>4.5797071871945301</v>
      </c>
      <c r="J9" s="85">
        <f t="shared" si="3"/>
        <v>144.4078123287733</v>
      </c>
      <c r="K9" s="112">
        <v>1</v>
      </c>
      <c r="L9" s="183">
        <f t="shared" si="4"/>
        <v>144.4078123287733</v>
      </c>
      <c r="M9" s="172">
        <v>1</v>
      </c>
      <c r="N9" s="164">
        <f t="shared" si="1"/>
        <v>144.4078123287733</v>
      </c>
      <c r="R9" s="138"/>
    </row>
    <row r="10" spans="1:19" customFormat="1" x14ac:dyDescent="0.6">
      <c r="A10" s="14"/>
      <c r="B10" s="171" t="s">
        <v>98</v>
      </c>
      <c r="C10" s="79">
        <v>500</v>
      </c>
      <c r="D10" s="100">
        <v>20</v>
      </c>
      <c r="E10" s="85">
        <f t="shared" si="5"/>
        <v>10000</v>
      </c>
      <c r="F10" s="139">
        <v>2</v>
      </c>
      <c r="G10" s="110">
        <f t="shared" si="2"/>
        <v>114.02508551881414</v>
      </c>
      <c r="H10" s="92">
        <v>5</v>
      </c>
      <c r="I10" s="89">
        <f t="shared" si="0"/>
        <v>4.5797071871945301</v>
      </c>
      <c r="J10" s="85">
        <f t="shared" si="3"/>
        <v>24.897898677374709</v>
      </c>
      <c r="K10" s="112">
        <v>1</v>
      </c>
      <c r="L10" s="183">
        <f t="shared" si="4"/>
        <v>24.897898677374709</v>
      </c>
      <c r="M10" s="172">
        <v>1</v>
      </c>
      <c r="N10" s="164">
        <f t="shared" si="1"/>
        <v>24.897898677374709</v>
      </c>
      <c r="R10" s="138"/>
    </row>
    <row r="11" spans="1:19" customFormat="1" x14ac:dyDescent="0.6">
      <c r="A11" s="14"/>
      <c r="B11" s="171" t="s">
        <v>92</v>
      </c>
      <c r="C11" s="79">
        <v>6500</v>
      </c>
      <c r="D11" s="100">
        <v>26</v>
      </c>
      <c r="E11" s="85">
        <f t="shared" si="5"/>
        <v>169000</v>
      </c>
      <c r="F11" s="139">
        <v>2</v>
      </c>
      <c r="G11" s="110">
        <f t="shared" si="2"/>
        <v>1927.0239452679589</v>
      </c>
      <c r="H11" s="92">
        <v>5</v>
      </c>
      <c r="I11" s="89">
        <f>(1-1/(1+$D$2)^H11)*$D$2^-1</f>
        <v>4.5797071871945301</v>
      </c>
      <c r="J11" s="85">
        <f t="shared" ref="J11" si="6">IF(I11=0,0,G11/I11)</f>
        <v>420.77448764763255</v>
      </c>
      <c r="K11" s="112">
        <v>1</v>
      </c>
      <c r="L11" s="183">
        <f t="shared" ref="L11" si="7">J11*K11</f>
        <v>420.77448764763255</v>
      </c>
      <c r="M11" s="172">
        <v>1</v>
      </c>
      <c r="N11" s="164">
        <f>M11*L11</f>
        <v>420.77448764763255</v>
      </c>
      <c r="R11" s="138"/>
    </row>
    <row r="12" spans="1:19" customFormat="1" x14ac:dyDescent="0.6">
      <c r="A12" s="14"/>
      <c r="B12" s="171" t="s">
        <v>69</v>
      </c>
      <c r="C12" s="79">
        <v>24000</v>
      </c>
      <c r="D12" s="100">
        <v>1</v>
      </c>
      <c r="E12" s="85">
        <f>C12</f>
        <v>24000</v>
      </c>
      <c r="F12" s="139">
        <v>2</v>
      </c>
      <c r="G12" s="110">
        <f t="shared" si="2"/>
        <v>273.66020524515392</v>
      </c>
      <c r="H12" s="92">
        <v>10</v>
      </c>
      <c r="I12" s="89">
        <f>(1-1/(1+$D$2)^H12)*$D$2^-1</f>
        <v>8.5302028367758282</v>
      </c>
      <c r="J12" s="85">
        <f>IF(I12=0,0,G12/I12)</f>
        <v>32.081324498561351</v>
      </c>
      <c r="K12" s="112">
        <v>1</v>
      </c>
      <c r="L12" s="183">
        <f t="shared" si="4"/>
        <v>32.081324498561351</v>
      </c>
      <c r="M12" s="172">
        <v>1</v>
      </c>
      <c r="N12" s="164">
        <f>M12*L12</f>
        <v>32.081324498561351</v>
      </c>
      <c r="R12" s="138"/>
    </row>
    <row r="13" spans="1:19" s="75" customFormat="1" ht="15.9" thickBot="1" x14ac:dyDescent="0.65">
      <c r="N13" s="86">
        <f>SUM(N5:N12)</f>
        <v>1139.5624498069694</v>
      </c>
      <c r="Q13"/>
      <c r="R13"/>
      <c r="S13"/>
    </row>
    <row r="14" spans="1:19" s="75" customFormat="1" x14ac:dyDescent="0.6">
      <c r="D14" s="75" t="s">
        <v>1</v>
      </c>
      <c r="Q14"/>
      <c r="R14"/>
      <c r="S14"/>
    </row>
    <row r="15" spans="1:19" s="75" customFormat="1" x14ac:dyDescent="0.6"/>
    <row r="16" spans="1:19" s="75" customFormat="1" x14ac:dyDescent="0.6"/>
    <row r="17" s="75" customFormat="1" x14ac:dyDescent="0.6"/>
  </sheetData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K20"/>
  <sheetViews>
    <sheetView topLeftCell="A2" workbookViewId="0">
      <selection activeCell="G13" sqref="G13"/>
    </sheetView>
  </sheetViews>
  <sheetFormatPr defaultColWidth="22.34765625" defaultRowHeight="15.6" x14ac:dyDescent="0.6"/>
  <cols>
    <col min="1" max="1" width="8.59765625" style="8" customWidth="1"/>
    <col min="2" max="2" width="22.84765625" style="8" customWidth="1"/>
    <col min="3" max="3" width="13.5" style="8" customWidth="1"/>
    <col min="4" max="4" width="10.09765625" style="8" customWidth="1"/>
    <col min="5" max="5" width="10.09765625" style="114" customWidth="1"/>
    <col min="6" max="6" width="10.09765625" style="8" customWidth="1"/>
    <col min="7" max="7" width="9.34765625" style="8" customWidth="1"/>
    <col min="8" max="8" width="11.59765625" style="8" customWidth="1"/>
    <col min="9" max="9" width="12" style="8" customWidth="1"/>
    <col min="10" max="10" width="4.8984375" style="8" customWidth="1"/>
    <col min="11" max="11" width="10.59765625" style="8" customWidth="1"/>
    <col min="12" max="16384" width="22.34765625" style="8"/>
  </cols>
  <sheetData>
    <row r="1" spans="1:11" x14ac:dyDescent="0.6">
      <c r="B1" s="10" t="s">
        <v>1</v>
      </c>
      <c r="G1" s="8" t="s">
        <v>41</v>
      </c>
      <c r="I1" s="8" t="s">
        <v>1</v>
      </c>
      <c r="J1" s="8" t="s">
        <v>1</v>
      </c>
    </row>
    <row r="2" spans="1:11" x14ac:dyDescent="0.6">
      <c r="B2" s="9" t="s">
        <v>9</v>
      </c>
      <c r="C2" s="9"/>
    </row>
    <row r="3" spans="1:11" ht="37.5" customHeight="1" thickBot="1" x14ac:dyDescent="0.65">
      <c r="B3" s="165" t="s">
        <v>26</v>
      </c>
      <c r="C3" s="174" t="s">
        <v>12</v>
      </c>
      <c r="D3" s="166" t="s">
        <v>13</v>
      </c>
      <c r="E3" s="166" t="s">
        <v>11</v>
      </c>
      <c r="F3" s="175" t="s">
        <v>55</v>
      </c>
      <c r="G3" s="166" t="s">
        <v>47</v>
      </c>
      <c r="H3" s="167" t="s">
        <v>97</v>
      </c>
      <c r="I3" s="176" t="s">
        <v>103</v>
      </c>
    </row>
    <row r="4" spans="1:11" ht="17.25" customHeight="1" x14ac:dyDescent="0.6">
      <c r="B4" s="177" t="s">
        <v>70</v>
      </c>
      <c r="C4" s="42">
        <v>100</v>
      </c>
      <c r="D4" s="79">
        <v>464</v>
      </c>
      <c r="E4" s="181">
        <f>D4/C4</f>
        <v>4.6399999999999997</v>
      </c>
      <c r="F4" s="115">
        <v>1</v>
      </c>
      <c r="G4" s="181">
        <f>E4*F4*0.05</f>
        <v>0.23199999999999998</v>
      </c>
      <c r="H4" s="181">
        <f>SUM(E4+G4)*F4</f>
        <v>4.8719999999999999</v>
      </c>
      <c r="I4" s="178">
        <f>H4/$K$8</f>
        <v>5.5553021664766243E-2</v>
      </c>
    </row>
    <row r="5" spans="1:11" ht="28.5" customHeight="1" x14ac:dyDescent="0.6">
      <c r="B5" s="179" t="s">
        <v>96</v>
      </c>
      <c r="C5" s="80">
        <v>576</v>
      </c>
      <c r="D5" s="79">
        <f>810*K8</f>
        <v>71037</v>
      </c>
      <c r="E5" s="181">
        <f t="shared" ref="E5:E10" si="0">D5/C5</f>
        <v>123.328125</v>
      </c>
      <c r="F5" s="115">
        <v>1</v>
      </c>
      <c r="G5" s="181">
        <f t="shared" ref="G5:G9" si="1">E5*F5*0.05</f>
        <v>6.1664062500000005</v>
      </c>
      <c r="H5" s="181">
        <f t="shared" ref="H5:H10" si="2">SUM(E5+G5)*F5</f>
        <v>129.49453124999999</v>
      </c>
      <c r="I5" s="178">
        <f t="shared" ref="I5:I10" si="3">H5/$K$8</f>
        <v>1.4765624999999998</v>
      </c>
    </row>
    <row r="6" spans="1:11" x14ac:dyDescent="0.6">
      <c r="B6" s="177" t="s">
        <v>42</v>
      </c>
      <c r="C6" s="46">
        <v>100</v>
      </c>
      <c r="D6" s="79">
        <v>348</v>
      </c>
      <c r="E6" s="181">
        <f t="shared" si="0"/>
        <v>3.48</v>
      </c>
      <c r="F6" s="115">
        <v>1</v>
      </c>
      <c r="G6" s="181">
        <f t="shared" si="1"/>
        <v>0.17400000000000002</v>
      </c>
      <c r="H6" s="181">
        <f t="shared" si="2"/>
        <v>3.6539999999999999</v>
      </c>
      <c r="I6" s="178">
        <f t="shared" si="3"/>
        <v>4.1664766248574688E-2</v>
      </c>
    </row>
    <row r="7" spans="1:11" ht="15.9" thickBot="1" x14ac:dyDescent="0.65">
      <c r="B7" s="177" t="s">
        <v>46</v>
      </c>
      <c r="C7" s="46">
        <v>1</v>
      </c>
      <c r="D7" s="79">
        <v>100</v>
      </c>
      <c r="E7" s="181">
        <f t="shared" si="0"/>
        <v>100</v>
      </c>
      <c r="F7" s="115">
        <v>0.05</v>
      </c>
      <c r="G7" s="181">
        <f t="shared" si="1"/>
        <v>0.25</v>
      </c>
      <c r="H7" s="181">
        <f t="shared" si="2"/>
        <v>5.0125000000000002</v>
      </c>
      <c r="I7" s="178">
        <f t="shared" si="3"/>
        <v>5.715507411630559E-2</v>
      </c>
      <c r="K7" s="10" t="s">
        <v>39</v>
      </c>
    </row>
    <row r="8" spans="1:11" ht="15.9" thickBot="1" x14ac:dyDescent="0.65">
      <c r="A8" s="8" t="s">
        <v>1</v>
      </c>
      <c r="B8" s="177" t="s">
        <v>71</v>
      </c>
      <c r="C8" s="46">
        <v>100</v>
      </c>
      <c r="D8" s="79">
        <v>290</v>
      </c>
      <c r="E8" s="181">
        <f t="shared" si="0"/>
        <v>2.9</v>
      </c>
      <c r="F8" s="115">
        <v>1</v>
      </c>
      <c r="G8" s="181">
        <f t="shared" si="1"/>
        <v>0.14499999999999999</v>
      </c>
      <c r="H8" s="181">
        <f t="shared" si="2"/>
        <v>3.0449999999999999</v>
      </c>
      <c r="I8" s="178">
        <f t="shared" si="3"/>
        <v>3.4720638540478903E-2</v>
      </c>
      <c r="K8" s="127">
        <v>87.7</v>
      </c>
    </row>
    <row r="9" spans="1:11" ht="25.8" x14ac:dyDescent="0.6">
      <c r="B9" s="180" t="s">
        <v>94</v>
      </c>
      <c r="C9" s="46">
        <v>480</v>
      </c>
      <c r="D9" s="79">
        <v>77614.5</v>
      </c>
      <c r="E9" s="181">
        <f t="shared" si="0"/>
        <v>161.69687500000001</v>
      </c>
      <c r="F9" s="115">
        <v>0.2</v>
      </c>
      <c r="G9" s="181">
        <f t="shared" si="1"/>
        <v>1.6169687500000003</v>
      </c>
      <c r="H9" s="181">
        <f t="shared" si="2"/>
        <v>32.662768750000005</v>
      </c>
      <c r="I9" s="178">
        <f t="shared" si="3"/>
        <v>0.37243750000000003</v>
      </c>
    </row>
    <row r="10" spans="1:11" x14ac:dyDescent="0.6">
      <c r="B10" s="180" t="s">
        <v>95</v>
      </c>
      <c r="C10" s="46">
        <v>10</v>
      </c>
      <c r="D10" s="79">
        <v>2200.4</v>
      </c>
      <c r="E10" s="181">
        <f t="shared" si="0"/>
        <v>220.04000000000002</v>
      </c>
      <c r="F10" s="115">
        <v>0.05</v>
      </c>
      <c r="G10" s="181">
        <f>E10*F10*0.05</f>
        <v>0.55010000000000014</v>
      </c>
      <c r="H10" s="181">
        <f t="shared" si="2"/>
        <v>11.029505</v>
      </c>
      <c r="I10" s="178">
        <f t="shared" si="3"/>
        <v>0.12576402508551882</v>
      </c>
    </row>
    <row r="11" spans="1:11" ht="15.9" thickBot="1" x14ac:dyDescent="0.65">
      <c r="B11" s="24"/>
      <c r="C11" s="24"/>
      <c r="D11" s="24" t="s">
        <v>1</v>
      </c>
      <c r="E11" s="116"/>
      <c r="F11" s="24"/>
      <c r="G11" s="74"/>
      <c r="H11" s="74" t="s">
        <v>30</v>
      </c>
      <c r="I11" s="125">
        <f>SUM(I4:I10)</f>
        <v>2.163857525655644</v>
      </c>
    </row>
    <row r="12" spans="1:11" x14ac:dyDescent="0.6">
      <c r="B12" s="10" t="s">
        <v>40</v>
      </c>
    </row>
    <row r="13" spans="1:11" ht="15.9" thickBot="1" x14ac:dyDescent="0.65"/>
    <row r="14" spans="1:11" ht="33.6" thickBot="1" x14ac:dyDescent="0.65">
      <c r="B14" s="19" t="s">
        <v>26</v>
      </c>
      <c r="C14" s="19" t="s">
        <v>48</v>
      </c>
      <c r="D14" s="30" t="s">
        <v>29</v>
      </c>
      <c r="E14" s="30" t="s">
        <v>30</v>
      </c>
    </row>
    <row r="15" spans="1:11" x14ac:dyDescent="0.6">
      <c r="B15" s="61" t="s">
        <v>99</v>
      </c>
      <c r="C15" s="78">
        <v>3000</v>
      </c>
      <c r="D15" s="53">
        <v>2</v>
      </c>
      <c r="E15" s="110">
        <f>IF(D15=1,C15,C15/$K$8)</f>
        <v>34.20752565564424</v>
      </c>
      <c r="I15" s="13"/>
    </row>
    <row r="16" spans="1:11" x14ac:dyDescent="0.6">
      <c r="B16" s="33" t="s">
        <v>100</v>
      </c>
      <c r="C16" s="79">
        <v>2000</v>
      </c>
      <c r="D16" s="54">
        <v>2</v>
      </c>
      <c r="E16" s="110">
        <f>IF(D16=1,C16,C16/$K$8)</f>
        <v>22.805017103762825</v>
      </c>
    </row>
    <row r="17" spans="2:9" x14ac:dyDescent="0.6">
      <c r="B17" s="33" t="s">
        <v>37</v>
      </c>
      <c r="C17" s="79">
        <v>45000</v>
      </c>
      <c r="D17" s="54">
        <v>2</v>
      </c>
      <c r="E17" s="110">
        <f>IF(D17=1,C17,C17/$K$8)</f>
        <v>513.11288483466365</v>
      </c>
    </row>
    <row r="18" spans="2:9" x14ac:dyDescent="0.6">
      <c r="B18" s="76" t="s">
        <v>72</v>
      </c>
      <c r="C18" s="81">
        <v>6400</v>
      </c>
      <c r="D18" s="58">
        <v>2</v>
      </c>
      <c r="E18" s="110">
        <f>IF(D18=1,C18,C18/$K$8)</f>
        <v>72.97605473204105</v>
      </c>
      <c r="H18" s="8" t="s">
        <v>1</v>
      </c>
    </row>
    <row r="19" spans="2:9" ht="15.9" thickBot="1" x14ac:dyDescent="0.65">
      <c r="B19" s="36" t="s">
        <v>38</v>
      </c>
      <c r="C19" s="87">
        <v>9000</v>
      </c>
      <c r="D19" s="56">
        <v>2</v>
      </c>
      <c r="E19" s="110">
        <f>IF(D19=1,C19,C19/$K$8)</f>
        <v>102.62257696693273</v>
      </c>
    </row>
    <row r="20" spans="2:9" ht="15.9" thickBot="1" x14ac:dyDescent="0.65">
      <c r="B20" s="24" t="s">
        <v>1</v>
      </c>
      <c r="C20" s="24" t="s">
        <v>1</v>
      </c>
      <c r="D20" s="74" t="s">
        <v>30</v>
      </c>
      <c r="E20" s="184">
        <f>SUM(E15:E19)</f>
        <v>745.72405929304443</v>
      </c>
      <c r="I20" s="8" t="s">
        <v>1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J13"/>
  <sheetViews>
    <sheetView topLeftCell="A4" workbookViewId="0">
      <selection activeCell="D13" sqref="D13"/>
    </sheetView>
  </sheetViews>
  <sheetFormatPr defaultColWidth="11" defaultRowHeight="15.6" x14ac:dyDescent="0.6"/>
  <cols>
    <col min="7" max="7" width="10.84765625" customWidth="1"/>
    <col min="13" max="13" width="12.5" customWidth="1"/>
  </cols>
  <sheetData>
    <row r="1" spans="1:10" s="28" customFormat="1" ht="25.5" customHeight="1" x14ac:dyDescent="0.65">
      <c r="A1" s="29" t="s">
        <v>28</v>
      </c>
    </row>
    <row r="3" spans="1:10" ht="15.9" thickBot="1" x14ac:dyDescent="0.65">
      <c r="J3" t="s">
        <v>1</v>
      </c>
    </row>
    <row r="4" spans="1:10" ht="24.9" thickBot="1" x14ac:dyDescent="0.65">
      <c r="B4" s="19" t="s">
        <v>26</v>
      </c>
      <c r="C4" s="19" t="s">
        <v>45</v>
      </c>
      <c r="D4" s="19" t="s">
        <v>32</v>
      </c>
      <c r="E4" s="19" t="s">
        <v>31</v>
      </c>
      <c r="F4" s="30" t="s">
        <v>29</v>
      </c>
      <c r="G4" s="30" t="s">
        <v>30</v>
      </c>
      <c r="H4" s="22" t="s">
        <v>21</v>
      </c>
      <c r="I4" s="23" t="s">
        <v>22</v>
      </c>
    </row>
    <row r="5" spans="1:10" ht="24.9" thickBot="1" x14ac:dyDescent="0.65">
      <c r="B5" s="145" t="s">
        <v>101</v>
      </c>
      <c r="C5" s="126">
        <v>54000</v>
      </c>
      <c r="D5" s="126">
        <v>12</v>
      </c>
      <c r="E5" s="130">
        <f>C5*D5</f>
        <v>648000</v>
      </c>
      <c r="F5" s="126">
        <v>2</v>
      </c>
      <c r="G5" s="110">
        <f>IF(F5=1,E5,E5/$G$11)</f>
        <v>7388.825541619156</v>
      </c>
      <c r="H5" s="131">
        <v>0.5</v>
      </c>
      <c r="I5" s="93">
        <f>G5*H5</f>
        <v>3694.412770809578</v>
      </c>
    </row>
    <row r="6" spans="1:10" ht="15.9" thickBot="1" x14ac:dyDescent="0.65">
      <c r="B6" s="39" t="s">
        <v>102</v>
      </c>
      <c r="C6" s="54">
        <v>350</v>
      </c>
      <c r="D6" s="54">
        <v>12</v>
      </c>
      <c r="E6" s="49">
        <f>C6*D6</f>
        <v>4200</v>
      </c>
      <c r="F6" s="54">
        <v>2</v>
      </c>
      <c r="G6" s="110">
        <f t="shared" ref="G6:G8" si="0">IF(F6=1,E6,E6/$G$11)</f>
        <v>47.890535917901936</v>
      </c>
      <c r="H6" s="142">
        <v>0.5</v>
      </c>
      <c r="I6" s="93">
        <f t="shared" ref="I6:I8" si="1">G6*H6</f>
        <v>23.945267958950968</v>
      </c>
    </row>
    <row r="7" spans="1:10" ht="15.9" thickBot="1" x14ac:dyDescent="0.65">
      <c r="A7" s="15" t="s">
        <v>1</v>
      </c>
      <c r="B7" s="150" t="s">
        <v>61</v>
      </c>
      <c r="C7" s="59">
        <v>115.73546180159634</v>
      </c>
      <c r="D7" s="59">
        <v>12</v>
      </c>
      <c r="E7" s="49">
        <f t="shared" ref="E7:E8" si="2">C7*D7</f>
        <v>1388.8255416191562</v>
      </c>
      <c r="F7" s="59">
        <v>1</v>
      </c>
      <c r="G7" s="110">
        <f t="shared" si="0"/>
        <v>1388.8255416191562</v>
      </c>
      <c r="H7" s="151">
        <v>0.5</v>
      </c>
      <c r="I7" s="93">
        <f t="shared" si="1"/>
        <v>694.41277080957809</v>
      </c>
    </row>
    <row r="8" spans="1:10" ht="15.9" thickBot="1" x14ac:dyDescent="0.65">
      <c r="B8" s="39" t="s">
        <v>74</v>
      </c>
      <c r="C8" s="54">
        <v>2350</v>
      </c>
      <c r="D8" s="54">
        <v>12</v>
      </c>
      <c r="E8" s="49">
        <f t="shared" si="2"/>
        <v>28200</v>
      </c>
      <c r="F8" s="54">
        <v>2</v>
      </c>
      <c r="G8" s="110">
        <f t="shared" si="0"/>
        <v>321.55074116305587</v>
      </c>
      <c r="H8" s="142">
        <v>0.5</v>
      </c>
      <c r="I8" s="93">
        <f t="shared" si="1"/>
        <v>160.77537058152794</v>
      </c>
      <c r="J8" t="s">
        <v>1</v>
      </c>
    </row>
    <row r="9" spans="1:10" ht="15.9" thickBot="1" x14ac:dyDescent="0.65">
      <c r="A9" s="47"/>
      <c r="B9" s="24"/>
      <c r="C9" s="24"/>
      <c r="D9" s="24"/>
      <c r="E9" s="24"/>
      <c r="F9" s="24"/>
      <c r="G9" s="24"/>
      <c r="H9" s="24"/>
      <c r="I9" s="186">
        <f>SUM(I5:I8)</f>
        <v>4573.5461801596348</v>
      </c>
    </row>
    <row r="10" spans="1:10" ht="15.9" thickBot="1" x14ac:dyDescent="0.65">
      <c r="E10" t="s">
        <v>1</v>
      </c>
    </row>
    <row r="11" spans="1:10" ht="15.9" thickBot="1" x14ac:dyDescent="0.65">
      <c r="F11" s="146" t="s">
        <v>56</v>
      </c>
      <c r="G11" s="31">
        <v>87.7</v>
      </c>
    </row>
    <row r="12" spans="1:10" x14ac:dyDescent="0.6">
      <c r="F12" s="26"/>
    </row>
    <row r="13" spans="1:10" x14ac:dyDescent="0.6">
      <c r="D13" t="s">
        <v>1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 &amp; assumptions</vt:lpstr>
      <vt:lpstr>Summary</vt:lpstr>
      <vt:lpstr>Personnel</vt:lpstr>
      <vt:lpstr>Vehicles</vt:lpstr>
      <vt:lpstr>Equipment</vt:lpstr>
      <vt:lpstr>Supplies</vt:lpstr>
      <vt:lpstr>building &amp; overhead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Monisha Sharma</dc:creator>
  <cp:lastModifiedBy>Monisha</cp:lastModifiedBy>
  <dcterms:created xsi:type="dcterms:W3CDTF">2013-08-31T18:31:31Z</dcterms:created>
  <dcterms:modified xsi:type="dcterms:W3CDTF">2017-02-04T04:06:20Z</dcterms:modified>
</cp:coreProperties>
</file>